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8.xml.rels" ContentType="application/vnd.openxmlformats-package.relationships+xml"/>
  <Override PartName="/xl/worksheets/_rels/sheet1.xml.rels" ContentType="application/vnd.openxmlformats-package.relationships+xml"/>
  <Override PartName="/xl/worksheets/_rels/sheet14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xl/comments18.xml" ContentType="application/vnd.openxmlformats-officedocument.spreadsheetml.comments+xml"/>
  <Override PartName="/xl/comments1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Factors" sheetId="2" state="visible" r:id="rId4"/>
    <sheet name="Plans" sheetId="3" state="visible" r:id="rId5"/>
    <sheet name="Sales" sheetId="4" state="visible" r:id="rId6"/>
    <sheet name="Gas" sheetId="5" state="visible" r:id="rId7"/>
    <sheet name="Materials" sheetId="6" state="visible" r:id="rId8"/>
    <sheet name="SiteServices" sheetId="7" state="visible" r:id="rId9"/>
    <sheet name="R&amp;M" sheetId="8" state="visible" r:id="rId10"/>
    <sheet name="Interest" sheetId="9" state="visible" r:id="rId11"/>
    <sheet name="Swap" sheetId="10" state="visible" r:id="rId12"/>
    <sheet name="loans" sheetId="11" state="visible" r:id="rId13"/>
    <sheet name="employees" sheetId="12" state="visible" r:id="rId14"/>
    <sheet name="Depreciation" sheetId="13" state="visible" r:id="rId15"/>
    <sheet name="Oheads" sheetId="14" state="visible" r:id="rId16"/>
    <sheet name="Capital budget" sheetId="15" state="visible" r:id="rId17"/>
    <sheet name="Donation" sheetId="16" state="visible" r:id="rId18"/>
    <sheet name="P&amp;LPLN" sheetId="17" state="visible" r:id="rId19"/>
    <sheet name="Balance" sheetId="18" state="visible" r:id="rId20"/>
    <sheet name="CashFlow" sheetId="19" state="visible" r:id="rId21"/>
    <sheet name="P&amp;L$" sheetId="20" state="visible" r:id="rId22"/>
    <sheet name="O&amp;M Budget" sheetId="21" state="visible" r:id="rId23"/>
  </sheets>
  <definedNames>
    <definedName function="false" hidden="false" localSheetId="17" name="_xlnm.Print_Area" vbProcedure="false">Balance!$A$1:$O$103</definedName>
    <definedName function="false" hidden="false" localSheetId="0" name="_xlnm.Print_Area" vbProcedure="false">Budget!$A$1:$I$44</definedName>
    <definedName function="false" hidden="false" localSheetId="14" name="_xlnm.Print_Area" vbProcedure="false">'Capital budget'!$A$1:$M$32</definedName>
    <definedName function="false" hidden="false" localSheetId="18" name="_xlnm.Print_Area" vbProcedure="false">CashFlow!$A$1:$M$41</definedName>
    <definedName function="false" hidden="false" localSheetId="12" name="_xlnm.Print_Area" vbProcedure="false">Depreciation!$A$1:$N$35</definedName>
    <definedName function="false" hidden="false" localSheetId="15" name="_xlnm.Print_Area" vbProcedure="false">Donation!$A$1:$N$17</definedName>
    <definedName function="false" hidden="false" localSheetId="11" name="_xlnm.Print_Area" vbProcedure="false">employees!$A$1:$P$91</definedName>
    <definedName function="false" hidden="false" localSheetId="1" name="_xlnm.Print_Area" vbProcedure="false">Factors!$A$1:$N$40</definedName>
    <definedName function="false" hidden="false" localSheetId="4" name="_xlnm.Print_Area" vbProcedure="false">Gas!$A$1:$N$59</definedName>
    <definedName function="false" hidden="false" localSheetId="8" name="_xlnm.Print_Area" vbProcedure="false">Interest!$A$1:$N$89</definedName>
    <definedName function="false" hidden="false" localSheetId="10" name="_xlnm.Print_Area" vbProcedure="false">loans!$A$1:$M$59</definedName>
    <definedName function="false" hidden="false" localSheetId="5" name="_xlnm.Print_Area" vbProcedure="false">Materials!$A$1:$O$17</definedName>
    <definedName function="false" hidden="false" localSheetId="20" name="_xlnm.Print_Area" vbProcedure="false">'O&amp;M Budget'!$A$1:$P$110</definedName>
    <definedName function="false" hidden="false" localSheetId="13" name="_xlnm.Print_Area" vbProcedure="false">Oheads!$A$1:$N$91</definedName>
    <definedName function="false" hidden="false" localSheetId="19" name="_xlnm.Print_Area" vbProcedure="false">'P&amp;L$'!$A$1:$O$203</definedName>
    <definedName function="false" hidden="false" localSheetId="16" name="_xlnm.Print_Area" vbProcedure="false">'P&amp;LPLN'!$B$1:$O$209</definedName>
    <definedName function="false" hidden="false" localSheetId="2" name="_xlnm.Print_Area" vbProcedure="false">Plans!$A$1:$N$62</definedName>
    <definedName function="false" hidden="false" localSheetId="7" name="_xlnm.Print_Area" vbProcedure="false">'R&amp;M'!$A$1:$N$31</definedName>
    <definedName function="false" hidden="false" localSheetId="3" name="_xlnm.Print_Area" vbProcedure="false">Sales!$A$1:$N$76</definedName>
    <definedName function="false" hidden="false" localSheetId="6" name="_xlnm.Print_Area" vbProcedure="false">SiteServices!$A$1:$O$50</definedName>
    <definedName function="false" hidden="false" localSheetId="9" name="_xlnm.Print_Area" vbProcedure="false">Swap!$A$1:$N$43</definedName>
  </definedNames>
  <calcPr iterateCount="1000" refMode="A1" iterate="true" iterateDelta="0.0001"/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10"/>
            <color rgb="FF000000"/>
            <rFont val="Tahoma"/>
            <family val="0"/>
            <charset val="238"/>
          </rPr>
          <t xml:space="preserve">ENRON INTERNATIONAL:
</t>
        </r>
        <r>
          <rPr>
            <sz val="10"/>
            <color rgb="FF000000"/>
            <rFont val="Tahoma"/>
            <family val="0"/>
            <charset val="238"/>
          </rPr>
          <t xml:space="preserve">A.Balck - legal $20k/month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18</xdr:colOff>
                <xdr:row>7</xdr:row>
                <xdr:rowOff>15</xdr:rowOff>
              </xdr:from>
              <xdr:to>
                <xdr:col>5</xdr:col>
                <xdr:colOff>21</xdr:colOff>
                <xdr:row>15</xdr:row>
                <xdr:rowOff>15</xdr:rowOff>
              </xdr:to>
            </anchor>
          </commentPr>
        </mc:Choice>
        <mc:Fallback/>
      </mc:AlternateContent>
    </comment>
    <comment ref="Q10" authorId="0">
      <text>
        <r>
          <rPr>
            <b val="true"/>
            <sz val="10"/>
            <color rgb="FF000000"/>
            <rFont val="Tahoma"/>
            <family val="0"/>
            <charset val="238"/>
          </rPr>
          <t xml:space="preserve">ENRON INTERNATIONAL:
</t>
        </r>
        <r>
          <rPr>
            <sz val="10"/>
            <color rgb="FF000000"/>
            <rFont val="Tahoma"/>
            <family val="0"/>
            <charset val="238"/>
          </rPr>
          <t xml:space="preserve">Assumed to go right down - problems with contracts solved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119</xdr:colOff>
                <xdr:row>7</xdr:row>
                <xdr:rowOff>15</xdr:rowOff>
              </xdr:from>
              <xdr:to>
                <xdr:col>16</xdr:col>
                <xdr:colOff>11</xdr:colOff>
                <xdr:row>15</xdr:row>
                <xdr:rowOff>15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1" authorId="0">
      <text>
        <r>
          <rPr>
            <sz val="8"/>
            <color rgb="FF000000"/>
            <rFont val="Tahoma"/>
            <family val="0"/>
            <charset val="238"/>
          </rPr>
          <t xml:space="preserve">GT Air filters purchase
124k zł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64</xdr:colOff>
                <xdr:row>29</xdr:row>
                <xdr:rowOff>10</xdr:rowOff>
              </xdr:from>
              <xdr:to>
                <xdr:col>6</xdr:col>
                <xdr:colOff>17</xdr:colOff>
                <xdr:row>33</xdr:row>
                <xdr:rowOff>7</xdr:rowOff>
              </xdr:to>
            </anchor>
          </commentPr>
        </mc:Choice>
        <mc:Fallback/>
      </mc:AlternateContent>
    </comment>
    <comment ref="F31" authorId="0">
      <text>
        <r>
          <rPr>
            <sz val="8"/>
            <color rgb="FF000000"/>
            <rFont val="Tahoma"/>
            <family val="0"/>
            <charset val="238"/>
          </rPr>
          <t xml:space="preserve">distilled oil purchase
3 614 k zł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63</xdr:colOff>
                <xdr:row>29</xdr:row>
                <xdr:rowOff>10</xdr:rowOff>
              </xdr:from>
              <xdr:to>
                <xdr:col>8</xdr:col>
                <xdr:colOff>22</xdr:colOff>
                <xdr:row>33</xdr:row>
                <xdr:rowOff>11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8" authorId="0">
      <text>
        <r>
          <rPr>
            <b val="true"/>
            <sz val="8"/>
            <color rgb="FF000000"/>
            <rFont val="Tahoma"/>
            <family val="0"/>
            <charset val="238"/>
          </rPr>
          <t xml:space="preserve">Dane: J. Senczyszyn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4</xdr:row>
                <xdr:rowOff>5</xdr:rowOff>
              </xdr:from>
              <xdr:to>
                <xdr:col>4</xdr:col>
                <xdr:colOff>44</xdr:colOff>
                <xdr:row>8</xdr:row>
                <xdr:rowOff>15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  <charset val="238"/>
          </rPr>
          <t xml:space="preserve">Dane: Aleksander Zarębski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5</xdr:row>
                <xdr:rowOff>5</xdr:rowOff>
              </xdr:from>
              <xdr:to>
                <xdr:col>4</xdr:col>
                <xdr:colOff>44</xdr:colOff>
                <xdr:row>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<sst xmlns="http://schemas.openxmlformats.org/spreadsheetml/2006/main" count="4282" uniqueCount="1349">
  <si>
    <t xml:space="preserve">Elektrociepłownia</t>
  </si>
  <si>
    <t xml:space="preserve">Nowa Sarzyna Sp. z o. o.</t>
  </si>
  <si>
    <t xml:space="preserve">ul. Ks. J. Popiełuszki 2</t>
  </si>
  <si>
    <t xml:space="preserve">37-310 Nowa Sarzyna</t>
  </si>
  <si>
    <t xml:space="preserve">tel. (0-17) 24 11 000</t>
  </si>
  <si>
    <t xml:space="preserve">fax (0-17) 24 11 196</t>
  </si>
  <si>
    <t xml:space="preserve">ELEKTROCIEPŁOWNIA NOWA SARZYNA SP. Z O.O.</t>
  </si>
  <si>
    <t xml:space="preserve">BUDGET 2002</t>
  </si>
  <si>
    <t xml:space="preserve">CONTENTS:</t>
  </si>
  <si>
    <t xml:space="preserve">1. Variable factors</t>
  </si>
  <si>
    <t xml:space="preserve">2. Plans of production and materials usage</t>
  </si>
  <si>
    <t xml:space="preserve">3. Sales budget</t>
  </si>
  <si>
    <t xml:space="preserve">4. Direct materials budget</t>
  </si>
  <si>
    <t xml:space="preserve">4.1. Gas </t>
  </si>
  <si>
    <t xml:space="preserve">4.2. Other materials </t>
  </si>
  <si>
    <t xml:space="preserve">4.3. Site services </t>
  </si>
  <si>
    <t xml:space="preserve">5. Repairs and Maintenence Budget</t>
  </si>
  <si>
    <t xml:space="preserve">6. Financial Cost Budget</t>
  </si>
  <si>
    <t xml:space="preserve">6.1. Interest cost</t>
  </si>
  <si>
    <t xml:space="preserve">6.2. SWAP</t>
  </si>
  <si>
    <t xml:space="preserve">6.3. Credit repayments</t>
  </si>
  <si>
    <t xml:space="preserve">7. Fixed cost budget</t>
  </si>
  <si>
    <t xml:space="preserve">7.1. Salary and Labour </t>
  </si>
  <si>
    <t xml:space="preserve">7.2. Depreciation</t>
  </si>
  <si>
    <t xml:space="preserve">7.3. Oveheads</t>
  </si>
  <si>
    <t xml:space="preserve">8. Capital expenditure budget</t>
  </si>
  <si>
    <t xml:space="preserve">9. Donations</t>
  </si>
  <si>
    <t xml:space="preserve">10. Budget Profit and Loss Account in PLN</t>
  </si>
  <si>
    <t xml:space="preserve">11. Budget Balance Sheet in PLN</t>
  </si>
  <si>
    <t xml:space="preserve">12. Budget Cash Flow in PLN</t>
  </si>
  <si>
    <t xml:space="preserve">13. Budget Profit and Loss Account in US Dollars</t>
  </si>
  <si>
    <t xml:space="preserve">14. O&amp;M Budget in US Dollars</t>
  </si>
  <si>
    <t xml:space="preserve">ENS BUDGET - YEAR 2002</t>
  </si>
  <si>
    <t xml:space="preserve">VARIABLE FACTORS (1)</t>
  </si>
  <si>
    <t xml:space="preserve">1. US Dollar/ Polish Zloty Exchange Rate </t>
  </si>
  <si>
    <t xml:space="preserve">PLN-$ Exch Rate - Beginning 01-01-2003</t>
  </si>
  <si>
    <t xml:space="preserve">PLN-$ Exch Rate - Beginning 01-01-2004</t>
  </si>
  <si>
    <t xml:space="preserve">PLN/$</t>
  </si>
  <si>
    <t xml:space="preserve">Economic forecast for Poland (Polish Banking Sector Dollar/Zloty rate forecast);Warsaw Newsroom@Reuters.com</t>
  </si>
  <si>
    <t xml:space="preserve">Depn %</t>
  </si>
  <si>
    <t xml:space="preserve">Factor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</si>
  <si>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</si>
  <si>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</si>
  <si>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</si>
  <si>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</si>
  <si>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</si>
  <si>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</si>
  <si>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</si>
  <si>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</si>
  <si>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</si>
  <si>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</si>
  <si>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</si>
  <si>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</si>
  <si>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2. Rate of inflation  in Poland </t>
  </si>
  <si>
    <t xml:space="preserve">Inflation Poland</t>
  </si>
  <si>
    <t xml:space="preserve">3. Applicable interest rate (USD LIBOR)</t>
  </si>
  <si>
    <t xml:space="preserve">USD LIBOR</t>
  </si>
  <si>
    <t xml:space="preserve">4. Applicable rate of corporate tax rate</t>
  </si>
  <si>
    <t xml:space="preserve">5. Indices for prices indexation</t>
  </si>
  <si>
    <t xml:space="preserve">Oil prices (HFO, LFO) for the period November 2001 - December 2002 are being kept on the basis of April-September 2001</t>
  </si>
  <si>
    <t xml:space="preserve">CPI - 3% per year</t>
  </si>
  <si>
    <t xml:space="preserve">Polish Wage Index - 8% per year</t>
  </si>
  <si>
    <t xml:space="preserve">Polish PPI - 3% per year</t>
  </si>
  <si>
    <t xml:space="preserve">Dollar ExR = 2,25 zł/USD</t>
  </si>
  <si>
    <t xml:space="preserve">PLANS (2)</t>
  </si>
  <si>
    <t xml:space="preserve">Energy Despatch Profile</t>
  </si>
  <si>
    <t xml:space="preserve">Total</t>
  </si>
  <si>
    <t xml:space="preserve">despatch profile MWh</t>
  </si>
  <si>
    <t xml:space="preserve">Based on schedule time agreement with PSE</t>
  </si>
  <si>
    <t xml:space="preserve">Heat Despatch Profile</t>
  </si>
  <si>
    <t xml:space="preserve">ZAKŁADY CHEMICZNE ORGANIKA-SARZYNA S.A.</t>
  </si>
  <si>
    <t xml:space="preserve">Steam LP GJ</t>
  </si>
  <si>
    <t xml:space="preserve">Steam HP GJ</t>
  </si>
  <si>
    <t xml:space="preserve">Dispatch profile for the year 2002 estimated on the base of historical data and Minimum Purchase Obligation.</t>
  </si>
  <si>
    <t xml:space="preserve">MIASTO NOWA SARZYNA</t>
  </si>
  <si>
    <t xml:space="preserve">Steam GJ</t>
  </si>
  <si>
    <t xml:space="preserve">GAS</t>
  </si>
  <si>
    <t xml:space="preserve">consumption mln m3n</t>
  </si>
  <si>
    <t xml:space="preserve">OTHER MATERIALS (Polish Zloty)</t>
  </si>
  <si>
    <t xml:space="preserve">Oil (zł)</t>
  </si>
  <si>
    <t xml:space="preserve">Chemicals (zł)</t>
  </si>
  <si>
    <t xml:space="preserve">Operational materials (zł)</t>
  </si>
  <si>
    <t xml:space="preserve">Safety materials (zł)</t>
  </si>
  <si>
    <t xml:space="preserve">Workhouse materials (zł)</t>
  </si>
  <si>
    <t xml:space="preserve">Other materials (zł)</t>
  </si>
  <si>
    <t xml:space="preserve">Imported Energy (zł)</t>
  </si>
  <si>
    <t xml:space="preserve">Total (zł)</t>
  </si>
  <si>
    <t xml:space="preserve">SITE SERVICES </t>
  </si>
  <si>
    <t xml:space="preserve">1.Industrial water</t>
  </si>
  <si>
    <t xml:space="preserve">Usage m3/month</t>
  </si>
  <si>
    <t xml:space="preserve">2.Drinking Water</t>
  </si>
  <si>
    <t xml:space="preserve">Usage m3/month </t>
  </si>
  <si>
    <t xml:space="preserve">3.Effluent Disposal</t>
  </si>
  <si>
    <t xml:space="preserve">KgHZT/month</t>
  </si>
  <si>
    <t xml:space="preserve">4. Condensate</t>
  </si>
  <si>
    <t xml:space="preserve">Usage/month m3</t>
  </si>
  <si>
    <t xml:space="preserve">ENS - Budget 2003</t>
  </si>
  <si>
    <t xml:space="preserve">ENS - Budget 2004</t>
  </si>
  <si>
    <t xml:space="preserve">SALES BUDGET 2002 (3)</t>
  </si>
  <si>
    <t xml:space="preserve"> </t>
  </si>
  <si>
    <t xml:space="preserve">Sales + Production Forecast</t>
  </si>
  <si>
    <t xml:space="preserve">1. POLSKIE SIECI ELEKTROENERGETYCZNE S.A.</t>
  </si>
  <si>
    <t xml:space="preserve">1. PSE</t>
  </si>
  <si>
    <r>
      <rPr>
        <b val="true"/>
        <sz val="10"/>
        <rFont val="Arial CE"/>
        <family val="2"/>
        <charset val="238"/>
      </rPr>
      <t xml:space="preserve">1</t>
    </r>
    <r>
      <rPr>
        <sz val="10"/>
        <rFont val="Arial CE"/>
        <family val="0"/>
        <charset val="238"/>
      </rPr>
      <t xml:space="preserve"> = Sales according to PDA</t>
    </r>
  </si>
  <si>
    <r>
      <rPr>
        <b val="true"/>
        <sz val="10"/>
        <rFont val="Arial CE"/>
        <family val="2"/>
        <charset val="238"/>
      </rPr>
      <t xml:space="preserve">2</t>
    </r>
    <r>
      <rPr>
        <sz val="10"/>
        <rFont val="Arial CE"/>
        <family val="0"/>
        <charset val="238"/>
      </rPr>
      <t xml:space="preserve"> = Sales according to modified PDA</t>
    </r>
  </si>
  <si>
    <r>
      <rPr>
        <b val="true"/>
        <sz val="10"/>
        <rFont val="Arial CE"/>
        <family val="2"/>
        <charset val="238"/>
      </rPr>
      <t xml:space="preserve">3</t>
    </r>
    <r>
      <rPr>
        <sz val="10"/>
        <rFont val="Arial CE"/>
        <family val="0"/>
        <charset val="238"/>
      </rPr>
      <t xml:space="preserve"> = Sales according to ENS last Tariff Price: 240,03 PLN/MWh</t>
    </r>
  </si>
  <si>
    <t xml:space="preserve">Total Sales PLN</t>
  </si>
  <si>
    <t xml:space="preserve">Total Sales $</t>
  </si>
  <si>
    <t xml:space="preserve">1. Sales according to PDA</t>
  </si>
  <si>
    <t xml:space="preserve">MWh according to Dispatch Profile</t>
  </si>
  <si>
    <t xml:space="preserve">MWh</t>
  </si>
  <si>
    <t xml:space="preserve">Energy price PLN/MWh</t>
  </si>
  <si>
    <t xml:space="preserve">Energy Payment PLN</t>
  </si>
  <si>
    <t xml:space="preserve">Capacity Payment PLN</t>
  </si>
  <si>
    <t xml:space="preserve">Total sales PLN</t>
  </si>
  <si>
    <t xml:space="preserve">Total sales USD</t>
  </si>
  <si>
    <t xml:space="preserve">Single-component price PLN/MWh</t>
  </si>
  <si>
    <t xml:space="preserve">2. Sales according to modified PDA</t>
  </si>
  <si>
    <t xml:space="preserve">3. Sales according to 240,03 PLN/MWh</t>
  </si>
  <si>
    <t xml:space="preserve">2. ZAKŁADY CHEMICZNE ORGANIKA-SARZYNA S.A.</t>
  </si>
  <si>
    <t xml:space="preserve">2. Organika</t>
  </si>
  <si>
    <t xml:space="preserve">Availability price $</t>
  </si>
  <si>
    <t xml:space="preserve">LP Price $/GJ</t>
  </si>
  <si>
    <t xml:space="preserve">HP Price $/GJ</t>
  </si>
  <si>
    <t xml:space="preserve">Availability revenue $</t>
  </si>
  <si>
    <t xml:space="preserve">LP steam revenue $</t>
  </si>
  <si>
    <t xml:space="preserve">HP steam revenue $</t>
  </si>
  <si>
    <t xml:space="preserve">Single-component price PLN/GJ</t>
  </si>
  <si>
    <t xml:space="preserve">3. MIASTO NOWA SARZYNA</t>
  </si>
  <si>
    <t xml:space="preserve">3. City of Nowa Sarzyna</t>
  </si>
  <si>
    <t xml:space="preserve">Price zł/GJ</t>
  </si>
  <si>
    <t xml:space="preserve">ENS BUDGET - YEAR 2003</t>
  </si>
  <si>
    <t xml:space="preserve">ENS BUDGET - YEAR 2004</t>
  </si>
  <si>
    <t xml:space="preserve">DIRECT MATERIALS BUDGET 2002 (4)</t>
  </si>
  <si>
    <t xml:space="preserve">GAS (4.1.)</t>
  </si>
  <si>
    <t xml:space="preserve">ASSUMPTIONS:</t>
  </si>
  <si>
    <t xml:space="preserve">1 = Gas cost according to FSA</t>
  </si>
  <si>
    <t xml:space="preserve">2 = Gas cost according to PGNiG Tariff</t>
  </si>
  <si>
    <t xml:space="preserve">TOTAL</t>
  </si>
  <si>
    <t xml:space="preserve">Total Gas Cost $</t>
  </si>
  <si>
    <t xml:space="preserve">Total Gas Cost PLN</t>
  </si>
  <si>
    <t xml:space="preserve">1. GAS COST ACCORDING TO FSA</t>
  </si>
  <si>
    <t xml:space="preserve">Days per month</t>
  </si>
  <si>
    <t xml:space="preserve">Gas ordered m3/hr</t>
  </si>
  <si>
    <t xml:space="preserve">Hrs/month</t>
  </si>
  <si>
    <t xml:space="preserve">Gas used m3</t>
  </si>
  <si>
    <t xml:space="preserve">Fixed fee $/1000m3/h</t>
  </si>
  <si>
    <t xml:space="preserve">Variable fee $/1000m3</t>
  </si>
  <si>
    <t xml:space="preserve">Calorific value factor</t>
  </si>
  <si>
    <t xml:space="preserve">Variable fee $/1000m3 (calorific value adjustment)</t>
  </si>
  <si>
    <t xml:space="preserve">Fixed cost $</t>
  </si>
  <si>
    <t xml:space="preserve">Fixed payment $</t>
  </si>
  <si>
    <t xml:space="preserve">Variable cost $</t>
  </si>
  <si>
    <t xml:space="preserve">Variable paymnent $</t>
  </si>
  <si>
    <t xml:space="preserve">Total cost $  (FSA)</t>
  </si>
  <si>
    <t xml:space="preserve">2. GAS COST ACCORDING TO PGNiG TARIFF</t>
  </si>
  <si>
    <t xml:space="preserve">Fixed transmission fee PLN/m3/h for h</t>
  </si>
  <si>
    <t xml:space="preserve">Variable transmission fee PLN/m3</t>
  </si>
  <si>
    <t xml:space="preserve">Price for gaseous fuel PLN/m3</t>
  </si>
  <si>
    <t xml:space="preserve">Variable transmission fee PLN/m3 (calorific value adjustment)</t>
  </si>
  <si>
    <t xml:space="preserve">Price for gaseous fuel PLN/m3 (calorific value adjustment)</t>
  </si>
  <si>
    <t xml:space="preserve">Additional fee PLN/month</t>
  </si>
  <si>
    <t xml:space="preserve">Fixed cost PLN</t>
  </si>
  <si>
    <t xml:space="preserve">Variable cost PLN</t>
  </si>
  <si>
    <t xml:space="preserve">Total cost in PLN (PGNiG Tariff)</t>
  </si>
  <si>
    <t xml:space="preserve">Total cost in $ (PGNiG Tariff)</t>
  </si>
  <si>
    <t xml:space="preserve">ENS - BUDGET YEAR 2002</t>
  </si>
  <si>
    <t xml:space="preserve">ENS - BUDGET YEAR 2003</t>
  </si>
  <si>
    <t xml:space="preserve">DIRECT MATERIALS BUDGET 2000 (4)</t>
  </si>
  <si>
    <t xml:space="preserve">OTHER MATERIALS (4.2.)</t>
  </si>
  <si>
    <t xml:space="preserve">PLN</t>
  </si>
  <si>
    <t xml:space="preserve">SUM</t>
  </si>
  <si>
    <t xml:space="preserve">402-005</t>
  </si>
  <si>
    <t xml:space="preserve">Oil </t>
  </si>
  <si>
    <t xml:space="preserve">Paliwo Produkcyjne - Olej</t>
  </si>
  <si>
    <t xml:space="preserve">402-015</t>
  </si>
  <si>
    <t xml:space="preserve">Chemicals</t>
  </si>
  <si>
    <t xml:space="preserve">Chemikalia</t>
  </si>
  <si>
    <t xml:space="preserve">402-030</t>
  </si>
  <si>
    <t xml:space="preserve">Operational materials </t>
  </si>
  <si>
    <t xml:space="preserve">Materiały Eksplaotacyjne</t>
  </si>
  <si>
    <t xml:space="preserve">402-035</t>
  </si>
  <si>
    <t xml:space="preserve">Safety materials </t>
  </si>
  <si>
    <t xml:space="preserve">Materiały BHP i P.POŻ.</t>
  </si>
  <si>
    <t xml:space="preserve">402-040</t>
  </si>
  <si>
    <t xml:space="preserve">Workhouse materials </t>
  </si>
  <si>
    <t xml:space="preserve">Materiały warsztatowe</t>
  </si>
  <si>
    <t xml:space="preserve">402-080</t>
  </si>
  <si>
    <t xml:space="preserve">Other materials </t>
  </si>
  <si>
    <t xml:space="preserve">Pozostałe materiały</t>
  </si>
  <si>
    <t xml:space="preserve">402-010</t>
  </si>
  <si>
    <t xml:space="preserve">Imported Energy</t>
  </si>
  <si>
    <t xml:space="preserve">Transport costs</t>
  </si>
  <si>
    <t xml:space="preserve">403</t>
  </si>
  <si>
    <t xml:space="preserve">Koszty Transportu</t>
  </si>
  <si>
    <t xml:space="preserve">ENS BUDGET - 2003</t>
  </si>
  <si>
    <t xml:space="preserve">ENS BUDGET - 2004</t>
  </si>
  <si>
    <t xml:space="preserve">DIRECT MATERIALS BUDGET (4)</t>
  </si>
  <si>
    <t xml:space="preserve">SITE SERVICES  - Zakłady Chemiczne "Organika Sarzyna S.A." (4.3)</t>
  </si>
  <si>
    <t xml:space="preserve">1. Site Services</t>
  </si>
  <si>
    <t xml:space="preserve">$ per m3</t>
  </si>
  <si>
    <t xml:space="preserve">Cost $</t>
  </si>
  <si>
    <t xml:space="preserve">402-045</t>
  </si>
  <si>
    <t xml:space="preserve">Cost PLN</t>
  </si>
  <si>
    <t xml:space="preserve">402-050</t>
  </si>
  <si>
    <t xml:space="preserve">Process Effluent</t>
  </si>
  <si>
    <t xml:space="preserve">$/kg HZT</t>
  </si>
  <si>
    <t xml:space="preserve">415-020</t>
  </si>
  <si>
    <t xml:space="preserve">Land usage $</t>
  </si>
  <si>
    <t xml:space="preserve">415-035</t>
  </si>
  <si>
    <t xml:space="preserve">2. Other  services</t>
  </si>
  <si>
    <t xml:space="preserve">$/month</t>
  </si>
  <si>
    <t xml:space="preserve">402-060</t>
  </si>
  <si>
    <t xml:space="preserve">415-099</t>
  </si>
  <si>
    <t xml:space="preserve">5. Other services</t>
  </si>
  <si>
    <t xml:space="preserve">6. Transmission fee</t>
  </si>
  <si>
    <t xml:space="preserve">Transmission fee $</t>
  </si>
  <si>
    <t xml:space="preserve">404-010</t>
  </si>
  <si>
    <t xml:space="preserve">Transmission fee PLN</t>
  </si>
  <si>
    <t xml:space="preserve">Total Costs </t>
  </si>
  <si>
    <t xml:space="preserve">REPAIRS AND MAINTENANCE BUDGET 2002 (5)</t>
  </si>
  <si>
    <t xml:space="preserve">MAINTENACE IN $</t>
  </si>
  <si>
    <t xml:space="preserve">Steam Turbine Agreement - EURO's</t>
  </si>
  <si>
    <t xml:space="preserve">Reserve</t>
  </si>
  <si>
    <t xml:space="preserve">Steam Turbine Agreement </t>
  </si>
  <si>
    <t xml:space="preserve">GT Services Agreement</t>
  </si>
  <si>
    <t xml:space="preserve">Teleservising</t>
  </si>
  <si>
    <t xml:space="preserve">Gas Turbine Agreements</t>
  </si>
  <si>
    <t xml:space="preserve">BOP Maintenance</t>
  </si>
  <si>
    <t xml:space="preserve">Unplanned Maintenance </t>
  </si>
  <si>
    <t xml:space="preserve">Unplanned Maintenance</t>
  </si>
  <si>
    <t xml:space="preserve">Operational Parts</t>
  </si>
  <si>
    <t xml:space="preserve">SUMMARY $</t>
  </si>
  <si>
    <t xml:space="preserve">MAINTENACE IN PLN</t>
  </si>
  <si>
    <t xml:space="preserve">Steam Turbine Agreement</t>
  </si>
  <si>
    <t xml:space="preserve">Reserve PLN</t>
  </si>
  <si>
    <t xml:space="preserve">Gas Turbine Agreement</t>
  </si>
  <si>
    <t xml:space="preserve">SUMMARY PLN</t>
  </si>
  <si>
    <t xml:space="preserve">406</t>
  </si>
  <si>
    <t xml:space="preserve">Remont turbiny parowej-k.dług.</t>
  </si>
  <si>
    <t xml:space="preserve">406-010</t>
  </si>
  <si>
    <t xml:space="preserve">Części zamienne</t>
  </si>
  <si>
    <t xml:space="preserve">406-015</t>
  </si>
  <si>
    <t xml:space="preserve">Inspekcja stanu technicznego</t>
  </si>
  <si>
    <t xml:space="preserve">406-020</t>
  </si>
  <si>
    <t xml:space="preserve">Teleserwising</t>
  </si>
  <si>
    <t xml:space="preserve">406-025</t>
  </si>
  <si>
    <t xml:space="preserve">Remont kapitalny-usługi obce</t>
  </si>
  <si>
    <t xml:space="preserve">406-026</t>
  </si>
  <si>
    <t xml:space="preserve">Remont kapitalny-cz.zam.</t>
  </si>
  <si>
    <t xml:space="preserve">407</t>
  </si>
  <si>
    <t xml:space="preserve">Remont turbiny gazowej-k.dług.</t>
  </si>
  <si>
    <t xml:space="preserve">407-010</t>
  </si>
  <si>
    <t xml:space="preserve">Ogólne koszty umowne</t>
  </si>
  <si>
    <t xml:space="preserve">407-015</t>
  </si>
  <si>
    <t xml:space="preserve">Remont generalny-usługi obce</t>
  </si>
  <si>
    <t xml:space="preserve">407-016</t>
  </si>
  <si>
    <t xml:space="preserve">Remont generalny-cz.zam.</t>
  </si>
  <si>
    <t xml:space="preserve">407-020</t>
  </si>
  <si>
    <t xml:space="preserve">Boroskopia</t>
  </si>
  <si>
    <t xml:space="preserve">407-025</t>
  </si>
  <si>
    <t xml:space="preserve">Gorąca ścieżka</t>
  </si>
  <si>
    <t xml:space="preserve">408</t>
  </si>
  <si>
    <t xml:space="preserve">MMS-Wspomaganie remontów</t>
  </si>
  <si>
    <t xml:space="preserve">408-010</t>
  </si>
  <si>
    <t xml:space="preserve">MMS - Obsługa bazy danych</t>
  </si>
  <si>
    <t xml:space="preserve">409</t>
  </si>
  <si>
    <t xml:space="preserve">Remonty generalne poz.urządz.</t>
  </si>
  <si>
    <t xml:space="preserve">409-010</t>
  </si>
  <si>
    <t xml:space="preserve">Remonty gen.poz.urządz.-uługi</t>
  </si>
  <si>
    <t xml:space="preserve">409-011</t>
  </si>
  <si>
    <t xml:space="preserve">Remonty gen.poz.urz.-cz.zam.</t>
  </si>
  <si>
    <t xml:space="preserve">410</t>
  </si>
  <si>
    <t xml:space="preserve">Remonty Bieżące</t>
  </si>
  <si>
    <t xml:space="preserve">410-010</t>
  </si>
  <si>
    <t xml:space="preserve">Turbina parowa - usługi obce</t>
  </si>
  <si>
    <t xml:space="preserve">410-011</t>
  </si>
  <si>
    <t xml:space="preserve">Turbina parowa - części zam.</t>
  </si>
  <si>
    <t xml:space="preserve">410-015</t>
  </si>
  <si>
    <t xml:space="preserve">Turbina gazowa - usługi obce</t>
  </si>
  <si>
    <t xml:space="preserve">410-016</t>
  </si>
  <si>
    <t xml:space="preserve">Turbina gazowa - części zam.</t>
  </si>
  <si>
    <t xml:space="preserve">410-020</t>
  </si>
  <si>
    <t xml:space="preserve">Pozostałe urządz.- usługi obce</t>
  </si>
  <si>
    <t xml:space="preserve">410-021</t>
  </si>
  <si>
    <t xml:space="preserve">Pozostałe urządz.- cz.zam.</t>
  </si>
  <si>
    <t xml:space="preserve">ENS BUDGET - Year 2002</t>
  </si>
  <si>
    <t xml:space="preserve">ENS BUDGET - Year 2003</t>
  </si>
  <si>
    <t xml:space="preserve">FINANCIAL COST BUDGET 2002 (6)</t>
  </si>
  <si>
    <t xml:space="preserve">INTEREST COST (6.1)</t>
  </si>
  <si>
    <t xml:space="preserve">US Dollar</t>
  </si>
  <si>
    <t xml:space="preserve">Interest Rate - Tranche A + ENRON %</t>
  </si>
  <si>
    <t xml:space="preserve">LIBOR</t>
  </si>
  <si>
    <t xml:space="preserve">Margin</t>
  </si>
  <si>
    <t xml:space="preserve">Rate</t>
  </si>
  <si>
    <t xml:space="preserve">Interest Rate - Tranche B %</t>
  </si>
  <si>
    <t xml:space="preserve">INTEREST PAYABLE</t>
  </si>
  <si>
    <t xml:space="preserve">Interest Payable $</t>
  </si>
  <si>
    <t xml:space="preserve">751-015</t>
  </si>
  <si>
    <t xml:space="preserve">Tranche A</t>
  </si>
  <si>
    <t xml:space="preserve">Tranche B</t>
  </si>
  <si>
    <t xml:space="preserve">751-016</t>
  </si>
  <si>
    <t xml:space="preserve">ENRON</t>
  </si>
  <si>
    <t xml:space="preserve">751-011</t>
  </si>
  <si>
    <t xml:space="preserve">Agent's Fee</t>
  </si>
  <si>
    <t xml:space="preserve">Interest Creditors (Balance Sheet - Cashflow)</t>
  </si>
  <si>
    <t xml:space="preserve">Opening</t>
  </si>
  <si>
    <t xml:space="preserve">Paid</t>
  </si>
  <si>
    <t xml:space="preserve">Closing</t>
  </si>
  <si>
    <t xml:space="preserve">Check</t>
  </si>
  <si>
    <t xml:space="preserve">Polish Zloty</t>
  </si>
  <si>
    <t xml:space="preserve">Interest Payable</t>
  </si>
  <si>
    <t xml:space="preserve">Exch' Diff'</t>
  </si>
  <si>
    <t xml:space="preserve">752</t>
  </si>
  <si>
    <t xml:space="preserve">FINANCIAL REVENUES</t>
  </si>
  <si>
    <t xml:space="preserve">Przychody Finansowe</t>
  </si>
  <si>
    <t xml:space="preserve">752-010</t>
  </si>
  <si>
    <t xml:space="preserve">Bank interest</t>
  </si>
  <si>
    <t xml:space="preserve">Odsetki Bankowe</t>
  </si>
  <si>
    <t xml:space="preserve">752-020</t>
  </si>
  <si>
    <t xml:space="preserve">Odsetki od Należności</t>
  </si>
  <si>
    <t xml:space="preserve">752-030</t>
  </si>
  <si>
    <t xml:space="preserve">Odsetki Uzyskane Urzędowe</t>
  </si>
  <si>
    <t xml:space="preserve">752-040</t>
  </si>
  <si>
    <t xml:space="preserve">Dodatnie Różnice Kursowe</t>
  </si>
  <si>
    <t xml:space="preserve">752-050</t>
  </si>
  <si>
    <t xml:space="preserve">Inne</t>
  </si>
  <si>
    <t xml:space="preserve">761</t>
  </si>
  <si>
    <t xml:space="preserve">OTHER FINANCIAL COSTS</t>
  </si>
  <si>
    <t xml:space="preserve">Pozostałe koszty operacyjne</t>
  </si>
  <si>
    <t xml:space="preserve">761-001</t>
  </si>
  <si>
    <t xml:space="preserve">Wartość Sprzedanych Środ.Trwał</t>
  </si>
  <si>
    <t xml:space="preserve">761-002</t>
  </si>
  <si>
    <t xml:space="preserve">Bank charges</t>
  </si>
  <si>
    <t xml:space="preserve">BANKOWE OPLATY MANIPULAC.</t>
  </si>
  <si>
    <t xml:space="preserve">761-010</t>
  </si>
  <si>
    <t xml:space="preserve">Nieodebrane ilości gazu</t>
  </si>
  <si>
    <t xml:space="preserve">761-050</t>
  </si>
  <si>
    <t xml:space="preserve">Koszty do refakturowania</t>
  </si>
  <si>
    <t xml:space="preserve">761-100</t>
  </si>
  <si>
    <t xml:space="preserve">Inne koszty operacyjne</t>
  </si>
  <si>
    <t xml:space="preserve">762</t>
  </si>
  <si>
    <t xml:space="preserve">Pozostałe przychody operacyjne</t>
  </si>
  <si>
    <t xml:space="preserve">762-001</t>
  </si>
  <si>
    <t xml:space="preserve">Sprzedaż Środków Trwałych</t>
  </si>
  <si>
    <t xml:space="preserve">762-002</t>
  </si>
  <si>
    <t xml:space="preserve">Inne przychody operacyjne</t>
  </si>
  <si>
    <t xml:space="preserve">762-050</t>
  </si>
  <si>
    <t xml:space="preserve">Przychody z refakturow.kosztow</t>
  </si>
  <si>
    <t xml:space="preserve">SWAP (6.2)</t>
  </si>
  <si>
    <t xml:space="preserve">SWAP PROFIT AND LOSS</t>
  </si>
  <si>
    <t xml:space="preserve">$</t>
  </si>
  <si>
    <t xml:space="preserve">US $</t>
  </si>
  <si>
    <t xml:space="preserve">Days</t>
  </si>
  <si>
    <t xml:space="preserve">Notional Amount $</t>
  </si>
  <si>
    <t xml:space="preserve">SWAP Rate</t>
  </si>
  <si>
    <t xml:space="preserve">Notional Interest Calculation</t>
  </si>
  <si>
    <t xml:space="preserve">Pay</t>
  </si>
  <si>
    <t xml:space="preserve">Receive</t>
  </si>
  <si>
    <t xml:space="preserve">Total P/(L)</t>
  </si>
  <si>
    <t xml:space="preserve">Notional Interest Payment</t>
  </si>
  <si>
    <t xml:space="preserve">BALANCE SHEET ENTRIES</t>
  </si>
  <si>
    <t xml:space="preserve">Balance Sheet Entries</t>
  </si>
  <si>
    <t xml:space="preserve">US$</t>
  </si>
  <si>
    <t xml:space="preserve">Initial Receipt Provision</t>
  </si>
  <si>
    <t xml:space="preserve">751-045</t>
  </si>
  <si>
    <t xml:space="preserve">SWAP (p)/l</t>
  </si>
  <si>
    <t xml:space="preserve">Currency (P)/L</t>
  </si>
  <si>
    <t xml:space="preserve">Monthend Provision</t>
  </si>
  <si>
    <t xml:space="preserve">ENS Budget- 2003</t>
  </si>
  <si>
    <t xml:space="preserve">ENS Budget- 2004</t>
  </si>
  <si>
    <t xml:space="preserve">Finance Calculations</t>
  </si>
  <si>
    <t xml:space="preserve">CREDIT PREPAYMENT (6.3)</t>
  </si>
  <si>
    <t xml:space="preserve">A)US Dollar Scenario</t>
  </si>
  <si>
    <t xml:space="preserve">WestLB - Tranche A $</t>
  </si>
  <si>
    <t xml:space="preserve">Opening Loan</t>
  </si>
  <si>
    <t xml:space="preserve">Repayment</t>
  </si>
  <si>
    <t xml:space="preserve">Closing Loan</t>
  </si>
  <si>
    <t xml:space="preserve">WestLB - Tranche B $</t>
  </si>
  <si>
    <t xml:space="preserve">B)PLN Scenario</t>
  </si>
  <si>
    <t xml:space="preserve">WestLB - Tranche A PLN</t>
  </si>
  <si>
    <t xml:space="preserve">Exch' Diff</t>
  </si>
  <si>
    <t xml:space="preserve">WestLB - Tranche B PLN</t>
  </si>
  <si>
    <t xml:space="preserve">ENRON - PLN</t>
  </si>
  <si>
    <t xml:space="preserve">Exch' Diffs</t>
  </si>
  <si>
    <t xml:space="preserve">FIXED COST BUDGET 2002 (7)</t>
  </si>
  <si>
    <t xml:space="preserve">SALARIES AND LABOUR (7.1)</t>
  </si>
  <si>
    <t xml:space="preserve">brutto</t>
  </si>
  <si>
    <t xml:space="preserve">ZUS</t>
  </si>
  <si>
    <t xml:space="preserve">%ZUS</t>
  </si>
  <si>
    <t xml:space="preserve">Filip Józef </t>
  </si>
  <si>
    <t xml:space="preserve">A</t>
  </si>
  <si>
    <t xml:space="preserve">Czaplak Robert</t>
  </si>
  <si>
    <t xml:space="preserve">Jaworski Zdzisław</t>
  </si>
  <si>
    <t xml:space="preserve">Kudła Jerzy</t>
  </si>
  <si>
    <t xml:space="preserve">Rokicki Mirosław</t>
  </si>
  <si>
    <t xml:space="preserve">Skórski Jan</t>
  </si>
  <si>
    <t xml:space="preserve">Senczyszyn Józef</t>
  </si>
  <si>
    <t xml:space="preserve">E</t>
  </si>
  <si>
    <t xml:space="preserve">Banaś Piotr</t>
  </si>
  <si>
    <t xml:space="preserve">Bosak Waldemar</t>
  </si>
  <si>
    <t xml:space="preserve">Kogut Jerzy</t>
  </si>
  <si>
    <t xml:space="preserve">Michalski Jarosław</t>
  </si>
  <si>
    <t xml:space="preserve">Powęska Grzegorz</t>
  </si>
  <si>
    <t xml:space="preserve">Przepłata Leszek</t>
  </si>
  <si>
    <t xml:space="preserve">Rożek Ireneusz</t>
  </si>
  <si>
    <t xml:space="preserve">Ruta Stanisław</t>
  </si>
  <si>
    <t xml:space="preserve">Serafin Mieczysław</t>
  </si>
  <si>
    <t xml:space="preserve">Słonina Władysław</t>
  </si>
  <si>
    <t xml:space="preserve">Szady Eugeniusz</t>
  </si>
  <si>
    <t xml:space="preserve">Woźnica Mirosław</t>
  </si>
  <si>
    <t xml:space="preserve">Wylaź Leszek</t>
  </si>
  <si>
    <t xml:space="preserve">Zdziech Włodzimierz</t>
  </si>
  <si>
    <t xml:space="preserve">Żołopa Krzysztof</t>
  </si>
  <si>
    <t xml:space="preserve">Dziki Adam</t>
  </si>
  <si>
    <t xml:space="preserve">Lęcznar Tadeusz</t>
  </si>
  <si>
    <t xml:space="preserve">Nietrzeba Marcin</t>
  </si>
  <si>
    <t xml:space="preserve">Stępień Andrzej</t>
  </si>
  <si>
    <t xml:space="preserve">Żak Andrzej</t>
  </si>
  <si>
    <t xml:space="preserve">Polit Jakub</t>
  </si>
  <si>
    <t xml:space="preserve">Szymula Krzysztof</t>
  </si>
  <si>
    <t xml:space="preserve">Dreszer Krzysztof</t>
  </si>
  <si>
    <t xml:space="preserve">Szewc Stanisław</t>
  </si>
  <si>
    <t xml:space="preserve">Zając Zbigniew</t>
  </si>
  <si>
    <t xml:space="preserve">Florczak Jacek</t>
  </si>
  <si>
    <t xml:space="preserve">Cichoń Janusz</t>
  </si>
  <si>
    <t xml:space="preserve">M</t>
  </si>
  <si>
    <t xml:space="preserve">Musiał Andrzej</t>
  </si>
  <si>
    <t xml:space="preserve">Krawiec Mieczysław</t>
  </si>
  <si>
    <t xml:space="preserve">R</t>
  </si>
  <si>
    <t xml:space="preserve">Pawelec Dariusz</t>
  </si>
  <si>
    <t xml:space="preserve">Szabelski Edward</t>
  </si>
  <si>
    <t xml:space="preserve">Engel-Dimitrowa Lucyna</t>
  </si>
  <si>
    <t xml:space="preserve">Sierżęga Iwona</t>
  </si>
  <si>
    <t xml:space="preserve">Podubny Joanna</t>
  </si>
  <si>
    <t xml:space="preserve">Stecka Róża </t>
  </si>
  <si>
    <t xml:space="preserve">Maziarz Renata</t>
  </si>
  <si>
    <t xml:space="preserve">Z</t>
  </si>
  <si>
    <t xml:space="preserve">Głowacki Jacek</t>
  </si>
  <si>
    <t xml:space="preserve">Zarębski Aleksander</t>
  </si>
  <si>
    <t xml:space="preserve">Lojko George</t>
  </si>
  <si>
    <t xml:space="preserve">USD</t>
  </si>
  <si>
    <t xml:space="preserve">Zarębski Alexander</t>
  </si>
  <si>
    <t xml:space="preserve">SALARIES PLN</t>
  </si>
  <si>
    <t xml:space="preserve">Staff Monthly</t>
  </si>
  <si>
    <t xml:space="preserve">% Increase</t>
  </si>
  <si>
    <t xml:space="preserve">Increase Factor</t>
  </si>
  <si>
    <t xml:space="preserve">Staff Salaries</t>
  </si>
  <si>
    <t xml:space="preserve">Thirteenth Salary Prov'</t>
  </si>
  <si>
    <t xml:space="preserve">Board $</t>
  </si>
  <si>
    <t xml:space="preserve">Board Salaries</t>
  </si>
  <si>
    <t xml:space="preserve">Board Salaries $</t>
  </si>
  <si>
    <t xml:space="preserve">Bonus</t>
  </si>
  <si>
    <t xml:space="preserve">EMPLOYEE BENEFITS</t>
  </si>
  <si>
    <t xml:space="preserve">427</t>
  </si>
  <si>
    <t xml:space="preserve">Świadczenia Na Rzecz Pracowników</t>
  </si>
  <si>
    <t xml:space="preserve">427-010</t>
  </si>
  <si>
    <t xml:space="preserve">Insurances</t>
  </si>
  <si>
    <t xml:space="preserve">Ubezpieczenia</t>
  </si>
  <si>
    <t xml:space="preserve">427-015</t>
  </si>
  <si>
    <t xml:space="preserve">Medical services</t>
  </si>
  <si>
    <t xml:space="preserve">Obsługa Medyczna</t>
  </si>
  <si>
    <t xml:space="preserve">427-020</t>
  </si>
  <si>
    <t xml:space="preserve">Social fund</t>
  </si>
  <si>
    <t xml:space="preserve">Fundusz Socjalny</t>
  </si>
  <si>
    <t xml:space="preserve">427-025</t>
  </si>
  <si>
    <t xml:space="preserve">Training</t>
  </si>
  <si>
    <t xml:space="preserve">Szkolenie Pracowników</t>
  </si>
  <si>
    <t xml:space="preserve">427-045</t>
  </si>
  <si>
    <t xml:space="preserve">Other</t>
  </si>
  <si>
    <t xml:space="preserve">Pozostałe świadczenia</t>
  </si>
  <si>
    <t xml:space="preserve">DEPRECIATION  (7.2)</t>
  </si>
  <si>
    <t xml:space="preserve">Note - US $ and PLN depreciation can differ - Polish done on basis of taxable depreciation - US $ done on basis of straight line over 15 years.</t>
  </si>
  <si>
    <t xml:space="preserve">Additions prior to 2002</t>
  </si>
  <si>
    <t xml:space="preserve">Gas store</t>
  </si>
  <si>
    <t xml:space="preserve">Computers</t>
  </si>
  <si>
    <t xml:space="preserve">Opening F A $</t>
  </si>
  <si>
    <t xml:space="preserve">Additions +</t>
  </si>
  <si>
    <t xml:space="preserve">Disposals -</t>
  </si>
  <si>
    <t xml:space="preserve">Closing F A $</t>
  </si>
  <si>
    <t xml:space="preserve">Opening  Fixed Assets PLN</t>
  </si>
  <si>
    <t xml:space="preserve">Closing Fixed Assets  PLN</t>
  </si>
  <si>
    <t xml:space="preserve">$ Depreciation</t>
  </si>
  <si>
    <t xml:space="preserve">PLN Depreciation</t>
  </si>
  <si>
    <t xml:space="preserve">Dep'n rate</t>
  </si>
  <si>
    <t xml:space="preserve">REJESTR ŚRODKÓW TRWAŁYCH ORAZ PLAN AMORTYZACJI 2001</t>
  </si>
  <si>
    <t xml:space="preserve">Nr </t>
  </si>
  <si>
    <t xml:space="preserve"> Numer </t>
  </si>
  <si>
    <t xml:space="preserve">Nazwa środka trwałego </t>
  </si>
  <si>
    <t xml:space="preserve">Name of asset-English</t>
  </si>
  <si>
    <t xml:space="preserve">Stawka amortyzacyjna [%] </t>
  </si>
  <si>
    <t xml:space="preserve">Data przyjęcia do użytkowania</t>
  </si>
  <si>
    <t xml:space="preserve">Wartość początkowa w PLN</t>
  </si>
  <si>
    <t xml:space="preserve">Miesięczny odpis PLN</t>
  </si>
  <si>
    <t xml:space="preserve">Budynek Gł. Elektrociepłowni wraz z Budynkiem Admin. i Bud. Stacji Przygotowania Gazu</t>
  </si>
  <si>
    <t xml:space="preserve">Main Building with Administration Building and Gas Station</t>
  </si>
  <si>
    <t xml:space="preserve">31.05.2000</t>
  </si>
  <si>
    <t xml:space="preserve">Budynek Kotłowni Pomocniczej</t>
  </si>
  <si>
    <t xml:space="preserve">Auxiliary Boilers Builging</t>
  </si>
  <si>
    <t xml:space="preserve">Budynek Stacji Uzdatniania Wody</t>
  </si>
  <si>
    <t xml:space="preserve">Water Treatment Building</t>
  </si>
  <si>
    <t xml:space="preserve">Budynek Stacji Przekaźnikowej Rozdzielni 110 kV</t>
  </si>
  <si>
    <t xml:space="preserve">110 KV Equipment Building</t>
  </si>
  <si>
    <t xml:space="preserve">Budynek Stacji Rozładunku i Przesyłu Oleju Opałowego</t>
  </si>
  <si>
    <t xml:space="preserve">Distillate Fuel Oil Handling Building</t>
  </si>
  <si>
    <t xml:space="preserve">Portiernia </t>
  </si>
  <si>
    <t xml:space="preserve">Gate House</t>
  </si>
  <si>
    <t xml:space="preserve">Komin kotła odzysknicowego HRSG11</t>
  </si>
  <si>
    <t xml:space="preserve">HRSG 11Exhaust Stack</t>
  </si>
  <si>
    <t xml:space="preserve">Komin kotła odzysknicowego HRSG12</t>
  </si>
  <si>
    <t xml:space="preserve">Komin kotłów pomocniczych dwuprzewodowy</t>
  </si>
  <si>
    <t xml:space="preserve">Auxiliairy Boiler Dual Exhaust Stack</t>
  </si>
  <si>
    <t xml:space="preserve">Komin kotłów pomocniczych trójprzewodowy</t>
  </si>
  <si>
    <t xml:space="preserve">Auxiliairy Boiler Tridae Exhaust Stack</t>
  </si>
  <si>
    <t xml:space="preserve">Chłodnia wentylatorowa wody chłodzącej A</t>
  </si>
  <si>
    <t xml:space="preserve">Cooling Tower A</t>
  </si>
  <si>
    <t xml:space="preserve">Chłodnia wentylatorowa wody chłodzącej B</t>
  </si>
  <si>
    <t xml:space="preserve">Cooling Tower B</t>
  </si>
  <si>
    <t xml:space="preserve">Rurociąg wody pitnej </t>
  </si>
  <si>
    <t xml:space="preserve">Fresh Water Import Pipeline</t>
  </si>
  <si>
    <t xml:space="preserve">Rurociąg  wody surowej </t>
  </si>
  <si>
    <t xml:space="preserve">Raw Water Import Pipeline</t>
  </si>
  <si>
    <t xml:space="preserve">Stacja rozdzielcza 110kV</t>
  </si>
  <si>
    <t xml:space="preserve">110 kV Switch Yard</t>
  </si>
  <si>
    <t xml:space="preserve">Linia elektroenergetyczna 110kV OHL-2; OHL-3</t>
  </si>
  <si>
    <t xml:space="preserve">110kV OHL-2 Over Head Line</t>
  </si>
  <si>
    <t xml:space="preserve">Kanalizacja sanitarna z przepompownią</t>
  </si>
  <si>
    <t xml:space="preserve">Sanitary Waste System with Pumps</t>
  </si>
  <si>
    <t xml:space="preserve">Kanalizacja deszczowo - przemysłowa z przepompownią</t>
  </si>
  <si>
    <t xml:space="preserve">Industrial-rain water sewage system  with pump station</t>
  </si>
  <si>
    <t xml:space="preserve">Układ pary wysokoprężnej HP</t>
  </si>
  <si>
    <t xml:space="preserve">HP Stem System</t>
  </si>
  <si>
    <t xml:space="preserve">Układ pary średnioprężnej IP</t>
  </si>
  <si>
    <t xml:space="preserve">IP Steam System</t>
  </si>
  <si>
    <t xml:space="preserve">Układ pary niskoprężnej LP</t>
  </si>
  <si>
    <t xml:space="preserve">LP Steam System</t>
  </si>
  <si>
    <t xml:space="preserve">Układ kondensatu</t>
  </si>
  <si>
    <t xml:space="preserve">Condensate System</t>
  </si>
  <si>
    <t xml:space="preserve">Układ wody zasilającej </t>
  </si>
  <si>
    <t xml:space="preserve">Feed Water System</t>
  </si>
  <si>
    <t xml:space="preserve">Układ wody zasilającej kotłów pomocniczych </t>
  </si>
  <si>
    <t xml:space="preserve">Auxiliary Feed Water System</t>
  </si>
  <si>
    <t xml:space="preserve">Główny układ wody chłodzącej </t>
  </si>
  <si>
    <t xml:space="preserve">Main Cooling Water</t>
  </si>
  <si>
    <t xml:space="preserve">Pomocniczy układ wody chłodzącej </t>
  </si>
  <si>
    <t xml:space="preserve">Auxiliary Cooling Water</t>
  </si>
  <si>
    <t xml:space="preserve">Rurociąg gazowy</t>
  </si>
  <si>
    <t xml:space="preserve">Natural Gas Pipe Line</t>
  </si>
  <si>
    <t xml:space="preserve">Układ oleju opałowego z pompami i podgrzewaczami </t>
  </si>
  <si>
    <t xml:space="preserve">Distillate Fuel Oil System with Pumps &amp; Heaters</t>
  </si>
  <si>
    <t xml:space="preserve">Układ sprężonego powietrza </t>
  </si>
  <si>
    <t xml:space="preserve">Compress Air System</t>
  </si>
  <si>
    <t xml:space="preserve">Układ drenażowy skroplin budynku głównego i kotłów odzysknicowych oraz bud. kotłów pomocniczych</t>
  </si>
  <si>
    <t xml:space="preserve">Drainage System (Main Building, HRSG, Auxiliary Boilers Building)</t>
  </si>
  <si>
    <t xml:space="preserve">Rurociąg kondensatu zwrotnego</t>
  </si>
  <si>
    <t xml:space="preserve">Condensat - Return Pipe Line </t>
  </si>
  <si>
    <t xml:space="preserve">Drogi wewnątrzzakładowe </t>
  </si>
  <si>
    <t xml:space="preserve">Plant Road System</t>
  </si>
  <si>
    <t xml:space="preserve">31.05.2000; zwiększenie  29.09.2000 (37 997,87zł),12.2000 (23 238,19zł)</t>
  </si>
  <si>
    <t xml:space="preserve">Bocznica kolejowa</t>
  </si>
  <si>
    <t xml:space="preserve">Distillate Fuel Oil Railway Station</t>
  </si>
  <si>
    <t xml:space="preserve">Estakada rurociągów pary technologicznej i skroplin</t>
  </si>
  <si>
    <t xml:space="preserve">Over Head Pipe Bridges</t>
  </si>
  <si>
    <t xml:space="preserve">Ogrodzenie zakładu</t>
  </si>
  <si>
    <t xml:space="preserve">Plant Boundary Fence</t>
  </si>
  <si>
    <t xml:space="preserve">Zieleńce i teren wokół elektrociepłowni</t>
  </si>
  <si>
    <t xml:space="preserve">31.01.2001</t>
  </si>
  <si>
    <t xml:space="preserve">Kocioł parowy pomocniczy LP Nr 1</t>
  </si>
  <si>
    <t xml:space="preserve">Auxiliary Boilers LP No. 1</t>
  </si>
  <si>
    <t xml:space="preserve">Kocioł parowy pomocniczy LP Nr 2</t>
  </si>
  <si>
    <t xml:space="preserve">Auxiliary Boilers LP No. 2</t>
  </si>
  <si>
    <t xml:space="preserve">Kocioł parowy pomocniczy LP Nr 3</t>
  </si>
  <si>
    <t xml:space="preserve">Auxiliary Boilers LP No. 3</t>
  </si>
  <si>
    <t xml:space="preserve">Kocioł parowy pomocniczy LP Nr 4</t>
  </si>
  <si>
    <t xml:space="preserve">Auxiliary Boilers LP No. 4</t>
  </si>
  <si>
    <t xml:space="preserve">Kocioł parowy pomocniczy IP Nr 5</t>
  </si>
  <si>
    <t xml:space="preserve">Auxiliary Boilers IP No. 5</t>
  </si>
  <si>
    <t xml:space="preserve">Kocioł parowy odzysknicowy HRSG11</t>
  </si>
  <si>
    <t xml:space="preserve">HRSG 11 Boiler</t>
  </si>
  <si>
    <t xml:space="preserve">Kocioł parowy odzysknicowy HRSG12</t>
  </si>
  <si>
    <t xml:space="preserve">HRSG 12 Boiler</t>
  </si>
  <si>
    <t xml:space="preserve">Turbozespół parowy STG 40MWe</t>
  </si>
  <si>
    <t xml:space="preserve">Steam Turbine and Generator</t>
  </si>
  <si>
    <t xml:space="preserve">Agregat prądotwórczy 150kW</t>
  </si>
  <si>
    <t xml:space="preserve">Diesel Generator</t>
  </si>
  <si>
    <t xml:space="preserve">Turbozespół gazowy GTG1 40MWe </t>
  </si>
  <si>
    <t xml:space="preserve">GT11 and Generator</t>
  </si>
  <si>
    <t xml:space="preserve">Turbozespół gazowy GTG2 40MWe</t>
  </si>
  <si>
    <t xml:space="preserve">GT12 and Generator</t>
  </si>
  <si>
    <t xml:space="preserve">Pompa wody zasilającej Nr 1</t>
  </si>
  <si>
    <t xml:space="preserve">Main  Feed Water Pump No. 1</t>
  </si>
  <si>
    <t xml:space="preserve">Pompa wody zasilającej Nr 2</t>
  </si>
  <si>
    <t xml:space="preserve">Main  Feed Water Pump No. 2</t>
  </si>
  <si>
    <t xml:space="preserve">Pompa wody zasilającej kotłów pomocniczych LP Nr 1</t>
  </si>
  <si>
    <t xml:space="preserve">Auxiliary Boiler LP Feed Water Pump 1</t>
  </si>
  <si>
    <t xml:space="preserve">Pompa wody zasilającej kotłów pomocniczych LP Nr 2</t>
  </si>
  <si>
    <t xml:space="preserve">Auxiliary Boiler LP Feed Water Pump 2</t>
  </si>
  <si>
    <t xml:space="preserve">Pompa wody zasilającej kotłów pomocniczych LP Nr 3</t>
  </si>
  <si>
    <t xml:space="preserve">Auxiliary Boiler LP Feed Water Pump 3</t>
  </si>
  <si>
    <t xml:space="preserve">Pompa wody zasilającej kotła pomocniczego IP Nr 1</t>
  </si>
  <si>
    <t xml:space="preserve">Auxiliary Boiler IP Feed Water Pump 1</t>
  </si>
  <si>
    <t xml:space="preserve">Pompa wody zasilającej kotła pomocniczego IP Nr 2</t>
  </si>
  <si>
    <t xml:space="preserve">Auxiliary Boiler IP Feed Water Pump 2</t>
  </si>
  <si>
    <t xml:space="preserve">Główna pompa wody chłodzącej Nr 1</t>
  </si>
  <si>
    <t xml:space="preserve">Main Circ Cooling Water Pump 1</t>
  </si>
  <si>
    <t xml:space="preserve">Główna pompa wody chłodzącej Nr 2</t>
  </si>
  <si>
    <t xml:space="preserve">Main Circ Cooling Water Pump 2</t>
  </si>
  <si>
    <t xml:space="preserve">Główna pompa wody chłodzącej Nr 3</t>
  </si>
  <si>
    <t xml:space="preserve">Main Circ Cooling Water Pump 3</t>
  </si>
  <si>
    <t xml:space="preserve">Pomocnicza pompa wody chłodzącej Nr 1</t>
  </si>
  <si>
    <t xml:space="preserve">Aux. Circ Cooling Water Pump 1</t>
  </si>
  <si>
    <t xml:space="preserve">Pomocnicza pompa wody chłodzącej Nr 2</t>
  </si>
  <si>
    <t xml:space="preserve">Aux. Circ Cooling Water Pump 2</t>
  </si>
  <si>
    <t xml:space="preserve">Sprężarka Nr1</t>
  </si>
  <si>
    <t xml:space="preserve">Air Compressor 1</t>
  </si>
  <si>
    <t xml:space="preserve">Sprężarka Nr2</t>
  </si>
  <si>
    <t xml:space="preserve">Air Compressor 2</t>
  </si>
  <si>
    <t xml:space="preserve">Chłodnica wody zasilającej</t>
  </si>
  <si>
    <t xml:space="preserve">Boiler Feed Water Heat Exchanger</t>
  </si>
  <si>
    <t xml:space="preserve">Spawarka FALTIG 315AC/DC</t>
  </si>
  <si>
    <t xml:space="preserve">Welding Machine</t>
  </si>
  <si>
    <t xml:space="preserve">16.02.2000</t>
  </si>
  <si>
    <t xml:space="preserve">Spawarka FALTIG 2000DC</t>
  </si>
  <si>
    <t xml:space="preserve">D.C.S. Control System</t>
  </si>
  <si>
    <t xml:space="preserve">491-001</t>
  </si>
  <si>
    <t xml:space="preserve">Sieć komputerowa - Serwery wraz z urządzeniami przyłączonymi do serwerów</t>
  </si>
  <si>
    <t xml:space="preserve">Computer network (servers and other computer equipment)</t>
  </si>
  <si>
    <t xml:space="preserve">20.08.1998 + zwiększenia; ostatnie:20.11.2000</t>
  </si>
  <si>
    <t xml:space="preserve">491-002</t>
  </si>
  <si>
    <t xml:space="preserve">Zestaw komputerowy</t>
  </si>
  <si>
    <t xml:space="preserve">Computer</t>
  </si>
  <si>
    <t xml:space="preserve">07.10.1998</t>
  </si>
  <si>
    <t xml:space="preserve">491-003</t>
  </si>
  <si>
    <t xml:space="preserve">491-004</t>
  </si>
  <si>
    <t xml:space="preserve">491-005</t>
  </si>
  <si>
    <t xml:space="preserve">491-006</t>
  </si>
  <si>
    <t xml:space="preserve">Komputer przenośny - Notebook</t>
  </si>
  <si>
    <t xml:space="preserve">Notebook</t>
  </si>
  <si>
    <t xml:space="preserve">21.10.1998</t>
  </si>
  <si>
    <t xml:space="preserve">491-007</t>
  </si>
  <si>
    <t xml:space="preserve">07.12.1998</t>
  </si>
  <si>
    <t xml:space="preserve">491-008</t>
  </si>
  <si>
    <t xml:space="preserve">491-009</t>
  </si>
  <si>
    <t xml:space="preserve">491-010</t>
  </si>
  <si>
    <t xml:space="preserve">09.02.1999</t>
  </si>
  <si>
    <t xml:space="preserve">491-011</t>
  </si>
  <si>
    <t xml:space="preserve">491-012</t>
  </si>
  <si>
    <t xml:space="preserve">491-013</t>
  </si>
  <si>
    <t xml:space="preserve">25.02.1999</t>
  </si>
  <si>
    <t xml:space="preserve">491-014</t>
  </si>
  <si>
    <t xml:space="preserve">Aparat cyfrowy</t>
  </si>
  <si>
    <t xml:space="preserve">Camera</t>
  </si>
  <si>
    <t xml:space="preserve">21.04.1999</t>
  </si>
  <si>
    <t xml:space="preserve">491-015</t>
  </si>
  <si>
    <t xml:space="preserve">Skaner</t>
  </si>
  <si>
    <t xml:space="preserve">Scaner</t>
  </si>
  <si>
    <t xml:space="preserve"> 29.04.1999, zwiększenie 31.05.1999</t>
  </si>
  <si>
    <t xml:space="preserve">491-016</t>
  </si>
  <si>
    <t xml:space="preserve">06.12.1999</t>
  </si>
  <si>
    <t xml:space="preserve">491-017</t>
  </si>
  <si>
    <t xml:space="preserve">06.03.2000</t>
  </si>
  <si>
    <t xml:space="preserve">491-018</t>
  </si>
  <si>
    <t xml:space="preserve">491-019</t>
  </si>
  <si>
    <t xml:space="preserve">06.07.2000</t>
  </si>
  <si>
    <t xml:space="preserve">491-020</t>
  </si>
  <si>
    <t xml:space="preserve">System kontroli strażników - Seven Guard</t>
  </si>
  <si>
    <t xml:space="preserve">Security guards controlling system</t>
  </si>
  <si>
    <t xml:space="preserve">21.07.2000</t>
  </si>
  <si>
    <t xml:space="preserve">491-021</t>
  </si>
  <si>
    <t xml:space="preserve">16.08.2000</t>
  </si>
  <si>
    <t xml:space="preserve">491-022</t>
  </si>
  <si>
    <t xml:space="preserve">System komputerowego nadzoru DCS</t>
  </si>
  <si>
    <t xml:space="preserve">DCS Control System</t>
  </si>
  <si>
    <t xml:space="preserve">Zbiornik wody surowej </t>
  </si>
  <si>
    <t xml:space="preserve">Filtered Water Tank</t>
  </si>
  <si>
    <t xml:space="preserve">Zbiornik wody zdemineralizowanej A</t>
  </si>
  <si>
    <t xml:space="preserve">Demineralized Water Tank A</t>
  </si>
  <si>
    <t xml:space="preserve">Zbiornik wody zdemineralizowanej B</t>
  </si>
  <si>
    <t xml:space="preserve">Demineralized Water Tank B</t>
  </si>
  <si>
    <t xml:space="preserve">Zbiornik oleju opałowego A</t>
  </si>
  <si>
    <t xml:space="preserve">Distillate Fuel Oil Storage Tank A</t>
  </si>
  <si>
    <t xml:space="preserve">Zbiornik oleju opałowego B</t>
  </si>
  <si>
    <t xml:space="preserve">Distillate Fuel Oil Storage Tank B</t>
  </si>
  <si>
    <t xml:space="preserve">Zbiornik retencyjny ścieków przemysłowych i deszczowych</t>
  </si>
  <si>
    <t xml:space="preserve">Sewage Tank - Industrial/Rain Water</t>
  </si>
  <si>
    <t xml:space="preserve">Zbiornik wody zasilającej z odgazowywaczem</t>
  </si>
  <si>
    <t xml:space="preserve">Feedwater tank with dearator</t>
  </si>
  <si>
    <t xml:space="preserve">31.05.2001</t>
  </si>
  <si>
    <t xml:space="preserve">Zbiornik wody zasilającej kotłów pomocniczych z odgazowywaczem</t>
  </si>
  <si>
    <t xml:space="preserve">Auxiliary boiler feewater tank with dearator</t>
  </si>
  <si>
    <t xml:space="preserve">31.05.2002</t>
  </si>
  <si>
    <t xml:space="preserve">Rozdzielnia potrzeb własnych 6kV</t>
  </si>
  <si>
    <t xml:space="preserve">6kV Distribution System</t>
  </si>
  <si>
    <t xml:space="preserve">Zespół rozdzielni 0,4kV 10BB, 10BL, 10BH, 10,11,12 BJA</t>
  </si>
  <si>
    <t xml:space="preserve">0.4 kV Distribution System</t>
  </si>
  <si>
    <t xml:space="preserve">Rozdzielnia 230V 10BR</t>
  </si>
  <si>
    <t xml:space="preserve">230 V Distribution System</t>
  </si>
  <si>
    <t xml:space="preserve">Zespół rozdzielni prądu stałego</t>
  </si>
  <si>
    <t xml:space="preserve">D.C. Distribution System</t>
  </si>
  <si>
    <t xml:space="preserve">Zespół urządzeń łączności telefonicznej</t>
  </si>
  <si>
    <t xml:space="preserve">Telephone System</t>
  </si>
  <si>
    <t xml:space="preserve">Transformator blokowy 11/110kV 10BAT10</t>
  </si>
  <si>
    <t xml:space="preserve">Step Up Transformer 11/110kV 10BAT10</t>
  </si>
  <si>
    <t xml:space="preserve">Transformator blokowy 11/110kV 11BAT10</t>
  </si>
  <si>
    <t xml:space="preserve">Step Up Transformer 11/110kV 10BAT11</t>
  </si>
  <si>
    <t xml:space="preserve">Transformator blokowy 11/110kV 12BAT10</t>
  </si>
  <si>
    <t xml:space="preserve">Step Up Transformer 11/110kV 10BAT12</t>
  </si>
  <si>
    <t xml:space="preserve">Transformator potrzeb własnych 11/6kV</t>
  </si>
  <si>
    <t xml:space="preserve">Site Transformer 11/6kV</t>
  </si>
  <si>
    <t xml:space="preserve">Transformator 6/0,4kV </t>
  </si>
  <si>
    <t xml:space="preserve">Step Down Transformer 6/04 kV</t>
  </si>
  <si>
    <t xml:space="preserve">Transformator 6/04,kV </t>
  </si>
  <si>
    <t xml:space="preserve">Bateria akumulatorów</t>
  </si>
  <si>
    <t xml:space="preserve">Batteries</t>
  </si>
  <si>
    <t xml:space="preserve">Suwnica budynku głównego</t>
  </si>
  <si>
    <t xml:space="preserve">Main Building Over Head Crane</t>
  </si>
  <si>
    <t xml:space="preserve">Klimatyzator Supra</t>
  </si>
  <si>
    <t xml:space="preserve">Air Conditioning Unit</t>
  </si>
  <si>
    <t xml:space="preserve">12.07.1999</t>
  </si>
  <si>
    <t xml:space="preserve">Klimatyzator</t>
  </si>
  <si>
    <t xml:space="preserve">Water Treatment Equipment</t>
  </si>
  <si>
    <t xml:space="preserve">Zespół urządzeń stacji przygotowania wody włącznie z pompami i podgrzewaczami</t>
  </si>
  <si>
    <t xml:space="preserve">31.05.2000, zwiększenia 1) 18.10.00 (102 000,00zł), 2) 11.12.2000 (12 460,00 zł)</t>
  </si>
  <si>
    <t xml:space="preserve">Zespół urządzeń oczyszczania gazu</t>
  </si>
  <si>
    <t xml:space="preserve">Gas cleaning eqiupment</t>
  </si>
  <si>
    <t xml:space="preserve">Urządzenie projekcyjne - projektor multimedialny</t>
  </si>
  <si>
    <t xml:space="preserve">Projector</t>
  </si>
  <si>
    <t xml:space="preserve">29.03.1999</t>
  </si>
  <si>
    <t xml:space="preserve">Stały ogólnozakładowy układ wody ppoż. wraz z pompami oraz systemem detekcji i alarmowania</t>
  </si>
  <si>
    <t xml:space="preserve">Fire Fightinf System</t>
  </si>
  <si>
    <t xml:space="preserve">Samochód osobowy – Ford Mondeo REW 0171</t>
  </si>
  <si>
    <t xml:space="preserve">Vehicle - Ford Mondeo</t>
  </si>
  <si>
    <t xml:space="preserve">24.07.1998</t>
  </si>
  <si>
    <t xml:space="preserve">Samochód osobowy – Ford Mondeo REW 0172</t>
  </si>
  <si>
    <t xml:space="preserve">Samochód ciężarowy – Ford Mondeo REW 0374</t>
  </si>
  <si>
    <t xml:space="preserve">06.08.1998</t>
  </si>
  <si>
    <t xml:space="preserve">Samochód osobowy – Ford Mondeo REW 0463</t>
  </si>
  <si>
    <t xml:space="preserve">29.08.1998</t>
  </si>
  <si>
    <t xml:space="preserve">Samochód dostawczy – Citroen Dan-Mar </t>
  </si>
  <si>
    <t xml:space="preserve">Truck - Citroen</t>
  </si>
  <si>
    <t xml:space="preserve">08.03.1999</t>
  </si>
  <si>
    <t xml:space="preserve">Samochód osobowy – Ford Focus </t>
  </si>
  <si>
    <t xml:space="preserve">22.03.1999</t>
  </si>
  <si>
    <t xml:space="preserve">Podnośnik widłowy </t>
  </si>
  <si>
    <t xml:space="preserve">Forklift</t>
  </si>
  <si>
    <t xml:space="preserve">25.02.2000</t>
  </si>
  <si>
    <t xml:space="preserve">Przyczepa WCN2</t>
  </si>
  <si>
    <t xml:space="preserve">Trailer</t>
  </si>
  <si>
    <t xml:space="preserve">Samochód osobowy Alfa Romeo RLE400</t>
  </si>
  <si>
    <t xml:space="preserve">Vehicle - Alfa Romeo</t>
  </si>
  <si>
    <t xml:space="preserve">19.01.2001</t>
  </si>
  <si>
    <t xml:space="preserve">Samochód osobowy Alfa Romeo RLE398</t>
  </si>
  <si>
    <t xml:space="preserve">Samochód osobowy Alfa Romeo RLE399</t>
  </si>
  <si>
    <t xml:space="preserve">Samochód osobowy Alfa Romeo RLE397</t>
  </si>
  <si>
    <t xml:space="preserve">Średnicówka mikromertyczna</t>
  </si>
  <si>
    <t xml:space="preserve">Workshop Tool</t>
  </si>
  <si>
    <t xml:space="preserve">02.03.2000</t>
  </si>
  <si>
    <t xml:space="preserve">Kalibrator ciśnieniowy</t>
  </si>
  <si>
    <t xml:space="preserve">08.03.2000</t>
  </si>
  <si>
    <t xml:space="preserve">Wielofunkcyjny kalibrator</t>
  </si>
  <si>
    <t xml:space="preserve">Przenośny miernik drgań</t>
  </si>
  <si>
    <t xml:space="preserve">Gwintownica mechaniczna</t>
  </si>
  <si>
    <t xml:space="preserve">Suwmiarka</t>
  </si>
  <si>
    <t xml:space="preserve">10.05.2000</t>
  </si>
  <si>
    <t xml:space="preserve">Młot udarowo-obrotowy</t>
  </si>
  <si>
    <t xml:space="preserve">Komunikator Hart</t>
  </si>
  <si>
    <t xml:space="preserve">23.05.2000</t>
  </si>
  <si>
    <t xml:space="preserve">Spektofometr</t>
  </si>
  <si>
    <t xml:space="preserve">Chem Lab tool</t>
  </si>
  <si>
    <t xml:space="preserve">Waga analityczna</t>
  </si>
  <si>
    <t xml:space="preserve">Konduktometr</t>
  </si>
  <si>
    <t xml:space="preserve">26.04.2000</t>
  </si>
  <si>
    <t xml:space="preserve">pHmeter</t>
  </si>
  <si>
    <t xml:space="preserve">Pompa ciśnieniowo-próżniowa</t>
  </si>
  <si>
    <t xml:space="preserve">Suszarka SLM-250/M</t>
  </si>
  <si>
    <t xml:space="preserve">Kserokopiarka wielonakładowa</t>
  </si>
  <si>
    <t xml:space="preserve">Copy-fax machine</t>
  </si>
  <si>
    <t xml:space="preserve">17.09.1998</t>
  </si>
  <si>
    <t xml:space="preserve">Zabezpieczenie antywłamaniowe</t>
  </si>
  <si>
    <t xml:space="preserve">Security Alarm System</t>
  </si>
  <si>
    <t xml:space="preserve">23.09.1998</t>
  </si>
  <si>
    <t xml:space="preserve">Sieć strukturalna </t>
  </si>
  <si>
    <t xml:space="preserve">Network System</t>
  </si>
  <si>
    <t xml:space="preserve">23.09.1998, zwiększenia 10.12.1998</t>
  </si>
  <si>
    <t xml:space="preserve">Meble biurowe - recepcja</t>
  </si>
  <si>
    <t xml:space="preserve">Office furniture</t>
  </si>
  <si>
    <t xml:space="preserve">15.09.1998</t>
  </si>
  <si>
    <t xml:space="preserve">Meble kuchenne</t>
  </si>
  <si>
    <t xml:space="preserve">Kitchen furniture</t>
  </si>
  <si>
    <t xml:space="preserve">09.10.1998, zwiększenia 26.01.2000</t>
  </si>
  <si>
    <t xml:space="preserve">Szafa pieniężna</t>
  </si>
  <si>
    <t xml:space="preserve">Safe</t>
  </si>
  <si>
    <t xml:space="preserve">01.10.1998</t>
  </si>
  <si>
    <t xml:space="preserve">Liczarka Glory</t>
  </si>
  <si>
    <t xml:space="preserve">Notes counter</t>
  </si>
  <si>
    <t xml:space="preserve">22.10.1998</t>
  </si>
  <si>
    <t xml:space="preserve">Meble do magazynu</t>
  </si>
  <si>
    <t xml:space="preserve">Storehouse furniture</t>
  </si>
  <si>
    <t xml:space="preserve">18.10.1999, zwiększenia 19.05.2000</t>
  </si>
  <si>
    <t xml:space="preserve">Meble do archiwum</t>
  </si>
  <si>
    <t xml:space="preserve">Archive furniture</t>
  </si>
  <si>
    <t xml:space="preserve">18.10.1999</t>
  </si>
  <si>
    <t xml:space="preserve">Zestaw mebli biurowych</t>
  </si>
  <si>
    <t xml:space="preserve">26.10.1999, zwiększenie 13.04.2000</t>
  </si>
  <si>
    <t xml:space="preserve">Meble do warsztatu</t>
  </si>
  <si>
    <t xml:space="preserve">Workshop ferniture</t>
  </si>
  <si>
    <t xml:space="preserve">10.02.2000, zwiększenia 15.03.2000</t>
  </si>
  <si>
    <t xml:space="preserve">Regał na stacji olejowej</t>
  </si>
  <si>
    <t xml:space="preserve">Furniture</t>
  </si>
  <si>
    <t xml:space="preserve">17.03.2000</t>
  </si>
  <si>
    <t xml:space="preserve">Myjka ciśnieniowa</t>
  </si>
  <si>
    <t xml:space="preserve">Cleaning equipment</t>
  </si>
  <si>
    <t xml:space="preserve">09.06.2000</t>
  </si>
  <si>
    <t xml:space="preserve">Urządzenie szorujące</t>
  </si>
  <si>
    <t xml:space="preserve">Szorowarka</t>
  </si>
  <si>
    <t xml:space="preserve">Odkurzacz</t>
  </si>
  <si>
    <t xml:space="preserve">14.06.2000</t>
  </si>
  <si>
    <t xml:space="preserve">Szlaban</t>
  </si>
  <si>
    <t xml:space="preserve">Barrier</t>
  </si>
  <si>
    <t xml:space="preserve">16.06.2000</t>
  </si>
  <si>
    <t xml:space="preserve">Zestaw mebli do DCS</t>
  </si>
  <si>
    <t xml:space="preserve">DCS furniture</t>
  </si>
  <si>
    <t xml:space="preserve">08.08.2000</t>
  </si>
  <si>
    <t xml:space="preserve">Phmeter z elektordą</t>
  </si>
  <si>
    <t xml:space="preserve">Stojak na rowery</t>
  </si>
  <si>
    <t xml:space="preserve">Tool</t>
  </si>
  <si>
    <t xml:space="preserve">13.12.2000</t>
  </si>
  <si>
    <t xml:space="preserve">Wart niemat i prawne</t>
  </si>
  <si>
    <t xml:space="preserve">Program księgowy SUN</t>
  </si>
  <si>
    <t xml:space="preserve">Software - Sun System</t>
  </si>
  <si>
    <t xml:space="preserve">12.08.1998, ostatnie zwiększenie 21.09.1999</t>
  </si>
  <si>
    <t xml:space="preserve">Oprogramowanie sieciowe</t>
  </si>
  <si>
    <t xml:space="preserve">Network Software</t>
  </si>
  <si>
    <t xml:space="preserve">07.10.1998, ostatnie zwiększenie 14.07.2000</t>
  </si>
  <si>
    <t xml:space="preserve">Program księgowy SUN - nowa wersja</t>
  </si>
  <si>
    <t xml:space="preserve">Software - Accounting system SUN - new version</t>
  </si>
  <si>
    <t xml:space="preserve">31.12.2000</t>
  </si>
  <si>
    <t xml:space="preserve">Program IFS</t>
  </si>
  <si>
    <t xml:space="preserve">Software - International Financial System</t>
  </si>
  <si>
    <t xml:space="preserve">wskaźnik</t>
  </si>
  <si>
    <t xml:space="preserve">OVERHEADS (7.3)</t>
  </si>
  <si>
    <t xml:space="preserve">Consulting</t>
  </si>
  <si>
    <t xml:space="preserve">Escalated Enron by 4% CPI estimate</t>
  </si>
  <si>
    <t xml:space="preserve">Consulting $</t>
  </si>
  <si>
    <t xml:space="preserve">416-010</t>
  </si>
  <si>
    <t xml:space="preserve">Enron Supervisor</t>
  </si>
  <si>
    <t xml:space="preserve">416-015</t>
  </si>
  <si>
    <t xml:space="preserve">Enron Adviser</t>
  </si>
  <si>
    <t xml:space="preserve">417-002</t>
  </si>
  <si>
    <t xml:space="preserve">White &amp; Case</t>
  </si>
  <si>
    <t xml:space="preserve">legal per A.Black $20,000/month</t>
  </si>
  <si>
    <t xml:space="preserve">417-001</t>
  </si>
  <si>
    <t xml:space="preserve">Cameron McKenna</t>
  </si>
  <si>
    <t xml:space="preserve">417-051</t>
  </si>
  <si>
    <t xml:space="preserve">Arthur Andersen</t>
  </si>
  <si>
    <t xml:space="preserve">417-052</t>
  </si>
  <si>
    <t xml:space="preserve">Audit</t>
  </si>
  <si>
    <t xml:space="preserve">417-089</t>
  </si>
  <si>
    <t xml:space="preserve">Usługi Finansowe - Pozostałe</t>
  </si>
  <si>
    <t xml:space="preserve">Consulting PLN</t>
  </si>
  <si>
    <t xml:space="preserve">417-090</t>
  </si>
  <si>
    <t xml:space="preserve">Obsługa Sun System</t>
  </si>
  <si>
    <t xml:space="preserve">417-100</t>
  </si>
  <si>
    <t xml:space="preserve">Obsługa IFS - System</t>
  </si>
  <si>
    <t xml:space="preserve">Consulting Costs $</t>
  </si>
  <si>
    <t xml:space="preserve">Consulting PLN </t>
  </si>
  <si>
    <t xml:space="preserve">PLN Equivalent</t>
  </si>
  <si>
    <t xml:space="preserve">Services PLN</t>
  </si>
  <si>
    <t xml:space="preserve">419-010</t>
  </si>
  <si>
    <t xml:space="preserve">Usługi - Płacowe (C.Admin)</t>
  </si>
  <si>
    <t xml:space="preserve">419-015</t>
  </si>
  <si>
    <t xml:space="preserve">Usługi - BHP</t>
  </si>
  <si>
    <t xml:space="preserve">419-020</t>
  </si>
  <si>
    <t xml:space="preserve">Usługi-utylizacja,wywóz odpad.</t>
  </si>
  <si>
    <t xml:space="preserve">419-060</t>
  </si>
  <si>
    <t xml:space="preserve">Usługi Techniczne</t>
  </si>
  <si>
    <t xml:space="preserve">419-070</t>
  </si>
  <si>
    <t xml:space="preserve">Usł. - utrzymanie czystości</t>
  </si>
  <si>
    <t xml:space="preserve">419-090</t>
  </si>
  <si>
    <t xml:space="preserve">Usługi Komputerowe/Informatycz</t>
  </si>
  <si>
    <t xml:space="preserve">419-100</t>
  </si>
  <si>
    <t xml:space="preserve">Usł.Serwis-Utrzymania Sprz.Biu</t>
  </si>
  <si>
    <t xml:space="preserve">419-110</t>
  </si>
  <si>
    <t xml:space="preserve">Usługi Serwis - Sprzęt Inny</t>
  </si>
  <si>
    <t xml:space="preserve">419-115</t>
  </si>
  <si>
    <t xml:space="preserve">Wynajem</t>
  </si>
  <si>
    <t xml:space="preserve">419-120</t>
  </si>
  <si>
    <t xml:space="preserve">Usługi pocztowe i kurierskie</t>
  </si>
  <si>
    <t xml:space="preserve">419-125</t>
  </si>
  <si>
    <t xml:space="preserve">Usługi telekom.telefony siec.</t>
  </si>
  <si>
    <t xml:space="preserve">419-130</t>
  </si>
  <si>
    <t xml:space="preserve">Usługi telekom. tel.komórkowe</t>
  </si>
  <si>
    <t xml:space="preserve">419-135</t>
  </si>
  <si>
    <t xml:space="preserve">Enron &amp; Polpac</t>
  </si>
  <si>
    <t xml:space="preserve">Usługi telekom.- Enron Poland</t>
  </si>
  <si>
    <t xml:space="preserve">419-140</t>
  </si>
  <si>
    <t xml:space="preserve">Usługi - ochrona obiektu</t>
  </si>
  <si>
    <t xml:space="preserve">419-145</t>
  </si>
  <si>
    <t xml:space="preserve">Usł.-Utrzym. terenu wokół bud.</t>
  </si>
  <si>
    <t xml:space="preserve">419-150</t>
  </si>
  <si>
    <t xml:space="preserve">Usł - meteorologiczne</t>
  </si>
  <si>
    <t xml:space="preserve">419-999</t>
  </si>
  <si>
    <t xml:space="preserve">Usługi Obce - Pozostałe</t>
  </si>
  <si>
    <t xml:space="preserve">425</t>
  </si>
  <si>
    <t xml:space="preserve">Podatki i Opłaty</t>
  </si>
  <si>
    <t xml:space="preserve">425-010</t>
  </si>
  <si>
    <t xml:space="preserve">Opłaty za Środowisko</t>
  </si>
  <si>
    <t xml:space="preserve">425-015</t>
  </si>
  <si>
    <t xml:space="preserve">Podatek od Nieruchomości</t>
  </si>
  <si>
    <t xml:space="preserve">425-020</t>
  </si>
  <si>
    <t xml:space="preserve">PFRON</t>
  </si>
  <si>
    <t xml:space="preserve">425-025</t>
  </si>
  <si>
    <t xml:space="preserve">Fundusz Gwarant.Sw.Prac.</t>
  </si>
  <si>
    <t xml:space="preserve">425-030</t>
  </si>
  <si>
    <t xml:space="preserve">Opłaty URE</t>
  </si>
  <si>
    <t xml:space="preserve">425-035</t>
  </si>
  <si>
    <t xml:space="preserve">Opłaty Notarialne/Sąd./Skarbow</t>
  </si>
  <si>
    <t xml:space="preserve">425-040</t>
  </si>
  <si>
    <t xml:space="preserve">Opłaty-Wieczyste Użytk.Gruntów</t>
  </si>
  <si>
    <t xml:space="preserve">425-045</t>
  </si>
  <si>
    <t xml:space="preserve">Opłaty celne</t>
  </si>
  <si>
    <t xml:space="preserve">425-050</t>
  </si>
  <si>
    <t xml:space="preserve">Opłaty manipulacyjne</t>
  </si>
  <si>
    <t xml:space="preserve">425-400</t>
  </si>
  <si>
    <t xml:space="preserve">VAT Nie Podlegający Zwrotowi</t>
  </si>
  <si>
    <t xml:space="preserve">425-405</t>
  </si>
  <si>
    <t xml:space="preserve">VAT Należny Od Importu Usług</t>
  </si>
  <si>
    <t xml:space="preserve">425-410</t>
  </si>
  <si>
    <t xml:space="preserve">VAT Należny Od Reklamy/Reprez</t>
  </si>
  <si>
    <t xml:space="preserve">425-411</t>
  </si>
  <si>
    <t xml:space="preserve">VAT Należny Od Darowizny</t>
  </si>
  <si>
    <t xml:space="preserve">425-500</t>
  </si>
  <si>
    <t xml:space="preserve">Opłaty Pozostałe</t>
  </si>
  <si>
    <t xml:space="preserve">OFFICE MATERIALS</t>
  </si>
  <si>
    <t xml:space="preserve">440-010</t>
  </si>
  <si>
    <t xml:space="preserve">Office materials and equipment (incl. Platt's)</t>
  </si>
  <si>
    <t xml:space="preserve">Office Eqpt,materials</t>
  </si>
  <si>
    <t xml:space="preserve">Postage</t>
  </si>
  <si>
    <t xml:space="preserve">419-125/130</t>
  </si>
  <si>
    <t xml:space="preserve">Telecommunications</t>
  </si>
  <si>
    <t xml:space="preserve">Canreen, Food</t>
  </si>
  <si>
    <t xml:space="preserve">434</t>
  </si>
  <si>
    <t xml:space="preserve">INSURANCES</t>
  </si>
  <si>
    <t xml:space="preserve">434-010</t>
  </si>
  <si>
    <t xml:space="preserve">Plant Insurance  PLN</t>
  </si>
  <si>
    <t xml:space="preserve">Ubezpieczenia Objektu/Majątku pln</t>
  </si>
  <si>
    <t xml:space="preserve">Plant Insurance  $</t>
  </si>
  <si>
    <t xml:space="preserve">434-011</t>
  </si>
  <si>
    <t xml:space="preserve">Vehicle Insurance</t>
  </si>
  <si>
    <t xml:space="preserve">Ubezpieczenia Samochodów</t>
  </si>
  <si>
    <t xml:space="preserve">434-029</t>
  </si>
  <si>
    <t xml:space="preserve">Ubezpieczenia Pozostałe</t>
  </si>
  <si>
    <t xml:space="preserve">COMPANY VEHICLES</t>
  </si>
  <si>
    <t xml:space="preserve">441-010</t>
  </si>
  <si>
    <t xml:space="preserve">Fuel</t>
  </si>
  <si>
    <t xml:space="preserve">Paliwo</t>
  </si>
  <si>
    <t xml:space="preserve">441-015</t>
  </si>
  <si>
    <t xml:space="preserve">Repair/Maintenace</t>
  </si>
  <si>
    <t xml:space="preserve">Serwis/Naprawa</t>
  </si>
  <si>
    <t xml:space="preserve">442</t>
  </si>
  <si>
    <t xml:space="preserve">BUSINESS TRAVELS</t>
  </si>
  <si>
    <t xml:space="preserve">Podróże Służbowe</t>
  </si>
  <si>
    <t xml:space="preserve">442-010</t>
  </si>
  <si>
    <t xml:space="preserve">Domestic Travel</t>
  </si>
  <si>
    <t xml:space="preserve">Delegacje Służbowe Krajowe</t>
  </si>
  <si>
    <t xml:space="preserve">442-020</t>
  </si>
  <si>
    <t xml:space="preserve">Foreign travel</t>
  </si>
  <si>
    <t xml:space="preserve">Delegacje Służbowe Zagraniczne</t>
  </si>
  <si>
    <t xml:space="preserve">REPRESENTATION AND ADVERTISING</t>
  </si>
  <si>
    <t xml:space="preserve">443-001</t>
  </si>
  <si>
    <t xml:space="preserve">Representation and Advertising</t>
  </si>
  <si>
    <t xml:space="preserve">Reprezentacja i reklama</t>
  </si>
  <si>
    <t xml:space="preserve">CAPITAL EXPENDITURE BUDGET 2002 (8)</t>
  </si>
  <si>
    <t xml:space="preserve">No</t>
  </si>
  <si>
    <t xml:space="preserve">Item</t>
  </si>
  <si>
    <t xml:space="preserve">Quantity</t>
  </si>
  <si>
    <t xml:space="preserve">Price</t>
  </si>
  <si>
    <t xml:space="preserve">Payment</t>
  </si>
  <si>
    <t xml:space="preserve">Month</t>
  </si>
  <si>
    <t xml:space="preserve">Mechanical</t>
  </si>
  <si>
    <t xml:space="preserve">1.</t>
  </si>
  <si>
    <t xml:space="preserve">ST LP bearing lift</t>
  </si>
  <si>
    <t xml:space="preserve">set</t>
  </si>
  <si>
    <t xml:space="preserve">JUN</t>
  </si>
  <si>
    <t xml:space="preserve">B</t>
  </si>
  <si>
    <t xml:space="preserve">Elektrical</t>
  </si>
  <si>
    <t xml:space="preserve">Radiotelephones EX 5pcs/set</t>
  </si>
  <si>
    <t xml:space="preserve">MAR</t>
  </si>
  <si>
    <t xml:space="preserve">2.</t>
  </si>
  <si>
    <t xml:space="preserve">Electrical EX measuring equipment</t>
  </si>
  <si>
    <t xml:space="preserve">C</t>
  </si>
  <si>
    <t xml:space="preserve">Chemical</t>
  </si>
  <si>
    <t xml:space="preserve">Instalation for  instr. resins regeneration</t>
  </si>
  <si>
    <t xml:space="preserve">Modernisation of demin lines</t>
  </si>
  <si>
    <t xml:space="preserve">D</t>
  </si>
  <si>
    <t xml:space="preserve">ENS - Computers</t>
  </si>
  <si>
    <t xml:space="preserve">Desktops</t>
  </si>
  <si>
    <t xml:space="preserve">sets</t>
  </si>
  <si>
    <t xml:space="preserve">JAN</t>
  </si>
  <si>
    <t xml:space="preserve">Notebooks</t>
  </si>
  <si>
    <t xml:space="preserve">3.</t>
  </si>
  <si>
    <t xml:space="preserve">Software</t>
  </si>
  <si>
    <t xml:space="preserve">ENS-Equipment</t>
  </si>
  <si>
    <t xml:space="preserve">Digital camera</t>
  </si>
  <si>
    <t xml:space="preserve">pc</t>
  </si>
  <si>
    <t xml:space="preserve">ExR</t>
  </si>
  <si>
    <t xml:space="preserve">PLN/USD</t>
  </si>
  <si>
    <t xml:space="preserve">USD/EUR</t>
  </si>
  <si>
    <t xml:space="preserve">USD/GBP</t>
  </si>
  <si>
    <t xml:space="preserve">DONATIONS (9)</t>
  </si>
  <si>
    <t xml:space="preserve">Donations</t>
  </si>
  <si>
    <t xml:space="preserve">Darowizny</t>
  </si>
  <si>
    <t xml:space="preserve">BUDGET PROFIT AND LOSS ACCOUNT 2002 IN POLISH ZŁ (10)</t>
  </si>
  <si>
    <t xml:space="preserve">a)Sales - 2003</t>
  </si>
  <si>
    <t xml:space="preserve">a)Sales - 2004</t>
  </si>
  <si>
    <t xml:space="preserve">701-010</t>
  </si>
  <si>
    <t xml:space="preserve">PSE</t>
  </si>
  <si>
    <t xml:space="preserve">701-020</t>
  </si>
  <si>
    <t xml:space="preserve">Organika</t>
  </si>
  <si>
    <t xml:space="preserve">701-030</t>
  </si>
  <si>
    <t xml:space="preserve">Sarzyna</t>
  </si>
  <si>
    <t xml:space="preserve">PSE Adjustment</t>
  </si>
  <si>
    <t xml:space="preserve">402</t>
  </si>
  <si>
    <t xml:space="preserve">402-001</t>
  </si>
  <si>
    <t xml:space="preserve">Depreciation</t>
  </si>
  <si>
    <t xml:space="preserve">401</t>
  </si>
  <si>
    <t xml:space="preserve">415</t>
  </si>
  <si>
    <t xml:space="preserve">415-040</t>
  </si>
  <si>
    <t xml:space="preserve">Usługi Kolejowe</t>
  </si>
  <si>
    <t xml:space="preserve">415-045</t>
  </si>
  <si>
    <t xml:space="preserve">Obsługa Bocznicy Kolejowej</t>
  </si>
  <si>
    <t xml:space="preserve">Pozostałe Usługi Organika</t>
  </si>
  <si>
    <t xml:space="preserve">416</t>
  </si>
  <si>
    <t xml:space="preserve">416-049</t>
  </si>
  <si>
    <t xml:space="preserve">Pozostałe Usługi Enron</t>
  </si>
  <si>
    <t xml:space="preserve">417</t>
  </si>
  <si>
    <t xml:space="preserve">417-049</t>
  </si>
  <si>
    <t xml:space="preserve">419</t>
  </si>
  <si>
    <t xml:space="preserve">Oheads</t>
  </si>
  <si>
    <t xml:space="preserve">426</t>
  </si>
  <si>
    <t xml:space="preserve">employees</t>
  </si>
  <si>
    <t xml:space="preserve">426-010</t>
  </si>
  <si>
    <t xml:space="preserve">426-015</t>
  </si>
  <si>
    <t xml:space="preserve">426-020</t>
  </si>
  <si>
    <t xml:space="preserve">426-025</t>
  </si>
  <si>
    <t xml:space="preserve">426-050</t>
  </si>
  <si>
    <t xml:space="preserve">Wynagrodzenia - Pozostałe</t>
  </si>
  <si>
    <t xml:space="preserve">440</t>
  </si>
  <si>
    <t xml:space="preserve">440-020</t>
  </si>
  <si>
    <t xml:space="preserve">440-025</t>
  </si>
  <si>
    <t xml:space="preserve">440-030</t>
  </si>
  <si>
    <t xml:space="preserve">441</t>
  </si>
  <si>
    <t xml:space="preserve">442-025</t>
  </si>
  <si>
    <t xml:space="preserve">Del.służb.czł.rady nadzorczej</t>
  </si>
  <si>
    <t xml:space="preserve">443</t>
  </si>
  <si>
    <t xml:space="preserve">751</t>
  </si>
  <si>
    <t xml:space="preserve">751-010</t>
  </si>
  <si>
    <t xml:space="preserve">751-040</t>
  </si>
  <si>
    <t xml:space="preserve">751-050</t>
  </si>
  <si>
    <t xml:space="preserve">751-060</t>
  </si>
  <si>
    <t xml:space="preserve">Exchange losses</t>
  </si>
  <si>
    <t xml:space="preserve">751-061</t>
  </si>
  <si>
    <t xml:space="preserve">Exchange losses - WestLB</t>
  </si>
  <si>
    <t xml:space="preserve">751-062</t>
  </si>
  <si>
    <t xml:space="preserve">Exchange losses - EPI</t>
  </si>
  <si>
    <t xml:space="preserve">751-070</t>
  </si>
  <si>
    <t xml:space="preserve">761-003</t>
  </si>
  <si>
    <t xml:space="preserve">770</t>
  </si>
  <si>
    <t xml:space="preserve">Zyski Nadzwyczajne</t>
  </si>
  <si>
    <t xml:space="preserve">770-001</t>
  </si>
  <si>
    <t xml:space="preserve">Odszkodowanie za postój</t>
  </si>
  <si>
    <t xml:space="preserve">770-002</t>
  </si>
  <si>
    <t xml:space="preserve">Odszkodowania za samochody</t>
  </si>
  <si>
    <t xml:space="preserve">BUDGET BALANCE SHEET 2002 (11)</t>
  </si>
  <si>
    <t xml:space="preserve">ASSETS</t>
  </si>
  <si>
    <t xml:space="preserve">A.Fixed Assets</t>
  </si>
  <si>
    <t xml:space="preserve">1.Intangible Fixed Assets</t>
  </si>
  <si>
    <t xml:space="preserve">2.Tangible Fixed Assets</t>
  </si>
  <si>
    <t xml:space="preserve">Land</t>
  </si>
  <si>
    <t xml:space="preserve">Buildings &amp; Constructions</t>
  </si>
  <si>
    <t xml:space="preserve">Machinery &amp; Equipment</t>
  </si>
  <si>
    <t xml:space="preserve">Vehicles</t>
  </si>
  <si>
    <t xml:space="preserve">Other Fixed Assets</t>
  </si>
  <si>
    <t xml:space="preserve">Work-in-progress</t>
  </si>
  <si>
    <t xml:space="preserve">3.Depreciation</t>
  </si>
  <si>
    <t xml:space="preserve">Net Fixed Assets</t>
  </si>
  <si>
    <t xml:space="preserve">B.Current Assets</t>
  </si>
  <si>
    <t xml:space="preserve">Stocks</t>
  </si>
  <si>
    <t xml:space="preserve">1.Raw Materials</t>
  </si>
  <si>
    <t xml:space="preserve">2.Other Stocks</t>
  </si>
  <si>
    <t xml:space="preserve">3.Stock Prepayments</t>
  </si>
  <si>
    <t xml:space="preserve">Debtors</t>
  </si>
  <si>
    <t xml:space="preserve">1.Trade Debtors</t>
  </si>
  <si>
    <t xml:space="preserve">2.Budget Debtors</t>
  </si>
  <si>
    <t xml:space="preserve">3.Intercompany Debtors</t>
  </si>
  <si>
    <t xml:space="preserve">4.Other Debtors</t>
  </si>
  <si>
    <t xml:space="preserve">Cash</t>
  </si>
  <si>
    <t xml:space="preserve">Cash in Hand</t>
  </si>
  <si>
    <t xml:space="preserve">Cash at Bank</t>
  </si>
  <si>
    <t xml:space="preserve">Total Current Assets</t>
  </si>
  <si>
    <t xml:space="preserve">C.Deferred Costs</t>
  </si>
  <si>
    <t xml:space="preserve">Prepaid Expenses</t>
  </si>
  <si>
    <t xml:space="preserve">Other - gas</t>
  </si>
  <si>
    <t xml:space="preserve">TOTAL ASSETS</t>
  </si>
  <si>
    <t xml:space="preserve">CAPITAL AND LIABILITIES</t>
  </si>
  <si>
    <t xml:space="preserve">A.Capital</t>
  </si>
  <si>
    <t xml:space="preserve">1.Share Capital - registered</t>
  </si>
  <si>
    <t xml:space="preserve">3.Retained Losses Prior Years</t>
  </si>
  <si>
    <t xml:space="preserve">4.Current Year Profit/(Loss)</t>
  </si>
  <si>
    <t xml:space="preserve">B.Provisions</t>
  </si>
  <si>
    <t xml:space="preserve">1.PSE Provision</t>
  </si>
  <si>
    <t xml:space="preserve">2.Interest SWAP Provisions</t>
  </si>
  <si>
    <t xml:space="preserve">C.Long-term Creditors</t>
  </si>
  <si>
    <t xml:space="preserve">1.Long-term Bank Loans</t>
  </si>
  <si>
    <t xml:space="preserve">2.Other Long-term Creditors</t>
  </si>
  <si>
    <t xml:space="preserve">D.Short-term Creditors and Special Funds</t>
  </si>
  <si>
    <t xml:space="preserve">1.Borrowings</t>
  </si>
  <si>
    <t xml:space="preserve">2.Trade Creditors</t>
  </si>
  <si>
    <t xml:space="preserve">3.Other Short-term Creditors</t>
  </si>
  <si>
    <t xml:space="preserve">3.Special Funds</t>
  </si>
  <si>
    <t xml:space="preserve">4.Current Portion of LT Debt</t>
  </si>
  <si>
    <t xml:space="preserve">5.Budget Creditors</t>
  </si>
  <si>
    <t xml:space="preserve">E.Accruals and Deferred Income</t>
  </si>
  <si>
    <t xml:space="preserve">1.Accrued Expenses</t>
  </si>
  <si>
    <t xml:space="preserve">2.Deferred Income</t>
  </si>
  <si>
    <t xml:space="preserve">TOTAL CAPITAL AND LIABILITIES</t>
  </si>
  <si>
    <t xml:space="preserve">BUDGET CASH FLOW 2002 (12)</t>
  </si>
  <si>
    <t xml:space="preserve">A.Cash Flow from operating activities</t>
  </si>
  <si>
    <t xml:space="preserve">Net profit for period</t>
  </si>
  <si>
    <t xml:space="preserve">Incr/(decr) in deferred income</t>
  </si>
  <si>
    <t xml:space="preserve">Change in provisions</t>
  </si>
  <si>
    <t xml:space="preserve">(Incr)/decr iin inventories</t>
  </si>
  <si>
    <t xml:space="preserve">(Incr)/decr in trade receivables</t>
  </si>
  <si>
    <t xml:space="preserve">Incr/(decr) in trade creditors</t>
  </si>
  <si>
    <t xml:space="preserve">Incr/(decr) in accruals</t>
  </si>
  <si>
    <t xml:space="preserve">(Incr)/decr in prepayments</t>
  </si>
  <si>
    <t xml:space="preserve">Net cash flow from operating activities</t>
  </si>
  <si>
    <t xml:space="preserve">B,Cash flow from investing activities</t>
  </si>
  <si>
    <t xml:space="preserve">Net additions to intangible fixed assets</t>
  </si>
  <si>
    <t xml:space="preserve">Net additions to fixed assets</t>
  </si>
  <si>
    <t xml:space="preserve">Net cash used in investing activities</t>
  </si>
  <si>
    <t xml:space="preserve">C.Cash flow from financing activities</t>
  </si>
  <si>
    <t xml:space="preserve">Revaluation/repay of bank loans</t>
  </si>
  <si>
    <t xml:space="preserve">Repayment of bank loans</t>
  </si>
  <si>
    <t xml:space="preserve">Revaluation/repay of short term loans</t>
  </si>
  <si>
    <t xml:space="preserve">Proceeds from issue of shares</t>
  </si>
  <si>
    <t xml:space="preserve">Net cash flow from financing activities</t>
  </si>
  <si>
    <t xml:space="preserve">D.Net cash inflow during period</t>
  </si>
  <si>
    <t xml:space="preserve">E.Cash at beginning of year</t>
  </si>
  <si>
    <t xml:space="preserve">F.Cash at end of period</t>
  </si>
  <si>
    <t xml:space="preserve">BUDGET PROFIT AND LOSS ACCOUNT 2002 IN US DOLLARS (13)</t>
  </si>
  <si>
    <t xml:space="preserve">US  Dollars</t>
  </si>
  <si>
    <t xml:space="preserve">ITEM</t>
  </si>
  <si>
    <t xml:space="preserve">SALES</t>
  </si>
  <si>
    <t xml:space="preserve">a)Sales</t>
  </si>
  <si>
    <t xml:space="preserve">b)O &amp; M Costs</t>
  </si>
  <si>
    <t xml:space="preserve">COSTS</t>
  </si>
  <si>
    <t xml:space="preserve">Variable</t>
  </si>
  <si>
    <t xml:space="preserve">Consumption of Energy &amp; Materials</t>
  </si>
  <si>
    <t xml:space="preserve">Gas</t>
  </si>
  <si>
    <t xml:space="preserve">Fuel Oil</t>
  </si>
  <si>
    <t xml:space="preserve">Electricity</t>
  </si>
  <si>
    <t xml:space="preserve">Operational materials</t>
  </si>
  <si>
    <t xml:space="preserve">Fire/safety materials</t>
  </si>
  <si>
    <t xml:space="preserve">Stores materials</t>
  </si>
  <si>
    <t xml:space="preserve">Industrial water</t>
  </si>
  <si>
    <t xml:space="preserve">Drinking water</t>
  </si>
  <si>
    <t xml:space="preserve">Condensate</t>
  </si>
  <si>
    <t xml:space="preserve">Other materials</t>
  </si>
  <si>
    <t xml:space="preserve">DEPRECIATION</t>
  </si>
  <si>
    <t xml:space="preserve">TRANSMISSION FEE</t>
  </si>
  <si>
    <t xml:space="preserve">Organika transmission</t>
  </si>
  <si>
    <t xml:space="preserve">OUTSIDE SERVICESS - ORGANIKA</t>
  </si>
  <si>
    <t xml:space="preserve">Outside Services -Organika Sarzyna</t>
  </si>
  <si>
    <t xml:space="preserve">Effluent disposal</t>
  </si>
  <si>
    <t xml:space="preserve">Usufruct payments</t>
  </si>
  <si>
    <t xml:space="preserve">Rail Services</t>
  </si>
  <si>
    <t xml:space="preserve">Railway Siding</t>
  </si>
  <si>
    <t xml:space="preserve">Other Organika Services</t>
  </si>
  <si>
    <t xml:space="preserve">OUTSIDE SERVICES - ENRON</t>
  </si>
  <si>
    <t xml:space="preserve">Outside Services - Enron</t>
  </si>
  <si>
    <t xml:space="preserve">Oheads $</t>
  </si>
  <si>
    <t xml:space="preserve">Enron Technical Services</t>
  </si>
  <si>
    <t xml:space="preserve">Enron O &amp; M Supervision</t>
  </si>
  <si>
    <t xml:space="preserve">Other Enron Services</t>
  </si>
  <si>
    <t xml:space="preserve">OUTSIDE SERVICES - LEGAL/FINANCIAL</t>
  </si>
  <si>
    <t xml:space="preserve">Usługi Obce-Prawne/Finansow</t>
  </si>
  <si>
    <t xml:space="preserve">Legal - Cameron McKenna</t>
  </si>
  <si>
    <t xml:space="preserve">Legal - White &amp; Case</t>
  </si>
  <si>
    <t xml:space="preserve">Legal - Other</t>
  </si>
  <si>
    <t xml:space="preserve">Financial-Arthur Andersen</t>
  </si>
  <si>
    <t xml:space="preserve">Financial -Other</t>
  </si>
  <si>
    <t xml:space="preserve">Sun system</t>
  </si>
  <si>
    <t xml:space="preserve">IFS system</t>
  </si>
  <si>
    <t xml:space="preserve">OUTSIDE SERVICES - OTHER</t>
  </si>
  <si>
    <t xml:space="preserve">Outside Services  -Other</t>
  </si>
  <si>
    <t xml:space="preserve">Payroll</t>
  </si>
  <si>
    <t xml:space="preserve">Safety</t>
  </si>
  <si>
    <t xml:space="preserve">Waste Disposal</t>
  </si>
  <si>
    <t xml:space="preserve">Technical</t>
  </si>
  <si>
    <t xml:space="preserve">Cleaning Services</t>
  </si>
  <si>
    <t xml:space="preserve">Computer/IT Services</t>
  </si>
  <si>
    <t xml:space="preserve">Office Equipment Maintenance</t>
  </si>
  <si>
    <t xml:space="preserve">Other Equipment Maintenence</t>
  </si>
  <si>
    <t xml:space="preserve">Rents</t>
  </si>
  <si>
    <t xml:space="preserve">Postage &amp; Courier</t>
  </si>
  <si>
    <t xml:space="preserve">Main Telephone Services</t>
  </si>
  <si>
    <t xml:space="preserve">Mobile Phone Services</t>
  </si>
  <si>
    <t xml:space="preserve">Enron Poland Tele Services</t>
  </si>
  <si>
    <t xml:space="preserve">Site Security</t>
  </si>
  <si>
    <t xml:space="preserve">Landscape Maintenence</t>
  </si>
  <si>
    <t xml:space="preserve">Weather Services</t>
  </si>
  <si>
    <t xml:space="preserve">Other Services</t>
  </si>
  <si>
    <t xml:space="preserve">TAXES AND FEES</t>
  </si>
  <si>
    <t xml:space="preserve">Taxes &amp; Fees</t>
  </si>
  <si>
    <t xml:space="preserve">Environment Fees</t>
  </si>
  <si>
    <t xml:space="preserve">Ground Rent</t>
  </si>
  <si>
    <t xml:space="preserve">Employment Guarantee Fund</t>
  </si>
  <si>
    <t xml:space="preserve">URE Fees</t>
  </si>
  <si>
    <t xml:space="preserve">Notarial/Court Fees</t>
  </si>
  <si>
    <t xml:space="preserve">usufruct</t>
  </si>
  <si>
    <t xml:space="preserve">Customs Expenses</t>
  </si>
  <si>
    <t xml:space="preserve">Customs Agency Charges</t>
  </si>
  <si>
    <t xml:space="preserve">Unrecoverable Vat</t>
  </si>
  <si>
    <t xml:space="preserve">VAT on Imported Services</t>
  </si>
  <si>
    <t xml:space="preserve">VAT on representation</t>
  </si>
  <si>
    <t xml:space="preserve">Other Taxes &amp; Fees</t>
  </si>
  <si>
    <t xml:space="preserve">SALARY</t>
  </si>
  <si>
    <t xml:space="preserve">Salary Expenses</t>
  </si>
  <si>
    <t xml:space="preserve">Salaries</t>
  </si>
  <si>
    <t xml:space="preserve">Social Insurance</t>
  </si>
  <si>
    <t xml:space="preserve">Untaken Holidays</t>
  </si>
  <si>
    <t xml:space="preserve">Thirteenth Salary</t>
  </si>
  <si>
    <t xml:space="preserve">Other salary Payments</t>
  </si>
  <si>
    <t xml:space="preserve">Other alary Payments</t>
  </si>
  <si>
    <t xml:space="preserve">Employment Expenses</t>
  </si>
  <si>
    <t xml:space="preserve">Medical</t>
  </si>
  <si>
    <t xml:space="preserve">Social Fund</t>
  </si>
  <si>
    <t xml:space="preserve">Plant Insurance</t>
  </si>
  <si>
    <t xml:space="preserve">Other Insurance</t>
  </si>
  <si>
    <t xml:space="preserve">Office materials</t>
  </si>
  <si>
    <t xml:space="preserve">Office Materials</t>
  </si>
  <si>
    <t xml:space="preserve">Materiały Gospodarcze</t>
  </si>
  <si>
    <t xml:space="preserve">Środki czystości</t>
  </si>
  <si>
    <t xml:space="preserve">Wyposażenie biura</t>
  </si>
  <si>
    <t xml:space="preserve">Vehicle Fuel &amp; Mnaintenence</t>
  </si>
  <si>
    <t xml:space="preserve">Servicing &amp; Maintenence</t>
  </si>
  <si>
    <t xml:space="preserve">Business Travel</t>
  </si>
  <si>
    <t xml:space="preserve">foreign travel</t>
  </si>
  <si>
    <t xml:space="preserve">Representation &amp; Adverising</t>
  </si>
  <si>
    <t xml:space="preserve">TOTAL COSTS</t>
  </si>
  <si>
    <t xml:space="preserve">Total Costs</t>
  </si>
  <si>
    <t xml:space="preserve">OPERATING PROFIT</t>
  </si>
  <si>
    <t xml:space="preserve">Operating Profit</t>
  </si>
  <si>
    <t xml:space="preserve">FINANCIAL COSTS</t>
  </si>
  <si>
    <t xml:space="preserve">Koszty Finansowe</t>
  </si>
  <si>
    <t xml:space="preserve">interest/swap</t>
  </si>
  <si>
    <t xml:space="preserve">Bank Expenses</t>
  </si>
  <si>
    <t xml:space="preserve">Agency Fee</t>
  </si>
  <si>
    <t xml:space="preserve">WestLB Interest</t>
  </si>
  <si>
    <t xml:space="preserve">EPI Interest</t>
  </si>
  <si>
    <t xml:space="preserve">Late Payment Interest</t>
  </si>
  <si>
    <t xml:space="preserve">SWAP costs</t>
  </si>
  <si>
    <t xml:space="preserve">Odsetki Karne Urzędowe</t>
  </si>
  <si>
    <t xml:space="preserve">Ujemne Różnice Kursowe</t>
  </si>
  <si>
    <t xml:space="preserve">Uj.różnice kurs.-kredyt WestLB</t>
  </si>
  <si>
    <t xml:space="preserve">Uj.różnice kurs.- kredyt ENRON</t>
  </si>
  <si>
    <t xml:space="preserve">Interest Received</t>
  </si>
  <si>
    <t xml:space="preserve">OTHER OPERATING COSTS</t>
  </si>
  <si>
    <t xml:space="preserve">Other Operating Costs</t>
  </si>
  <si>
    <t xml:space="preserve">cost of Fixed Assets Sold</t>
  </si>
  <si>
    <t xml:space="preserve">Bank Charges</t>
  </si>
  <si>
    <t xml:space="preserve">Untaken Gas</t>
  </si>
  <si>
    <t xml:space="preserve">Costs for Reinvoicing</t>
  </si>
  <si>
    <t xml:space="preserve">Other Operational Costs</t>
  </si>
  <si>
    <t xml:space="preserve">TOTAL FINANCIAL&amp;OPERATIONAL</t>
  </si>
  <si>
    <t xml:space="preserve">Total Financial &amp; Other Operational</t>
  </si>
  <si>
    <t xml:space="preserve">NET PROFIT</t>
  </si>
  <si>
    <t xml:space="preserve">Net Profit</t>
  </si>
  <si>
    <r>
      <rPr>
        <b val="true"/>
        <sz val="16"/>
        <rFont val="Arial CE"/>
        <family val="2"/>
        <charset val="238"/>
      </rPr>
      <t xml:space="preserve">O &amp; M BUDGET 2002 </t>
    </r>
    <r>
      <rPr>
        <b val="true"/>
        <sz val="14"/>
        <rFont val="Arial CE"/>
        <family val="2"/>
        <charset val="238"/>
      </rPr>
      <t xml:space="preserve">(in US Dollars) (14)</t>
    </r>
  </si>
  <si>
    <t xml:space="preserve">MATERIALS AND ENERGY</t>
  </si>
  <si>
    <t xml:space="preserve">MATERIAŁY I ENERGIA</t>
  </si>
  <si>
    <t xml:space="preserve">KONTO</t>
  </si>
  <si>
    <t xml:space="preserve">Energia elektr. na potrzeby własne</t>
  </si>
  <si>
    <t xml:space="preserve">Materiay eksploatacyjne</t>
  </si>
  <si>
    <t xml:space="preserve">Materiały BHP i P.Poż</t>
  </si>
  <si>
    <t xml:space="preserve">Woda przemysłowa</t>
  </si>
  <si>
    <t xml:space="preserve">Woda pitna</t>
  </si>
  <si>
    <t xml:space="preserve">Kondensat pary</t>
  </si>
  <si>
    <t xml:space="preserve">Sub-Total</t>
  </si>
  <si>
    <t xml:space="preserve">Ogółem</t>
  </si>
  <si>
    <t xml:space="preserve">MAINTENANCE/OVERHAUL</t>
  </si>
  <si>
    <t xml:space="preserve">UTRZYMANIE I REMONTY</t>
  </si>
  <si>
    <t xml:space="preserve">Turbina parowa-umowa</t>
  </si>
  <si>
    <t xml:space="preserve">Gas Turbine  Agreements</t>
  </si>
  <si>
    <t xml:space="preserve">Turbiny gazowe-umowa</t>
  </si>
  <si>
    <t xml:space="preserve">BOP maintenance</t>
  </si>
  <si>
    <t xml:space="preserve">BOP - Operational Parts</t>
  </si>
  <si>
    <t xml:space="preserve">Materiały eksploatacyjne</t>
  </si>
  <si>
    <t xml:space="preserve">Unplanned maintenace</t>
  </si>
  <si>
    <t xml:space="preserve">Remonty nieplanowe</t>
  </si>
  <si>
    <t xml:space="preserve">OUTSIDE SERVICES</t>
  </si>
  <si>
    <t xml:space="preserve">USŁUGI OBCE</t>
  </si>
  <si>
    <t xml:space="preserve">Koszty transportu</t>
  </si>
  <si>
    <t xml:space="preserve">403-030</t>
  </si>
  <si>
    <t xml:space="preserve">Usługi obce - Organika Sarzyna</t>
  </si>
  <si>
    <t xml:space="preserve">Sewage</t>
  </si>
  <si>
    <t xml:space="preserve">Odprowadzanie ścieków przemysłowych</t>
  </si>
  <si>
    <t xml:space="preserve">Służebność gruntowa</t>
  </si>
  <si>
    <t xml:space="preserve">Opłata przesyłowa</t>
  </si>
  <si>
    <t xml:space="preserve">Outside Services-Legal/Financial</t>
  </si>
  <si>
    <t xml:space="preserve">Usługi Obce-Prawne/Finansowe</t>
  </si>
  <si>
    <t xml:space="preserve">Usł. Prawne - Cameron Mc Kenna</t>
  </si>
  <si>
    <t xml:space="preserve">Usł. Prawne - White &amp; Case</t>
  </si>
  <si>
    <t xml:space="preserve">Usł. Finansowe- Arthur Andersen</t>
  </si>
  <si>
    <t xml:space="preserve">Koszt audytu</t>
  </si>
  <si>
    <t xml:space="preserve">Obsługa SunSystems</t>
  </si>
  <si>
    <t xml:space="preserve">Obsługa Systemu IFS </t>
  </si>
  <si>
    <t xml:space="preserve">Outside Services  - Other</t>
  </si>
  <si>
    <t xml:space="preserve">Usługi obce - pozostałe</t>
  </si>
  <si>
    <t xml:space="preserve">Usługi płacowe</t>
  </si>
  <si>
    <t xml:space="preserve">Usługi BHP</t>
  </si>
  <si>
    <t xml:space="preserve">Usługi - utyliz, wywóz odpadów</t>
  </si>
  <si>
    <t xml:space="preserve">Technical services</t>
  </si>
  <si>
    <t xml:space="preserve">Usługi techniczne</t>
  </si>
  <si>
    <t xml:space="preserve">Usługi telekom.- Enron Poland &amp; Polpac</t>
  </si>
  <si>
    <t xml:space="preserve">Landscape Maintenance</t>
  </si>
  <si>
    <t xml:space="preserve">PODATKI I OPAŁTY</t>
  </si>
  <si>
    <t xml:space="preserve">425010</t>
  </si>
  <si>
    <t xml:space="preserve">SALARIES AND EMPLOYEE BENEFITS</t>
  </si>
  <si>
    <t xml:space="preserve">WYNAGRODZENIA I ŚWIADCZENIA</t>
  </si>
  <si>
    <t xml:space="preserve">Wynagrodzenia</t>
  </si>
  <si>
    <t xml:space="preserve">Wynagrodzenia - Pieniężne</t>
  </si>
  <si>
    <t xml:space="preserve">Narzuty Na Wynagrodzenia (ZUS)</t>
  </si>
  <si>
    <t xml:space="preserve">Trzynastka</t>
  </si>
  <si>
    <t xml:space="preserve">Benefits</t>
  </si>
  <si>
    <t xml:space="preserve">Employee insurance</t>
  </si>
  <si>
    <t xml:space="preserve">Medical service</t>
  </si>
  <si>
    <t xml:space="preserve">UBEZPIECZENIA</t>
  </si>
  <si>
    <t xml:space="preserve">Ubezpieczenia Objektu/Majątku</t>
  </si>
  <si>
    <t xml:space="preserve">MATERIAŁY BIUROWE</t>
  </si>
  <si>
    <t xml:space="preserve">Materiały biurowe (wraz z Platt's)</t>
  </si>
  <si>
    <t xml:space="preserve">SAMOCHODY SŁUŻBOWE</t>
  </si>
  <si>
    <t xml:space="preserve">PODRÓŻE SŁUŻBOWE</t>
  </si>
  <si>
    <t xml:space="preserve">REPREZENTACJA I REKLAMA</t>
  </si>
  <si>
    <t xml:space="preserve">DONATIONS</t>
  </si>
  <si>
    <t xml:space="preserve">DOTACJE I DAROWIZNY</t>
  </si>
  <si>
    <t xml:space="preserve">Dotacje i darowizny</t>
  </si>
  <si>
    <t xml:space="preserve">OGÓŁEM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</si>
</sst>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.0000"/>
    <numFmt numFmtId="166" formatCode="0.00"/>
    <numFmt numFmtId="167" formatCode="#,##0.0000"/>
    <numFmt numFmtId="168" formatCode="0.00000%"/>
    <numFmt numFmtId="169" formatCode="0%"/>
    <numFmt numFmtId="170" formatCode="#,##0"/>
    <numFmt numFmtId="171" formatCode="#,##0.00"/>
    <numFmt numFmtId="172" formatCode="#,##0.000000"/>
    <numFmt numFmtId="173" formatCode="0"/>
    <numFmt numFmtId="174" formatCode="#,##0_};\(#,##0\)"/>
    <numFmt numFmtId="175" formatCode="_(* #,##0.00_);_(* \(#,##0.00\);_(* \-??_);_(@_)"/>
    <numFmt numFmtId="176" formatCode="#,##0.00_};\(#,##0.00\)"/>
    <numFmt numFmtId="177" formatCode="0.00000"/>
    <numFmt numFmtId="178" formatCode="@"/>
    <numFmt numFmtId="179" formatCode="0.0%"/>
    <numFmt numFmtId="180" formatCode="yyyy\-mm\-dd"/>
    <numFmt numFmtId="181" formatCode="#,##0.0"/>
  </numFmts>
  <fonts count="55">
    <font>
      <sz val="10"/>
      <name val="Arial CE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48"/>
      <name val="Arial CE"/>
      <family val="2"/>
      <charset val="238"/>
    </font>
    <font>
      <b val="true"/>
      <sz val="16"/>
      <name val="Arial CE"/>
      <family val="2"/>
      <charset val="238"/>
    </font>
    <font>
      <b val="true"/>
      <sz val="10"/>
      <name val="Arial CE"/>
      <family val="2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 val="true"/>
      <sz val="14"/>
      <name val="Arial"/>
      <family val="2"/>
      <charset val="238"/>
    </font>
    <font>
      <b val="true"/>
      <sz val="14"/>
      <name val="Arial CE"/>
      <family val="2"/>
      <charset val="238"/>
    </font>
    <font>
      <b val="true"/>
      <sz val="12"/>
      <name val="Arial"/>
      <family val="2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 CE"/>
      <family val="1"/>
      <charset val="238"/>
    </font>
    <font>
      <sz val="9"/>
      <name val="Arial CE"/>
      <family val="2"/>
      <charset val="238"/>
    </font>
    <font>
      <b val="true"/>
      <sz val="10"/>
      <name val="Arial CE"/>
      <family val="0"/>
      <charset val="238"/>
    </font>
    <font>
      <i val="true"/>
      <sz val="10"/>
      <name val="Times New Roman CE"/>
      <family val="1"/>
      <charset val="238"/>
    </font>
    <font>
      <b val="true"/>
      <i val="true"/>
      <u val="single"/>
      <sz val="10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u val="single"/>
      <sz val="10"/>
      <name val="Arial CE"/>
      <family val="2"/>
      <charset val="238"/>
    </font>
    <font>
      <b val="true"/>
      <sz val="8"/>
      <color rgb="FF000000"/>
      <name val="Tahoma"/>
      <family val="0"/>
      <charset val="238"/>
    </font>
    <font>
      <sz val="8"/>
      <color rgb="FF000000"/>
      <name val="Tahoma"/>
      <family val="0"/>
      <charset val="238"/>
    </font>
    <font>
      <b val="true"/>
      <u val="single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 val="true"/>
      <sz val="10"/>
      <color rgb="FFFF0000"/>
      <name val="Arial"/>
      <family val="2"/>
      <charset val="238"/>
    </font>
    <font>
      <b val="true"/>
      <sz val="18"/>
      <name val="Times New Roman CE"/>
      <family val="1"/>
      <charset val="238"/>
    </font>
    <font>
      <sz val="9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color rgb="FFFF0000"/>
      <name val="Times New Roman CE"/>
      <family val="1"/>
      <charset val="238"/>
    </font>
    <font>
      <b val="true"/>
      <sz val="14"/>
      <name val="Times New Roman CE"/>
      <family val="1"/>
      <charset val="238"/>
    </font>
    <font>
      <sz val="9"/>
      <color rgb="FF800000"/>
      <name val="Times New Roman CE"/>
      <family val="1"/>
      <charset val="238"/>
    </font>
    <font>
      <b val="true"/>
      <sz val="9"/>
      <color rgb="FF800000"/>
      <name val="Times New Roman CE"/>
      <family val="1"/>
      <charset val="238"/>
    </font>
    <font>
      <sz val="9"/>
      <color rgb="FF008000"/>
      <name val="Times New Roman CE"/>
      <family val="1"/>
      <charset val="238"/>
    </font>
    <font>
      <b val="true"/>
      <sz val="9"/>
      <color rgb="FF008000"/>
      <name val="Times New Roman CE"/>
      <family val="1"/>
      <charset val="238"/>
    </font>
    <font>
      <sz val="9"/>
      <color rgb="FF333399"/>
      <name val="Times New Roman CE"/>
      <family val="1"/>
      <charset val="238"/>
    </font>
    <font>
      <b val="true"/>
      <sz val="9"/>
      <color rgb="FF333399"/>
      <name val="Times New Roman CE"/>
      <family val="1"/>
      <charset val="238"/>
    </font>
    <font>
      <sz val="9"/>
      <color rgb="FFFF6600"/>
      <name val="Times New Roman CE"/>
      <family val="1"/>
      <charset val="238"/>
    </font>
    <font>
      <b val="true"/>
      <sz val="9"/>
      <color rgb="FFFF6600"/>
      <name val="Times New Roman CE"/>
      <family val="1"/>
      <charset val="238"/>
    </font>
    <font>
      <sz val="9"/>
      <color rgb="FF0000FF"/>
      <name val="Times New Roman CE"/>
      <family val="1"/>
      <charset val="238"/>
    </font>
    <font>
      <b val="true"/>
      <sz val="9"/>
      <color rgb="FF0000FF"/>
      <name val="Times New Roman CE"/>
      <family val="1"/>
      <charset val="238"/>
    </font>
    <font>
      <sz val="9"/>
      <color rgb="FF800080"/>
      <name val="Times New Roman CE"/>
      <family val="1"/>
      <charset val="238"/>
    </font>
    <font>
      <b val="true"/>
      <sz val="9"/>
      <color rgb="FF80008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b val="true"/>
      <sz val="10"/>
      <color rgb="FF000000"/>
      <name val="Tahoma"/>
      <family val="0"/>
      <charset val="238"/>
    </font>
    <font>
      <sz val="10"/>
      <color rgb="FF000000"/>
      <name val="Tahoma"/>
      <family val="0"/>
      <charset val="238"/>
    </font>
    <font>
      <u val="single"/>
      <sz val="10"/>
      <name val="Arial CE"/>
      <family val="2"/>
      <charset val="238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Arial CE"/>
      <family val="0"/>
    </font>
    <font>
      <sz val="10"/>
      <color rgb="FFFF0000"/>
      <name val="Arial CE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9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3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3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6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3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8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3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0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4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2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4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4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4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6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4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7" fillId="0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4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2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2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12" fillId="0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3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3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nsbud2000master for tarif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2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>
    <row r="1" customFormat="false" ht="13.8" hidden="false" customHeight="false" outlineLevel="0" collapsed="false">
      <c r="D1" s="1"/>
    </row>
    <row r="2" customFormat="false" ht="13.2" hidden="false" customHeight="false" outlineLevel="0" collapsed="false">
      <c r="G2" s="2" t="s">
        <v>0</v>
      </c>
    </row>
    <row r="3" customFormat="false" ht="13.2" hidden="false" customHeight="false" outlineLevel="0" collapsed="false">
      <c r="G3" s="2" t="s">
        <v>1</v>
      </c>
    </row>
    <row r="4" customFormat="false" ht="13.2" hidden="false" customHeight="false" outlineLevel="0" collapsed="false">
      <c r="G4" s="2" t="s">
        <v>2</v>
      </c>
    </row>
    <row r="5" customFormat="false" ht="13.2" hidden="false" customHeight="false" outlineLevel="0" collapsed="false">
      <c r="G5" s="2" t="s">
        <v>3</v>
      </c>
    </row>
    <row r="6" customFormat="false" ht="13.2" hidden="false" customHeight="false" outlineLevel="0" collapsed="false">
      <c r="G6" s="2" t="s">
        <v>4</v>
      </c>
    </row>
    <row r="7" customFormat="false" ht="13.2" hidden="false" customHeight="false" outlineLevel="0" collapsed="false">
      <c r="G7" s="2" t="s">
        <v>5</v>
      </c>
    </row>
    <row r="12" customFormat="false" ht="20.4" hidden="false" customHeight="true" outlineLevel="0" collapsed="false">
      <c r="A12" s="3" t="s">
        <v>6</v>
      </c>
      <c r="B12" s="3"/>
      <c r="C12" s="3"/>
      <c r="D12" s="3"/>
      <c r="E12" s="3"/>
      <c r="F12" s="3"/>
      <c r="G12" s="3"/>
      <c r="H12" s="3"/>
      <c r="I12" s="3"/>
    </row>
    <row r="13" customFormat="false" ht="60.6" hidden="false" customHeight="false" outlineLevel="0" collapsed="false">
      <c r="A13" s="4" t="s">
        <v>7</v>
      </c>
      <c r="B13" s="4"/>
      <c r="C13" s="4"/>
      <c r="D13" s="4"/>
      <c r="E13" s="4"/>
      <c r="F13" s="4"/>
      <c r="G13" s="4"/>
      <c r="H13" s="4"/>
      <c r="I13" s="4"/>
    </row>
    <row r="14" customFormat="false" ht="16.95" hidden="false" customHeight="true" outlineLevel="0" collapsed="false">
      <c r="B14" s="5"/>
    </row>
    <row r="15" customFormat="false" ht="16.95" hidden="false" customHeight="true" outlineLevel="0" collapsed="false">
      <c r="B15" s="5"/>
    </row>
    <row r="16" customFormat="false" ht="16.95" hidden="false" customHeight="true" outlineLevel="0" collapsed="false">
      <c r="B16" s="5"/>
    </row>
    <row r="19" customFormat="false" ht="21" hidden="false" customHeight="false" outlineLevel="0" collapsed="false">
      <c r="A19" s="6" t="s">
        <v>8</v>
      </c>
    </row>
    <row r="21" customFormat="false" ht="13.2" hidden="false" customHeight="false" outlineLevel="0" collapsed="false">
      <c r="A21" s="7" t="s">
        <v>9</v>
      </c>
    </row>
    <row r="22" customFormat="false" ht="13.2" hidden="false" customHeight="false" outlineLevel="0" collapsed="false">
      <c r="A22" s="7" t="s">
        <v>10</v>
      </c>
    </row>
    <row r="23" customFormat="false" ht="13.2" hidden="false" customHeight="false" outlineLevel="0" collapsed="false">
      <c r="A23" s="7" t="s">
        <v>11</v>
      </c>
    </row>
    <row r="24" customFormat="false" ht="13.2" hidden="false" customHeight="false" outlineLevel="0" collapsed="false">
      <c r="A24" s="7" t="s">
        <v>12</v>
      </c>
    </row>
    <row r="25" customFormat="false" ht="13.2" hidden="false" customHeight="false" outlineLevel="0" collapsed="false">
      <c r="A25" s="2" t="s">
        <v>13</v>
      </c>
    </row>
    <row r="26" customFormat="false" ht="13.2" hidden="false" customHeight="false" outlineLevel="0" collapsed="false">
      <c r="A26" s="2" t="s">
        <v>14</v>
      </c>
    </row>
    <row r="27" customFormat="false" ht="13.2" hidden="false" customHeight="false" outlineLevel="0" collapsed="false">
      <c r="A27" s="2" t="s">
        <v>15</v>
      </c>
    </row>
    <row r="28" customFormat="false" ht="13.2" hidden="false" customHeight="false" outlineLevel="0" collapsed="false">
      <c r="A28" s="7" t="s">
        <v>16</v>
      </c>
    </row>
    <row r="29" customFormat="false" ht="13.2" hidden="false" customHeight="false" outlineLevel="0" collapsed="false">
      <c r="A29" s="7" t="s">
        <v>17</v>
      </c>
    </row>
    <row r="30" customFormat="false" ht="13.2" hidden="false" customHeight="false" outlineLevel="0" collapsed="false">
      <c r="A30" s="2" t="s">
        <v>18</v>
      </c>
    </row>
    <row r="31" customFormat="false" ht="13.2" hidden="false" customHeight="false" outlineLevel="0" collapsed="false">
      <c r="A31" s="2" t="s">
        <v>19</v>
      </c>
    </row>
    <row r="32" customFormat="false" ht="13.2" hidden="false" customHeight="false" outlineLevel="0" collapsed="false">
      <c r="A32" s="2" t="s">
        <v>20</v>
      </c>
    </row>
    <row r="33" customFormat="false" ht="13.2" hidden="false" customHeight="false" outlineLevel="0" collapsed="false">
      <c r="A33" s="7" t="s">
        <v>21</v>
      </c>
    </row>
    <row r="34" customFormat="false" ht="13.2" hidden="false" customHeight="false" outlineLevel="0" collapsed="false">
      <c r="A34" s="2" t="s">
        <v>22</v>
      </c>
    </row>
    <row r="35" customFormat="false" ht="13.2" hidden="false" customHeight="false" outlineLevel="0" collapsed="false">
      <c r="A35" s="2" t="s">
        <v>23</v>
      </c>
    </row>
    <row r="36" customFormat="false" ht="13.2" hidden="false" customHeight="false" outlineLevel="0" collapsed="false">
      <c r="A36" s="2" t="s">
        <v>24</v>
      </c>
    </row>
    <row r="37" customFormat="false" ht="13.2" hidden="false" customHeight="false" outlineLevel="0" collapsed="false">
      <c r="A37" s="7" t="s">
        <v>25</v>
      </c>
    </row>
    <row r="38" customFormat="false" ht="13.2" hidden="false" customHeight="false" outlineLevel="0" collapsed="false">
      <c r="A38" s="7" t="s">
        <v>26</v>
      </c>
    </row>
    <row r="39" customFormat="false" ht="13.2" hidden="false" customHeight="false" outlineLevel="0" collapsed="false">
      <c r="A39" s="7" t="s">
        <v>27</v>
      </c>
    </row>
    <row r="40" customFormat="false" ht="13.2" hidden="false" customHeight="false" outlineLevel="0" collapsed="false">
      <c r="A40" s="7" t="s">
        <v>28</v>
      </c>
    </row>
    <row r="41" customFormat="false" ht="13.2" hidden="false" customHeight="false" outlineLevel="0" collapsed="false">
      <c r="A41" s="7" t="s">
        <v>29</v>
      </c>
    </row>
    <row r="42" customFormat="false" ht="13.2" hidden="false" customHeight="false" outlineLevel="0" collapsed="false">
      <c r="A42" s="7" t="s">
        <v>30</v>
      </c>
    </row>
    <row r="43" customFormat="false" ht="13.2" hidden="false" customHeight="false" outlineLevel="0" collapsed="false">
      <c r="A43" s="7" t="s">
        <v>31</v>
      </c>
    </row>
  </sheetData>
  <mergeCells count="2">
    <mergeCell ref="A12:I12"/>
    <mergeCell ref="A13:I1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44"/>
  <sheetViews>
    <sheetView showFormulas="false" showGridLines="true" showRowColHeaders="true" showZeros="true" rightToLeft="false" tabSelected="false" showOutlineSymbols="true" defaultGridColor="true" view="pageBreakPreview" topLeftCell="B3" colorId="64" zoomScale="75" zoomScaleNormal="75" zoomScalePageLayoutView="75" workbookViewId="0">
      <selection pane="topLeft" activeCell="D25" activeCellId="0" sqref="D25"/>
    </sheetView>
  </sheetViews>
  <sheetFormatPr defaultColWidth="9.0546875" defaultRowHeight="13.2" customHeight="true" zeroHeight="false" outlineLevelRow="0" outlineLevelCol="0"/>
  <cols>
    <col collapsed="false" customWidth="true" hidden="true" outlineLevel="0" max="1" min="1" style="2" width="8.55"/>
    <col collapsed="false" customWidth="true" hidden="false" outlineLevel="0" max="2" min="2" style="2" width="29.32"/>
    <col collapsed="false" customWidth="true" hidden="false" outlineLevel="0" max="14" min="3" style="2" width="12.66"/>
    <col collapsed="false" customWidth="true" hidden="false" outlineLevel="0" max="15" min="15" style="2" width="50.32"/>
    <col collapsed="false" customWidth="true" hidden="false" outlineLevel="0" max="16" min="16" style="2" width="23.1"/>
    <col collapsed="false" customWidth="true" hidden="false" outlineLevel="0" max="28" min="17" style="2" width="12.66"/>
    <col collapsed="false" customWidth="true" hidden="false" outlineLevel="0" max="30" min="30" style="2" width="19.33"/>
    <col collapsed="false" customWidth="true" hidden="false" outlineLevel="0" max="42" min="31" style="2" width="12.66"/>
  </cols>
  <sheetData>
    <row r="1" customFormat="false" ht="13.2" hidden="false" customHeight="false" outlineLevel="0" collapsed="false">
      <c r="B1" s="7" t="str">
        <f aca="false">Factors!A1</f>
        <v>ENS BUDGET - YEAR 2002</v>
      </c>
    </row>
    <row r="2" customFormat="false" ht="22.2" hidden="false" customHeight="true" outlineLevel="0" collapsed="false">
      <c r="B2" s="6" t="s">
        <v>288</v>
      </c>
    </row>
    <row r="3" customFormat="false" ht="17.4" hidden="false" customHeight="false" outlineLevel="0" collapsed="false">
      <c r="B3" s="101" t="s">
        <v>349</v>
      </c>
      <c r="P3" s="7" t="n">
        <v>2003</v>
      </c>
      <c r="Q3" s="7"/>
      <c r="R3" s="7"/>
      <c r="S3" s="7"/>
      <c r="U3" s="7"/>
      <c r="V3" s="7"/>
      <c r="W3" s="7"/>
      <c r="AD3" s="7" t="n">
        <v>2004</v>
      </c>
    </row>
    <row r="4" customFormat="false" ht="13.2" hidden="false" customHeight="false" outlineLevel="0" collapsed="false">
      <c r="P4" s="7"/>
      <c r="Q4" s="7"/>
      <c r="R4" s="7"/>
      <c r="S4" s="7"/>
      <c r="U4" s="7"/>
      <c r="V4" s="7"/>
      <c r="W4" s="7"/>
      <c r="AD4" s="7"/>
    </row>
    <row r="5" customFormat="false" ht="13.2" hidden="false" customHeight="false" outlineLevel="0" collapsed="false">
      <c r="P5" s="7"/>
      <c r="Q5" s="7"/>
      <c r="R5" s="7"/>
      <c r="S5" s="7"/>
      <c r="U5" s="7"/>
      <c r="V5" s="7"/>
      <c r="W5" s="7"/>
      <c r="AD5" s="7"/>
    </row>
    <row r="6" customFormat="false" ht="13.2" hidden="false" customHeight="false" outlineLevel="0" collapsed="false">
      <c r="B6" s="7" t="s">
        <v>350</v>
      </c>
      <c r="C6" s="27" t="s">
        <v>41</v>
      </c>
      <c r="D6" s="27" t="s">
        <v>42</v>
      </c>
      <c r="E6" s="27" t="s">
        <v>43</v>
      </c>
      <c r="F6" s="27" t="s">
        <v>44</v>
      </c>
      <c r="G6" s="27" t="s">
        <v>45</v>
      </c>
      <c r="H6" s="27" t="s">
        <v>46</v>
      </c>
      <c r="I6" s="27" t="s">
        <v>47</v>
      </c>
      <c r="J6" s="27" t="s">
        <v>48</v>
      </c>
      <c r="K6" s="27" t="s">
        <v>49</v>
      </c>
      <c r="L6" s="27" t="s">
        <v>50</v>
      </c>
      <c r="M6" s="27" t="s">
        <v>51</v>
      </c>
      <c r="N6" s="27" t="s">
        <v>52</v>
      </c>
      <c r="P6" s="8" t="s">
        <v>351</v>
      </c>
      <c r="Q6" s="27" t="s">
        <v>41</v>
      </c>
      <c r="R6" s="27" t="s">
        <v>42</v>
      </c>
      <c r="S6" s="27" t="s">
        <v>43</v>
      </c>
      <c r="T6" s="27" t="s">
        <v>44</v>
      </c>
      <c r="U6" s="27" t="s">
        <v>45</v>
      </c>
      <c r="V6" s="27" t="s">
        <v>46</v>
      </c>
      <c r="W6" s="27" t="s">
        <v>47</v>
      </c>
      <c r="X6" s="27" t="s">
        <v>48</v>
      </c>
      <c r="Y6" s="27" t="s">
        <v>49</v>
      </c>
      <c r="Z6" s="27" t="s">
        <v>50</v>
      </c>
      <c r="AA6" s="27" t="s">
        <v>51</v>
      </c>
      <c r="AB6" s="27" t="s">
        <v>52</v>
      </c>
      <c r="AD6" s="8" t="s">
        <v>351</v>
      </c>
      <c r="AE6" s="27" t="s">
        <v>41</v>
      </c>
      <c r="AF6" s="27" t="s">
        <v>42</v>
      </c>
      <c r="AG6" s="27" t="s">
        <v>43</v>
      </c>
      <c r="AH6" s="27" t="s">
        <v>44</v>
      </c>
      <c r="AI6" s="27" t="s">
        <v>45</v>
      </c>
      <c r="AJ6" s="27" t="s">
        <v>46</v>
      </c>
      <c r="AK6" s="27" t="s">
        <v>47</v>
      </c>
      <c r="AL6" s="27" t="s">
        <v>48</v>
      </c>
      <c r="AM6" s="27" t="s">
        <v>49</v>
      </c>
      <c r="AN6" s="27" t="s">
        <v>50</v>
      </c>
      <c r="AO6" s="27" t="s">
        <v>51</v>
      </c>
      <c r="AP6" s="27" t="s">
        <v>52</v>
      </c>
    </row>
    <row r="7" customFormat="false" ht="13.2" hidden="false" customHeight="false" outlineLevel="0" collapsed="false">
      <c r="B7" s="8" t="s">
        <v>352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P7" s="8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D7" s="8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customFormat="false" ht="13.2" hidden="false" customHeight="false" outlineLevel="0" collapsed="false">
      <c r="B8" s="2" t="s">
        <v>353</v>
      </c>
      <c r="C8" s="2" t="n">
        <v>31</v>
      </c>
      <c r="D8" s="2" t="n">
        <v>28</v>
      </c>
      <c r="E8" s="2" t="n">
        <v>31</v>
      </c>
      <c r="F8" s="2" t="n">
        <v>30</v>
      </c>
      <c r="G8" s="2" t="n">
        <v>31</v>
      </c>
      <c r="H8" s="2" t="n">
        <v>30</v>
      </c>
      <c r="I8" s="2" t="n">
        <v>31</v>
      </c>
      <c r="J8" s="2" t="n">
        <v>31</v>
      </c>
      <c r="K8" s="2" t="n">
        <v>30</v>
      </c>
      <c r="L8" s="2" t="n">
        <v>31</v>
      </c>
      <c r="M8" s="2" t="n">
        <v>30</v>
      </c>
      <c r="N8" s="2" t="n">
        <v>31</v>
      </c>
      <c r="O8" s="2" t="n">
        <f aca="false">SUM(C8:N8)</f>
        <v>365</v>
      </c>
      <c r="P8" s="2" t="s">
        <v>353</v>
      </c>
      <c r="Q8" s="2" t="n">
        <v>31</v>
      </c>
      <c r="R8" s="2" t="n">
        <v>28</v>
      </c>
      <c r="S8" s="2" t="n">
        <v>31</v>
      </c>
      <c r="T8" s="2" t="n">
        <v>30</v>
      </c>
      <c r="U8" s="2" t="n">
        <v>31</v>
      </c>
      <c r="V8" s="2" t="n">
        <v>30</v>
      </c>
      <c r="W8" s="2" t="n">
        <v>31</v>
      </c>
      <c r="X8" s="2" t="n">
        <v>31</v>
      </c>
      <c r="Y8" s="2" t="n">
        <v>30</v>
      </c>
      <c r="Z8" s="2" t="n">
        <v>31</v>
      </c>
      <c r="AA8" s="2" t="n">
        <v>30</v>
      </c>
      <c r="AB8" s="2" t="n">
        <v>31</v>
      </c>
      <c r="AD8" s="2" t="s">
        <v>353</v>
      </c>
      <c r="AE8" s="2" t="n">
        <v>31</v>
      </c>
      <c r="AF8" s="2" t="n">
        <v>28</v>
      </c>
      <c r="AG8" s="2" t="n">
        <v>31</v>
      </c>
      <c r="AH8" s="2" t="n">
        <v>30</v>
      </c>
      <c r="AI8" s="2" t="n">
        <v>31</v>
      </c>
      <c r="AJ8" s="2" t="n">
        <v>30</v>
      </c>
      <c r="AK8" s="2" t="n">
        <v>31</v>
      </c>
      <c r="AL8" s="2" t="n">
        <v>31</v>
      </c>
      <c r="AM8" s="2" t="n">
        <v>30</v>
      </c>
      <c r="AN8" s="2" t="n">
        <v>31</v>
      </c>
      <c r="AO8" s="2" t="n">
        <v>30</v>
      </c>
      <c r="AP8" s="2" t="n">
        <v>31</v>
      </c>
    </row>
    <row r="10" customFormat="false" ht="13.2" hidden="false" customHeight="false" outlineLevel="0" collapsed="false">
      <c r="A10" s="19"/>
      <c r="B10" s="19" t="s">
        <v>354</v>
      </c>
      <c r="C10" s="138" t="n">
        <v>106907110</v>
      </c>
      <c r="D10" s="138" t="n">
        <v>106907110</v>
      </c>
      <c r="E10" s="138" t="n">
        <v>106907110</v>
      </c>
      <c r="F10" s="138" t="n">
        <v>104453027</v>
      </c>
      <c r="G10" s="138" t="n">
        <v>104453027</v>
      </c>
      <c r="H10" s="138" t="n">
        <v>104453027</v>
      </c>
      <c r="I10" s="138" t="n">
        <v>104453027</v>
      </c>
      <c r="J10" s="138" t="n">
        <v>104453027</v>
      </c>
      <c r="K10" s="138" t="n">
        <v>104453027</v>
      </c>
      <c r="L10" s="138" t="n">
        <v>101900239</v>
      </c>
      <c r="M10" s="138" t="n">
        <v>101900239</v>
      </c>
      <c r="N10" s="138" t="n">
        <v>101900239</v>
      </c>
      <c r="O10" s="19"/>
      <c r="P10" s="19" t="s">
        <v>354</v>
      </c>
      <c r="Q10" s="138" t="n">
        <v>101900239</v>
      </c>
      <c r="R10" s="138" t="n">
        <v>101900239</v>
      </c>
      <c r="S10" s="138" t="n">
        <v>101900239</v>
      </c>
      <c r="T10" s="138" t="n">
        <v>99244880</v>
      </c>
      <c r="U10" s="138" t="n">
        <v>99244880</v>
      </c>
      <c r="V10" s="138" t="n">
        <v>99244880</v>
      </c>
      <c r="W10" s="138" t="n">
        <v>99244880</v>
      </c>
      <c r="X10" s="138" t="n">
        <v>99244880</v>
      </c>
      <c r="Y10" s="138" t="n">
        <v>99244880</v>
      </c>
      <c r="Z10" s="138" t="n">
        <v>96482856</v>
      </c>
      <c r="AA10" s="138" t="n">
        <v>96482856</v>
      </c>
      <c r="AB10" s="138" t="n">
        <v>96482856</v>
      </c>
      <c r="AC10" s="19"/>
      <c r="AD10" s="19" t="s">
        <v>354</v>
      </c>
      <c r="AE10" s="138" t="n">
        <v>96482856</v>
      </c>
      <c r="AF10" s="138" t="n">
        <v>96482856</v>
      </c>
      <c r="AG10" s="138" t="n">
        <v>96482856</v>
      </c>
      <c r="AH10" s="138" t="n">
        <v>93609733</v>
      </c>
      <c r="AI10" s="138" t="n">
        <v>93609733</v>
      </c>
      <c r="AJ10" s="138" t="n">
        <v>93609733</v>
      </c>
      <c r="AK10" s="138" t="n">
        <v>93609733</v>
      </c>
      <c r="AL10" s="138" t="n">
        <v>93609733</v>
      </c>
      <c r="AM10" s="138" t="n">
        <v>93609733</v>
      </c>
      <c r="AN10" s="138" t="n">
        <v>90621189</v>
      </c>
      <c r="AO10" s="138" t="n">
        <v>90621189</v>
      </c>
      <c r="AP10" s="138" t="n">
        <v>90621189</v>
      </c>
    </row>
    <row r="12" customFormat="false" ht="13.2" hidden="false" customHeight="false" outlineLevel="0" collapsed="false">
      <c r="B12" s="2" t="s">
        <v>355</v>
      </c>
      <c r="C12" s="20" t="n">
        <v>0.0628</v>
      </c>
      <c r="D12" s="16" t="n">
        <f aca="false">C12</f>
        <v>0.0628</v>
      </c>
      <c r="E12" s="16" t="n">
        <f aca="false">D12</f>
        <v>0.0628</v>
      </c>
      <c r="F12" s="16" t="n">
        <f aca="false">E12</f>
        <v>0.0628</v>
      </c>
      <c r="G12" s="16" t="n">
        <f aca="false">F12</f>
        <v>0.0628</v>
      </c>
      <c r="H12" s="16" t="n">
        <f aca="false">G12</f>
        <v>0.0628</v>
      </c>
      <c r="I12" s="16" t="n">
        <f aca="false">H12</f>
        <v>0.0628</v>
      </c>
      <c r="J12" s="16" t="n">
        <f aca="false">I12</f>
        <v>0.0628</v>
      </c>
      <c r="K12" s="16" t="n">
        <f aca="false">J12</f>
        <v>0.0628</v>
      </c>
      <c r="L12" s="16" t="n">
        <f aca="false">K12</f>
        <v>0.0628</v>
      </c>
      <c r="M12" s="16" t="n">
        <f aca="false">L12</f>
        <v>0.0628</v>
      </c>
      <c r="N12" s="16" t="n">
        <f aca="false">M12</f>
        <v>0.0628</v>
      </c>
      <c r="P12" s="2" t="s">
        <v>355</v>
      </c>
      <c r="Q12" s="17" t="n">
        <v>0.0628</v>
      </c>
      <c r="R12" s="16" t="n">
        <f aca="false">Q12</f>
        <v>0.0628</v>
      </c>
      <c r="S12" s="16" t="n">
        <f aca="false">R12</f>
        <v>0.0628</v>
      </c>
      <c r="T12" s="16" t="n">
        <f aca="false">S12</f>
        <v>0.0628</v>
      </c>
      <c r="U12" s="16" t="n">
        <f aca="false">T12</f>
        <v>0.0628</v>
      </c>
      <c r="V12" s="16" t="n">
        <f aca="false">U12</f>
        <v>0.0628</v>
      </c>
      <c r="W12" s="16" t="n">
        <f aca="false">V12</f>
        <v>0.0628</v>
      </c>
      <c r="X12" s="16" t="n">
        <f aca="false">W12</f>
        <v>0.0628</v>
      </c>
      <c r="Y12" s="16" t="n">
        <f aca="false">X12</f>
        <v>0.0628</v>
      </c>
      <c r="Z12" s="16" t="n">
        <f aca="false">Y12</f>
        <v>0.0628</v>
      </c>
      <c r="AA12" s="16" t="n">
        <f aca="false">Z12</f>
        <v>0.0628</v>
      </c>
      <c r="AB12" s="16" t="n">
        <f aca="false">AA12</f>
        <v>0.0628</v>
      </c>
      <c r="AD12" s="2" t="s">
        <v>355</v>
      </c>
      <c r="AE12" s="17" t="n">
        <v>0.0628</v>
      </c>
      <c r="AF12" s="16" t="n">
        <f aca="false">AE12</f>
        <v>0.0628</v>
      </c>
      <c r="AG12" s="16" t="n">
        <f aca="false">AF12</f>
        <v>0.0628</v>
      </c>
      <c r="AH12" s="16" t="n">
        <f aca="false">AG12</f>
        <v>0.0628</v>
      </c>
      <c r="AI12" s="16" t="n">
        <f aca="false">AH12</f>
        <v>0.0628</v>
      </c>
      <c r="AJ12" s="16" t="n">
        <f aca="false">AI12</f>
        <v>0.0628</v>
      </c>
      <c r="AK12" s="16" t="n">
        <f aca="false">AJ12</f>
        <v>0.0628</v>
      </c>
      <c r="AL12" s="16" t="n">
        <f aca="false">AK12</f>
        <v>0.0628</v>
      </c>
      <c r="AM12" s="16" t="n">
        <f aca="false">AL12</f>
        <v>0.0628</v>
      </c>
      <c r="AN12" s="16" t="n">
        <f aca="false">AM12</f>
        <v>0.0628</v>
      </c>
      <c r="AO12" s="16" t="n">
        <f aca="false">AN12</f>
        <v>0.0628</v>
      </c>
      <c r="AP12" s="16" t="n">
        <f aca="false">AO12</f>
        <v>0.0628</v>
      </c>
    </row>
    <row r="13" customFormat="false" ht="13.2" hidden="false" customHeight="false" outlineLevel="0" collapsed="false">
      <c r="B13" s="2" t="s">
        <v>56</v>
      </c>
      <c r="C13" s="16" t="n">
        <f aca="false">Factors!C25</f>
        <v>0.025</v>
      </c>
      <c r="D13" s="16" t="n">
        <f aca="false">Factors!D25</f>
        <v>0.025</v>
      </c>
      <c r="E13" s="16" t="n">
        <f aca="false">Factors!E25</f>
        <v>0.025</v>
      </c>
      <c r="F13" s="16" t="n">
        <f aca="false">Factors!F25</f>
        <v>0.025</v>
      </c>
      <c r="G13" s="16" t="n">
        <f aca="false">Factors!G25</f>
        <v>0.025</v>
      </c>
      <c r="H13" s="16" t="n">
        <f aca="false">Factors!H25</f>
        <v>0.025</v>
      </c>
      <c r="I13" s="16" t="n">
        <f aca="false">Factors!I25</f>
        <v>0.025</v>
      </c>
      <c r="J13" s="16" t="n">
        <f aca="false">Factors!J25</f>
        <v>0.025</v>
      </c>
      <c r="K13" s="16" t="n">
        <f aca="false">Factors!K25</f>
        <v>0.025</v>
      </c>
      <c r="L13" s="16" t="n">
        <f aca="false">Factors!L25</f>
        <v>0.025</v>
      </c>
      <c r="M13" s="16" t="n">
        <f aca="false">Factors!M25</f>
        <v>0.025</v>
      </c>
      <c r="N13" s="16" t="n">
        <f aca="false">Factors!N25</f>
        <v>0.025</v>
      </c>
      <c r="P13" s="2" t="s">
        <v>56</v>
      </c>
      <c r="Q13" s="16" t="n">
        <f aca="false">Factors!R25</f>
        <v>0.025</v>
      </c>
      <c r="R13" s="16" t="n">
        <f aca="false">Factors!S25</f>
        <v>0.025</v>
      </c>
      <c r="S13" s="16" t="n">
        <f aca="false">Factors!T25</f>
        <v>0.025</v>
      </c>
      <c r="T13" s="16" t="n">
        <f aca="false">Factors!U25</f>
        <v>0.025</v>
      </c>
      <c r="U13" s="16" t="n">
        <f aca="false">Factors!V25</f>
        <v>0.025</v>
      </c>
      <c r="V13" s="16" t="n">
        <f aca="false">Factors!W25</f>
        <v>0.025</v>
      </c>
      <c r="W13" s="16" t="n">
        <f aca="false">Factors!X25</f>
        <v>0.025</v>
      </c>
      <c r="X13" s="16" t="n">
        <f aca="false">Factors!Y25</f>
        <v>0.025</v>
      </c>
      <c r="Y13" s="16" t="n">
        <f aca="false">Factors!Z25</f>
        <v>0.025</v>
      </c>
      <c r="Z13" s="16" t="n">
        <f aca="false">Factors!AA25</f>
        <v>0.025</v>
      </c>
      <c r="AA13" s="16" t="n">
        <f aca="false">Factors!AB25</f>
        <v>0.025</v>
      </c>
      <c r="AB13" s="16" t="n">
        <f aca="false">Factors!AC25</f>
        <v>0.025</v>
      </c>
      <c r="AD13" s="2" t="s">
        <v>56</v>
      </c>
      <c r="AE13" s="16" t="n">
        <f aca="false">Factors!AG25</f>
        <v>0.025</v>
      </c>
      <c r="AF13" s="16" t="n">
        <f aca="false">Factors!AH25</f>
        <v>0.025</v>
      </c>
      <c r="AG13" s="16" t="n">
        <f aca="false">Factors!AI25</f>
        <v>0.025</v>
      </c>
      <c r="AH13" s="16" t="n">
        <f aca="false">Factors!AJ25</f>
        <v>0.025</v>
      </c>
      <c r="AI13" s="16" t="n">
        <f aca="false">Factors!AK25</f>
        <v>0.025</v>
      </c>
      <c r="AJ13" s="16" t="n">
        <f aca="false">Factors!AL25</f>
        <v>0.025</v>
      </c>
      <c r="AK13" s="16" t="n">
        <f aca="false">Factors!AM25</f>
        <v>0.025</v>
      </c>
      <c r="AL13" s="16" t="n">
        <f aca="false">Factors!AN25</f>
        <v>0.025</v>
      </c>
      <c r="AM13" s="16" t="n">
        <f aca="false">Factors!AO25</f>
        <v>0.025</v>
      </c>
      <c r="AN13" s="16" t="n">
        <f aca="false">Factors!AP25</f>
        <v>0.025</v>
      </c>
      <c r="AO13" s="16" t="n">
        <f aca="false">Factors!AQ25</f>
        <v>0.025</v>
      </c>
      <c r="AP13" s="16" t="n">
        <f aca="false">Factors!AR25</f>
        <v>0.025</v>
      </c>
    </row>
    <row r="15" customFormat="false" ht="13.2" hidden="false" customHeight="false" outlineLevel="0" collapsed="false">
      <c r="B15" s="2" t="s">
        <v>356</v>
      </c>
      <c r="P15" s="2" t="s">
        <v>356</v>
      </c>
      <c r="AD15" s="2" t="s">
        <v>356</v>
      </c>
    </row>
    <row r="16" customFormat="false" ht="13.2" hidden="false" customHeight="false" outlineLevel="0" collapsed="false">
      <c r="B16" s="2" t="s">
        <v>357</v>
      </c>
      <c r="C16" s="139" t="n">
        <f aca="false">C10*C12/360*30*-1</f>
        <v>-559480.542333333</v>
      </c>
      <c r="D16" s="139" t="n">
        <f aca="false">D10*D12/360*30*-1</f>
        <v>-559480.542333333</v>
      </c>
      <c r="E16" s="139" t="n">
        <f aca="false">E10*E12/360*30*-1</f>
        <v>-559480.542333333</v>
      </c>
      <c r="F16" s="139" t="n">
        <f aca="false">F10*F12/360*30*-1</f>
        <v>-546637.507966667</v>
      </c>
      <c r="G16" s="139" t="n">
        <f aca="false">G10*G12/360*30*-1</f>
        <v>-546637.507966667</v>
      </c>
      <c r="H16" s="139" t="n">
        <f aca="false">H10*H12/360*30*-1</f>
        <v>-546637.507966667</v>
      </c>
      <c r="I16" s="139" t="n">
        <f aca="false">I10*I12/360*30*-1</f>
        <v>-546637.507966667</v>
      </c>
      <c r="J16" s="139" t="n">
        <f aca="false">J10*J12/360*30*-1</f>
        <v>-546637.507966667</v>
      </c>
      <c r="K16" s="139" t="n">
        <f aca="false">K10*K12/360*30*-1</f>
        <v>-546637.507966667</v>
      </c>
      <c r="L16" s="139" t="n">
        <f aca="false">L10*L12/360*30*-1</f>
        <v>-533277.917433333</v>
      </c>
      <c r="M16" s="139" t="n">
        <f aca="false">M10*M12/360*30*-1</f>
        <v>-533277.917433333</v>
      </c>
      <c r="N16" s="139" t="n">
        <f aca="false">N10*N12/360*30*-1</f>
        <v>-533277.917433333</v>
      </c>
      <c r="P16" s="2" t="s">
        <v>357</v>
      </c>
      <c r="Q16" s="139" t="n">
        <f aca="false">Q10*Q12/360*30*-1</f>
        <v>-533277.917433333</v>
      </c>
      <c r="R16" s="139" t="n">
        <f aca="false">R10*R12/360*30*-1</f>
        <v>-533277.917433333</v>
      </c>
      <c r="S16" s="139" t="n">
        <f aca="false">S10*S12/360*30*-1</f>
        <v>-533277.917433333</v>
      </c>
      <c r="T16" s="139" t="n">
        <f aca="false">T10*T12/360*30*-1</f>
        <v>-519381.538666667</v>
      </c>
      <c r="U16" s="139" t="n">
        <f aca="false">U10*U12/360*30*-1</f>
        <v>-519381.538666667</v>
      </c>
      <c r="V16" s="139" t="n">
        <f aca="false">V10*V12/360*30*-1</f>
        <v>-519381.538666667</v>
      </c>
      <c r="W16" s="139" t="n">
        <f aca="false">W10*W12/360*30*-1</f>
        <v>-519381.538666667</v>
      </c>
      <c r="X16" s="139" t="n">
        <f aca="false">X10*X12/360*30*-1</f>
        <v>-519381.538666667</v>
      </c>
      <c r="Y16" s="139" t="n">
        <f aca="false">Y10*Y12/360*30*-1</f>
        <v>-519381.538666667</v>
      </c>
      <c r="Z16" s="139" t="n">
        <f aca="false">Z10*Z12/360*30*-1</f>
        <v>-504926.9464</v>
      </c>
      <c r="AA16" s="139" t="n">
        <f aca="false">AA10*AA12/360*30*-1</f>
        <v>-504926.9464</v>
      </c>
      <c r="AB16" s="139" t="n">
        <f aca="false">AB10*AB12/360*30*-1</f>
        <v>-504926.9464</v>
      </c>
      <c r="AD16" s="2" t="s">
        <v>357</v>
      </c>
      <c r="AE16" s="139" t="n">
        <f aca="false">AE10*AE12/360*30*-1</f>
        <v>-504926.9464</v>
      </c>
      <c r="AF16" s="139" t="n">
        <f aca="false">AF10*AF12/360*30*-1</f>
        <v>-504926.9464</v>
      </c>
      <c r="AG16" s="139" t="n">
        <f aca="false">AG10*AG12/360*30*-1</f>
        <v>-504926.9464</v>
      </c>
      <c r="AH16" s="139" t="n">
        <f aca="false">AH10*AH12/360*30*-1</f>
        <v>-489890.936033333</v>
      </c>
      <c r="AI16" s="139" t="n">
        <f aca="false">AI10*AI12/360*30*-1</f>
        <v>-489890.936033333</v>
      </c>
      <c r="AJ16" s="139" t="n">
        <f aca="false">AJ10*AJ12/360*30*-1</f>
        <v>-489890.936033333</v>
      </c>
      <c r="AK16" s="139" t="n">
        <f aca="false">AK10*AK12/360*30*-1</f>
        <v>-489890.936033333</v>
      </c>
      <c r="AL16" s="139" t="n">
        <f aca="false">AL10*AL12/360*30*-1</f>
        <v>-489890.936033333</v>
      </c>
      <c r="AM16" s="139" t="n">
        <f aca="false">AM10*AM12/360*30*-1</f>
        <v>-489890.936033333</v>
      </c>
      <c r="AN16" s="139" t="n">
        <f aca="false">AN10*AN12/360*30*-1</f>
        <v>-474250.8891</v>
      </c>
      <c r="AO16" s="139" t="n">
        <f aca="false">AO10*AO12/360*30*-1</f>
        <v>-474250.8891</v>
      </c>
      <c r="AP16" s="139" t="n">
        <f aca="false">AP10*AP12/360*30*-1</f>
        <v>-474250.8891</v>
      </c>
    </row>
    <row r="17" customFormat="false" ht="13.2" hidden="false" customHeight="false" outlineLevel="0" collapsed="false">
      <c r="B17" s="2" t="s">
        <v>358</v>
      </c>
      <c r="C17" s="139" t="n">
        <f aca="false">C10*C13*C8/360</f>
        <v>230147.250694444</v>
      </c>
      <c r="D17" s="139" t="n">
        <f aca="false">D10*D13*D8/360</f>
        <v>207874.936111111</v>
      </c>
      <c r="E17" s="139" t="n">
        <f aca="false">E10*E13*E8/360</f>
        <v>230147.250694444</v>
      </c>
      <c r="F17" s="139" t="n">
        <f aca="false">F10*F13*F8/360</f>
        <v>217610.472916667</v>
      </c>
      <c r="G17" s="139" t="n">
        <f aca="false">G10*G13*G8/360</f>
        <v>224864.155347222</v>
      </c>
      <c r="H17" s="139" t="n">
        <f aca="false">H10*H13*H8/360</f>
        <v>217610.472916667</v>
      </c>
      <c r="I17" s="139" t="n">
        <f aca="false">I10*I13*I8/360</f>
        <v>224864.155347222</v>
      </c>
      <c r="J17" s="139" t="n">
        <f aca="false">J10*J13*J8/360</f>
        <v>224864.155347222</v>
      </c>
      <c r="K17" s="139" t="n">
        <f aca="false">K10*K13*K8/360</f>
        <v>217610.472916667</v>
      </c>
      <c r="L17" s="139" t="n">
        <f aca="false">L10*L13*L8/360</f>
        <v>219368.570069444</v>
      </c>
      <c r="M17" s="139" t="n">
        <f aca="false">M10*M13*M8/360</f>
        <v>212292.164583333</v>
      </c>
      <c r="N17" s="139" t="n">
        <f aca="false">N10*N13*N8/360</f>
        <v>219368.570069444</v>
      </c>
      <c r="P17" s="2" t="s">
        <v>358</v>
      </c>
      <c r="Q17" s="139" t="n">
        <f aca="false">Q10*Q13*Q8/360</f>
        <v>219368.570069444</v>
      </c>
      <c r="R17" s="139" t="n">
        <f aca="false">R10*R13*R8/360</f>
        <v>198139.353611111</v>
      </c>
      <c r="S17" s="139" t="n">
        <f aca="false">S10*S13*S8/360</f>
        <v>219368.570069444</v>
      </c>
      <c r="T17" s="139" t="n">
        <f aca="false">T10*T13*T8/360</f>
        <v>206760.166666667</v>
      </c>
      <c r="U17" s="139" t="n">
        <f aca="false">U10*U13*U8/360</f>
        <v>213652.172222222</v>
      </c>
      <c r="V17" s="139" t="n">
        <f aca="false">V10*V13*V8/360</f>
        <v>206760.166666667</v>
      </c>
      <c r="W17" s="139" t="n">
        <f aca="false">W10*W13*W8/360</f>
        <v>213652.172222222</v>
      </c>
      <c r="X17" s="139" t="n">
        <f aca="false">X10*X13*X8/360</f>
        <v>213652.172222222</v>
      </c>
      <c r="Y17" s="139" t="n">
        <f aca="false">Y10*Y13*Y8/360</f>
        <v>206760.166666667</v>
      </c>
      <c r="Z17" s="139" t="n">
        <f aca="false">Z10*Z13*Z8/360</f>
        <v>207706.148333333</v>
      </c>
      <c r="AA17" s="139" t="n">
        <f aca="false">AA10*AA13*AA8/360</f>
        <v>201005.95</v>
      </c>
      <c r="AB17" s="139" t="n">
        <f aca="false">AB10*AB13*AB8/360</f>
        <v>207706.148333333</v>
      </c>
      <c r="AD17" s="2" t="s">
        <v>358</v>
      </c>
      <c r="AE17" s="139" t="n">
        <f aca="false">AE10*AE13*AE8/360</f>
        <v>207706.148333333</v>
      </c>
      <c r="AF17" s="139" t="n">
        <f aca="false">AF10*AF13*AF8/360</f>
        <v>187605.553333333</v>
      </c>
      <c r="AG17" s="139" t="n">
        <f aca="false">AG10*AG13*AG8/360</f>
        <v>207706.148333333</v>
      </c>
      <c r="AH17" s="139" t="n">
        <f aca="false">AH10*AH13*AH8/360</f>
        <v>195020.277083333</v>
      </c>
      <c r="AI17" s="139" t="n">
        <f aca="false">AI10*AI13*AI8/360</f>
        <v>201520.952986111</v>
      </c>
      <c r="AJ17" s="139" t="n">
        <f aca="false">AJ10*AJ13*AJ8/360</f>
        <v>195020.277083333</v>
      </c>
      <c r="AK17" s="139" t="n">
        <f aca="false">AK10*AK13*AK8/360</f>
        <v>201520.952986111</v>
      </c>
      <c r="AL17" s="139" t="n">
        <f aca="false">AL10*AL13*AL8/360</f>
        <v>201520.952986111</v>
      </c>
      <c r="AM17" s="139" t="n">
        <f aca="false">AM10*AM13*AM8/360</f>
        <v>195020.277083333</v>
      </c>
      <c r="AN17" s="139" t="n">
        <f aca="false">AN10*AN13*AN8/360</f>
        <v>195087.281875</v>
      </c>
      <c r="AO17" s="139" t="n">
        <f aca="false">AO10*AO13*AO8/360</f>
        <v>188794.14375</v>
      </c>
      <c r="AP17" s="139" t="n">
        <f aca="false">AP10*AP13*AP8/360</f>
        <v>195087.281875</v>
      </c>
    </row>
    <row r="18" customFormat="false" ht="13.2" hidden="false" customHeight="false" outlineLevel="0" collapsed="false"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</row>
    <row r="19" customFormat="false" ht="13.8" hidden="false" customHeight="false" outlineLevel="0" collapsed="false">
      <c r="B19" s="26" t="s">
        <v>359</v>
      </c>
      <c r="C19" s="189" t="n">
        <f aca="false">SUM(C16:C18)</f>
        <v>-329333.291638889</v>
      </c>
      <c r="D19" s="189" t="n">
        <f aca="false">SUM(D16:D18)</f>
        <v>-351605.606222222</v>
      </c>
      <c r="E19" s="189" t="n">
        <f aca="false">SUM(E16:E18)</f>
        <v>-329333.291638889</v>
      </c>
      <c r="F19" s="189" t="n">
        <f aca="false">SUM(F16:F18)</f>
        <v>-329027.03505</v>
      </c>
      <c r="G19" s="189" t="n">
        <f aca="false">SUM(G16:G18)</f>
        <v>-321773.352619444</v>
      </c>
      <c r="H19" s="189" t="n">
        <f aca="false">SUM(H16:H18)</f>
        <v>-329027.03505</v>
      </c>
      <c r="I19" s="189" t="n">
        <f aca="false">SUM(I16:I18)</f>
        <v>-321773.352619444</v>
      </c>
      <c r="J19" s="189" t="n">
        <f aca="false">SUM(J16:J18)</f>
        <v>-321773.352619444</v>
      </c>
      <c r="K19" s="189" t="n">
        <f aca="false">SUM(K16:K18)</f>
        <v>-329027.03505</v>
      </c>
      <c r="L19" s="189" t="n">
        <f aca="false">SUM(L16:L18)</f>
        <v>-313909.347363889</v>
      </c>
      <c r="M19" s="189" t="n">
        <f aca="false">SUM(M16:M18)</f>
        <v>-320985.75285</v>
      </c>
      <c r="N19" s="189" t="n">
        <f aca="false">SUM(N16:N18)</f>
        <v>-313909.347363889</v>
      </c>
      <c r="P19" s="2" t="s">
        <v>359</v>
      </c>
      <c r="Q19" s="139" t="n">
        <f aca="false">SUM(Q16:Q18)</f>
        <v>-313909.347363889</v>
      </c>
      <c r="R19" s="139" t="n">
        <f aca="false">SUM(R16:R18)</f>
        <v>-335138.563822222</v>
      </c>
      <c r="S19" s="139" t="n">
        <f aca="false">SUM(S16:S18)</f>
        <v>-313909.347363889</v>
      </c>
      <c r="T19" s="139" t="n">
        <f aca="false">SUM(T16:T18)</f>
        <v>-312621.372</v>
      </c>
      <c r="U19" s="139" t="n">
        <f aca="false">SUM(U16:U18)</f>
        <v>-305729.366444444</v>
      </c>
      <c r="V19" s="139" t="n">
        <f aca="false">SUM(V16:V18)</f>
        <v>-312621.372</v>
      </c>
      <c r="W19" s="139" t="n">
        <f aca="false">SUM(W16:W18)</f>
        <v>-305729.366444444</v>
      </c>
      <c r="X19" s="139" t="n">
        <f aca="false">SUM(X16:X18)</f>
        <v>-305729.366444444</v>
      </c>
      <c r="Y19" s="139" t="n">
        <f aca="false">SUM(Y16:Y18)</f>
        <v>-312621.372</v>
      </c>
      <c r="Z19" s="139" t="n">
        <f aca="false">SUM(Z16:Z18)</f>
        <v>-297220.798066667</v>
      </c>
      <c r="AA19" s="139" t="n">
        <f aca="false">SUM(AA16:AA18)</f>
        <v>-303920.9964</v>
      </c>
      <c r="AB19" s="139" t="n">
        <f aca="false">SUM(AB16:AB18)</f>
        <v>-297220.798066667</v>
      </c>
      <c r="AD19" s="2" t="s">
        <v>359</v>
      </c>
      <c r="AE19" s="139" t="n">
        <f aca="false">SUM(AE16:AE18)</f>
        <v>-297220.798066667</v>
      </c>
      <c r="AF19" s="139" t="n">
        <f aca="false">SUM(AF16:AF18)</f>
        <v>-317321.393066667</v>
      </c>
      <c r="AG19" s="139" t="n">
        <f aca="false">SUM(AG16:AG18)</f>
        <v>-297220.798066667</v>
      </c>
      <c r="AH19" s="139" t="n">
        <f aca="false">SUM(AH16:AH18)</f>
        <v>-294870.65895</v>
      </c>
      <c r="AI19" s="139" t="n">
        <f aca="false">SUM(AI16:AI18)</f>
        <v>-288369.983047222</v>
      </c>
      <c r="AJ19" s="139" t="n">
        <f aca="false">SUM(AJ16:AJ18)</f>
        <v>-294870.65895</v>
      </c>
      <c r="AK19" s="139" t="n">
        <f aca="false">SUM(AK16:AK18)</f>
        <v>-288369.983047222</v>
      </c>
      <c r="AL19" s="139" t="n">
        <f aca="false">SUM(AL16:AL18)</f>
        <v>-288369.983047222</v>
      </c>
      <c r="AM19" s="139" t="n">
        <f aca="false">SUM(AM16:AM18)</f>
        <v>-294870.65895</v>
      </c>
      <c r="AN19" s="139" t="n">
        <f aca="false">SUM(AN16:AN18)</f>
        <v>-279163.607225</v>
      </c>
      <c r="AO19" s="139" t="n">
        <f aca="false">SUM(AO16:AO18)</f>
        <v>-285456.74535</v>
      </c>
      <c r="AP19" s="139" t="n">
        <f aca="false">SUM(AP16:AP18)</f>
        <v>-279163.607225</v>
      </c>
    </row>
    <row r="20" customFormat="false" ht="13.8" hidden="false" customHeight="false" outlineLevel="0" collapsed="false"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</row>
    <row r="21" customFormat="false" ht="13.2" hidden="false" customHeight="false" outlineLevel="0" collapsed="false">
      <c r="B21" s="2" t="s">
        <v>360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P21" s="2" t="s">
        <v>360</v>
      </c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D21" s="2" t="s">
        <v>360</v>
      </c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</row>
    <row r="22" customFormat="false" ht="13.2" hidden="false" customHeight="false" outlineLevel="0" collapsed="false">
      <c r="B22" s="2" t="s">
        <v>357</v>
      </c>
      <c r="C22" s="139"/>
      <c r="D22" s="139"/>
      <c r="E22" s="139" t="n">
        <f aca="false">SUM(C16:E16)-C28</f>
        <v>-3356883.254</v>
      </c>
      <c r="F22" s="139"/>
      <c r="G22" s="139"/>
      <c r="H22" s="139"/>
      <c r="I22" s="139"/>
      <c r="J22" s="139"/>
      <c r="K22" s="139" t="n">
        <f aca="false">SUM(F16:K16)</f>
        <v>-3279825.0478</v>
      </c>
      <c r="L22" s="139"/>
      <c r="M22" s="139"/>
      <c r="N22" s="139"/>
      <c r="P22" s="2" t="s">
        <v>357</v>
      </c>
      <c r="Q22" s="139"/>
      <c r="R22" s="139"/>
      <c r="S22" s="139" t="n">
        <f aca="false">SUM(Q16:S16)-Q28</f>
        <v>-3199667.5046</v>
      </c>
      <c r="T22" s="139"/>
      <c r="U22" s="139"/>
      <c r="V22" s="139"/>
      <c r="W22" s="139"/>
      <c r="X22" s="139"/>
      <c r="Y22" s="139" t="n">
        <f aca="false">SUM(T16:Y16)</f>
        <v>-3116289.232</v>
      </c>
      <c r="Z22" s="139"/>
      <c r="AA22" s="139"/>
      <c r="AB22" s="139"/>
      <c r="AD22" s="2" t="s">
        <v>357</v>
      </c>
      <c r="AE22" s="139"/>
      <c r="AF22" s="139"/>
      <c r="AG22" s="139" t="n">
        <f aca="false">SUM(AE16:AG16)-AE28</f>
        <v>-3029561.6784</v>
      </c>
      <c r="AH22" s="139"/>
      <c r="AI22" s="139"/>
      <c r="AJ22" s="139"/>
      <c r="AK22" s="139"/>
      <c r="AL22" s="139"/>
      <c r="AM22" s="139" t="n">
        <f aca="false">SUM(AH16:AM16)</f>
        <v>-2939345.6162</v>
      </c>
      <c r="AN22" s="139"/>
      <c r="AO22" s="139"/>
      <c r="AP22" s="139"/>
    </row>
    <row r="23" customFormat="false" ht="13.2" hidden="false" customHeight="false" outlineLevel="0" collapsed="false">
      <c r="B23" s="2" t="s">
        <v>358</v>
      </c>
      <c r="C23" s="139" t="n">
        <f aca="false">C17</f>
        <v>230147.250694444</v>
      </c>
      <c r="D23" s="139" t="n">
        <f aca="false">D17</f>
        <v>207874.936111111</v>
      </c>
      <c r="E23" s="139" t="n">
        <f aca="false">E17</f>
        <v>230147.250694444</v>
      </c>
      <c r="F23" s="139" t="n">
        <f aca="false">F17</f>
        <v>217610.472916667</v>
      </c>
      <c r="G23" s="139" t="n">
        <f aca="false">G17</f>
        <v>224864.155347222</v>
      </c>
      <c r="H23" s="139" t="n">
        <f aca="false">H17</f>
        <v>217610.472916667</v>
      </c>
      <c r="I23" s="139" t="n">
        <f aca="false">I17</f>
        <v>224864.155347222</v>
      </c>
      <c r="J23" s="139" t="n">
        <f aca="false">J17</f>
        <v>224864.155347222</v>
      </c>
      <c r="K23" s="139" t="n">
        <f aca="false">K17</f>
        <v>217610.472916667</v>
      </c>
      <c r="L23" s="139" t="n">
        <f aca="false">L17</f>
        <v>219368.570069444</v>
      </c>
      <c r="M23" s="139" t="n">
        <f aca="false">M17</f>
        <v>212292.164583333</v>
      </c>
      <c r="N23" s="139" t="n">
        <f aca="false">N17</f>
        <v>219368.570069444</v>
      </c>
      <c r="P23" s="2" t="s">
        <v>358</v>
      </c>
      <c r="Q23" s="139" t="n">
        <f aca="false">Q17</f>
        <v>219368.570069444</v>
      </c>
      <c r="R23" s="139" t="n">
        <f aca="false">R17</f>
        <v>198139.353611111</v>
      </c>
      <c r="S23" s="139" t="n">
        <f aca="false">S17</f>
        <v>219368.570069444</v>
      </c>
      <c r="T23" s="139" t="n">
        <f aca="false">T17</f>
        <v>206760.166666667</v>
      </c>
      <c r="U23" s="139" t="n">
        <f aca="false">U17</f>
        <v>213652.172222222</v>
      </c>
      <c r="V23" s="139" t="n">
        <f aca="false">V17</f>
        <v>206760.166666667</v>
      </c>
      <c r="W23" s="139" t="n">
        <f aca="false">W17</f>
        <v>213652.172222222</v>
      </c>
      <c r="X23" s="139" t="n">
        <f aca="false">X17</f>
        <v>213652.172222222</v>
      </c>
      <c r="Y23" s="139" t="n">
        <f aca="false">Y17</f>
        <v>206760.166666667</v>
      </c>
      <c r="Z23" s="139" t="n">
        <f aca="false">Z17</f>
        <v>207706.148333333</v>
      </c>
      <c r="AA23" s="139" t="n">
        <f aca="false">AA17</f>
        <v>201005.95</v>
      </c>
      <c r="AB23" s="139" t="n">
        <f aca="false">AB17</f>
        <v>207706.148333333</v>
      </c>
      <c r="AD23" s="2" t="s">
        <v>358</v>
      </c>
      <c r="AE23" s="139" t="n">
        <f aca="false">AE17</f>
        <v>207706.148333333</v>
      </c>
      <c r="AF23" s="139" t="n">
        <f aca="false">AF17</f>
        <v>187605.553333333</v>
      </c>
      <c r="AG23" s="139" t="n">
        <f aca="false">AG17</f>
        <v>207706.148333333</v>
      </c>
      <c r="AH23" s="139" t="n">
        <f aca="false">AH17</f>
        <v>195020.277083333</v>
      </c>
      <c r="AI23" s="139" t="n">
        <f aca="false">AI17</f>
        <v>201520.952986111</v>
      </c>
      <c r="AJ23" s="139" t="n">
        <f aca="false">AJ17</f>
        <v>195020.277083333</v>
      </c>
      <c r="AK23" s="139" t="n">
        <f aca="false">AK17</f>
        <v>201520.952986111</v>
      </c>
      <c r="AL23" s="139" t="n">
        <f aca="false">AL17</f>
        <v>201520.952986111</v>
      </c>
      <c r="AM23" s="139" t="n">
        <f aca="false">AM17</f>
        <v>195020.277083333</v>
      </c>
      <c r="AN23" s="139" t="n">
        <f aca="false">AN17</f>
        <v>195087.281875</v>
      </c>
      <c r="AO23" s="139" t="n">
        <f aca="false">AO17</f>
        <v>188794.14375</v>
      </c>
      <c r="AP23" s="139" t="n">
        <f aca="false">AP17</f>
        <v>195087.281875</v>
      </c>
    </row>
    <row r="25" customFormat="false" ht="54.6" hidden="false" customHeight="true" outlineLevel="0" collapsed="false"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</row>
    <row r="26" customFormat="false" ht="13.2" hidden="false" customHeight="false" outlineLevel="0" collapsed="false">
      <c r="B26" s="7" t="s">
        <v>361</v>
      </c>
      <c r="C26" s="27" t="s">
        <v>41</v>
      </c>
      <c r="D26" s="27" t="s">
        <v>42</v>
      </c>
      <c r="E26" s="27" t="s">
        <v>43</v>
      </c>
      <c r="F26" s="27" t="s">
        <v>44</v>
      </c>
      <c r="G26" s="27" t="s">
        <v>45</v>
      </c>
      <c r="H26" s="27" t="s">
        <v>46</v>
      </c>
      <c r="I26" s="27" t="s">
        <v>47</v>
      </c>
      <c r="J26" s="27" t="s">
        <v>48</v>
      </c>
      <c r="K26" s="27" t="s">
        <v>49</v>
      </c>
      <c r="L26" s="27" t="s">
        <v>50</v>
      </c>
      <c r="M26" s="27" t="s">
        <v>51</v>
      </c>
      <c r="N26" s="27" t="s">
        <v>52</v>
      </c>
      <c r="P26" s="2" t="s">
        <v>362</v>
      </c>
      <c r="Q26" s="27" t="s">
        <v>41</v>
      </c>
      <c r="R26" s="27" t="s">
        <v>42</v>
      </c>
      <c r="S26" s="27" t="s">
        <v>43</v>
      </c>
      <c r="T26" s="27" t="s">
        <v>44</v>
      </c>
      <c r="U26" s="27" t="s">
        <v>45</v>
      </c>
      <c r="V26" s="27" t="s">
        <v>46</v>
      </c>
      <c r="W26" s="27" t="s">
        <v>47</v>
      </c>
      <c r="X26" s="27" t="s">
        <v>48</v>
      </c>
      <c r="Y26" s="27" t="s">
        <v>49</v>
      </c>
      <c r="Z26" s="27" t="s">
        <v>50</v>
      </c>
      <c r="AA26" s="27" t="s">
        <v>51</v>
      </c>
      <c r="AB26" s="27" t="s">
        <v>52</v>
      </c>
      <c r="AD26" s="2" t="s">
        <v>362</v>
      </c>
      <c r="AE26" s="27" t="s">
        <v>41</v>
      </c>
      <c r="AF26" s="27" t="s">
        <v>42</v>
      </c>
      <c r="AG26" s="27" t="s">
        <v>43</v>
      </c>
      <c r="AH26" s="27" t="s">
        <v>44</v>
      </c>
      <c r="AI26" s="27" t="s">
        <v>45</v>
      </c>
      <c r="AJ26" s="27" t="s">
        <v>46</v>
      </c>
      <c r="AK26" s="27" t="s">
        <v>47</v>
      </c>
      <c r="AL26" s="27" t="s">
        <v>48</v>
      </c>
      <c r="AM26" s="27" t="s">
        <v>49</v>
      </c>
      <c r="AN26" s="27" t="s">
        <v>50</v>
      </c>
      <c r="AO26" s="27" t="s">
        <v>51</v>
      </c>
      <c r="AP26" s="27" t="s">
        <v>52</v>
      </c>
    </row>
    <row r="27" customFormat="false" ht="13.2" hidden="false" customHeight="false" outlineLevel="0" collapsed="false">
      <c r="B27" s="206" t="s">
        <v>363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P27" s="206" t="s">
        <v>351</v>
      </c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D27" s="206" t="s">
        <v>351</v>
      </c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</row>
    <row r="28" customFormat="false" ht="13.2" hidden="false" customHeight="false" outlineLevel="0" collapsed="false">
      <c r="B28" s="7" t="s">
        <v>364</v>
      </c>
      <c r="C28" s="176" t="n">
        <f aca="false">C16*-3</f>
        <v>1678441.627</v>
      </c>
      <c r="D28" s="176" t="n">
        <f aca="false">C33</f>
        <v>2237922.16933333</v>
      </c>
      <c r="E28" s="176" t="n">
        <f aca="false">D33</f>
        <v>2797402.71166667</v>
      </c>
      <c r="F28" s="176" t="n">
        <f aca="false">E33</f>
        <v>0</v>
      </c>
      <c r="G28" s="176" t="n">
        <f aca="false">F33</f>
        <v>546637.507966667</v>
      </c>
      <c r="H28" s="176" t="n">
        <f aca="false">G33</f>
        <v>1093275.01593333</v>
      </c>
      <c r="I28" s="176" t="n">
        <f aca="false">H33</f>
        <v>1639912.5239</v>
      </c>
      <c r="J28" s="176" t="n">
        <f aca="false">I33</f>
        <v>2186550.03186667</v>
      </c>
      <c r="K28" s="176" t="n">
        <f aca="false">J33</f>
        <v>2733187.53983333</v>
      </c>
      <c r="L28" s="176" t="n">
        <f aca="false">K33</f>
        <v>0</v>
      </c>
      <c r="M28" s="176" t="n">
        <f aca="false">L33</f>
        <v>533277.917433333</v>
      </c>
      <c r="N28" s="176" t="n">
        <f aca="false">M33</f>
        <v>1066555.83486667</v>
      </c>
      <c r="P28" s="7" t="s">
        <v>364</v>
      </c>
      <c r="Q28" s="176" t="n">
        <f aca="false">N33</f>
        <v>1599833.7523</v>
      </c>
      <c r="R28" s="176" t="n">
        <f aca="false">Q33</f>
        <v>2133111.66973333</v>
      </c>
      <c r="S28" s="176" t="n">
        <f aca="false">R33</f>
        <v>2666389.58716667</v>
      </c>
      <c r="T28" s="176" t="n">
        <f aca="false">S33</f>
        <v>0</v>
      </c>
      <c r="U28" s="176" t="n">
        <f aca="false">T33</f>
        <v>519381.538666667</v>
      </c>
      <c r="V28" s="176" t="n">
        <f aca="false">U33</f>
        <v>1038763.07733333</v>
      </c>
      <c r="W28" s="176" t="n">
        <f aca="false">V33</f>
        <v>1558144.616</v>
      </c>
      <c r="X28" s="176" t="n">
        <f aca="false">W33</f>
        <v>2077526.15466667</v>
      </c>
      <c r="Y28" s="176" t="n">
        <f aca="false">X33</f>
        <v>2596907.69333333</v>
      </c>
      <c r="Z28" s="176" t="n">
        <f aca="false">Y33</f>
        <v>0</v>
      </c>
      <c r="AA28" s="176" t="n">
        <f aca="false">Z33</f>
        <v>504926.9464</v>
      </c>
      <c r="AB28" s="176" t="n">
        <f aca="false">AA33</f>
        <v>1009853.8928</v>
      </c>
      <c r="AD28" s="7" t="s">
        <v>364</v>
      </c>
      <c r="AE28" s="176" t="n">
        <f aca="false">AB33</f>
        <v>1514780.8392</v>
      </c>
      <c r="AF28" s="176" t="n">
        <f aca="false">AE33</f>
        <v>2019707.7856</v>
      </c>
      <c r="AG28" s="176" t="n">
        <f aca="false">AF33</f>
        <v>2524634.732</v>
      </c>
      <c r="AH28" s="176" t="n">
        <f aca="false">AG33</f>
        <v>0</v>
      </c>
      <c r="AI28" s="176" t="n">
        <f aca="false">AH33</f>
        <v>489890.936033333</v>
      </c>
      <c r="AJ28" s="176" t="n">
        <f aca="false">AI33</f>
        <v>979781.872066667</v>
      </c>
      <c r="AK28" s="176" t="n">
        <f aca="false">AJ33</f>
        <v>1469672.8081</v>
      </c>
      <c r="AL28" s="176" t="n">
        <f aca="false">AK33</f>
        <v>1959563.74413333</v>
      </c>
      <c r="AM28" s="176" t="n">
        <f aca="false">AL33</f>
        <v>2449454.68016667</v>
      </c>
      <c r="AN28" s="176" t="n">
        <f aca="false">AM33</f>
        <v>0</v>
      </c>
      <c r="AO28" s="176" t="n">
        <f aca="false">AN33</f>
        <v>474250.8891</v>
      </c>
      <c r="AP28" s="176" t="n">
        <f aca="false">AO33</f>
        <v>948501.7782</v>
      </c>
    </row>
    <row r="29" customFormat="false" ht="13.2" hidden="false" customHeight="false" outlineLevel="0" collapsed="false">
      <c r="A29" s="207" t="s">
        <v>365</v>
      </c>
      <c r="B29" s="2" t="s">
        <v>366</v>
      </c>
      <c r="C29" s="139" t="n">
        <f aca="false">C19*-1</f>
        <v>329333.291638889</v>
      </c>
      <c r="D29" s="139" t="n">
        <f aca="false">D19*-1</f>
        <v>351605.606222222</v>
      </c>
      <c r="E29" s="139" t="n">
        <f aca="false">E19*-1</f>
        <v>329333.291638889</v>
      </c>
      <c r="F29" s="139" t="n">
        <f aca="false">F19*-1</f>
        <v>329027.03505</v>
      </c>
      <c r="G29" s="139" t="n">
        <f aca="false">G19*-1</f>
        <v>321773.352619444</v>
      </c>
      <c r="H29" s="139" t="n">
        <f aca="false">H19*-1</f>
        <v>329027.03505</v>
      </c>
      <c r="I29" s="139" t="n">
        <f aca="false">I19*-1</f>
        <v>321773.352619444</v>
      </c>
      <c r="J29" s="139" t="n">
        <f aca="false">J19*-1</f>
        <v>321773.352619444</v>
      </c>
      <c r="K29" s="139" t="n">
        <f aca="false">K19*-1</f>
        <v>329027.03505</v>
      </c>
      <c r="L29" s="139" t="n">
        <f aca="false">L19*-1</f>
        <v>313909.347363889</v>
      </c>
      <c r="M29" s="139" t="n">
        <f aca="false">M19*-1</f>
        <v>320985.75285</v>
      </c>
      <c r="N29" s="139" t="n">
        <f aca="false">N19*-1</f>
        <v>313909.347363889</v>
      </c>
      <c r="P29" s="2" t="s">
        <v>366</v>
      </c>
      <c r="Q29" s="139" t="n">
        <f aca="false">Q19*-1</f>
        <v>313909.347363889</v>
      </c>
      <c r="R29" s="139" t="n">
        <f aca="false">R19*-1</f>
        <v>335138.563822222</v>
      </c>
      <c r="S29" s="139" t="n">
        <f aca="false">S19*-1</f>
        <v>313909.347363889</v>
      </c>
      <c r="T29" s="139" t="n">
        <f aca="false">T19*-1</f>
        <v>312621.372</v>
      </c>
      <c r="U29" s="139" t="n">
        <f aca="false">U19*-1</f>
        <v>305729.366444444</v>
      </c>
      <c r="V29" s="139" t="n">
        <f aca="false">V19*-1</f>
        <v>312621.372</v>
      </c>
      <c r="W29" s="139" t="n">
        <f aca="false">W19*-1</f>
        <v>305729.366444444</v>
      </c>
      <c r="X29" s="139" t="n">
        <f aca="false">X19*-1</f>
        <v>305729.366444444</v>
      </c>
      <c r="Y29" s="139" t="n">
        <f aca="false">Y19*-1</f>
        <v>312621.372</v>
      </c>
      <c r="Z29" s="139" t="n">
        <f aca="false">Z19*-1</f>
        <v>297220.798066667</v>
      </c>
      <c r="AA29" s="139" t="n">
        <f aca="false">AA19*-1</f>
        <v>303920.9964</v>
      </c>
      <c r="AB29" s="139" t="n">
        <f aca="false">AB19*-1</f>
        <v>297220.798066667</v>
      </c>
      <c r="AD29" s="2" t="s">
        <v>366</v>
      </c>
      <c r="AE29" s="139" t="n">
        <f aca="false">AE19*-1</f>
        <v>297220.798066667</v>
      </c>
      <c r="AF29" s="139" t="n">
        <f aca="false">AF19*-1</f>
        <v>317321.393066667</v>
      </c>
      <c r="AG29" s="139" t="n">
        <f aca="false">AG19*-1</f>
        <v>297220.798066667</v>
      </c>
      <c r="AH29" s="139" t="n">
        <f aca="false">AH19*-1</f>
        <v>294870.65895</v>
      </c>
      <c r="AI29" s="139" t="n">
        <f aca="false">AI19*-1</f>
        <v>288369.983047222</v>
      </c>
      <c r="AJ29" s="139" t="n">
        <f aca="false">AJ19*-1</f>
        <v>294870.65895</v>
      </c>
      <c r="AK29" s="139" t="n">
        <f aca="false">AK19*-1</f>
        <v>288369.983047222</v>
      </c>
      <c r="AL29" s="139" t="n">
        <f aca="false">AL19*-1</f>
        <v>288369.983047222</v>
      </c>
      <c r="AM29" s="139" t="n">
        <f aca="false">AM19*-1</f>
        <v>294870.65895</v>
      </c>
      <c r="AN29" s="139" t="n">
        <f aca="false">AN19*-1</f>
        <v>279163.607225</v>
      </c>
      <c r="AO29" s="139" t="n">
        <f aca="false">AO19*-1</f>
        <v>285456.74535</v>
      </c>
      <c r="AP29" s="139" t="n">
        <f aca="false">AP19*-1</f>
        <v>279163.607225</v>
      </c>
    </row>
    <row r="30" customFormat="false" ht="13.2" hidden="false" customHeight="false" outlineLevel="0" collapsed="false">
      <c r="B30" s="2" t="s">
        <v>358</v>
      </c>
      <c r="C30" s="139" t="n">
        <f aca="false">C23</f>
        <v>230147.250694444</v>
      </c>
      <c r="D30" s="139" t="n">
        <f aca="false">D23</f>
        <v>207874.936111111</v>
      </c>
      <c r="E30" s="139" t="n">
        <f aca="false">E23</f>
        <v>230147.250694444</v>
      </c>
      <c r="F30" s="139" t="n">
        <f aca="false">F23</f>
        <v>217610.472916667</v>
      </c>
      <c r="G30" s="139" t="n">
        <f aca="false">G23</f>
        <v>224864.155347222</v>
      </c>
      <c r="H30" s="139" t="n">
        <f aca="false">H23</f>
        <v>217610.472916667</v>
      </c>
      <c r="I30" s="139" t="n">
        <f aca="false">I23</f>
        <v>224864.155347222</v>
      </c>
      <c r="J30" s="139" t="n">
        <f aca="false">J23</f>
        <v>224864.155347222</v>
      </c>
      <c r="K30" s="139" t="n">
        <f aca="false">K23</f>
        <v>217610.472916667</v>
      </c>
      <c r="L30" s="139" t="n">
        <f aca="false">L23</f>
        <v>219368.570069444</v>
      </c>
      <c r="M30" s="139" t="n">
        <f aca="false">M23</f>
        <v>212292.164583333</v>
      </c>
      <c r="N30" s="139" t="n">
        <f aca="false">N23</f>
        <v>219368.570069444</v>
      </c>
      <c r="P30" s="2" t="s">
        <v>358</v>
      </c>
      <c r="Q30" s="139" t="n">
        <f aca="false">Q23</f>
        <v>219368.570069444</v>
      </c>
      <c r="R30" s="139" t="n">
        <f aca="false">R23</f>
        <v>198139.353611111</v>
      </c>
      <c r="S30" s="139" t="n">
        <f aca="false">S23</f>
        <v>219368.570069444</v>
      </c>
      <c r="T30" s="139" t="n">
        <f aca="false">T23</f>
        <v>206760.166666667</v>
      </c>
      <c r="U30" s="139" t="n">
        <f aca="false">U23</f>
        <v>213652.172222222</v>
      </c>
      <c r="V30" s="139" t="n">
        <f aca="false">V23</f>
        <v>206760.166666667</v>
      </c>
      <c r="W30" s="139" t="n">
        <f aca="false">W23</f>
        <v>213652.172222222</v>
      </c>
      <c r="X30" s="139" t="n">
        <f aca="false">X23</f>
        <v>213652.172222222</v>
      </c>
      <c r="Y30" s="139" t="n">
        <f aca="false">Y23</f>
        <v>206760.166666667</v>
      </c>
      <c r="Z30" s="139" t="n">
        <f aca="false">Z23</f>
        <v>207706.148333333</v>
      </c>
      <c r="AA30" s="139" t="n">
        <f aca="false">AA23</f>
        <v>201005.95</v>
      </c>
      <c r="AB30" s="139" t="n">
        <f aca="false">AB23</f>
        <v>207706.148333333</v>
      </c>
      <c r="AD30" s="2" t="s">
        <v>358</v>
      </c>
      <c r="AE30" s="139" t="n">
        <f aca="false">AE23</f>
        <v>207706.148333333</v>
      </c>
      <c r="AF30" s="139" t="n">
        <f aca="false">AF23</f>
        <v>187605.553333333</v>
      </c>
      <c r="AG30" s="139" t="n">
        <f aca="false">AG23</f>
        <v>207706.148333333</v>
      </c>
      <c r="AH30" s="139" t="n">
        <f aca="false">AH23</f>
        <v>195020.277083333</v>
      </c>
      <c r="AI30" s="139" t="n">
        <f aca="false">AI23</f>
        <v>201520.952986111</v>
      </c>
      <c r="AJ30" s="139" t="n">
        <f aca="false">AJ23</f>
        <v>195020.277083333</v>
      </c>
      <c r="AK30" s="139" t="n">
        <f aca="false">AK23</f>
        <v>201520.952986111</v>
      </c>
      <c r="AL30" s="139" t="n">
        <f aca="false">AL23</f>
        <v>201520.952986111</v>
      </c>
      <c r="AM30" s="139" t="n">
        <f aca="false">AM23</f>
        <v>195020.277083333</v>
      </c>
      <c r="AN30" s="139" t="n">
        <f aca="false">AN23</f>
        <v>195087.281875</v>
      </c>
      <c r="AO30" s="139" t="n">
        <f aca="false">AO23</f>
        <v>188794.14375</v>
      </c>
      <c r="AP30" s="139" t="n">
        <f aca="false">AP23</f>
        <v>195087.281875</v>
      </c>
    </row>
    <row r="31" customFormat="false" ht="13.2" hidden="false" customHeight="false" outlineLevel="0" collapsed="false">
      <c r="B31" s="2" t="s">
        <v>357</v>
      </c>
      <c r="C31" s="139" t="n">
        <f aca="false">C22</f>
        <v>0</v>
      </c>
      <c r="D31" s="139" t="n">
        <f aca="false">D22</f>
        <v>0</v>
      </c>
      <c r="E31" s="139" t="n">
        <f aca="false">E22</f>
        <v>-3356883.254</v>
      </c>
      <c r="F31" s="139" t="n">
        <f aca="false">F22</f>
        <v>0</v>
      </c>
      <c r="G31" s="139" t="n">
        <f aca="false">G22</f>
        <v>0</v>
      </c>
      <c r="H31" s="139" t="n">
        <f aca="false">H22</f>
        <v>0</v>
      </c>
      <c r="I31" s="139" t="n">
        <f aca="false">I22</f>
        <v>0</v>
      </c>
      <c r="J31" s="139" t="n">
        <f aca="false">J22</f>
        <v>0</v>
      </c>
      <c r="K31" s="139" t="n">
        <f aca="false">K22</f>
        <v>-3279825.0478</v>
      </c>
      <c r="L31" s="139" t="n">
        <f aca="false">L22</f>
        <v>0</v>
      </c>
      <c r="M31" s="139" t="n">
        <f aca="false">M22</f>
        <v>0</v>
      </c>
      <c r="N31" s="139" t="n">
        <f aca="false">N22</f>
        <v>0</v>
      </c>
      <c r="P31" s="2" t="s">
        <v>357</v>
      </c>
      <c r="Q31" s="139" t="n">
        <f aca="false">Q22</f>
        <v>0</v>
      </c>
      <c r="R31" s="139" t="n">
        <f aca="false">R22</f>
        <v>0</v>
      </c>
      <c r="S31" s="139" t="n">
        <f aca="false">S22</f>
        <v>-3199667.5046</v>
      </c>
      <c r="T31" s="139" t="n">
        <f aca="false">T22</f>
        <v>0</v>
      </c>
      <c r="U31" s="139" t="n">
        <f aca="false">U22</f>
        <v>0</v>
      </c>
      <c r="V31" s="139" t="n">
        <f aca="false">V22</f>
        <v>0</v>
      </c>
      <c r="W31" s="139" t="n">
        <f aca="false">W22</f>
        <v>0</v>
      </c>
      <c r="X31" s="139" t="n">
        <f aca="false">X22</f>
        <v>0</v>
      </c>
      <c r="Y31" s="139" t="n">
        <f aca="false">Y22</f>
        <v>-3116289.232</v>
      </c>
      <c r="Z31" s="139" t="n">
        <f aca="false">Z22</f>
        <v>0</v>
      </c>
      <c r="AA31" s="139" t="n">
        <f aca="false">AA22</f>
        <v>0</v>
      </c>
      <c r="AB31" s="139" t="n">
        <f aca="false">AB22</f>
        <v>0</v>
      </c>
      <c r="AD31" s="2" t="s">
        <v>357</v>
      </c>
      <c r="AE31" s="139" t="n">
        <f aca="false">AE22</f>
        <v>0</v>
      </c>
      <c r="AF31" s="139" t="n">
        <f aca="false">AF22</f>
        <v>0</v>
      </c>
      <c r="AG31" s="139" t="n">
        <f aca="false">AG22</f>
        <v>-3029561.6784</v>
      </c>
      <c r="AH31" s="139" t="n">
        <f aca="false">AH22</f>
        <v>0</v>
      </c>
      <c r="AI31" s="139" t="n">
        <f aca="false">AI22</f>
        <v>0</v>
      </c>
      <c r="AJ31" s="139" t="n">
        <f aca="false">AJ22</f>
        <v>0</v>
      </c>
      <c r="AK31" s="139" t="n">
        <f aca="false">AK22</f>
        <v>0</v>
      </c>
      <c r="AL31" s="139" t="n">
        <f aca="false">AL22</f>
        <v>0</v>
      </c>
      <c r="AM31" s="139" t="n">
        <f aca="false">AM22</f>
        <v>-2939345.6162</v>
      </c>
      <c r="AN31" s="139" t="n">
        <f aca="false">AN22</f>
        <v>0</v>
      </c>
      <c r="AO31" s="139" t="n">
        <f aca="false">AO22</f>
        <v>0</v>
      </c>
      <c r="AP31" s="139" t="n">
        <f aca="false">AP22</f>
        <v>0</v>
      </c>
    </row>
    <row r="32" customFormat="false" ht="13.2" hidden="false" customHeight="false" outlineLevel="0" collapsed="false">
      <c r="B32" s="2" t="s">
        <v>367</v>
      </c>
      <c r="C32" s="139" t="n">
        <f aca="false">C33-SUM(C28:C31)</f>
        <v>0</v>
      </c>
      <c r="D32" s="139" t="n">
        <f aca="false">D33-SUM(D28:D31)</f>
        <v>0</v>
      </c>
      <c r="E32" s="139" t="n">
        <f aca="false">E33-SUM(E28:E31)</f>
        <v>0</v>
      </c>
      <c r="F32" s="139" t="n">
        <f aca="false">F33-SUM(F28:F31)</f>
        <v>0</v>
      </c>
      <c r="G32" s="139" t="n">
        <f aca="false">G33-SUM(G28:G31)</f>
        <v>0</v>
      </c>
      <c r="H32" s="139" t="n">
        <f aca="false">H33-SUM(H28:H31)</f>
        <v>0</v>
      </c>
      <c r="I32" s="139" t="n">
        <f aca="false">I33-SUM(I28:I31)</f>
        <v>0</v>
      </c>
      <c r="J32" s="139" t="n">
        <f aca="false">J33-SUM(J28:J31)</f>
        <v>0</v>
      </c>
      <c r="K32" s="139" t="n">
        <f aca="false">K33-SUM(K28:K31)</f>
        <v>0</v>
      </c>
      <c r="L32" s="139" t="n">
        <f aca="false">L33-SUM(L28:L31)</f>
        <v>0</v>
      </c>
      <c r="M32" s="139" t="n">
        <f aca="false">M33-SUM(M28:M31)</f>
        <v>0</v>
      </c>
      <c r="N32" s="139" t="n">
        <f aca="false">N33-SUM(N28:N31)</f>
        <v>0</v>
      </c>
      <c r="P32" s="2" t="s">
        <v>367</v>
      </c>
      <c r="Q32" s="139" t="n">
        <f aca="false">Q33-SUM(Q28:Q31)</f>
        <v>0</v>
      </c>
      <c r="R32" s="139" t="n">
        <f aca="false">R33-SUM(R28:R31)</f>
        <v>0</v>
      </c>
      <c r="S32" s="139" t="n">
        <f aca="false">S33-SUM(S28:S31)</f>
        <v>0</v>
      </c>
      <c r="T32" s="139" t="n">
        <f aca="false">T33-SUM(T28:T31)</f>
        <v>0</v>
      </c>
      <c r="U32" s="139" t="n">
        <f aca="false">U33-SUM(U28:U31)</f>
        <v>0</v>
      </c>
      <c r="V32" s="139" t="n">
        <f aca="false">V33-SUM(V28:V31)</f>
        <v>0</v>
      </c>
      <c r="W32" s="139" t="n">
        <f aca="false">W33-SUM(W28:W31)</f>
        <v>0</v>
      </c>
      <c r="X32" s="139" t="n">
        <f aca="false">X33-SUM(X28:X31)</f>
        <v>0</v>
      </c>
      <c r="Y32" s="139" t="n">
        <f aca="false">Y33-SUM(Y28:Y31)</f>
        <v>0</v>
      </c>
      <c r="Z32" s="139" t="n">
        <f aca="false">Z33-SUM(Z28:Z31)</f>
        <v>0</v>
      </c>
      <c r="AA32" s="139" t="n">
        <f aca="false">AA33-SUM(AA28:AA31)</f>
        <v>0</v>
      </c>
      <c r="AB32" s="139" t="n">
        <f aca="false">AB33-SUM(AB28:AB31)</f>
        <v>0</v>
      </c>
      <c r="AD32" s="2" t="s">
        <v>367</v>
      </c>
      <c r="AE32" s="139" t="n">
        <f aca="false">AE33-SUM(AE28:AE31)</f>
        <v>0</v>
      </c>
      <c r="AF32" s="139" t="n">
        <f aca="false">AF33-SUM(AF28:AF31)</f>
        <v>0</v>
      </c>
      <c r="AG32" s="139" t="n">
        <f aca="false">AG33-SUM(AG28:AG31)</f>
        <v>0</v>
      </c>
      <c r="AH32" s="139" t="n">
        <f aca="false">AH33-SUM(AH28:AH31)</f>
        <v>0</v>
      </c>
      <c r="AI32" s="139" t="n">
        <f aca="false">AI33-SUM(AI28:AI31)</f>
        <v>0</v>
      </c>
      <c r="AJ32" s="139" t="n">
        <f aca="false">AJ33-SUM(AJ28:AJ31)</f>
        <v>0</v>
      </c>
      <c r="AK32" s="139" t="n">
        <f aca="false">AK33-SUM(AK28:AK31)</f>
        <v>0</v>
      </c>
      <c r="AL32" s="139" t="n">
        <f aca="false">AL33-SUM(AL28:AL31)</f>
        <v>0</v>
      </c>
      <c r="AM32" s="139" t="n">
        <f aca="false">AM33-SUM(AM28:AM31)</f>
        <v>0</v>
      </c>
      <c r="AN32" s="139" t="n">
        <f aca="false">AN33-SUM(AN28:AN31)</f>
        <v>0</v>
      </c>
      <c r="AO32" s="139" t="n">
        <f aca="false">AO33-SUM(AO28:AO31)</f>
        <v>0</v>
      </c>
      <c r="AP32" s="139" t="n">
        <f aca="false">AP33-SUM(AP28:AP31)</f>
        <v>0</v>
      </c>
    </row>
    <row r="33" customFormat="false" ht="13.8" hidden="false" customHeight="false" outlineLevel="0" collapsed="false">
      <c r="B33" s="7" t="s">
        <v>368</v>
      </c>
      <c r="C33" s="189" t="n">
        <f aca="false">SUM(C28:C31)</f>
        <v>2237922.16933333</v>
      </c>
      <c r="D33" s="189" t="n">
        <f aca="false">SUM(D28:D31)</f>
        <v>2797402.71166667</v>
      </c>
      <c r="E33" s="189" t="n">
        <f aca="false">SUM(E28:E31)</f>
        <v>0</v>
      </c>
      <c r="F33" s="189" t="n">
        <f aca="false">SUM(F28:F31)</f>
        <v>546637.507966667</v>
      </c>
      <c r="G33" s="189" t="n">
        <f aca="false">SUM(G28:G31)</f>
        <v>1093275.01593333</v>
      </c>
      <c r="H33" s="189" t="n">
        <f aca="false">SUM(H28:H31)</f>
        <v>1639912.5239</v>
      </c>
      <c r="I33" s="189" t="n">
        <f aca="false">SUM(I28:I31)</f>
        <v>2186550.03186667</v>
      </c>
      <c r="J33" s="189" t="n">
        <f aca="false">SUM(J28:J31)</f>
        <v>2733187.53983333</v>
      </c>
      <c r="K33" s="189" t="n">
        <f aca="false">SUM(K28:K31)</f>
        <v>0</v>
      </c>
      <c r="L33" s="189" t="n">
        <f aca="false">SUM(L28:L31)</f>
        <v>533277.917433333</v>
      </c>
      <c r="M33" s="189" t="n">
        <f aca="false">SUM(M28:M31)</f>
        <v>1066555.83486667</v>
      </c>
      <c r="N33" s="189" t="n">
        <f aca="false">SUM(N28:N31)</f>
        <v>1599833.7523</v>
      </c>
      <c r="P33" s="7" t="s">
        <v>368</v>
      </c>
      <c r="Q33" s="176" t="n">
        <f aca="false">SUM(Q28:Q31)</f>
        <v>2133111.66973333</v>
      </c>
      <c r="R33" s="176" t="n">
        <f aca="false">SUM(R28:R31)</f>
        <v>2666389.58716667</v>
      </c>
      <c r="S33" s="176" t="n">
        <f aca="false">SUM(S28:S31)</f>
        <v>0</v>
      </c>
      <c r="T33" s="176" t="n">
        <f aca="false">SUM(T28:T31)</f>
        <v>519381.538666667</v>
      </c>
      <c r="U33" s="176" t="n">
        <f aca="false">SUM(U28:U31)</f>
        <v>1038763.07733333</v>
      </c>
      <c r="V33" s="176" t="n">
        <f aca="false">SUM(V28:V31)</f>
        <v>1558144.616</v>
      </c>
      <c r="W33" s="176" t="n">
        <f aca="false">SUM(W28:W31)</f>
        <v>2077526.15466667</v>
      </c>
      <c r="X33" s="176" t="n">
        <f aca="false">SUM(X28:X31)</f>
        <v>2596907.69333333</v>
      </c>
      <c r="Y33" s="176" t="n">
        <f aca="false">SUM(Y28:Y31)</f>
        <v>0</v>
      </c>
      <c r="Z33" s="176" t="n">
        <f aca="false">SUM(Z28:Z31)</f>
        <v>504926.9464</v>
      </c>
      <c r="AA33" s="176" t="n">
        <f aca="false">SUM(AA28:AA31)</f>
        <v>1009853.8928</v>
      </c>
      <c r="AB33" s="176" t="n">
        <f aca="false">SUM(AB28:AB31)</f>
        <v>1514780.8392</v>
      </c>
      <c r="AD33" s="7" t="s">
        <v>368</v>
      </c>
      <c r="AE33" s="176" t="n">
        <f aca="false">SUM(AE28:AE31)</f>
        <v>2019707.7856</v>
      </c>
      <c r="AF33" s="176" t="n">
        <f aca="false">SUM(AF28:AF31)</f>
        <v>2524634.732</v>
      </c>
      <c r="AG33" s="176" t="n">
        <f aca="false">SUM(AG28:AG31)</f>
        <v>0</v>
      </c>
      <c r="AH33" s="176" t="n">
        <f aca="false">SUM(AH28:AH31)</f>
        <v>489890.936033333</v>
      </c>
      <c r="AI33" s="176" t="n">
        <f aca="false">SUM(AI28:AI31)</f>
        <v>979781.872066667</v>
      </c>
      <c r="AJ33" s="176" t="n">
        <f aca="false">SUM(AJ28:AJ31)</f>
        <v>1469672.8081</v>
      </c>
      <c r="AK33" s="176" t="n">
        <f aca="false">SUM(AK28:AK31)</f>
        <v>1959563.74413333</v>
      </c>
      <c r="AL33" s="176" t="n">
        <f aca="false">SUM(AL28:AL31)</f>
        <v>2449454.68016667</v>
      </c>
      <c r="AM33" s="176" t="n">
        <f aca="false">SUM(AM28:AM31)</f>
        <v>0</v>
      </c>
      <c r="AN33" s="176" t="n">
        <f aca="false">SUM(AN28:AN31)</f>
        <v>474250.8891</v>
      </c>
      <c r="AO33" s="176" t="n">
        <f aca="false">SUM(AO28:AO31)</f>
        <v>948501.7782</v>
      </c>
      <c r="AP33" s="176" t="n">
        <f aca="false">SUM(AP28:AP31)</f>
        <v>1422752.6673</v>
      </c>
    </row>
    <row r="34" customFormat="false" ht="13.8" hidden="false" customHeight="false" outlineLevel="0" collapsed="false"/>
    <row r="35" customFormat="false" ht="13.2" hidden="false" customHeight="false" outlineLevel="0" collapsed="false">
      <c r="B35" s="8" t="s">
        <v>170</v>
      </c>
      <c r="P35" s="8" t="s">
        <v>170</v>
      </c>
      <c r="AD35" s="8" t="s">
        <v>170</v>
      </c>
    </row>
    <row r="36" customFormat="false" ht="13.2" hidden="false" customHeight="false" outlineLevel="0" collapsed="false">
      <c r="B36" s="7" t="s">
        <v>364</v>
      </c>
      <c r="C36" s="176" t="n">
        <f aca="false">C28*Factors!B11</f>
        <v>7212935.0478698</v>
      </c>
      <c r="D36" s="176" t="n">
        <f aca="false">C41</f>
        <v>9630710.87591576</v>
      </c>
      <c r="E36" s="176" t="n">
        <f aca="false">D41</f>
        <v>12055218.7766731</v>
      </c>
      <c r="F36" s="176" t="n">
        <f aca="false">E41</f>
        <v>0</v>
      </c>
      <c r="G36" s="176" t="n">
        <f aca="false">F41</f>
        <v>2362275.09888568</v>
      </c>
      <c r="H36" s="176" t="n">
        <f aca="false">G41</f>
        <v>4731127.73384621</v>
      </c>
      <c r="I36" s="176" t="n">
        <f aca="false">H41</f>
        <v>7106557.90488161</v>
      </c>
      <c r="J36" s="176" t="n">
        <f aca="false">I41</f>
        <v>9488565.61199187</v>
      </c>
      <c r="K36" s="176" t="n">
        <f aca="false">J41</f>
        <v>11877150.855177</v>
      </c>
      <c r="L36" s="176" t="n">
        <f aca="false">K41</f>
        <v>0</v>
      </c>
      <c r="M36" s="176" t="n">
        <f aca="false">L41</f>
        <v>2323792.4416913</v>
      </c>
      <c r="N36" s="176" t="n">
        <f aca="false">M41</f>
        <v>4654001.66724526</v>
      </c>
      <c r="P36" s="7" t="s">
        <v>364</v>
      </c>
      <c r="Q36" s="176" t="n">
        <f aca="false">N41</f>
        <v>6990627.67666188</v>
      </c>
      <c r="R36" s="176" t="n">
        <f aca="false">Q41</f>
        <v>9320836.90221583</v>
      </c>
      <c r="S36" s="176" t="n">
        <f aca="false">R41</f>
        <v>11699592.1533022</v>
      </c>
      <c r="T36" s="176" t="n">
        <f aca="false">S41</f>
        <v>0</v>
      </c>
      <c r="U36" s="176" t="n">
        <f aca="false">T41</f>
        <v>2297856.25578423</v>
      </c>
      <c r="V36" s="176" t="n">
        <f aca="false">U41</f>
        <v>4614624.9087354</v>
      </c>
      <c r="W36" s="176" t="n">
        <f aca="false">V41</f>
        <v>6950305.95885353</v>
      </c>
      <c r="X36" s="176" t="n">
        <f aca="false">W41</f>
        <v>9304899.4061386</v>
      </c>
      <c r="Y36" s="176" t="n">
        <f aca="false">X41</f>
        <v>11678405.2505906</v>
      </c>
      <c r="Z36" s="176" t="n">
        <f aca="false">Y41</f>
        <v>0</v>
      </c>
      <c r="AA36" s="176" t="n">
        <f aca="false">Z41</f>
        <v>2289064.18661546</v>
      </c>
      <c r="AB36" s="176" t="n">
        <f aca="false">AA41</f>
        <v>4596514.43095475</v>
      </c>
      <c r="AD36" s="7" t="s">
        <v>364</v>
      </c>
      <c r="AE36" s="176" t="n">
        <f aca="false">AB41</f>
        <v>6922350.73301785</v>
      </c>
      <c r="AF36" s="176" t="n">
        <f aca="false">AF28*Factors!AH11</f>
        <v>9343794.53524481</v>
      </c>
      <c r="AG36" s="176" t="n">
        <f aca="false">AG28*Factors!AI11</f>
        <v>11728006.570581</v>
      </c>
      <c r="AH36" s="176" t="n">
        <f aca="false">AH28*Factors!AJ11</f>
        <v>0</v>
      </c>
      <c r="AI36" s="176" t="n">
        <f aca="false">AI28*Factors!AK11</f>
        <v>2294483.09854177</v>
      </c>
      <c r="AJ36" s="176" t="n">
        <f aca="false">AJ28*Factors!AL11</f>
        <v>4607696.67135734</v>
      </c>
      <c r="AK36" s="176" t="n">
        <f aca="false">AK28*Factors!AM11</f>
        <v>6939640.71844673</v>
      </c>
      <c r="AL36" s="176" t="n">
        <f aca="false">AL28*Factors!AN11</f>
        <v>9290315.23980993</v>
      </c>
      <c r="AM36" s="176" t="n">
        <f aca="false">AM28*Factors!AO11</f>
        <v>11659720.2354469</v>
      </c>
      <c r="AN36" s="176" t="n">
        <f aca="false">AN28*Factors!AP11</f>
        <v>0</v>
      </c>
      <c r="AO36" s="176" t="n">
        <f aca="false">AO28*Factors!AQ11</f>
        <v>2275627.89948283</v>
      </c>
      <c r="AP36" s="176" t="n">
        <f aca="false">AP28*Factors!AR11</f>
        <v>4569388.29218864</v>
      </c>
    </row>
    <row r="37" customFormat="false" ht="13.2" hidden="false" customHeight="false" outlineLevel="0" collapsed="false">
      <c r="B37" s="2" t="s">
        <v>366</v>
      </c>
      <c r="C37" s="139" t="n">
        <f aca="false">C29*Factors!C11</f>
        <v>1417258.27513145</v>
      </c>
      <c r="D37" s="139" t="n">
        <f aca="false">D29*Factors!D11</f>
        <v>1515220.70398948</v>
      </c>
      <c r="E37" s="139" t="n">
        <f aca="false">E29*Factors!E11</f>
        <v>1421221.05041641</v>
      </c>
      <c r="F37" s="139" t="n">
        <f aca="false">F29*Factors!F11</f>
        <v>1421878.96079424</v>
      </c>
      <c r="G37" s="139" t="n">
        <f aca="false">G29*Factors!G11</f>
        <v>1392468.32718563</v>
      </c>
      <c r="H37" s="139" t="n">
        <f aca="false">H29*Factors!H11</f>
        <v>1425838.05097943</v>
      </c>
      <c r="I37" s="139" t="n">
        <f aca="false">I29*Factors!I11</f>
        <v>1396340.13584116</v>
      </c>
      <c r="J37" s="139" t="n">
        <f aca="false">J29*Factors!J11</f>
        <v>1398276.04016893</v>
      </c>
      <c r="K37" s="139" t="n">
        <f aca="false">K29*Factors!K11</f>
        <v>1431776.68625721</v>
      </c>
      <c r="L37" s="139" t="n">
        <f aca="false">L29*Factors!L11</f>
        <v>1367879.94577264</v>
      </c>
      <c r="M37" s="139" t="n">
        <f aca="false">M29*Factors!M11</f>
        <v>1400646.99858177</v>
      </c>
      <c r="N37" s="139" t="n">
        <f aca="false">N29*Factors!N11</f>
        <v>1371657.12905485</v>
      </c>
      <c r="P37" s="2" t="s">
        <v>366</v>
      </c>
      <c r="Q37" s="139" t="n">
        <f aca="false">Q29*Factors!Q11</f>
        <v>1371657.12905485</v>
      </c>
      <c r="R37" s="139" t="n">
        <f aca="false">R29*Factors!R11</f>
        <v>1470521.98614753</v>
      </c>
      <c r="S37" s="139" t="n">
        <f aca="false">S29*Factors!S11</f>
        <v>1383087.60513031</v>
      </c>
      <c r="T37" s="139" t="n">
        <f aca="false">T29*Factors!T11</f>
        <v>1383104.56160261</v>
      </c>
      <c r="U37" s="139" t="n">
        <f aca="false">U29*Factors!U11</f>
        <v>1358179.14644044</v>
      </c>
      <c r="V37" s="139" t="n">
        <f aca="false">V29*Factors!V11</f>
        <v>1394488.13824131</v>
      </c>
      <c r="W37" s="139" t="n">
        <f aca="false">W29*Factors!W11</f>
        <v>1369311.76239487</v>
      </c>
      <c r="X37" s="139" t="n">
        <f aca="false">X29*Factors!X11</f>
        <v>1374878.07037208</v>
      </c>
      <c r="Y37" s="139" t="n">
        <f aca="false">Y29*Factors!Y11</f>
        <v>1411563.50319937</v>
      </c>
      <c r="Z37" s="139" t="n">
        <f aca="false">Z29*Factors!Z11</f>
        <v>1347437.4644143</v>
      </c>
      <c r="AA37" s="139" t="n">
        <f aca="false">AA29*Factors!AA11</f>
        <v>1383345.90358351</v>
      </c>
      <c r="AB37" s="139" t="n">
        <f aca="false">AB29*Factors!AB11</f>
        <v>1358260.25529313</v>
      </c>
      <c r="AD37" s="2" t="s">
        <v>366</v>
      </c>
      <c r="AE37" s="139" t="n">
        <f aca="false">AE29*Factors!AG11</f>
        <v>1369353.61594393</v>
      </c>
      <c r="AF37" s="139" t="n">
        <f aca="false">AF29*Factors!AH11</f>
        <v>1468027.16689621</v>
      </c>
      <c r="AG37" s="139" t="n">
        <f aca="false">AG29*Factors!AI11</f>
        <v>1380717.54636671</v>
      </c>
      <c r="AH37" s="139" t="n">
        <f aca="false">AH29*Factors!AJ11</f>
        <v>1375437.18409401</v>
      </c>
      <c r="AI37" s="139" t="n">
        <f aca="false">AI29*Factors!AK11</f>
        <v>1350627.25917347</v>
      </c>
      <c r="AJ37" s="139" t="n">
        <f aca="false">AJ29*Factors!AL11</f>
        <v>1386711.25937347</v>
      </c>
      <c r="AK37" s="139" t="n">
        <f aca="false">AK29*Factors!AM11</f>
        <v>1361652.78781978</v>
      </c>
      <c r="AL37" s="139" t="n">
        <f aca="false">AL29*Factors!AN11</f>
        <v>1367165.55214294</v>
      </c>
      <c r="AM37" s="139" t="n">
        <f aca="false">AM29*Factors!AO11</f>
        <v>1403622.37229266</v>
      </c>
      <c r="AN37" s="139" t="n">
        <f aca="false">AN29*Factors!AP11</f>
        <v>1334191.54619656</v>
      </c>
      <c r="AO37" s="139" t="n">
        <f aca="false">AO29*Factors!AQ11</f>
        <v>1369725.07325559</v>
      </c>
      <c r="AP37" s="139" t="n">
        <f aca="false">AP29*Factors!AR11</f>
        <v>1344865.07856614</v>
      </c>
    </row>
    <row r="38" customFormat="false" ht="13.2" hidden="false" customHeight="false" outlineLevel="0" collapsed="false">
      <c r="B38" s="2" t="s">
        <v>358</v>
      </c>
      <c r="C38" s="139" t="n">
        <f aca="false">C30*Factors!C11</f>
        <v>990419.443847494</v>
      </c>
      <c r="D38" s="139" t="n">
        <f aca="false">D30*Factors!D11</f>
        <v>895823.051345132</v>
      </c>
      <c r="E38" s="139" t="n">
        <f aca="false">E30*Factors!E11</f>
        <v>993188.74127387</v>
      </c>
      <c r="F38" s="139" t="n">
        <f aca="false">F30*Factors!F11</f>
        <v>940396.138091431</v>
      </c>
      <c r="G38" s="139" t="n">
        <f aca="false">G30*Factors!G11</f>
        <v>973095.539737477</v>
      </c>
      <c r="H38" s="139" t="n">
        <f aca="false">H30*Factors!H11</f>
        <v>943014.583981105</v>
      </c>
      <c r="I38" s="139" t="n">
        <f aca="false">I30*Factors!I11</f>
        <v>975801.267156807</v>
      </c>
      <c r="J38" s="139" t="n">
        <f aca="false">J30*Factors!J11</f>
        <v>977154.130866472</v>
      </c>
      <c r="K38" s="139" t="n">
        <f aca="false">K30*Factors!K11</f>
        <v>946942.252815616</v>
      </c>
      <c r="L38" s="139" t="n">
        <f aca="false">L30*Factors!L11</f>
        <v>955912.495918661</v>
      </c>
      <c r="M38" s="139" t="n">
        <f aca="false">M30*Factors!M11</f>
        <v>926353.835040856</v>
      </c>
      <c r="N38" s="139" t="n">
        <f aca="false">N30*Factors!N11</f>
        <v>958552.096499107</v>
      </c>
      <c r="P38" s="2" t="s">
        <v>358</v>
      </c>
      <c r="Q38" s="139" t="n">
        <f aca="false">Q30*Factors!Q11</f>
        <v>958552.096499107</v>
      </c>
      <c r="R38" s="139" t="n">
        <f aca="false">R30*Factors!R11</f>
        <v>869396.4445129</v>
      </c>
      <c r="S38" s="139" t="n">
        <f aca="false">S30*Factors!S11</f>
        <v>966540.0306366</v>
      </c>
      <c r="T38" s="139" t="n">
        <f aca="false">T30*Factors!T11</f>
        <v>914751.694181619</v>
      </c>
      <c r="U38" s="139" t="n">
        <f aca="false">U30*Factors!U11</f>
        <v>949133.307927266</v>
      </c>
      <c r="V38" s="139" t="n">
        <f aca="false">V30*Factors!V11</f>
        <v>922280.514709863</v>
      </c>
      <c r="W38" s="139" t="n">
        <f aca="false">W30*Factors!W11</f>
        <v>956913.089139785</v>
      </c>
      <c r="X38" s="139" t="n">
        <f aca="false">X30*Factors!X11</f>
        <v>960802.979746044</v>
      </c>
      <c r="Y38" s="139" t="n">
        <f aca="false">Y30*Factors!Y11</f>
        <v>933573.745502229</v>
      </c>
      <c r="Z38" s="139" t="n">
        <f aca="false">Z30*Factors!Z11</f>
        <v>941626.722201159</v>
      </c>
      <c r="AA38" s="139" t="n">
        <f aca="false">AA30*Factors!AA11</f>
        <v>914911.311893859</v>
      </c>
      <c r="AB38" s="139" t="n">
        <f aca="false">AB30*Factors!AB11</f>
        <v>949189.989046149</v>
      </c>
      <c r="AD38" s="2" t="s">
        <v>358</v>
      </c>
      <c r="AE38" s="139" t="n">
        <f aca="false">AE30*Factors!AG11</f>
        <v>956942.337562262</v>
      </c>
      <c r="AF38" s="139" t="n">
        <f aca="false">AF30*Factors!AH11</f>
        <v>867921.46691499</v>
      </c>
      <c r="AG38" s="139" t="n">
        <f aca="false">AG30*Factors!AI11</f>
        <v>964883.767749501</v>
      </c>
      <c r="AH38" s="139" t="n">
        <f aca="false">AH30*Factors!AJ11</f>
        <v>909680.677310852</v>
      </c>
      <c r="AI38" s="139" t="n">
        <f aca="false">AI30*Factors!AK11</f>
        <v>943855.839368295</v>
      </c>
      <c r="AJ38" s="139" t="n">
        <f aca="false">AJ30*Factors!AL11</f>
        <v>917137.076305203</v>
      </c>
      <c r="AK38" s="139" t="n">
        <f aca="false">AK30*Factors!AM11</f>
        <v>951560.784995792</v>
      </c>
      <c r="AL38" s="139" t="n">
        <f aca="false">AL30*Factors!AN11</f>
        <v>955413.25780954</v>
      </c>
      <c r="AM38" s="139" t="n">
        <f aca="false">AM30*Factors!AO11</f>
        <v>928321.67479673</v>
      </c>
      <c r="AN38" s="139" t="n">
        <f aca="false">AN30*Factors!AP11</f>
        <v>932370.106674785</v>
      </c>
      <c r="AO38" s="139" t="n">
        <f aca="false">AO30*Factors!AQ11</f>
        <v>905902.826227242</v>
      </c>
      <c r="AP38" s="139" t="n">
        <f aca="false">AP30*Factors!AR11</f>
        <v>939829.067528183</v>
      </c>
    </row>
    <row r="39" customFormat="false" ht="13.2" hidden="false" customHeight="false" outlineLevel="0" collapsed="false">
      <c r="B39" s="2" t="s">
        <v>357</v>
      </c>
      <c r="C39" s="139" t="n">
        <f aca="false">C31*Factors!C11</f>
        <v>0</v>
      </c>
      <c r="D39" s="139" t="n">
        <f aca="false">D31*Factors!D11</f>
        <v>0</v>
      </c>
      <c r="E39" s="139" t="n">
        <f aca="false">E31*Factors!E11</f>
        <v>-14486458.7501417</v>
      </c>
      <c r="F39" s="139" t="n">
        <f aca="false">F31*Factors!F11</f>
        <v>0</v>
      </c>
      <c r="G39" s="139" t="n">
        <f aca="false">G31*Factors!G11</f>
        <v>0</v>
      </c>
      <c r="H39" s="139" t="n">
        <f aca="false">H31*Factors!H11</f>
        <v>0</v>
      </c>
      <c r="I39" s="139" t="n">
        <f aca="false">I31*Factors!I11</f>
        <v>0</v>
      </c>
      <c r="J39" s="139" t="n">
        <f aca="false">J31*Factors!J11</f>
        <v>0</v>
      </c>
      <c r="K39" s="139" t="n">
        <f aca="false">K31*Factors!K11</f>
        <v>-14272313.634437</v>
      </c>
      <c r="L39" s="139" t="n">
        <f aca="false">L31*Factors!L11</f>
        <v>0</v>
      </c>
      <c r="M39" s="139" t="n">
        <f aca="false">M31*Factors!M11</f>
        <v>0</v>
      </c>
      <c r="N39" s="139" t="n">
        <f aca="false">N31*Factors!N11</f>
        <v>0</v>
      </c>
      <c r="P39" s="2" t="s">
        <v>357</v>
      </c>
      <c r="Q39" s="139" t="n">
        <f aca="false">Q31*Factors!Q11</f>
        <v>0</v>
      </c>
      <c r="R39" s="139" t="n">
        <f aca="false">R31*Factors!R11</f>
        <v>0</v>
      </c>
      <c r="S39" s="139" t="n">
        <f aca="false">S31*Factors!S11</f>
        <v>-14097765.8146014</v>
      </c>
      <c r="T39" s="139" t="n">
        <f aca="false">T31*Factors!T11</f>
        <v>0</v>
      </c>
      <c r="U39" s="139" t="n">
        <f aca="false">U31*Factors!U11</f>
        <v>0</v>
      </c>
      <c r="V39" s="139" t="n">
        <f aca="false">V31*Factors!V11</f>
        <v>0</v>
      </c>
      <c r="W39" s="139" t="n">
        <f aca="false">W31*Factors!W11</f>
        <v>0</v>
      </c>
      <c r="X39" s="139" t="n">
        <f aca="false">X31*Factors!X11</f>
        <v>0</v>
      </c>
      <c r="Y39" s="139" t="n">
        <f aca="false">Y31*Factors!Y11</f>
        <v>-14070823.4922096</v>
      </c>
      <c r="Z39" s="139" t="n">
        <f aca="false">Z31*Factors!Z11</f>
        <v>0</v>
      </c>
      <c r="AA39" s="139" t="n">
        <f aca="false">AA31*Factors!AA11</f>
        <v>0</v>
      </c>
      <c r="AB39" s="139" t="n">
        <f aca="false">AB31*Factors!AB11</f>
        <v>0</v>
      </c>
      <c r="AD39" s="2" t="s">
        <v>357</v>
      </c>
      <c r="AE39" s="139" t="n">
        <f aca="false">AE31*Factors!AG11</f>
        <v>0</v>
      </c>
      <c r="AF39" s="139" t="n">
        <f aca="false">AF31*Factors!AH11</f>
        <v>0</v>
      </c>
      <c r="AG39" s="139" t="n">
        <f aca="false">AG31*Factors!AI11</f>
        <v>-14073607.8846972</v>
      </c>
      <c r="AH39" s="139" t="n">
        <f aca="false">AH31*Factors!AJ11</f>
        <v>0</v>
      </c>
      <c r="AI39" s="139" t="n">
        <f aca="false">AI31*Factors!AK11</f>
        <v>0</v>
      </c>
      <c r="AJ39" s="139" t="n">
        <f aca="false">AJ31*Factors!AL11</f>
        <v>0</v>
      </c>
      <c r="AK39" s="139" t="n">
        <f aca="false">AK31*Factors!AM11</f>
        <v>0</v>
      </c>
      <c r="AL39" s="139" t="n">
        <f aca="false">AL31*Factors!AN11</f>
        <v>0</v>
      </c>
      <c r="AM39" s="139" t="n">
        <f aca="false">AM31*Factors!AO11</f>
        <v>-13991664.2825363</v>
      </c>
      <c r="AN39" s="139" t="n">
        <f aca="false">AN31*Factors!AP11</f>
        <v>0</v>
      </c>
      <c r="AO39" s="139" t="n">
        <f aca="false">AO31*Factors!AQ11</f>
        <v>0</v>
      </c>
      <c r="AP39" s="139" t="n">
        <f aca="false">AP31*Factors!AR11</f>
        <v>0</v>
      </c>
    </row>
    <row r="40" customFormat="false" ht="13.2" hidden="false" customHeight="false" outlineLevel="0" collapsed="false">
      <c r="B40" s="2" t="s">
        <v>367</v>
      </c>
      <c r="C40" s="139" t="n">
        <f aca="false">C41-SUM(C36:C39)</f>
        <v>10098.1090670172</v>
      </c>
      <c r="D40" s="139" t="n">
        <f aca="false">D41-SUM(D36:D39)</f>
        <v>13464.1454226896</v>
      </c>
      <c r="E40" s="139" t="n">
        <f aca="false">E41-SUM(E36:E39)</f>
        <v>16830.1817783639</v>
      </c>
      <c r="F40" s="139" t="n">
        <f aca="false">F41-SUM(F36:F39)</f>
        <v>0</v>
      </c>
      <c r="G40" s="139" t="n">
        <f aca="false">G41-SUM(G36:G39)</f>
        <v>3288.76803743094</v>
      </c>
      <c r="H40" s="139" t="n">
        <f aca="false">H41-SUM(H36:H39)</f>
        <v>6577.53607486002</v>
      </c>
      <c r="I40" s="139" t="n">
        <f aca="false">I41-SUM(I36:I39)</f>
        <v>9866.30411229096</v>
      </c>
      <c r="J40" s="139" t="n">
        <f aca="false">J41-SUM(J36:J39)</f>
        <v>13155.0721497238</v>
      </c>
      <c r="K40" s="139" t="n">
        <f aca="false">K41-SUM(K36:K39)</f>
        <v>16443.840187151</v>
      </c>
      <c r="L40" s="139" t="n">
        <f aca="false">L41-SUM(L36:L39)</f>
        <v>0</v>
      </c>
      <c r="M40" s="139" t="n">
        <f aca="false">M41-SUM(M36:M39)</f>
        <v>3208.39193132892</v>
      </c>
      <c r="N40" s="139" t="n">
        <f aca="false">N41-SUM(N36:N39)</f>
        <v>6416.78386265878</v>
      </c>
      <c r="P40" s="2" t="s">
        <v>367</v>
      </c>
      <c r="Q40" s="139" t="n">
        <f aca="false">Q41-SUM(Q36:Q39)</f>
        <v>0</v>
      </c>
      <c r="R40" s="139" t="n">
        <f aca="false">R41-SUM(R36:R39)</f>
        <v>38836.8204258997</v>
      </c>
      <c r="S40" s="139" t="n">
        <f aca="false">S41-SUM(S36:S39)</f>
        <v>48546.0255323742</v>
      </c>
      <c r="T40" s="139" t="n">
        <f aca="false">T41-SUM(T36:T39)</f>
        <v>0</v>
      </c>
      <c r="U40" s="139" t="n">
        <f aca="false">U41-SUM(U36:U39)</f>
        <v>9456.19858347345</v>
      </c>
      <c r="V40" s="139" t="n">
        <f aca="false">V41-SUM(V36:V39)</f>
        <v>18912.3971669488</v>
      </c>
      <c r="W40" s="139" t="n">
        <f aca="false">W41-SUM(W36:W39)</f>
        <v>28368.5957504213</v>
      </c>
      <c r="X40" s="139" t="n">
        <f aca="false">X41-SUM(X36:X39)</f>
        <v>37824.7943338975</v>
      </c>
      <c r="Y40" s="139" t="n">
        <f aca="false">Y41-SUM(Y36:Y39)</f>
        <v>47280.9929173719</v>
      </c>
      <c r="Z40" s="139" t="n">
        <f aca="false">Z41-SUM(Z36:Z39)</f>
        <v>0</v>
      </c>
      <c r="AA40" s="139" t="n">
        <f aca="false">AA41-SUM(AA36:AA39)</f>
        <v>9193.02886190917</v>
      </c>
      <c r="AB40" s="139" t="n">
        <f aca="false">AB41-SUM(AB36:AB39)</f>
        <v>18386.0577238202</v>
      </c>
      <c r="AD40" s="2" t="s">
        <v>367</v>
      </c>
      <c r="AE40" s="139" t="n">
        <f aca="false">AE41-SUM(AE36:AE39)</f>
        <v>56537.1275007427</v>
      </c>
      <c r="AF40" s="139" t="n">
        <f aca="false">AF41-SUM(AF36:AF39)</f>
        <v>-96526.8030500505</v>
      </c>
      <c r="AG40" s="139" t="n">
        <f aca="false">AG41-SUM(AG36:AG39)</f>
        <v>0</v>
      </c>
      <c r="AH40" s="139" t="n">
        <f aca="false">AH41-SUM(AH36:AH39)</f>
        <v>-18730.4742738102</v>
      </c>
      <c r="AI40" s="139" t="n">
        <f aca="false">AI41-SUM(AI36:AI39)</f>
        <v>-37460.9485476203</v>
      </c>
      <c r="AJ40" s="139" t="n">
        <f aca="false">AJ41-SUM(AJ36:AJ39)</f>
        <v>-56191.4228214314</v>
      </c>
      <c r="AK40" s="139" t="n">
        <f aca="false">AK41-SUM(AK36:AK39)</f>
        <v>-74921.8970952425</v>
      </c>
      <c r="AL40" s="139" t="n">
        <f aca="false">AL41-SUM(AL36:AL39)</f>
        <v>-93652.3713690545</v>
      </c>
      <c r="AM40" s="139" t="n">
        <f aca="false">AM41-SUM(AM36:AM39)</f>
        <v>0</v>
      </c>
      <c r="AN40" s="139" t="n">
        <f aca="false">AN41-SUM(AN36:AN39)</f>
        <v>-18132.493222971</v>
      </c>
      <c r="AO40" s="139" t="n">
        <f aca="false">AO41-SUM(AO36:AO39)</f>
        <v>-36264.986445942</v>
      </c>
      <c r="AP40" s="139" t="n">
        <f aca="false">AP41-SUM(AP36:AP39)</f>
        <v>-54397.4796689116</v>
      </c>
    </row>
    <row r="41" customFormat="false" ht="13.8" hidden="false" customHeight="false" outlineLevel="0" collapsed="false">
      <c r="B41" s="7" t="s">
        <v>368</v>
      </c>
      <c r="C41" s="189" t="n">
        <f aca="false">C33*Factors!C11</f>
        <v>9630710.87591576</v>
      </c>
      <c r="D41" s="189" t="n">
        <f aca="false">D33*Factors!D11</f>
        <v>12055218.7766731</v>
      </c>
      <c r="E41" s="189" t="n">
        <f aca="false">E33*Factors!E11</f>
        <v>0</v>
      </c>
      <c r="F41" s="189" t="n">
        <f aca="false">F33*Factors!F11</f>
        <v>2362275.09888568</v>
      </c>
      <c r="G41" s="189" t="n">
        <f aca="false">G33*Factors!G11</f>
        <v>4731127.73384621</v>
      </c>
      <c r="H41" s="189" t="n">
        <f aca="false">H33*Factors!H11</f>
        <v>7106557.90488161</v>
      </c>
      <c r="I41" s="189" t="n">
        <f aca="false">I33*Factors!I11</f>
        <v>9488565.61199187</v>
      </c>
      <c r="J41" s="189" t="n">
        <f aca="false">J33*Factors!J11</f>
        <v>11877150.855177</v>
      </c>
      <c r="K41" s="189" t="n">
        <f aca="false">K33*Factors!K11</f>
        <v>0</v>
      </c>
      <c r="L41" s="189" t="n">
        <f aca="false">L33*Factors!L11</f>
        <v>2323792.4416913</v>
      </c>
      <c r="M41" s="189" t="n">
        <f aca="false">M33*Factors!M11</f>
        <v>4654001.66724526</v>
      </c>
      <c r="N41" s="189" t="n">
        <f aca="false">N33*Factors!N11</f>
        <v>6990627.67666188</v>
      </c>
      <c r="P41" s="7" t="s">
        <v>368</v>
      </c>
      <c r="Q41" s="176" t="n">
        <f aca="false">Q33*Factors!Q11</f>
        <v>9320836.90221583</v>
      </c>
      <c r="R41" s="176" t="n">
        <f aca="false">R33*Factors!R11</f>
        <v>11699592.1533022</v>
      </c>
      <c r="S41" s="176" t="n">
        <f aca="false">S33*Factors!S11</f>
        <v>0</v>
      </c>
      <c r="T41" s="176" t="n">
        <f aca="false">T33*Factors!T11</f>
        <v>2297856.25578423</v>
      </c>
      <c r="U41" s="176" t="n">
        <f aca="false">U33*Factors!U11</f>
        <v>4614624.9087354</v>
      </c>
      <c r="V41" s="176" t="n">
        <f aca="false">V33*Factors!V11</f>
        <v>6950305.95885353</v>
      </c>
      <c r="W41" s="176" t="n">
        <f aca="false">W33*Factors!W11</f>
        <v>9304899.4061386</v>
      </c>
      <c r="X41" s="176" t="n">
        <f aca="false">X33*Factors!X11</f>
        <v>11678405.2505906</v>
      </c>
      <c r="Y41" s="176" t="n">
        <f aca="false">Y33*Factors!Y11</f>
        <v>0</v>
      </c>
      <c r="Z41" s="176" t="n">
        <f aca="false">Z33*Factors!Z11</f>
        <v>2289064.18661546</v>
      </c>
      <c r="AA41" s="176" t="n">
        <f aca="false">AA33*Factors!AA11</f>
        <v>4596514.43095475</v>
      </c>
      <c r="AB41" s="176" t="n">
        <f aca="false">AB33*Factors!AB11</f>
        <v>6922350.73301785</v>
      </c>
      <c r="AD41" s="7" t="s">
        <v>368</v>
      </c>
      <c r="AE41" s="176" t="n">
        <f aca="false">AE33*Factors!AG11</f>
        <v>9305183.81402479</v>
      </c>
      <c r="AF41" s="176" t="n">
        <f aca="false">AF33*Factors!AF11</f>
        <v>11583216.366006</v>
      </c>
      <c r="AG41" s="176" t="n">
        <f aca="false">AG33*Factors!AG11</f>
        <v>0</v>
      </c>
      <c r="AH41" s="176" t="n">
        <f aca="false">AH33*Factors!AH11</f>
        <v>2266387.38713105</v>
      </c>
      <c r="AI41" s="176" t="n">
        <f aca="false">AI33*Factors!AI11</f>
        <v>4551505.24853591</v>
      </c>
      <c r="AJ41" s="176" t="n">
        <f aca="false">AJ33*Factors!AJ11</f>
        <v>6855353.58421458</v>
      </c>
      <c r="AK41" s="176" t="n">
        <f aca="false">AK33*Factors!AK11</f>
        <v>9177932.39416706</v>
      </c>
      <c r="AL41" s="176" t="n">
        <f aca="false">AL33*Factors!AL11</f>
        <v>11519241.6783934</v>
      </c>
      <c r="AM41" s="176" t="n">
        <f aca="false">AM33*Factors!AM11</f>
        <v>0</v>
      </c>
      <c r="AN41" s="176" t="n">
        <f aca="false">AN33*Factors!AN11</f>
        <v>2248429.15964838</v>
      </c>
      <c r="AO41" s="176" t="n">
        <f aca="false">AO33*Factors!AO11</f>
        <v>4514990.81251972</v>
      </c>
      <c r="AP41" s="176" t="n">
        <f aca="false">AP33*Factors!AP11</f>
        <v>6799684.95861404</v>
      </c>
    </row>
    <row r="42" customFormat="false" ht="13.8" hidden="false" customHeight="false" outlineLevel="0" collapsed="false"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customFormat="false" ht="13.2" hidden="false" customHeight="false" outlineLevel="0" collapsed="false"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</row>
    <row r="44" customFormat="false" ht="13.2" hidden="false" customHeight="false" outlineLevel="0" collapsed="false"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5"/>
  <sheetViews>
    <sheetView showFormulas="false" showGridLines="true" showRowColHeaders="true" showZeros="true" rightToLeft="false" tabSelected="false" showOutlineSymbols="true" defaultGridColor="true" view="pageBreakPreview" topLeftCell="A2" colorId="64" zoomScale="75" zoomScaleNormal="75" zoomScalePageLayoutView="75" workbookViewId="0">
      <selection pane="topLeft" activeCell="D22" activeCellId="0" sqref="D22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19" width="13.99"/>
    <col collapsed="false" customWidth="true" hidden="false" outlineLevel="0" max="13" min="2" style="19" width="12.66"/>
    <col collapsed="false" customWidth="true" hidden="false" outlineLevel="0" max="14" min="14" style="19" width="51.66"/>
    <col collapsed="false" customWidth="true" hidden="false" outlineLevel="0" max="15" min="15" style="19" width="14.33"/>
    <col collapsed="false" customWidth="true" hidden="false" outlineLevel="0" max="27" min="16" style="19" width="12.66"/>
    <col collapsed="false" customWidth="false" hidden="false" outlineLevel="0" max="28" min="28" style="19" width="8.87"/>
    <col collapsed="false" customWidth="true" hidden="false" outlineLevel="0" max="29" min="29" style="19" width="14.1"/>
    <col collapsed="false" customWidth="true" hidden="false" outlineLevel="0" max="30" min="30" style="19" width="12.88"/>
    <col collapsed="false" customWidth="true" hidden="false" outlineLevel="0" max="38" min="31" style="19" width="12.66"/>
    <col collapsed="false" customWidth="true" hidden="false" outlineLevel="0" max="39" min="39" style="19" width="14.55"/>
    <col collapsed="false" customWidth="true" hidden="false" outlineLevel="0" max="41" min="40" style="19" width="12.66"/>
    <col collapsed="false" customWidth="false" hidden="false" outlineLevel="0" max="257" min="42" style="19" width="8.87"/>
  </cols>
  <sheetData>
    <row r="1" customFormat="false" ht="13.2" hidden="false" customHeight="false" outlineLevel="0" collapsed="false">
      <c r="A1" s="21" t="str">
        <f aca="false">Factors!A1</f>
        <v>ENS BUDGET - YEAR 2002</v>
      </c>
      <c r="O1" s="21" t="s">
        <v>369</v>
      </c>
      <c r="AC1" s="21" t="s">
        <v>370</v>
      </c>
    </row>
    <row r="2" customFormat="false" ht="21" hidden="false" customHeight="false" outlineLevel="0" collapsed="false">
      <c r="A2" s="198" t="s">
        <v>288</v>
      </c>
      <c r="O2" s="21" t="s">
        <v>371</v>
      </c>
      <c r="AC2" s="21" t="s">
        <v>371</v>
      </c>
    </row>
    <row r="3" customFormat="false" ht="17.4" hidden="false" customHeight="false" outlineLevel="0" collapsed="false">
      <c r="A3" s="199" t="s">
        <v>372</v>
      </c>
      <c r="O3" s="21"/>
      <c r="AC3" s="21"/>
    </row>
    <row r="4" customFormat="false" ht="28.2" hidden="false" customHeight="true" outlineLevel="0" collapsed="false">
      <c r="A4" s="21"/>
      <c r="O4" s="21"/>
      <c r="AC4" s="21"/>
    </row>
    <row r="5" customFormat="false" ht="13.2" hidden="false" customHeight="false" outlineLevel="0" collapsed="false">
      <c r="A5" s="21" t="s">
        <v>373</v>
      </c>
      <c r="O5" s="21" t="s">
        <v>373</v>
      </c>
      <c r="AC5" s="21" t="s">
        <v>373</v>
      </c>
    </row>
    <row r="6" customFormat="false" ht="13.2" hidden="false" customHeight="false" outlineLevel="0" collapsed="false">
      <c r="A6" s="21"/>
      <c r="B6" s="37" t="s">
        <v>41</v>
      </c>
      <c r="C6" s="37" t="s">
        <v>42</v>
      </c>
      <c r="D6" s="37" t="s">
        <v>43</v>
      </c>
      <c r="E6" s="37" t="s">
        <v>44</v>
      </c>
      <c r="F6" s="37" t="s">
        <v>45</v>
      </c>
      <c r="G6" s="37" t="s">
        <v>46</v>
      </c>
      <c r="H6" s="37" t="s">
        <v>47</v>
      </c>
      <c r="I6" s="37" t="s">
        <v>48</v>
      </c>
      <c r="J6" s="37" t="s">
        <v>49</v>
      </c>
      <c r="K6" s="37" t="s">
        <v>50</v>
      </c>
      <c r="L6" s="37" t="s">
        <v>51</v>
      </c>
      <c r="M6" s="37" t="s">
        <v>52</v>
      </c>
      <c r="O6" s="21"/>
      <c r="P6" s="37" t="s">
        <v>41</v>
      </c>
      <c r="Q6" s="37" t="s">
        <v>42</v>
      </c>
      <c r="R6" s="37" t="s">
        <v>43</v>
      </c>
      <c r="S6" s="37" t="s">
        <v>44</v>
      </c>
      <c r="T6" s="37" t="s">
        <v>45</v>
      </c>
      <c r="U6" s="37" t="s">
        <v>46</v>
      </c>
      <c r="V6" s="37" t="s">
        <v>47</v>
      </c>
      <c r="W6" s="37" t="s">
        <v>48</v>
      </c>
      <c r="X6" s="37" t="s">
        <v>49</v>
      </c>
      <c r="Y6" s="37" t="s">
        <v>50</v>
      </c>
      <c r="Z6" s="37" t="s">
        <v>51</v>
      </c>
      <c r="AA6" s="37" t="s">
        <v>52</v>
      </c>
      <c r="AC6" s="21"/>
      <c r="AD6" s="37" t="s">
        <v>41</v>
      </c>
      <c r="AE6" s="37" t="s">
        <v>42</v>
      </c>
      <c r="AF6" s="37" t="s">
        <v>43</v>
      </c>
      <c r="AG6" s="37" t="s">
        <v>44</v>
      </c>
      <c r="AH6" s="37" t="s">
        <v>45</v>
      </c>
      <c r="AI6" s="37" t="s">
        <v>46</v>
      </c>
      <c r="AJ6" s="37" t="s">
        <v>47</v>
      </c>
      <c r="AK6" s="37" t="s">
        <v>48</v>
      </c>
      <c r="AL6" s="37" t="s">
        <v>49</v>
      </c>
      <c r="AM6" s="37" t="s">
        <v>50</v>
      </c>
      <c r="AN6" s="37" t="s">
        <v>51</v>
      </c>
      <c r="AO6" s="37" t="s">
        <v>52</v>
      </c>
    </row>
    <row r="7" customFormat="false" ht="13.2" hidden="false" customHeight="false" outlineLevel="0" collapsed="false">
      <c r="A7" s="204" t="s">
        <v>353</v>
      </c>
      <c r="B7" s="19" t="n">
        <v>31</v>
      </c>
      <c r="C7" s="19" t="n">
        <v>28</v>
      </c>
      <c r="D7" s="19" t="n">
        <v>31</v>
      </c>
      <c r="E7" s="19" t="n">
        <v>30</v>
      </c>
      <c r="F7" s="19" t="n">
        <v>31</v>
      </c>
      <c r="G7" s="19" t="n">
        <v>30</v>
      </c>
      <c r="H7" s="19" t="n">
        <v>31</v>
      </c>
      <c r="I7" s="19" t="n">
        <v>31</v>
      </c>
      <c r="J7" s="19" t="n">
        <v>30</v>
      </c>
      <c r="K7" s="19" t="n">
        <v>31</v>
      </c>
      <c r="L7" s="19" t="n">
        <v>30</v>
      </c>
      <c r="M7" s="19" t="n">
        <v>31</v>
      </c>
      <c r="O7" s="204" t="s">
        <v>353</v>
      </c>
      <c r="P7" s="19" t="n">
        <v>31</v>
      </c>
      <c r="Q7" s="19" t="n">
        <v>28</v>
      </c>
      <c r="R7" s="19" t="n">
        <v>31</v>
      </c>
      <c r="S7" s="19" t="n">
        <v>30</v>
      </c>
      <c r="T7" s="19" t="n">
        <v>31</v>
      </c>
      <c r="U7" s="19" t="n">
        <v>30</v>
      </c>
      <c r="V7" s="19" t="n">
        <v>31</v>
      </c>
      <c r="W7" s="19" t="n">
        <v>31</v>
      </c>
      <c r="X7" s="19" t="n">
        <v>30</v>
      </c>
      <c r="Y7" s="19" t="n">
        <v>31</v>
      </c>
      <c r="Z7" s="19" t="n">
        <v>30</v>
      </c>
      <c r="AA7" s="19" t="n">
        <v>31</v>
      </c>
      <c r="AC7" s="204" t="s">
        <v>353</v>
      </c>
      <c r="AD7" s="19" t="n">
        <v>31</v>
      </c>
      <c r="AE7" s="19" t="n">
        <v>28</v>
      </c>
      <c r="AF7" s="19" t="n">
        <v>31</v>
      </c>
      <c r="AG7" s="19" t="n">
        <v>30</v>
      </c>
      <c r="AH7" s="19" t="n">
        <v>31</v>
      </c>
      <c r="AI7" s="19" t="n">
        <v>30</v>
      </c>
      <c r="AJ7" s="19" t="n">
        <v>31</v>
      </c>
      <c r="AK7" s="19" t="n">
        <v>31</v>
      </c>
      <c r="AL7" s="19" t="n">
        <v>30</v>
      </c>
      <c r="AM7" s="19" t="n">
        <v>31</v>
      </c>
      <c r="AN7" s="19" t="n">
        <v>30</v>
      </c>
      <c r="AO7" s="19" t="n">
        <v>31</v>
      </c>
    </row>
    <row r="9" customFormat="false" ht="13.2" hidden="false" customHeight="false" outlineLevel="0" collapsed="false">
      <c r="A9" s="21" t="s">
        <v>374</v>
      </c>
      <c r="O9" s="21" t="s">
        <v>374</v>
      </c>
      <c r="AC9" s="21" t="s">
        <v>374</v>
      </c>
    </row>
    <row r="10" customFormat="false" ht="13.2" hidden="false" customHeight="false" outlineLevel="0" collapsed="false">
      <c r="B10" s="37" t="s">
        <v>41</v>
      </c>
      <c r="C10" s="37" t="s">
        <v>42</v>
      </c>
      <c r="D10" s="37" t="s">
        <v>43</v>
      </c>
      <c r="E10" s="37" t="s">
        <v>44</v>
      </c>
      <c r="F10" s="37" t="s">
        <v>45</v>
      </c>
      <c r="G10" s="37" t="s">
        <v>46</v>
      </c>
      <c r="H10" s="37" t="s">
        <v>47</v>
      </c>
      <c r="I10" s="37" t="s">
        <v>48</v>
      </c>
      <c r="J10" s="37" t="s">
        <v>49</v>
      </c>
      <c r="K10" s="37" t="s">
        <v>50</v>
      </c>
      <c r="L10" s="37" t="s">
        <v>51</v>
      </c>
      <c r="M10" s="37" t="s">
        <v>52</v>
      </c>
      <c r="P10" s="37" t="s">
        <v>41</v>
      </c>
      <c r="Q10" s="37" t="s">
        <v>42</v>
      </c>
      <c r="R10" s="37" t="s">
        <v>43</v>
      </c>
      <c r="S10" s="37" t="s">
        <v>44</v>
      </c>
      <c r="T10" s="37" t="s">
        <v>45</v>
      </c>
      <c r="U10" s="37" t="s">
        <v>46</v>
      </c>
      <c r="V10" s="37" t="s">
        <v>47</v>
      </c>
      <c r="W10" s="37" t="s">
        <v>48</v>
      </c>
      <c r="X10" s="37" t="s">
        <v>49</v>
      </c>
      <c r="Y10" s="37" t="s">
        <v>50</v>
      </c>
      <c r="Z10" s="37" t="s">
        <v>51</v>
      </c>
      <c r="AA10" s="37" t="s">
        <v>52</v>
      </c>
      <c r="AD10" s="37" t="s">
        <v>41</v>
      </c>
      <c r="AE10" s="37" t="s">
        <v>42</v>
      </c>
      <c r="AF10" s="37" t="s">
        <v>43</v>
      </c>
      <c r="AG10" s="37" t="s">
        <v>44</v>
      </c>
      <c r="AH10" s="37" t="s">
        <v>45</v>
      </c>
      <c r="AI10" s="37" t="s">
        <v>46</v>
      </c>
      <c r="AJ10" s="37" t="s">
        <v>47</v>
      </c>
      <c r="AK10" s="37" t="s">
        <v>48</v>
      </c>
      <c r="AL10" s="37" t="s">
        <v>49</v>
      </c>
      <c r="AM10" s="37" t="s">
        <v>50</v>
      </c>
      <c r="AN10" s="37" t="s">
        <v>51</v>
      </c>
      <c r="AO10" s="37" t="s">
        <v>52</v>
      </c>
    </row>
    <row r="11" customFormat="false" ht="13.2" hidden="false" customHeight="false" outlineLevel="0" collapsed="false">
      <c r="A11" s="19" t="s">
        <v>375</v>
      </c>
      <c r="B11" s="138" t="n">
        <v>109540206</v>
      </c>
      <c r="C11" s="138" t="n">
        <f aca="false">B13</f>
        <v>109540206</v>
      </c>
      <c r="D11" s="138" t="n">
        <f aca="false">C13</f>
        <v>109540206</v>
      </c>
      <c r="E11" s="138" t="n">
        <f aca="false">D13</f>
        <v>109540206</v>
      </c>
      <c r="F11" s="138" t="n">
        <f aca="false">E13</f>
        <v>109540206</v>
      </c>
      <c r="G11" s="138" t="n">
        <f aca="false">F13</f>
        <v>109540206</v>
      </c>
      <c r="H11" s="138" t="n">
        <f aca="false">G13</f>
        <v>107175048</v>
      </c>
      <c r="I11" s="138" t="n">
        <f aca="false">H13</f>
        <v>107175048</v>
      </c>
      <c r="J11" s="138" t="n">
        <f aca="false">I13</f>
        <v>107175048</v>
      </c>
      <c r="K11" s="138" t="n">
        <f aca="false">J13</f>
        <v>107175048</v>
      </c>
      <c r="L11" s="138" t="n">
        <f aca="false">K13</f>
        <v>107175048</v>
      </c>
      <c r="M11" s="138" t="n">
        <f aca="false">L13</f>
        <v>107175048</v>
      </c>
      <c r="O11" s="19" t="s">
        <v>375</v>
      </c>
      <c r="P11" s="138" t="n">
        <f aca="false">M13</f>
        <v>104714814</v>
      </c>
      <c r="Q11" s="138" t="n">
        <f aca="false">P13</f>
        <v>104714814</v>
      </c>
      <c r="R11" s="138" t="n">
        <f aca="false">Q13</f>
        <v>104714814</v>
      </c>
      <c r="S11" s="138" t="n">
        <f aca="false">R13</f>
        <v>104714814</v>
      </c>
      <c r="T11" s="138" t="n">
        <f aca="false">S13</f>
        <v>104714814</v>
      </c>
      <c r="U11" s="138" t="n">
        <f aca="false">T13</f>
        <v>104714814</v>
      </c>
      <c r="V11" s="138" t="n">
        <f aca="false">U13</f>
        <v>102155628</v>
      </c>
      <c r="W11" s="138" t="n">
        <f aca="false">V13</f>
        <v>102155628</v>
      </c>
      <c r="X11" s="138" t="n">
        <f aca="false">W13</f>
        <v>102155628</v>
      </c>
      <c r="Y11" s="138" t="n">
        <f aca="false">X13</f>
        <v>102155628</v>
      </c>
      <c r="Z11" s="138" t="n">
        <f aca="false">Y13</f>
        <v>102155628</v>
      </c>
      <c r="AA11" s="138" t="n">
        <f aca="false">Z13</f>
        <v>102155628</v>
      </c>
      <c r="AB11" s="138"/>
      <c r="AC11" s="19" t="s">
        <v>375</v>
      </c>
      <c r="AD11" s="138" t="n">
        <f aca="false">AA13</f>
        <v>99493614</v>
      </c>
      <c r="AE11" s="138" t="n">
        <f aca="false">AD13</f>
        <v>99493614</v>
      </c>
      <c r="AF11" s="138" t="n">
        <f aca="false">AE13</f>
        <v>99493614</v>
      </c>
      <c r="AG11" s="138" t="n">
        <f aca="false">AF13</f>
        <v>99493614</v>
      </c>
      <c r="AH11" s="138" t="n">
        <f aca="false">AG13</f>
        <v>99493614</v>
      </c>
      <c r="AI11" s="138" t="n">
        <f aca="false">AH13</f>
        <v>99493614</v>
      </c>
      <c r="AJ11" s="138" t="n">
        <f aca="false">AI13</f>
        <v>96724668</v>
      </c>
      <c r="AK11" s="138" t="n">
        <f aca="false">AJ13</f>
        <v>96724668</v>
      </c>
      <c r="AL11" s="138" t="n">
        <f aca="false">AK13</f>
        <v>96724668</v>
      </c>
      <c r="AM11" s="138" t="n">
        <f aca="false">AL13</f>
        <v>96724668</v>
      </c>
      <c r="AN11" s="138" t="n">
        <f aca="false">AM13</f>
        <v>96724668</v>
      </c>
      <c r="AO11" s="138" t="n">
        <f aca="false">AN13</f>
        <v>96724668</v>
      </c>
    </row>
    <row r="12" customFormat="false" ht="13.2" hidden="false" customHeight="false" outlineLevel="0" collapsed="false">
      <c r="A12" s="19" t="s">
        <v>376</v>
      </c>
      <c r="B12" s="138"/>
      <c r="C12" s="138"/>
      <c r="D12" s="138"/>
      <c r="E12" s="138"/>
      <c r="G12" s="138" t="n">
        <f aca="false">114000000*0.020747*-1</f>
        <v>-2365158</v>
      </c>
      <c r="H12" s="138"/>
      <c r="I12" s="138"/>
      <c r="J12" s="138"/>
      <c r="K12" s="138"/>
      <c r="M12" s="138" t="n">
        <f aca="false">114000000*0.021581*-1</f>
        <v>-2460234</v>
      </c>
      <c r="O12" s="19" t="s">
        <v>376</v>
      </c>
      <c r="P12" s="138"/>
      <c r="Q12" s="138"/>
      <c r="R12" s="138"/>
      <c r="S12" s="138"/>
      <c r="U12" s="138" t="n">
        <f aca="false">114000000*0.022449*-1</f>
        <v>-2559186</v>
      </c>
      <c r="V12" s="138"/>
      <c r="W12" s="138"/>
      <c r="X12" s="138"/>
      <c r="Y12" s="138"/>
      <c r="AA12" s="138" t="n">
        <f aca="false">114000000*0.023351*-1</f>
        <v>-2662014</v>
      </c>
      <c r="AB12" s="138"/>
      <c r="AC12" s="19" t="s">
        <v>376</v>
      </c>
      <c r="AD12" s="138"/>
      <c r="AE12" s="138"/>
      <c r="AF12" s="138"/>
      <c r="AG12" s="138"/>
      <c r="AI12" s="138" t="n">
        <f aca="false">114000000*0.024289*-1</f>
        <v>-2768946</v>
      </c>
      <c r="AJ12" s="138"/>
      <c r="AK12" s="138"/>
      <c r="AL12" s="138"/>
      <c r="AM12" s="138"/>
      <c r="AO12" s="138" t="n">
        <f aca="false">114000000*0.025266*-1</f>
        <v>-2880324</v>
      </c>
    </row>
    <row r="13" customFormat="false" ht="13.2" hidden="false" customHeight="false" outlineLevel="0" collapsed="false">
      <c r="A13" s="21" t="s">
        <v>377</v>
      </c>
      <c r="B13" s="202" t="n">
        <f aca="false">SUM(B11:B12)</f>
        <v>109540206</v>
      </c>
      <c r="C13" s="202" t="n">
        <f aca="false">SUM(C11:C12)</f>
        <v>109540206</v>
      </c>
      <c r="D13" s="202" t="n">
        <f aca="false">SUM(D11:D12)</f>
        <v>109540206</v>
      </c>
      <c r="E13" s="202" t="n">
        <f aca="false">SUM(E11:E12)</f>
        <v>109540206</v>
      </c>
      <c r="F13" s="202" t="n">
        <f aca="false">SUM(F11:F12)</f>
        <v>109540206</v>
      </c>
      <c r="G13" s="202" t="n">
        <f aca="false">SUM(G11:G12)</f>
        <v>107175048</v>
      </c>
      <c r="H13" s="202" t="n">
        <f aca="false">SUM(H11:H12)</f>
        <v>107175048</v>
      </c>
      <c r="I13" s="202" t="n">
        <f aca="false">SUM(I11:I12)</f>
        <v>107175048</v>
      </c>
      <c r="J13" s="202" t="n">
        <f aca="false">SUM(J11:J12)</f>
        <v>107175048</v>
      </c>
      <c r="K13" s="202" t="n">
        <f aca="false">SUM(K11:K12)</f>
        <v>107175048</v>
      </c>
      <c r="L13" s="202" t="n">
        <f aca="false">SUM(L11:L12)</f>
        <v>107175048</v>
      </c>
      <c r="M13" s="202" t="n">
        <f aca="false">SUM(M11:M12)</f>
        <v>104714814</v>
      </c>
      <c r="N13" s="21"/>
      <c r="O13" s="21" t="s">
        <v>377</v>
      </c>
      <c r="P13" s="202" t="n">
        <f aca="false">SUM(P11:P12)</f>
        <v>104714814</v>
      </c>
      <c r="Q13" s="202" t="n">
        <f aca="false">SUM(Q11:Q12)</f>
        <v>104714814</v>
      </c>
      <c r="R13" s="202" t="n">
        <f aca="false">SUM(R11:R12)</f>
        <v>104714814</v>
      </c>
      <c r="S13" s="202" t="n">
        <f aca="false">SUM(S11:S12)</f>
        <v>104714814</v>
      </c>
      <c r="T13" s="202" t="n">
        <f aca="false">SUM(T11:T12)</f>
        <v>104714814</v>
      </c>
      <c r="U13" s="202" t="n">
        <f aca="false">SUM(U11:U12)</f>
        <v>102155628</v>
      </c>
      <c r="V13" s="202" t="n">
        <f aca="false">SUM(V11:V12)</f>
        <v>102155628</v>
      </c>
      <c r="W13" s="202" t="n">
        <f aca="false">SUM(W11:W12)</f>
        <v>102155628</v>
      </c>
      <c r="X13" s="202" t="n">
        <f aca="false">SUM(X11:X12)</f>
        <v>102155628</v>
      </c>
      <c r="Y13" s="202" t="n">
        <f aca="false">SUM(Y11:Y12)</f>
        <v>102155628</v>
      </c>
      <c r="Z13" s="202" t="n">
        <f aca="false">SUM(Z11:Z12)</f>
        <v>102155628</v>
      </c>
      <c r="AA13" s="202" t="n">
        <f aca="false">SUM(AA11:AA12)</f>
        <v>99493614</v>
      </c>
      <c r="AB13" s="38"/>
      <c r="AC13" s="21" t="s">
        <v>377</v>
      </c>
      <c r="AD13" s="202" t="n">
        <f aca="false">SUM(AD11:AD12)</f>
        <v>99493614</v>
      </c>
      <c r="AE13" s="202" t="n">
        <f aca="false">SUM(AE11:AE12)</f>
        <v>99493614</v>
      </c>
      <c r="AF13" s="202" t="n">
        <f aca="false">SUM(AF11:AF12)</f>
        <v>99493614</v>
      </c>
      <c r="AG13" s="202" t="n">
        <f aca="false">SUM(AG11:AG12)</f>
        <v>99493614</v>
      </c>
      <c r="AH13" s="202" t="n">
        <f aca="false">SUM(AH11:AH12)</f>
        <v>99493614</v>
      </c>
      <c r="AI13" s="202" t="n">
        <f aca="false">SUM(AI11:AI12)</f>
        <v>96724668</v>
      </c>
      <c r="AJ13" s="202" t="n">
        <f aca="false">SUM(AJ11:AJ12)</f>
        <v>96724668</v>
      </c>
      <c r="AK13" s="202" t="n">
        <f aca="false">SUM(AK11:AK12)</f>
        <v>96724668</v>
      </c>
      <c r="AL13" s="202" t="n">
        <f aca="false">SUM(AL11:AL12)</f>
        <v>96724668</v>
      </c>
      <c r="AM13" s="202" t="n">
        <f aca="false">SUM(AM11:AM12)</f>
        <v>96724668</v>
      </c>
      <c r="AN13" s="202" t="n">
        <f aca="false">SUM(AN11:AN12)</f>
        <v>96724668</v>
      </c>
      <c r="AO13" s="202" t="n">
        <f aca="false">SUM(AO11:AO12)</f>
        <v>93844344</v>
      </c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3.2" hidden="false" customHeight="false" outlineLevel="0" collapsed="false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</row>
    <row r="15" customFormat="false" ht="13.2" hidden="false" customHeight="false" outlineLevel="0" collapsed="false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</row>
    <row r="16" customFormat="false" ht="13.2" hidden="false" customHeight="false" outlineLevel="0" collapsed="false">
      <c r="A16" s="21" t="s">
        <v>378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O16" s="21" t="s">
        <v>378</v>
      </c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21" t="s">
        <v>378</v>
      </c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</row>
    <row r="17" customFormat="false" ht="13.2" hidden="false" customHeight="false" outlineLevel="0" collapsed="false">
      <c r="B17" s="37" t="s">
        <v>41</v>
      </c>
      <c r="C17" s="37" t="s">
        <v>42</v>
      </c>
      <c r="D17" s="37" t="s">
        <v>43</v>
      </c>
      <c r="E17" s="37" t="s">
        <v>44</v>
      </c>
      <c r="F17" s="37" t="s">
        <v>45</v>
      </c>
      <c r="G17" s="37" t="s">
        <v>46</v>
      </c>
      <c r="H17" s="37" t="s">
        <v>47</v>
      </c>
      <c r="I17" s="37" t="s">
        <v>48</v>
      </c>
      <c r="J17" s="37" t="s">
        <v>49</v>
      </c>
      <c r="K17" s="37" t="s">
        <v>50</v>
      </c>
      <c r="L17" s="37" t="s">
        <v>51</v>
      </c>
      <c r="M17" s="37" t="s">
        <v>52</v>
      </c>
      <c r="P17" s="37" t="s">
        <v>41</v>
      </c>
      <c r="Q17" s="37" t="s">
        <v>42</v>
      </c>
      <c r="R17" s="37" t="s">
        <v>43</v>
      </c>
      <c r="S17" s="37" t="s">
        <v>44</v>
      </c>
      <c r="T17" s="37" t="s">
        <v>45</v>
      </c>
      <c r="U17" s="37" t="s">
        <v>46</v>
      </c>
      <c r="V17" s="37" t="s">
        <v>47</v>
      </c>
      <c r="W17" s="37" t="s">
        <v>48</v>
      </c>
      <c r="X17" s="37" t="s">
        <v>49</v>
      </c>
      <c r="Y17" s="37" t="s">
        <v>50</v>
      </c>
      <c r="Z17" s="37" t="s">
        <v>51</v>
      </c>
      <c r="AA17" s="37" t="s">
        <v>52</v>
      </c>
      <c r="AB17" s="138"/>
      <c r="AD17" s="37" t="s">
        <v>41</v>
      </c>
      <c r="AE17" s="37" t="s">
        <v>42</v>
      </c>
      <c r="AF17" s="37" t="s">
        <v>43</v>
      </c>
      <c r="AG17" s="37" t="s">
        <v>44</v>
      </c>
      <c r="AH17" s="37" t="s">
        <v>45</v>
      </c>
      <c r="AI17" s="37" t="s">
        <v>46</v>
      </c>
      <c r="AJ17" s="37" t="s">
        <v>47</v>
      </c>
      <c r="AK17" s="37" t="s">
        <v>48</v>
      </c>
      <c r="AL17" s="37" t="s">
        <v>49</v>
      </c>
      <c r="AM17" s="37" t="s">
        <v>50</v>
      </c>
      <c r="AN17" s="37" t="s">
        <v>51</v>
      </c>
      <c r="AO17" s="37" t="s">
        <v>52</v>
      </c>
    </row>
    <row r="18" customFormat="false" ht="13.2" hidden="false" customHeight="false" outlineLevel="0" collapsed="false">
      <c r="A18" s="19" t="s">
        <v>375</v>
      </c>
      <c r="B18" s="138" t="n">
        <v>4323955</v>
      </c>
      <c r="C18" s="138" t="n">
        <f aca="false">B20</f>
        <v>4323955</v>
      </c>
      <c r="D18" s="138" t="n">
        <f aca="false">C20</f>
        <v>4323955</v>
      </c>
      <c r="E18" s="138" t="n">
        <f aca="false">D20</f>
        <v>4323955</v>
      </c>
      <c r="F18" s="138" t="n">
        <f aca="false">E20</f>
        <v>4323955</v>
      </c>
      <c r="G18" s="138" t="n">
        <f aca="false">F20</f>
        <v>4323955</v>
      </c>
      <c r="H18" s="138" t="n">
        <f aca="false">G20</f>
        <v>4230593.5</v>
      </c>
      <c r="I18" s="138" t="n">
        <f aca="false">H20</f>
        <v>4230593.5</v>
      </c>
      <c r="J18" s="138" t="n">
        <f aca="false">I20</f>
        <v>4230593.5</v>
      </c>
      <c r="K18" s="138" t="n">
        <f aca="false">J20</f>
        <v>4230593.5</v>
      </c>
      <c r="L18" s="138" t="n">
        <f aca="false">K20</f>
        <v>4230593.5</v>
      </c>
      <c r="M18" s="138" t="n">
        <f aca="false">L20</f>
        <v>4230593.5</v>
      </c>
      <c r="O18" s="19" t="s">
        <v>375</v>
      </c>
      <c r="P18" s="138" t="n">
        <f aca="false">M20</f>
        <v>4133479</v>
      </c>
      <c r="Q18" s="138" t="n">
        <f aca="false">P20</f>
        <v>4133479</v>
      </c>
      <c r="R18" s="138" t="n">
        <f aca="false">Q20</f>
        <v>4133479</v>
      </c>
      <c r="S18" s="138" t="n">
        <f aca="false">R20</f>
        <v>4133479</v>
      </c>
      <c r="T18" s="138" t="n">
        <f aca="false">S20</f>
        <v>4133479</v>
      </c>
      <c r="U18" s="138" t="n">
        <f aca="false">T20</f>
        <v>4133479</v>
      </c>
      <c r="V18" s="138" t="n">
        <f aca="false">U20</f>
        <v>4032458.5</v>
      </c>
      <c r="W18" s="138" t="n">
        <f aca="false">V20</f>
        <v>4032458.5</v>
      </c>
      <c r="X18" s="138" t="n">
        <f aca="false">W20</f>
        <v>4032458.5</v>
      </c>
      <c r="Y18" s="138" t="n">
        <f aca="false">X20</f>
        <v>4032458.5</v>
      </c>
      <c r="Z18" s="138" t="n">
        <f aca="false">Y20</f>
        <v>4032458.5</v>
      </c>
      <c r="AA18" s="138" t="n">
        <f aca="false">Z20</f>
        <v>4032458.5</v>
      </c>
      <c r="AB18" s="138"/>
      <c r="AC18" s="19" t="s">
        <v>375</v>
      </c>
      <c r="AD18" s="138" t="n">
        <f aca="false">AA20</f>
        <v>3926479</v>
      </c>
      <c r="AE18" s="138" t="n">
        <f aca="false">AD20</f>
        <v>3926479</v>
      </c>
      <c r="AF18" s="138" t="n">
        <f aca="false">AE20</f>
        <v>3926479</v>
      </c>
      <c r="AG18" s="138" t="n">
        <f aca="false">AF20</f>
        <v>3926479</v>
      </c>
      <c r="AH18" s="138" t="n">
        <f aca="false">AG20</f>
        <v>3926479</v>
      </c>
      <c r="AI18" s="138" t="n">
        <f aca="false">AH20</f>
        <v>3926479</v>
      </c>
      <c r="AJ18" s="138" t="n">
        <f aca="false">AI20</f>
        <v>3817178.5</v>
      </c>
      <c r="AK18" s="138" t="n">
        <f aca="false">AJ20</f>
        <v>3817178.5</v>
      </c>
      <c r="AL18" s="138" t="n">
        <f aca="false">AK20</f>
        <v>3817178.5</v>
      </c>
      <c r="AM18" s="138" t="n">
        <f aca="false">AL20</f>
        <v>3817178.5</v>
      </c>
      <c r="AN18" s="138" t="n">
        <f aca="false">AM20</f>
        <v>3817178.5</v>
      </c>
      <c r="AO18" s="138" t="n">
        <f aca="false">AN20</f>
        <v>3817178.5</v>
      </c>
    </row>
    <row r="19" customFormat="false" ht="13.2" hidden="false" customHeight="false" outlineLevel="0" collapsed="false">
      <c r="A19" s="19" t="s">
        <v>376</v>
      </c>
      <c r="B19" s="138"/>
      <c r="C19" s="138"/>
      <c r="D19" s="138"/>
      <c r="E19" s="138"/>
      <c r="G19" s="138" t="n">
        <f aca="false">4500000*0.020747*-1</f>
        <v>-93361.5</v>
      </c>
      <c r="H19" s="138"/>
      <c r="I19" s="138"/>
      <c r="J19" s="138"/>
      <c r="K19" s="138"/>
      <c r="M19" s="138" t="n">
        <f aca="false">4500000*0.021581*-1</f>
        <v>-97114.5</v>
      </c>
      <c r="N19" s="138"/>
      <c r="O19" s="19" t="s">
        <v>376</v>
      </c>
      <c r="P19" s="138"/>
      <c r="Q19" s="138"/>
      <c r="R19" s="138"/>
      <c r="S19" s="138"/>
      <c r="U19" s="138" t="n">
        <f aca="false">4500000*0.022449*-1</f>
        <v>-101020.5</v>
      </c>
      <c r="V19" s="138"/>
      <c r="W19" s="138"/>
      <c r="X19" s="138"/>
      <c r="Y19" s="138"/>
      <c r="AA19" s="138" t="n">
        <f aca="false">4500000*0.023551*-1</f>
        <v>-105979.5</v>
      </c>
      <c r="AB19" s="138"/>
      <c r="AC19" s="19" t="s">
        <v>376</v>
      </c>
      <c r="AD19" s="138"/>
      <c r="AE19" s="138"/>
      <c r="AF19" s="138"/>
      <c r="AG19" s="138"/>
      <c r="AI19" s="138" t="n">
        <f aca="false">4500000*0.024289*-1</f>
        <v>-109300.5</v>
      </c>
      <c r="AJ19" s="138"/>
      <c r="AK19" s="138"/>
      <c r="AL19" s="138"/>
      <c r="AM19" s="138"/>
      <c r="AO19" s="138" t="n">
        <f aca="false">4500000*0.025266*-1</f>
        <v>-113697</v>
      </c>
    </row>
    <row r="20" customFormat="false" ht="13.2" hidden="false" customHeight="false" outlineLevel="0" collapsed="false">
      <c r="A20" s="21" t="s">
        <v>377</v>
      </c>
      <c r="B20" s="202" t="n">
        <f aca="false">SUM(B18:B19)</f>
        <v>4323955</v>
      </c>
      <c r="C20" s="202" t="n">
        <f aca="false">SUM(C18:C19)</f>
        <v>4323955</v>
      </c>
      <c r="D20" s="202" t="n">
        <f aca="false">SUM(D18:D19)</f>
        <v>4323955</v>
      </c>
      <c r="E20" s="202" t="n">
        <f aca="false">SUM(E18:E19)</f>
        <v>4323955</v>
      </c>
      <c r="F20" s="202" t="n">
        <f aca="false">SUM(F18:F19)</f>
        <v>4323955</v>
      </c>
      <c r="G20" s="202" t="n">
        <f aca="false">SUM(G18:G19)</f>
        <v>4230593.5</v>
      </c>
      <c r="H20" s="202" t="n">
        <f aca="false">SUM(H18:H19)</f>
        <v>4230593.5</v>
      </c>
      <c r="I20" s="202" t="n">
        <f aca="false">SUM(I18:I19)</f>
        <v>4230593.5</v>
      </c>
      <c r="J20" s="202" t="n">
        <f aca="false">SUM(J18:J19)</f>
        <v>4230593.5</v>
      </c>
      <c r="K20" s="202" t="n">
        <f aca="false">SUM(K18:K19)</f>
        <v>4230593.5</v>
      </c>
      <c r="L20" s="202" t="n">
        <f aca="false">SUM(L18:L19)</f>
        <v>4230593.5</v>
      </c>
      <c r="M20" s="202" t="n">
        <f aca="false">SUM(M18:M19)</f>
        <v>4133479</v>
      </c>
      <c r="N20" s="21"/>
      <c r="O20" s="21" t="s">
        <v>377</v>
      </c>
      <c r="P20" s="202" t="n">
        <f aca="false">SUM(P18:P19)</f>
        <v>4133479</v>
      </c>
      <c r="Q20" s="202" t="n">
        <f aca="false">SUM(Q18:Q19)</f>
        <v>4133479</v>
      </c>
      <c r="R20" s="202" t="n">
        <f aca="false">SUM(R18:R19)</f>
        <v>4133479</v>
      </c>
      <c r="S20" s="202" t="n">
        <f aca="false">SUM(S18:S19)</f>
        <v>4133479</v>
      </c>
      <c r="T20" s="202" t="n">
        <f aca="false">SUM(T18:T19)</f>
        <v>4133479</v>
      </c>
      <c r="U20" s="202" t="n">
        <f aca="false">SUM(U18:U19)</f>
        <v>4032458.5</v>
      </c>
      <c r="V20" s="202" t="n">
        <f aca="false">SUM(V18:V19)</f>
        <v>4032458.5</v>
      </c>
      <c r="W20" s="202" t="n">
        <f aca="false">SUM(W18:W19)</f>
        <v>4032458.5</v>
      </c>
      <c r="X20" s="202" t="n">
        <f aca="false">SUM(X18:X19)</f>
        <v>4032458.5</v>
      </c>
      <c r="Y20" s="202" t="n">
        <f aca="false">SUM(Y18:Y19)</f>
        <v>4032458.5</v>
      </c>
      <c r="Z20" s="202" t="n">
        <f aca="false">SUM(Z18:Z19)</f>
        <v>4032458.5</v>
      </c>
      <c r="AA20" s="202" t="n">
        <f aca="false">SUM(AA18:AA19)</f>
        <v>3926479</v>
      </c>
      <c r="AB20" s="38"/>
      <c r="AC20" s="21" t="s">
        <v>377</v>
      </c>
      <c r="AD20" s="202" t="n">
        <f aca="false">SUM(AD18:AD19)</f>
        <v>3926479</v>
      </c>
      <c r="AE20" s="202" t="n">
        <f aca="false">SUM(AE18:AE19)</f>
        <v>3926479</v>
      </c>
      <c r="AF20" s="202" t="n">
        <f aca="false">SUM(AF18:AF19)</f>
        <v>3926479</v>
      </c>
      <c r="AG20" s="202" t="n">
        <f aca="false">SUM(AG18:AG19)</f>
        <v>3926479</v>
      </c>
      <c r="AH20" s="202" t="n">
        <f aca="false">SUM(AH18:AH19)</f>
        <v>3926479</v>
      </c>
      <c r="AI20" s="202" t="n">
        <f aca="false">SUM(AI18:AI19)</f>
        <v>3817178.5</v>
      </c>
      <c r="AJ20" s="202" t="n">
        <f aca="false">SUM(AJ18:AJ19)</f>
        <v>3817178.5</v>
      </c>
      <c r="AK20" s="202" t="n">
        <f aca="false">SUM(AK18:AK19)</f>
        <v>3817178.5</v>
      </c>
      <c r="AL20" s="202" t="n">
        <f aca="false">SUM(AL18:AL19)</f>
        <v>3817178.5</v>
      </c>
      <c r="AM20" s="202" t="n">
        <f aca="false">SUM(AM18:AM19)</f>
        <v>3817178.5</v>
      </c>
      <c r="AN20" s="202" t="n">
        <f aca="false">SUM(AN18:AN19)</f>
        <v>3817178.5</v>
      </c>
      <c r="AO20" s="202" t="n">
        <f aca="false">SUM(AO18:AO19)</f>
        <v>3703481.5</v>
      </c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3.2" hidden="false" customHeight="false" outlineLevel="0" collapsed="false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</row>
    <row r="22" customFormat="false" ht="13.2" hidden="false" customHeight="false" outlineLevel="0" collapsed="false">
      <c r="A22" s="21" t="s">
        <v>302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O22" s="21" t="s">
        <v>302</v>
      </c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21" t="s">
        <v>302</v>
      </c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</row>
    <row r="23" customFormat="false" ht="13.2" hidden="false" customHeight="false" outlineLevel="0" collapsed="false">
      <c r="B23" s="37" t="s">
        <v>41</v>
      </c>
      <c r="C23" s="37" t="s">
        <v>42</v>
      </c>
      <c r="D23" s="37" t="s">
        <v>43</v>
      </c>
      <c r="E23" s="37" t="s">
        <v>44</v>
      </c>
      <c r="F23" s="37" t="s">
        <v>45</v>
      </c>
      <c r="G23" s="37" t="s">
        <v>46</v>
      </c>
      <c r="H23" s="37" t="s">
        <v>47</v>
      </c>
      <c r="I23" s="37" t="s">
        <v>48</v>
      </c>
      <c r="J23" s="37" t="s">
        <v>49</v>
      </c>
      <c r="K23" s="37" t="s">
        <v>50</v>
      </c>
      <c r="L23" s="37" t="s">
        <v>51</v>
      </c>
      <c r="M23" s="37" t="s">
        <v>52</v>
      </c>
      <c r="P23" s="37" t="s">
        <v>41</v>
      </c>
      <c r="Q23" s="37" t="s">
        <v>42</v>
      </c>
      <c r="R23" s="37" t="s">
        <v>43</v>
      </c>
      <c r="S23" s="37" t="s">
        <v>44</v>
      </c>
      <c r="T23" s="37" t="s">
        <v>45</v>
      </c>
      <c r="U23" s="37" t="s">
        <v>46</v>
      </c>
      <c r="V23" s="37" t="s">
        <v>47</v>
      </c>
      <c r="W23" s="37" t="s">
        <v>48</v>
      </c>
      <c r="X23" s="37" t="s">
        <v>49</v>
      </c>
      <c r="Y23" s="37" t="s">
        <v>50</v>
      </c>
      <c r="Z23" s="37" t="s">
        <v>51</v>
      </c>
      <c r="AA23" s="37" t="s">
        <v>52</v>
      </c>
      <c r="AB23" s="138"/>
      <c r="AD23" s="37" t="s">
        <v>41</v>
      </c>
      <c r="AE23" s="37" t="s">
        <v>42</v>
      </c>
      <c r="AF23" s="37" t="s">
        <v>43</v>
      </c>
      <c r="AG23" s="37" t="s">
        <v>44</v>
      </c>
      <c r="AH23" s="37" t="s">
        <v>45</v>
      </c>
      <c r="AI23" s="37" t="s">
        <v>46</v>
      </c>
      <c r="AJ23" s="37" t="s">
        <v>47</v>
      </c>
      <c r="AK23" s="37" t="s">
        <v>48</v>
      </c>
      <c r="AL23" s="37" t="s">
        <v>49</v>
      </c>
      <c r="AM23" s="37" t="s">
        <v>50</v>
      </c>
      <c r="AN23" s="37" t="s">
        <v>51</v>
      </c>
      <c r="AO23" s="37" t="s">
        <v>52</v>
      </c>
    </row>
    <row r="24" customFormat="false" ht="13.2" hidden="false" customHeight="false" outlineLevel="0" collapsed="false">
      <c r="A24" s="19" t="s">
        <v>375</v>
      </c>
      <c r="B24" s="138" t="n">
        <v>5449914</v>
      </c>
      <c r="C24" s="138" t="n">
        <f aca="false">B26</f>
        <v>5449914</v>
      </c>
      <c r="D24" s="138" t="n">
        <f aca="false">C26</f>
        <v>5449914</v>
      </c>
      <c r="E24" s="138" t="n">
        <f aca="false">D26</f>
        <v>5449914</v>
      </c>
      <c r="F24" s="138" t="n">
        <f aca="false">E26</f>
        <v>5449914</v>
      </c>
      <c r="G24" s="138" t="n">
        <f aca="false">F26</f>
        <v>5449914</v>
      </c>
      <c r="H24" s="138" t="n">
        <f aca="false">G26</f>
        <v>5449914</v>
      </c>
      <c r="I24" s="138" t="n">
        <f aca="false">H26</f>
        <v>5449914</v>
      </c>
      <c r="J24" s="138" t="n">
        <f aca="false">I26</f>
        <v>5449914</v>
      </c>
      <c r="K24" s="138" t="n">
        <f aca="false">J26</f>
        <v>5449914</v>
      </c>
      <c r="L24" s="138" t="n">
        <f aca="false">K26</f>
        <v>5449914</v>
      </c>
      <c r="M24" s="138" t="n">
        <f aca="false">L26</f>
        <v>5449914</v>
      </c>
      <c r="O24" s="19" t="s">
        <v>375</v>
      </c>
      <c r="P24" s="138" t="n">
        <f aca="false">M26</f>
        <v>5449914</v>
      </c>
      <c r="Q24" s="138" t="n">
        <f aca="false">P26</f>
        <v>5449914</v>
      </c>
      <c r="R24" s="138" t="n">
        <f aca="false">Q26</f>
        <v>5449914</v>
      </c>
      <c r="S24" s="138" t="n">
        <f aca="false">R26</f>
        <v>5449914</v>
      </c>
      <c r="T24" s="138" t="n">
        <f aca="false">S26</f>
        <v>5449914</v>
      </c>
      <c r="U24" s="138" t="n">
        <f aca="false">T26</f>
        <v>5449914</v>
      </c>
      <c r="V24" s="138" t="n">
        <f aca="false">U26</f>
        <v>5449914</v>
      </c>
      <c r="W24" s="138" t="n">
        <f aca="false">V26</f>
        <v>5449914</v>
      </c>
      <c r="X24" s="138" t="n">
        <f aca="false">W26</f>
        <v>5449914</v>
      </c>
      <c r="Y24" s="138" t="n">
        <f aca="false">X26</f>
        <v>5449914</v>
      </c>
      <c r="Z24" s="138" t="n">
        <f aca="false">Y26</f>
        <v>5449914</v>
      </c>
      <c r="AA24" s="138" t="n">
        <f aca="false">Z26</f>
        <v>5449914</v>
      </c>
      <c r="AB24" s="138"/>
      <c r="AC24" s="19" t="s">
        <v>375</v>
      </c>
      <c r="AD24" s="138" t="n">
        <f aca="false">AA26</f>
        <v>5449914</v>
      </c>
      <c r="AE24" s="138" t="n">
        <f aca="false">AD26</f>
        <v>5449914</v>
      </c>
      <c r="AF24" s="138" t="n">
        <f aca="false">AE26</f>
        <v>5449914</v>
      </c>
      <c r="AG24" s="138" t="n">
        <f aca="false">AF26</f>
        <v>5449914</v>
      </c>
      <c r="AH24" s="138" t="n">
        <f aca="false">AG26</f>
        <v>5449914</v>
      </c>
      <c r="AI24" s="138" t="n">
        <f aca="false">AH26</f>
        <v>5449914</v>
      </c>
      <c r="AJ24" s="138" t="n">
        <f aca="false">AI26</f>
        <v>5449914</v>
      </c>
      <c r="AK24" s="138" t="n">
        <f aca="false">AJ26</f>
        <v>5449914</v>
      </c>
      <c r="AL24" s="138" t="n">
        <f aca="false">AK26</f>
        <v>5449914</v>
      </c>
      <c r="AM24" s="138" t="n">
        <f aca="false">AL26</f>
        <v>5449914</v>
      </c>
      <c r="AN24" s="138" t="n">
        <f aca="false">AM26</f>
        <v>5449914</v>
      </c>
      <c r="AO24" s="138" t="n">
        <f aca="false">AN26</f>
        <v>5449914</v>
      </c>
    </row>
    <row r="25" customFormat="false" ht="13.2" hidden="false" customHeight="false" outlineLevel="0" collapsed="false">
      <c r="A25" s="19" t="s">
        <v>376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O25" s="19" t="s">
        <v>376</v>
      </c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9" t="s">
        <v>376</v>
      </c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</row>
    <row r="26" customFormat="false" ht="13.2" hidden="false" customHeight="false" outlineLevel="0" collapsed="false">
      <c r="A26" s="21" t="s">
        <v>377</v>
      </c>
      <c r="B26" s="202" t="n">
        <f aca="false">SUM(B24:B25)</f>
        <v>5449914</v>
      </c>
      <c r="C26" s="202" t="n">
        <f aca="false">SUM(C24:C25)</f>
        <v>5449914</v>
      </c>
      <c r="D26" s="202" t="n">
        <f aca="false">SUM(D24:D25)</f>
        <v>5449914</v>
      </c>
      <c r="E26" s="202" t="n">
        <f aca="false">SUM(E24:E25)</f>
        <v>5449914</v>
      </c>
      <c r="F26" s="202" t="n">
        <f aca="false">SUM(F24:F25)</f>
        <v>5449914</v>
      </c>
      <c r="G26" s="202" t="n">
        <f aca="false">SUM(G24:G25)</f>
        <v>5449914</v>
      </c>
      <c r="H26" s="202" t="n">
        <f aca="false">SUM(H24:H25)</f>
        <v>5449914</v>
      </c>
      <c r="I26" s="202" t="n">
        <f aca="false">SUM(I24:I25)</f>
        <v>5449914</v>
      </c>
      <c r="J26" s="202" t="n">
        <f aca="false">SUM(J24:J25)</f>
        <v>5449914</v>
      </c>
      <c r="K26" s="202" t="n">
        <f aca="false">SUM(K24:K25)</f>
        <v>5449914</v>
      </c>
      <c r="L26" s="202" t="n">
        <f aca="false">SUM(L24:L25)</f>
        <v>5449914</v>
      </c>
      <c r="M26" s="202" t="n">
        <f aca="false">SUM(M24:M25)</f>
        <v>5449914</v>
      </c>
      <c r="N26" s="21"/>
      <c r="O26" s="21" t="s">
        <v>377</v>
      </c>
      <c r="P26" s="202" t="n">
        <f aca="false">SUM(P24:P25)</f>
        <v>5449914</v>
      </c>
      <c r="Q26" s="202" t="n">
        <f aca="false">SUM(Q24:Q25)</f>
        <v>5449914</v>
      </c>
      <c r="R26" s="202" t="n">
        <f aca="false">SUM(R24:R25)</f>
        <v>5449914</v>
      </c>
      <c r="S26" s="202" t="n">
        <f aca="false">SUM(S24:S25)</f>
        <v>5449914</v>
      </c>
      <c r="T26" s="202" t="n">
        <f aca="false">SUM(T24:T25)</f>
        <v>5449914</v>
      </c>
      <c r="U26" s="202" t="n">
        <f aca="false">SUM(U24:U25)</f>
        <v>5449914</v>
      </c>
      <c r="V26" s="202" t="n">
        <f aca="false">SUM(V24:V25)</f>
        <v>5449914</v>
      </c>
      <c r="W26" s="202" t="n">
        <f aca="false">SUM(W24:W25)</f>
        <v>5449914</v>
      </c>
      <c r="X26" s="202" t="n">
        <f aca="false">SUM(X24:X25)</f>
        <v>5449914</v>
      </c>
      <c r="Y26" s="202" t="n">
        <f aca="false">SUM(Y24:Y25)</f>
        <v>5449914</v>
      </c>
      <c r="Z26" s="202" t="n">
        <f aca="false">SUM(Z24:Z25)</f>
        <v>5449914</v>
      </c>
      <c r="AA26" s="202" t="n">
        <f aca="false">SUM(AA24:AA25)</f>
        <v>5449914</v>
      </c>
      <c r="AB26" s="38"/>
      <c r="AC26" s="21" t="s">
        <v>377</v>
      </c>
      <c r="AD26" s="202" t="n">
        <f aca="false">SUM(AD24:AD25)</f>
        <v>5449914</v>
      </c>
      <c r="AE26" s="202" t="n">
        <f aca="false">SUM(AE24:AE25)</f>
        <v>5449914</v>
      </c>
      <c r="AF26" s="202" t="n">
        <f aca="false">SUM(AF24:AF25)</f>
        <v>5449914</v>
      </c>
      <c r="AG26" s="202" t="n">
        <f aca="false">SUM(AG24:AG25)</f>
        <v>5449914</v>
      </c>
      <c r="AH26" s="202" t="n">
        <f aca="false">SUM(AH24:AH25)</f>
        <v>5449914</v>
      </c>
      <c r="AI26" s="202" t="n">
        <f aca="false">SUM(AI24:AI25)</f>
        <v>5449914</v>
      </c>
      <c r="AJ26" s="202" t="n">
        <f aca="false">SUM(AJ24:AJ25)</f>
        <v>5449914</v>
      </c>
      <c r="AK26" s="202" t="n">
        <f aca="false">SUM(AK24:AK25)</f>
        <v>5449914</v>
      </c>
      <c r="AL26" s="202" t="n">
        <f aca="false">SUM(AL24:AL25)</f>
        <v>5449914</v>
      </c>
      <c r="AM26" s="202" t="n">
        <f aca="false">SUM(AM24:AM25)</f>
        <v>5449914</v>
      </c>
      <c r="AN26" s="202" t="n">
        <f aca="false">SUM(AN24:AN25)</f>
        <v>5449914</v>
      </c>
      <c r="AO26" s="202" t="n">
        <f aca="false">SUM(AO24:AO25)</f>
        <v>5449914</v>
      </c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3.2" hidden="false" customHeight="false" outlineLevel="0" collapsed="false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</row>
    <row r="28" customFormat="false" ht="13.2" hidden="false" customHeight="false" outlineLevel="0" collapsed="false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38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</row>
    <row r="29" customFormat="false" ht="13.2" hidden="false" customHeight="false" outlineLevel="0" collapsed="false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38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</row>
    <row r="30" customFormat="false" ht="13.2" hidden="false" customHeight="false" outlineLevel="0" collapsed="false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</row>
    <row r="31" customFormat="false" ht="13.2" hidden="false" customHeight="false" outlineLevel="0" collapsed="false">
      <c r="A31" s="21" t="s">
        <v>379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19" t="s">
        <v>379</v>
      </c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9" t="s">
        <v>379</v>
      </c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</row>
    <row r="32" customFormat="false" ht="13.2" hidden="false" customHeight="false" outlineLevel="0" collapsed="false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</row>
    <row r="33" customFormat="false" ht="13.2" hidden="false" customHeight="false" outlineLevel="0" collapsed="false">
      <c r="A33" s="21" t="s">
        <v>380</v>
      </c>
      <c r="O33" s="21" t="s">
        <v>380</v>
      </c>
      <c r="AB33" s="138"/>
      <c r="AC33" s="21" t="s">
        <v>380</v>
      </c>
    </row>
    <row r="34" customFormat="false" ht="13.2" hidden="false" customHeight="false" outlineLevel="0" collapsed="false">
      <c r="B34" s="37" t="s">
        <v>41</v>
      </c>
      <c r="C34" s="37" t="s">
        <v>42</v>
      </c>
      <c r="D34" s="37" t="s">
        <v>43</v>
      </c>
      <c r="E34" s="37" t="s">
        <v>44</v>
      </c>
      <c r="F34" s="37" t="s">
        <v>45</v>
      </c>
      <c r="G34" s="37" t="s">
        <v>46</v>
      </c>
      <c r="H34" s="37" t="s">
        <v>47</v>
      </c>
      <c r="I34" s="37" t="s">
        <v>48</v>
      </c>
      <c r="J34" s="37" t="s">
        <v>49</v>
      </c>
      <c r="K34" s="37" t="s">
        <v>50</v>
      </c>
      <c r="L34" s="37" t="s">
        <v>51</v>
      </c>
      <c r="M34" s="37" t="s">
        <v>52</v>
      </c>
      <c r="P34" s="37" t="s">
        <v>41</v>
      </c>
      <c r="Q34" s="37" t="s">
        <v>42</v>
      </c>
      <c r="R34" s="37" t="s">
        <v>43</v>
      </c>
      <c r="S34" s="37" t="s">
        <v>44</v>
      </c>
      <c r="T34" s="37" t="s">
        <v>45</v>
      </c>
      <c r="U34" s="37" t="s">
        <v>46</v>
      </c>
      <c r="V34" s="37" t="s">
        <v>47</v>
      </c>
      <c r="W34" s="37" t="s">
        <v>48</v>
      </c>
      <c r="X34" s="37" t="s">
        <v>49</v>
      </c>
      <c r="Y34" s="37" t="s">
        <v>50</v>
      </c>
      <c r="Z34" s="37" t="s">
        <v>51</v>
      </c>
      <c r="AA34" s="37" t="s">
        <v>52</v>
      </c>
      <c r="AB34" s="138"/>
      <c r="AD34" s="37" t="s">
        <v>41</v>
      </c>
      <c r="AE34" s="37" t="s">
        <v>42</v>
      </c>
      <c r="AF34" s="37" t="s">
        <v>43</v>
      </c>
      <c r="AG34" s="37" t="s">
        <v>44</v>
      </c>
      <c r="AH34" s="37" t="s">
        <v>45</v>
      </c>
      <c r="AI34" s="37" t="s">
        <v>46</v>
      </c>
      <c r="AJ34" s="37" t="s">
        <v>47</v>
      </c>
      <c r="AK34" s="37" t="s">
        <v>48</v>
      </c>
      <c r="AL34" s="37" t="s">
        <v>49</v>
      </c>
      <c r="AM34" s="37" t="s">
        <v>50</v>
      </c>
      <c r="AN34" s="37" t="s">
        <v>51</v>
      </c>
      <c r="AO34" s="37" t="s">
        <v>52</v>
      </c>
    </row>
    <row r="35" customFormat="false" ht="13.2" hidden="false" customHeight="false" outlineLevel="0" collapsed="false">
      <c r="A35" s="19" t="s">
        <v>375</v>
      </c>
      <c r="B35" s="138" t="n">
        <f aca="false">B11*Factors!C7</f>
        <v>470738081.2644</v>
      </c>
      <c r="C35" s="138" t="n">
        <f aca="false">B38</f>
        <v>471397114.57817</v>
      </c>
      <c r="D35" s="138" t="n">
        <f aca="false">C38</f>
        <v>472056147.89194</v>
      </c>
      <c r="E35" s="138" t="n">
        <f aca="false">D38</f>
        <v>472715181.205711</v>
      </c>
      <c r="F35" s="138" t="n">
        <f aca="false">E38</f>
        <v>473374214.519481</v>
      </c>
      <c r="G35" s="138" t="n">
        <f aca="false">F38</f>
        <v>474033247.833251</v>
      </c>
      <c r="H35" s="138" t="n">
        <f aca="false">G38</f>
        <v>464442873.305912</v>
      </c>
      <c r="I35" s="138" t="n">
        <f aca="false">H38</f>
        <v>465087676.977697</v>
      </c>
      <c r="J35" s="138" t="n">
        <f aca="false">I38</f>
        <v>465732480.649482</v>
      </c>
      <c r="K35" s="138" t="n">
        <f aca="false">J38</f>
        <v>466377284.321268</v>
      </c>
      <c r="L35" s="138" t="n">
        <f aca="false">K38</f>
        <v>467022087.993053</v>
      </c>
      <c r="M35" s="138" t="n">
        <f aca="false">L38</f>
        <v>467666891.664838</v>
      </c>
      <c r="O35" s="19" t="s">
        <v>375</v>
      </c>
      <c r="P35" s="138" t="n">
        <f aca="false">M38</f>
        <v>457561465.903885</v>
      </c>
      <c r="Q35" s="138" t="n">
        <f aca="false">P38</f>
        <v>459467972.011818</v>
      </c>
      <c r="R35" s="138" t="n">
        <f aca="false">Q38</f>
        <v>461374478.119751</v>
      </c>
      <c r="S35" s="138" t="n">
        <f aca="false">R38</f>
        <v>463280984.227683</v>
      </c>
      <c r="T35" s="138" t="n">
        <f aca="false">S38</f>
        <v>465187490.335616</v>
      </c>
      <c r="U35" s="138" t="n">
        <f aca="false">T38</f>
        <v>467093996.443549</v>
      </c>
      <c r="V35" s="138" t="n">
        <f aca="false">U38</f>
        <v>457538327.580491</v>
      </c>
      <c r="W35" s="138" t="n">
        <f aca="false">V38</f>
        <v>459398239.481225</v>
      </c>
      <c r="X35" s="138" t="n">
        <f aca="false">W38</f>
        <v>461258151.381959</v>
      </c>
      <c r="Y35" s="138" t="n">
        <f aca="false">X38</f>
        <v>463118063.282693</v>
      </c>
      <c r="Z35" s="138" t="n">
        <f aca="false">Y38</f>
        <v>464977975.183426</v>
      </c>
      <c r="AA35" s="138" t="n">
        <f aca="false">Z38</f>
        <v>466837887.08416</v>
      </c>
      <c r="AB35" s="138"/>
      <c r="AC35" s="19" t="s">
        <v>375</v>
      </c>
      <c r="AD35" s="138" t="n">
        <f aca="false">AA38</f>
        <v>456484276.077796</v>
      </c>
      <c r="AE35" s="138" t="n">
        <f aca="false">AD38</f>
        <v>458386293.894787</v>
      </c>
      <c r="AF35" s="138" t="n">
        <f aca="false">AE38</f>
        <v>460288311.711777</v>
      </c>
      <c r="AG35" s="138" t="n">
        <f aca="false">AF38</f>
        <v>462190329.528768</v>
      </c>
      <c r="AH35" s="138" t="n">
        <f aca="false">AG38</f>
        <v>464092347.345759</v>
      </c>
      <c r="AI35" s="138" t="n">
        <f aca="false">AH38</f>
        <v>465994365.16275</v>
      </c>
      <c r="AJ35" s="138" t="n">
        <f aca="false">AI38</f>
        <v>454874644.538656</v>
      </c>
      <c r="AK35" s="138" t="n">
        <f aca="false">AJ38</f>
        <v>456723728.459545</v>
      </c>
      <c r="AL35" s="138" t="n">
        <f aca="false">AK38</f>
        <v>458572812.380434</v>
      </c>
      <c r="AM35" s="138" t="n">
        <f aca="false">AL38</f>
        <v>460421896.301323</v>
      </c>
      <c r="AN35" s="138" t="n">
        <f aca="false">AM38</f>
        <v>462270980.222212</v>
      </c>
      <c r="AO35" s="138" t="n">
        <f aca="false">AN38</f>
        <v>464120064.1431</v>
      </c>
    </row>
    <row r="36" customFormat="false" ht="13.2" hidden="false" customHeight="false" outlineLevel="0" collapsed="false">
      <c r="A36" s="19" t="s">
        <v>376</v>
      </c>
      <c r="B36" s="138" t="n">
        <f aca="false">B12*Factors!C11</f>
        <v>0</v>
      </c>
      <c r="C36" s="138" t="n">
        <f aca="false">C12*Factors!D11</f>
        <v>0</v>
      </c>
      <c r="D36" s="138" t="n">
        <f aca="false">D12*Factors!E11</f>
        <v>0</v>
      </c>
      <c r="E36" s="138" t="n">
        <f aca="false">E12*Factors!F11</f>
        <v>0</v>
      </c>
      <c r="F36" s="138" t="n">
        <f aca="false">F12*Factors!G11</f>
        <v>0</v>
      </c>
      <c r="G36" s="138" t="n">
        <f aca="false">G12*Factors!H11</f>
        <v>-10249407.8411093</v>
      </c>
      <c r="H36" s="138" t="n">
        <f aca="false">H12*Factors!I11</f>
        <v>0</v>
      </c>
      <c r="I36" s="138" t="n">
        <f aca="false">I12*Factors!J11</f>
        <v>0</v>
      </c>
      <c r="J36" s="138" t="n">
        <f aca="false">J12*Factors!K11</f>
        <v>0</v>
      </c>
      <c r="K36" s="138" t="n">
        <f aca="false">K12*Factors!L11</f>
        <v>0</v>
      </c>
      <c r="L36" s="138" t="n">
        <f aca="false">L12*Factors!M11</f>
        <v>0</v>
      </c>
      <c r="M36" s="138" t="n">
        <f aca="false">M12*Factors!N11</f>
        <v>-10750229.4327389</v>
      </c>
      <c r="O36" s="19" t="s">
        <v>376</v>
      </c>
      <c r="P36" s="138" t="n">
        <f aca="false">P12*Factors!Q11</f>
        <v>0</v>
      </c>
      <c r="Q36" s="138" t="n">
        <f aca="false">Q12*Factors!R11</f>
        <v>0</v>
      </c>
      <c r="R36" s="138" t="n">
        <f aca="false">R12*Factors!S11</f>
        <v>0</v>
      </c>
      <c r="S36" s="138" t="n">
        <f aca="false">S12*Factors!T11</f>
        <v>0</v>
      </c>
      <c r="T36" s="138" t="n">
        <f aca="false">T12*Factors!U11</f>
        <v>0</v>
      </c>
      <c r="U36" s="138" t="n">
        <f aca="false">U12*Factors!V11</f>
        <v>-11415580.7637913</v>
      </c>
      <c r="V36" s="138" t="n">
        <f aca="false">V12*Factors!W11</f>
        <v>0</v>
      </c>
      <c r="W36" s="138" t="n">
        <f aca="false">W12*Factors!X11</f>
        <v>0</v>
      </c>
      <c r="X36" s="138" t="n">
        <f aca="false">X12*Factors!Y11</f>
        <v>0</v>
      </c>
      <c r="Y36" s="138" t="n">
        <f aca="false">Y12*Factors!Z11</f>
        <v>0</v>
      </c>
      <c r="Z36" s="138" t="n">
        <f aca="false">Z12*Factors!AA11</f>
        <v>0</v>
      </c>
      <c r="AA36" s="138" t="n">
        <f aca="false">AA12*Factors!AB11</f>
        <v>-12165056.5463555</v>
      </c>
      <c r="AB36" s="138"/>
      <c r="AC36" s="19" t="s">
        <v>376</v>
      </c>
      <c r="AD36" s="138" t="n">
        <f aca="false">AD12*Factors!AE11</f>
        <v>0</v>
      </c>
      <c r="AE36" s="138" t="n">
        <f aca="false">AE12*Factors!AF11</f>
        <v>0</v>
      </c>
      <c r="AF36" s="138" t="n">
        <f aca="false">AF12*Factors!AG11</f>
        <v>0</v>
      </c>
      <c r="AG36" s="138" t="n">
        <f aca="false">AG12*Factors!AH11</f>
        <v>0</v>
      </c>
      <c r="AH36" s="138" t="n">
        <f aca="false">AH12*Factors!AI11</f>
        <v>0</v>
      </c>
      <c r="AI36" s="138" t="n">
        <f aca="false">AI12*Factors!AJ11</f>
        <v>-12915870.6488805</v>
      </c>
      <c r="AJ36" s="138" t="n">
        <f aca="false">AJ12*Factors!AK11</f>
        <v>0</v>
      </c>
      <c r="AK36" s="138" t="n">
        <f aca="false">AK12*Factors!AL11</f>
        <v>0</v>
      </c>
      <c r="AL36" s="138" t="n">
        <f aca="false">AL12*Factors!AM11</f>
        <v>0</v>
      </c>
      <c r="AM36" s="138" t="n">
        <f aca="false">AM12*Factors!AN11</f>
        <v>0</v>
      </c>
      <c r="AN36" s="138" t="n">
        <f aca="false">AN12*Factors!AO11</f>
        <v>0</v>
      </c>
      <c r="AO36" s="138" t="n">
        <f aca="false">AO12*Factors!AP11</f>
        <v>-13765776.8836959</v>
      </c>
    </row>
    <row r="37" customFormat="false" ht="13.2" hidden="false" customHeight="false" outlineLevel="0" collapsed="false">
      <c r="A37" s="19" t="s">
        <v>381</v>
      </c>
      <c r="B37" s="138" t="n">
        <f aca="false">B38-B35-B36</f>
        <v>659033.313770235</v>
      </c>
      <c r="C37" s="138" t="n">
        <f aca="false">C38-C35-C36</f>
        <v>659033.313770175</v>
      </c>
      <c r="D37" s="138" t="n">
        <f aca="false">D38-D35-D36</f>
        <v>659033.313770175</v>
      </c>
      <c r="E37" s="138" t="n">
        <f aca="false">E38-E35-E36</f>
        <v>659033.313770175</v>
      </c>
      <c r="F37" s="138" t="n">
        <f aca="false">F38-F35-F36</f>
        <v>659033.313770235</v>
      </c>
      <c r="G37" s="138" t="n">
        <f aca="false">G38-G35-G36</f>
        <v>659033.313770182</v>
      </c>
      <c r="H37" s="138" t="n">
        <f aca="false">H38-H35-H36</f>
        <v>644803.671785295</v>
      </c>
      <c r="I37" s="138" t="n">
        <f aca="false">I38-I35-I36</f>
        <v>644803.671785295</v>
      </c>
      <c r="J37" s="138" t="n">
        <f aca="false">J38-J35-J36</f>
        <v>644803.671785295</v>
      </c>
      <c r="K37" s="138" t="n">
        <f aca="false">K38-K35-K36</f>
        <v>644803.671785355</v>
      </c>
      <c r="L37" s="138" t="n">
        <f aca="false">L38-L35-L36</f>
        <v>644803.671785295</v>
      </c>
      <c r="M37" s="138" t="n">
        <f aca="false">M38-M35-M36</f>
        <v>644803.671785282</v>
      </c>
      <c r="N37" s="138"/>
      <c r="O37" s="19" t="s">
        <v>381</v>
      </c>
      <c r="P37" s="138" t="n">
        <f aca="false">P38-P35-P36</f>
        <v>1906506.10793287</v>
      </c>
      <c r="Q37" s="138" t="n">
        <f aca="false">Q38-Q35-Q36</f>
        <v>1906506.10793287</v>
      </c>
      <c r="R37" s="138" t="n">
        <f aca="false">R38-R35-R36</f>
        <v>1906506.10793281</v>
      </c>
      <c r="S37" s="138" t="n">
        <f aca="false">S38-S35-S36</f>
        <v>1906506.10793287</v>
      </c>
      <c r="T37" s="138" t="n">
        <f aca="false">T38-T35-T36</f>
        <v>1906506.10793281</v>
      </c>
      <c r="U37" s="138" t="n">
        <f aca="false">U38-U35-U36</f>
        <v>1859911.90073371</v>
      </c>
      <c r="V37" s="138" t="n">
        <f aca="false">V38-V35-V36</f>
        <v>1859911.90073371</v>
      </c>
      <c r="W37" s="138" t="n">
        <f aca="false">W38-W35-W36</f>
        <v>1859911.90073365</v>
      </c>
      <c r="X37" s="138" t="n">
        <f aca="false">X38-X35-X36</f>
        <v>1859911.90073371</v>
      </c>
      <c r="Y37" s="138" t="n">
        <f aca="false">Y38-Y35-Y36</f>
        <v>1859911.90073371</v>
      </c>
      <c r="Z37" s="138" t="n">
        <f aca="false">Z38-Z35-Z36</f>
        <v>1859911.90073365</v>
      </c>
      <c r="AA37" s="138" t="n">
        <f aca="false">AA38-AA35-AA36</f>
        <v>1811445.53999129</v>
      </c>
      <c r="AB37" s="138"/>
      <c r="AC37" s="19" t="s">
        <v>381</v>
      </c>
      <c r="AD37" s="138" t="n">
        <f aca="false">AD38-AD35-AD36</f>
        <v>1902017.81699079</v>
      </c>
      <c r="AE37" s="138" t="n">
        <f aca="false">AE38-AE35-AE36</f>
        <v>1902017.81699079</v>
      </c>
      <c r="AF37" s="138" t="n">
        <f aca="false">AF38-AF35-AF36</f>
        <v>1902017.81699085</v>
      </c>
      <c r="AG37" s="138" t="n">
        <f aca="false">AG38-AG35-AG36</f>
        <v>1902017.81699079</v>
      </c>
      <c r="AH37" s="138" t="n">
        <f aca="false">AH38-AH35-AH36</f>
        <v>1902017.81699085</v>
      </c>
      <c r="AI37" s="138" t="n">
        <f aca="false">AI38-AI35-AI36</f>
        <v>1796150.02478689</v>
      </c>
      <c r="AJ37" s="138" t="n">
        <f aca="false">AJ38-AJ35-AJ36</f>
        <v>1849083.92088884</v>
      </c>
      <c r="AK37" s="138" t="n">
        <f aca="false">AK38-AK35-AK36</f>
        <v>1849083.92088884</v>
      </c>
      <c r="AL37" s="138" t="n">
        <f aca="false">AL38-AL35-AL36</f>
        <v>1849083.92088884</v>
      </c>
      <c r="AM37" s="138" t="n">
        <f aca="false">AM38-AM35-AM36</f>
        <v>1849083.92088884</v>
      </c>
      <c r="AN37" s="138" t="n">
        <f aca="false">AN38-AN35-AN36</f>
        <v>1849083.92088884</v>
      </c>
      <c r="AO37" s="138" t="n">
        <f aca="false">AO38-AO35-AO36</f>
        <v>1738957.70581931</v>
      </c>
    </row>
    <row r="38" customFormat="false" ht="13.2" hidden="false" customHeight="false" outlineLevel="0" collapsed="false">
      <c r="A38" s="21" t="s">
        <v>377</v>
      </c>
      <c r="B38" s="202" t="n">
        <f aca="false">B13*Factors!C11</f>
        <v>471397114.57817</v>
      </c>
      <c r="C38" s="202" t="n">
        <f aca="false">C13*Factors!D11</f>
        <v>472056147.89194</v>
      </c>
      <c r="D38" s="202" t="n">
        <f aca="false">D13*Factors!E11</f>
        <v>472715181.205711</v>
      </c>
      <c r="E38" s="202" t="n">
        <f aca="false">E13*Factors!F11</f>
        <v>473374214.519481</v>
      </c>
      <c r="F38" s="202" t="n">
        <f aca="false">F13*Factors!G11</f>
        <v>474033247.833251</v>
      </c>
      <c r="G38" s="202" t="n">
        <f aca="false">G13*Factors!H11</f>
        <v>464442873.305912</v>
      </c>
      <c r="H38" s="202" t="n">
        <f aca="false">H13*Factors!I11</f>
        <v>465087676.977697</v>
      </c>
      <c r="I38" s="202" t="n">
        <f aca="false">I13*Factors!J11</f>
        <v>465732480.649482</v>
      </c>
      <c r="J38" s="202" t="n">
        <f aca="false">J13*Factors!K11</f>
        <v>466377284.321268</v>
      </c>
      <c r="K38" s="202" t="n">
        <f aca="false">K13*Factors!L11</f>
        <v>467022087.993053</v>
      </c>
      <c r="L38" s="202" t="n">
        <f aca="false">L13*Factors!M11</f>
        <v>467666891.664838</v>
      </c>
      <c r="M38" s="202" t="n">
        <f aca="false">M13*Factors!N11</f>
        <v>457561465.903885</v>
      </c>
      <c r="N38" s="21"/>
      <c r="O38" s="21" t="s">
        <v>377</v>
      </c>
      <c r="P38" s="202" t="n">
        <f aca="false">P13*Factors!R11</f>
        <v>459467972.011818</v>
      </c>
      <c r="Q38" s="202" t="n">
        <f aca="false">Q13*Factors!S11</f>
        <v>461374478.119751</v>
      </c>
      <c r="R38" s="202" t="n">
        <f aca="false">R13*Factors!T11</f>
        <v>463280984.227683</v>
      </c>
      <c r="S38" s="202" t="n">
        <f aca="false">S13*Factors!U11</f>
        <v>465187490.335616</v>
      </c>
      <c r="T38" s="202" t="n">
        <f aca="false">T13*Factors!V11</f>
        <v>467093996.443549</v>
      </c>
      <c r="U38" s="202" t="n">
        <f aca="false">U13*Factors!W11</f>
        <v>457538327.580491</v>
      </c>
      <c r="V38" s="202" t="n">
        <f aca="false">V13*Factors!X11</f>
        <v>459398239.481225</v>
      </c>
      <c r="W38" s="202" t="n">
        <f aca="false">W13*Factors!Y11</f>
        <v>461258151.381959</v>
      </c>
      <c r="X38" s="202" t="n">
        <f aca="false">X13*Factors!Z11</f>
        <v>463118063.282693</v>
      </c>
      <c r="Y38" s="202" t="n">
        <f aca="false">Y13*Factors!AA11</f>
        <v>464977975.183426</v>
      </c>
      <c r="Z38" s="202" t="n">
        <f aca="false">Z13*Factors!AB11</f>
        <v>466837887.08416</v>
      </c>
      <c r="AA38" s="202" t="n">
        <f aca="false">AA13*Factors!AC11</f>
        <v>456484276.077796</v>
      </c>
      <c r="AB38" s="38"/>
      <c r="AC38" s="21" t="s">
        <v>377</v>
      </c>
      <c r="AD38" s="202" t="n">
        <f aca="false">AD13*Factors!AG11</f>
        <v>458386293.894787</v>
      </c>
      <c r="AE38" s="202" t="n">
        <f aca="false">AE13*Factors!AH11</f>
        <v>460288311.711777</v>
      </c>
      <c r="AF38" s="202" t="n">
        <f aca="false">AF13*Factors!AI11</f>
        <v>462190329.528768</v>
      </c>
      <c r="AG38" s="202" t="n">
        <f aca="false">AG13*Factors!AJ11</f>
        <v>464092347.345759</v>
      </c>
      <c r="AH38" s="202" t="n">
        <f aca="false">AH13*Factors!AK11</f>
        <v>465994365.16275</v>
      </c>
      <c r="AI38" s="202" t="n">
        <f aca="false">AI13*Factors!AL11</f>
        <v>454874644.538656</v>
      </c>
      <c r="AJ38" s="202" t="n">
        <f aca="false">AJ13*Factors!AM11</f>
        <v>456723728.459545</v>
      </c>
      <c r="AK38" s="202" t="n">
        <f aca="false">AK13*Factors!AN11</f>
        <v>458572812.380434</v>
      </c>
      <c r="AL38" s="202" t="n">
        <f aca="false">AL13*Factors!AO11</f>
        <v>460421896.301323</v>
      </c>
      <c r="AM38" s="202" t="n">
        <f aca="false">AM13*Factors!AP11</f>
        <v>462270980.222212</v>
      </c>
      <c r="AN38" s="202" t="n">
        <f aca="false">AN13*Factors!AQ11</f>
        <v>464120064.1431</v>
      </c>
      <c r="AO38" s="202" t="n">
        <f aca="false">AO13*Factors!AR11</f>
        <v>452093244.965224</v>
      </c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</row>
    <row r="39" customFormat="false" ht="13.2" hidden="false" customHeight="false" outlineLevel="0" collapsed="false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</row>
    <row r="40" customFormat="false" ht="13.2" hidden="false" customHeight="false" outlineLevel="0" collapsed="false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</row>
    <row r="41" customFormat="false" ht="13.2" hidden="false" customHeight="false" outlineLevel="0" collapsed="false">
      <c r="A41" s="21" t="s">
        <v>382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O41" s="21" t="s">
        <v>382</v>
      </c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21" t="s">
        <v>382</v>
      </c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</row>
    <row r="42" customFormat="false" ht="13.2" hidden="false" customHeight="false" outlineLevel="0" collapsed="false"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7" t="s">
        <v>47</v>
      </c>
      <c r="I42" s="37" t="s">
        <v>48</v>
      </c>
      <c r="J42" s="37" t="s">
        <v>49</v>
      </c>
      <c r="K42" s="37" t="s">
        <v>50</v>
      </c>
      <c r="L42" s="37" t="s">
        <v>51</v>
      </c>
      <c r="M42" s="37" t="s">
        <v>52</v>
      </c>
      <c r="P42" s="37" t="s">
        <v>41</v>
      </c>
      <c r="Q42" s="37" t="s">
        <v>42</v>
      </c>
      <c r="R42" s="37" t="s">
        <v>43</v>
      </c>
      <c r="S42" s="37" t="s">
        <v>44</v>
      </c>
      <c r="T42" s="37" t="s">
        <v>45</v>
      </c>
      <c r="U42" s="37" t="s">
        <v>46</v>
      </c>
      <c r="V42" s="37" t="s">
        <v>47</v>
      </c>
      <c r="W42" s="37" t="s">
        <v>48</v>
      </c>
      <c r="X42" s="37" t="s">
        <v>49</v>
      </c>
      <c r="Y42" s="37" t="s">
        <v>50</v>
      </c>
      <c r="Z42" s="37" t="s">
        <v>51</v>
      </c>
      <c r="AA42" s="37" t="s">
        <v>52</v>
      </c>
      <c r="AB42" s="138"/>
      <c r="AD42" s="37" t="s">
        <v>41</v>
      </c>
      <c r="AE42" s="37" t="s">
        <v>42</v>
      </c>
      <c r="AF42" s="37" t="s">
        <v>43</v>
      </c>
      <c r="AG42" s="37" t="s">
        <v>44</v>
      </c>
      <c r="AH42" s="37" t="s">
        <v>45</v>
      </c>
      <c r="AI42" s="37" t="s">
        <v>46</v>
      </c>
      <c r="AJ42" s="37" t="s">
        <v>47</v>
      </c>
      <c r="AK42" s="37" t="s">
        <v>48</v>
      </c>
      <c r="AL42" s="37" t="s">
        <v>49</v>
      </c>
      <c r="AM42" s="37" t="s">
        <v>50</v>
      </c>
      <c r="AN42" s="37" t="s">
        <v>51</v>
      </c>
      <c r="AO42" s="37" t="s">
        <v>52</v>
      </c>
    </row>
    <row r="43" customFormat="false" ht="13.2" hidden="false" customHeight="false" outlineLevel="0" collapsed="false">
      <c r="A43" s="19" t="s">
        <v>375</v>
      </c>
      <c r="B43" s="138" t="n">
        <f aca="false">B18*Factors!C7</f>
        <v>18581764.217</v>
      </c>
      <c r="C43" s="138" t="n">
        <f aca="false">B46</f>
        <v>18607778.6869038</v>
      </c>
      <c r="D43" s="138" t="n">
        <f aca="false">C46</f>
        <v>18633793.1568076</v>
      </c>
      <c r="E43" s="138" t="n">
        <f aca="false">D46</f>
        <v>18659807.6267114</v>
      </c>
      <c r="F43" s="138" t="n">
        <f aca="false">E46</f>
        <v>18685822.0966152</v>
      </c>
      <c r="G43" s="138" t="n">
        <f aca="false">F46</f>
        <v>18711836.566519</v>
      </c>
      <c r="H43" s="138" t="n">
        <f aca="false">G46</f>
        <v>18333269.147958</v>
      </c>
      <c r="I43" s="138" t="n">
        <f aca="false">H46</f>
        <v>18358721.9214676</v>
      </c>
      <c r="J43" s="138" t="n">
        <f aca="false">I46</f>
        <v>18384174.6949773</v>
      </c>
      <c r="K43" s="138" t="n">
        <f aca="false">J46</f>
        <v>18409627.468487</v>
      </c>
      <c r="L43" s="138" t="n">
        <f aca="false">K46</f>
        <v>18435080.2419966</v>
      </c>
      <c r="M43" s="138" t="n">
        <f aca="false">L46</f>
        <v>18460533.0155063</v>
      </c>
      <c r="O43" s="19" t="s">
        <v>375</v>
      </c>
      <c r="P43" s="138" t="n">
        <f aca="false">M46</f>
        <v>18061634.6271973</v>
      </c>
      <c r="Q43" s="138" t="n">
        <f aca="false">P46</f>
        <v>18136891.4381439</v>
      </c>
      <c r="R43" s="138" t="n">
        <f aca="false">Q46</f>
        <v>18212148.2490906</v>
      </c>
      <c r="S43" s="138" t="n">
        <f aca="false">R46</f>
        <v>18287405.0600373</v>
      </c>
      <c r="T43" s="138" t="n">
        <f aca="false">S46</f>
        <v>18362661.8709839</v>
      </c>
      <c r="U43" s="138" t="n">
        <f aca="false">T46</f>
        <v>18437918.6819306</v>
      </c>
      <c r="V43" s="138" t="n">
        <f aca="false">U46</f>
        <v>18060721.2177065</v>
      </c>
      <c r="W43" s="138" t="n">
        <f aca="false">V46</f>
        <v>18134138.7836322</v>
      </c>
      <c r="X43" s="138" t="n">
        <f aca="false">W46</f>
        <v>18207556.3495578</v>
      </c>
      <c r="Y43" s="138" t="n">
        <f aca="false">X46</f>
        <v>18280973.9154835</v>
      </c>
      <c r="Z43" s="138" t="n">
        <f aca="false">Y46</f>
        <v>18354391.4814091</v>
      </c>
      <c r="AA43" s="138" t="n">
        <f aca="false">Z46</f>
        <v>18427809.0473347</v>
      </c>
      <c r="AB43" s="138"/>
      <c r="AC43" s="19" t="s">
        <v>375</v>
      </c>
      <c r="AD43" s="138" t="n">
        <f aca="false">AA46</f>
        <v>18014984.5984052</v>
      </c>
      <c r="AE43" s="138" t="n">
        <f aca="false">AD46</f>
        <v>18090047.0342318</v>
      </c>
      <c r="AF43" s="138" t="n">
        <f aca="false">AE46</f>
        <v>18165109.4700585</v>
      </c>
      <c r="AG43" s="138" t="n">
        <f aca="false">AF46</f>
        <v>18240171.9058852</v>
      </c>
      <c r="AH43" s="138" t="n">
        <f aca="false">AG46</f>
        <v>18315234.3417119</v>
      </c>
      <c r="AI43" s="138" t="n">
        <f aca="false">AH46</f>
        <v>18390296.7775386</v>
      </c>
      <c r="AJ43" s="138" t="n">
        <f aca="false">AI46</f>
        <v>17951343.2222698</v>
      </c>
      <c r="AK43" s="138" t="n">
        <f aca="false">AJ46</f>
        <v>18024316.1621978</v>
      </c>
      <c r="AL43" s="138" t="n">
        <f aca="false">AK46</f>
        <v>18097289.1021257</v>
      </c>
      <c r="AM43" s="138" t="n">
        <f aca="false">AL46</f>
        <v>18170262.0420536</v>
      </c>
      <c r="AN43" s="138" t="n">
        <f aca="false">AM46</f>
        <v>18243234.9819815</v>
      </c>
      <c r="AO43" s="138" t="n">
        <f aca="false">AN46</f>
        <v>18316207.9219095</v>
      </c>
    </row>
    <row r="44" customFormat="false" ht="13.2" hidden="false" customHeight="false" outlineLevel="0" collapsed="false">
      <c r="A44" s="19" t="s">
        <v>376</v>
      </c>
      <c r="B44" s="138" t="n">
        <f aca="false">B19*Factors!C11</f>
        <v>0</v>
      </c>
      <c r="C44" s="138" t="n">
        <f aca="false">C19*Factors!D11</f>
        <v>0</v>
      </c>
      <c r="D44" s="138" t="n">
        <f aca="false">D19*Factors!E11</f>
        <v>0</v>
      </c>
      <c r="E44" s="138" t="n">
        <f aca="false">E19*Factors!F11</f>
        <v>0</v>
      </c>
      <c r="F44" s="138" t="n">
        <f aca="false">F19*Factors!G11</f>
        <v>0</v>
      </c>
      <c r="G44" s="138" t="n">
        <f aca="false">G19*Factors!H11</f>
        <v>-404581.88846484</v>
      </c>
      <c r="H44" s="138" t="n">
        <f aca="false">H19*Factors!I11</f>
        <v>0</v>
      </c>
      <c r="I44" s="138" t="n">
        <f aca="false">I19*Factors!J11</f>
        <v>0</v>
      </c>
      <c r="J44" s="138" t="n">
        <f aca="false">J19*Factors!K11</f>
        <v>0</v>
      </c>
      <c r="K44" s="138" t="n">
        <f aca="false">K19*Factors!L11</f>
        <v>0</v>
      </c>
      <c r="L44" s="138" t="n">
        <f aca="false">L19*Factors!M11</f>
        <v>0</v>
      </c>
      <c r="M44" s="138" t="n">
        <f aca="false">M19*Factors!N11</f>
        <v>-424351.16181864</v>
      </c>
      <c r="O44" s="19" t="s">
        <v>376</v>
      </c>
      <c r="P44" s="138" t="n">
        <f aca="false">P19*Factors!Q11</f>
        <v>0</v>
      </c>
      <c r="Q44" s="138" t="n">
        <f aca="false">Q19*Factors!R11</f>
        <v>0</v>
      </c>
      <c r="R44" s="138" t="n">
        <f aca="false">R19*Factors!S11</f>
        <v>0</v>
      </c>
      <c r="S44" s="138" t="n">
        <f aca="false">S19*Factors!T11</f>
        <v>0</v>
      </c>
      <c r="U44" s="138" t="n">
        <f aca="false">U19*Factors!U11</f>
        <v>-448775.785128636</v>
      </c>
      <c r="V44" s="138" t="n">
        <f aca="false">V19*Factors!W11</f>
        <v>0</v>
      </c>
      <c r="W44" s="138" t="n">
        <f aca="false">W19*Factors!X11</f>
        <v>0</v>
      </c>
      <c r="X44" s="138" t="n">
        <f aca="false">X19*Factors!Y11</f>
        <v>0</v>
      </c>
      <c r="Y44" s="138" t="n">
        <f aca="false">Y19*Factors!Z11</f>
        <v>0</v>
      </c>
      <c r="AA44" s="138" t="n">
        <f aca="false">AA19*Factors!AA11</f>
        <v>-482382.95124525</v>
      </c>
      <c r="AB44" s="138"/>
      <c r="AC44" s="19" t="s">
        <v>376</v>
      </c>
      <c r="AD44" s="138" t="n">
        <f aca="false">AD19*Factors!AE11</f>
        <v>0</v>
      </c>
      <c r="AE44" s="138" t="n">
        <f aca="false">AE19*Factors!AF11</f>
        <v>0</v>
      </c>
      <c r="AF44" s="138" t="n">
        <f aca="false">AF19*Factors!AG11</f>
        <v>0</v>
      </c>
      <c r="AG44" s="138" t="n">
        <f aca="false">AG19*Factors!AH11</f>
        <v>0</v>
      </c>
      <c r="AI44" s="138" t="n">
        <f aca="false">AI19*Factors!AI11</f>
        <v>-507747.503399154</v>
      </c>
      <c r="AJ44" s="138" t="n">
        <f aca="false">AJ19*Factors!AK11</f>
        <v>0</v>
      </c>
      <c r="AK44" s="138" t="n">
        <f aca="false">AK19*Factors!AL11</f>
        <v>0</v>
      </c>
      <c r="AL44" s="138" t="n">
        <f aca="false">AL19*Factors!AM11</f>
        <v>0</v>
      </c>
      <c r="AM44" s="138" t="n">
        <f aca="false">AM19*Factors!AN11</f>
        <v>0</v>
      </c>
      <c r="AO44" s="138" t="n">
        <f aca="false">AO19*Factors!AO11</f>
        <v>-541212.385901097</v>
      </c>
    </row>
    <row r="45" customFormat="false" ht="13.2" hidden="false" customHeight="false" outlineLevel="0" collapsed="false">
      <c r="A45" s="19" t="s">
        <v>381</v>
      </c>
      <c r="B45" s="138" t="n">
        <f aca="false">B46-B43-B44</f>
        <v>26014.4699038006</v>
      </c>
      <c r="C45" s="138" t="n">
        <f aca="false">C46-C43-C44</f>
        <v>26014.4699038006</v>
      </c>
      <c r="D45" s="138" t="n">
        <f aca="false">D46-D43-D44</f>
        <v>26014.4699038006</v>
      </c>
      <c r="E45" s="138" t="n">
        <f aca="false">E46-E43-E44</f>
        <v>26014.4699038006</v>
      </c>
      <c r="F45" s="138" t="n">
        <f aca="false">F46-F43-F44</f>
        <v>26014.4699038006</v>
      </c>
      <c r="G45" s="138" t="n">
        <f aca="false">G46-G43-G44</f>
        <v>26014.4699038025</v>
      </c>
      <c r="H45" s="138" t="n">
        <f aca="false">H46-H43-H44</f>
        <v>25452.7735096626</v>
      </c>
      <c r="I45" s="138" t="n">
        <f aca="false">I46-I43-I44</f>
        <v>25452.7735096589</v>
      </c>
      <c r="J45" s="138" t="n">
        <f aca="false">J46-J43-J44</f>
        <v>25452.7735096626</v>
      </c>
      <c r="K45" s="138" t="n">
        <f aca="false">K46-K43-K44</f>
        <v>25452.7735096589</v>
      </c>
      <c r="L45" s="138" t="n">
        <f aca="false">L46-L43-L44</f>
        <v>25452.7735096626</v>
      </c>
      <c r="M45" s="138" t="n">
        <f aca="false">M46-M43-M44</f>
        <v>25452.7735096607</v>
      </c>
      <c r="N45" s="138" t="n">
        <f aca="false">SUM(B45:M45)</f>
        <v>308803.460480772</v>
      </c>
      <c r="O45" s="19" t="s">
        <v>381</v>
      </c>
      <c r="P45" s="138" t="n">
        <f aca="false">P46-P43-P44</f>
        <v>75256.8109466545</v>
      </c>
      <c r="Q45" s="138" t="n">
        <f aca="false">Q46-Q43-Q44</f>
        <v>75256.8109466545</v>
      </c>
      <c r="R45" s="138" t="n">
        <f aca="false">R46-R43-R44</f>
        <v>75256.8109466545</v>
      </c>
      <c r="S45" s="138" t="n">
        <f aca="false">S46-S43-S44</f>
        <v>75256.8109466545</v>
      </c>
      <c r="T45" s="138" t="n">
        <f aca="false">T46-T43-T44</f>
        <v>75256.8109466583</v>
      </c>
      <c r="U45" s="138" t="n">
        <f aca="false">U46-U43-U44</f>
        <v>71578.3209046144</v>
      </c>
      <c r="V45" s="138" t="n">
        <f aca="false">V46-V43-V44</f>
        <v>73417.5659256354</v>
      </c>
      <c r="W45" s="138" t="n">
        <f aca="false">W46-W43-W44</f>
        <v>73417.5659256354</v>
      </c>
      <c r="X45" s="138" t="n">
        <f aca="false">X46-X43-X44</f>
        <v>73417.5659256391</v>
      </c>
      <c r="Y45" s="138" t="n">
        <f aca="false">Y46-Y43-Y44</f>
        <v>73417.5659256354</v>
      </c>
      <c r="Z45" s="138" t="n">
        <f aca="false">Z46-Z43-Z44</f>
        <v>73417.5659256354</v>
      </c>
      <c r="AA45" s="138" t="n">
        <f aca="false">AA46-AA43-AA44</f>
        <v>69558.5023156721</v>
      </c>
      <c r="AB45" s="138"/>
      <c r="AC45" s="19" t="s">
        <v>381</v>
      </c>
      <c r="AD45" s="138" t="n">
        <f aca="false">AD46-AD43-AD44</f>
        <v>75062.435826689</v>
      </c>
      <c r="AE45" s="138" t="n">
        <f aca="false">AE46-AE43-AE44</f>
        <v>75062.435826689</v>
      </c>
      <c r="AF45" s="138" t="n">
        <f aca="false">AF46-AF43-AF44</f>
        <v>75062.435826689</v>
      </c>
      <c r="AG45" s="138" t="n">
        <f aca="false">AG46-AG43-AG44</f>
        <v>75062.435826689</v>
      </c>
      <c r="AH45" s="138" t="n">
        <f aca="false">AH46-AH43-AH44</f>
        <v>75062.4358266853</v>
      </c>
      <c r="AI45" s="138" t="n">
        <f aca="false">AI46-AI43-AI44</f>
        <v>68793.9481304045</v>
      </c>
      <c r="AJ45" s="138" t="n">
        <f aca="false">AJ46-AJ43-AJ44</f>
        <v>72972.9399279244</v>
      </c>
      <c r="AK45" s="138" t="n">
        <f aca="false">AK46-AK43-AK44</f>
        <v>72972.9399279282</v>
      </c>
      <c r="AL45" s="138" t="n">
        <f aca="false">AL46-AL43-AL44</f>
        <v>72972.9399279244</v>
      </c>
      <c r="AM45" s="138" t="n">
        <f aca="false">AM46-AM43-AM44</f>
        <v>72972.9399279282</v>
      </c>
      <c r="AN45" s="138" t="n">
        <f aca="false">AN46-AN43-AN44</f>
        <v>72972.9399279244</v>
      </c>
      <c r="AO45" s="138" t="n">
        <f aca="false">AO46-AO43-AO44</f>
        <v>66452.3087724929</v>
      </c>
    </row>
    <row r="46" customFormat="false" ht="13.2" hidden="false" customHeight="false" outlineLevel="0" collapsed="false">
      <c r="A46" s="21" t="s">
        <v>377</v>
      </c>
      <c r="B46" s="202" t="n">
        <f aca="false">B20*Factors!C11</f>
        <v>18607778.6869038</v>
      </c>
      <c r="C46" s="202" t="n">
        <f aca="false">C20*Factors!D11</f>
        <v>18633793.1568076</v>
      </c>
      <c r="D46" s="202" t="n">
        <f aca="false">D20*Factors!E11</f>
        <v>18659807.6267114</v>
      </c>
      <c r="E46" s="202" t="n">
        <f aca="false">E20*Factors!F11</f>
        <v>18685822.0966152</v>
      </c>
      <c r="F46" s="202" t="n">
        <f aca="false">F20*Factors!G11</f>
        <v>18711836.566519</v>
      </c>
      <c r="G46" s="202" t="n">
        <f aca="false">G20*Factors!H11</f>
        <v>18333269.147958</v>
      </c>
      <c r="H46" s="202" t="n">
        <f aca="false">H20*Factors!I11</f>
        <v>18358721.9214676</v>
      </c>
      <c r="I46" s="202" t="n">
        <f aca="false">I20*Factors!J11</f>
        <v>18384174.6949773</v>
      </c>
      <c r="J46" s="202" t="n">
        <f aca="false">J20*Factors!K11</f>
        <v>18409627.468487</v>
      </c>
      <c r="K46" s="202" t="n">
        <f aca="false">K20*Factors!L11</f>
        <v>18435080.2419966</v>
      </c>
      <c r="L46" s="202" t="n">
        <f aca="false">L20*Factors!M11</f>
        <v>18460533.0155063</v>
      </c>
      <c r="M46" s="202" t="n">
        <f aca="false">M20*Factors!N11</f>
        <v>18061634.6271973</v>
      </c>
      <c r="N46" s="21"/>
      <c r="O46" s="21" t="s">
        <v>377</v>
      </c>
      <c r="P46" s="202" t="n">
        <f aca="false">P20*Factors!R11</f>
        <v>18136891.4381439</v>
      </c>
      <c r="Q46" s="202" t="n">
        <f aca="false">Q20*Factors!S11</f>
        <v>18212148.2490906</v>
      </c>
      <c r="R46" s="202" t="n">
        <f aca="false">R20*Factors!T11</f>
        <v>18287405.0600373</v>
      </c>
      <c r="S46" s="202" t="n">
        <f aca="false">S20*Factors!U11</f>
        <v>18362661.8709839</v>
      </c>
      <c r="T46" s="202" t="n">
        <f aca="false">T20*Factors!V11</f>
        <v>18437918.6819306</v>
      </c>
      <c r="U46" s="202" t="n">
        <f aca="false">U20*Factors!W11</f>
        <v>18060721.2177065</v>
      </c>
      <c r="V46" s="202" t="n">
        <f aca="false">V20*Factors!X11</f>
        <v>18134138.7836322</v>
      </c>
      <c r="W46" s="202" t="n">
        <f aca="false">W20*Factors!Y11</f>
        <v>18207556.3495578</v>
      </c>
      <c r="X46" s="202" t="n">
        <f aca="false">X20*Factors!Z11</f>
        <v>18280973.9154835</v>
      </c>
      <c r="Y46" s="202" t="n">
        <f aca="false">Y20*Factors!AA11</f>
        <v>18354391.4814091</v>
      </c>
      <c r="Z46" s="202" t="n">
        <f aca="false">Z20*Factors!AB11</f>
        <v>18427809.0473347</v>
      </c>
      <c r="AA46" s="202" t="n">
        <f aca="false">AA20*Factors!AC11</f>
        <v>18014984.5984052</v>
      </c>
      <c r="AB46" s="38"/>
      <c r="AC46" s="21" t="s">
        <v>377</v>
      </c>
      <c r="AD46" s="202" t="n">
        <f aca="false">AD20*Factors!AG11</f>
        <v>18090047.0342318</v>
      </c>
      <c r="AE46" s="202" t="n">
        <f aca="false">AE20*Factors!AH11</f>
        <v>18165109.4700585</v>
      </c>
      <c r="AF46" s="202" t="n">
        <f aca="false">AF20*Factors!AI11</f>
        <v>18240171.9058852</v>
      </c>
      <c r="AG46" s="202" t="n">
        <f aca="false">AG20*Factors!AJ11</f>
        <v>18315234.3417119</v>
      </c>
      <c r="AH46" s="202" t="n">
        <f aca="false">AH20*Factors!AK11</f>
        <v>18390296.7775386</v>
      </c>
      <c r="AI46" s="202" t="n">
        <f aca="false">AI20*Factors!AL11</f>
        <v>17951343.2222698</v>
      </c>
      <c r="AJ46" s="202" t="n">
        <f aca="false">AJ20*Factors!AM11</f>
        <v>18024316.1621978</v>
      </c>
      <c r="AK46" s="202" t="n">
        <f aca="false">AK20*Factors!AN11</f>
        <v>18097289.1021257</v>
      </c>
      <c r="AL46" s="202" t="n">
        <f aca="false">AL20*Factors!AO11</f>
        <v>18170262.0420536</v>
      </c>
      <c r="AM46" s="202" t="n">
        <f aca="false">AM20*Factors!AP11</f>
        <v>18243234.9819815</v>
      </c>
      <c r="AN46" s="202" t="n">
        <f aca="false">AN20*Factors!AQ11</f>
        <v>18316207.9219095</v>
      </c>
      <c r="AO46" s="202" t="n">
        <f aca="false">AO20*Factors!AR11</f>
        <v>17841447.8447809</v>
      </c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</row>
    <row r="47" customFormat="false" ht="13.2" hidden="false" customHeight="false" outlineLevel="0" collapsed="false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</row>
    <row r="48" customFormat="false" ht="13.2" hidden="false" customHeight="false" outlineLevel="0" collapsed="false">
      <c r="A48" s="21" t="s">
        <v>383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O48" s="21" t="s">
        <v>383</v>
      </c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21" t="s">
        <v>383</v>
      </c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</row>
    <row r="49" customFormat="false" ht="13.2" hidden="false" customHeight="false" outlineLevel="0" collapsed="false">
      <c r="B49" s="37" t="s">
        <v>41</v>
      </c>
      <c r="C49" s="37" t="s">
        <v>42</v>
      </c>
      <c r="D49" s="37" t="s">
        <v>43</v>
      </c>
      <c r="E49" s="37" t="s">
        <v>44</v>
      </c>
      <c r="F49" s="37" t="s">
        <v>45</v>
      </c>
      <c r="G49" s="37" t="s">
        <v>46</v>
      </c>
      <c r="H49" s="37" t="s">
        <v>47</v>
      </c>
      <c r="I49" s="37" t="s">
        <v>48</v>
      </c>
      <c r="J49" s="37" t="s">
        <v>49</v>
      </c>
      <c r="K49" s="37" t="s">
        <v>50</v>
      </c>
      <c r="L49" s="37" t="s">
        <v>51</v>
      </c>
      <c r="M49" s="37" t="s">
        <v>52</v>
      </c>
      <c r="P49" s="37" t="s">
        <v>41</v>
      </c>
      <c r="Q49" s="37" t="s">
        <v>42</v>
      </c>
      <c r="R49" s="37" t="s">
        <v>43</v>
      </c>
      <c r="S49" s="37" t="s">
        <v>44</v>
      </c>
      <c r="T49" s="37" t="s">
        <v>45</v>
      </c>
      <c r="U49" s="37" t="s">
        <v>46</v>
      </c>
      <c r="V49" s="37" t="s">
        <v>47</v>
      </c>
      <c r="W49" s="37" t="s">
        <v>48</v>
      </c>
      <c r="X49" s="37" t="s">
        <v>49</v>
      </c>
      <c r="Y49" s="37" t="s">
        <v>50</v>
      </c>
      <c r="Z49" s="37" t="s">
        <v>51</v>
      </c>
      <c r="AA49" s="37" t="s">
        <v>52</v>
      </c>
      <c r="AB49" s="138"/>
      <c r="AD49" s="37" t="s">
        <v>41</v>
      </c>
      <c r="AE49" s="37" t="s">
        <v>42</v>
      </c>
      <c r="AF49" s="37" t="s">
        <v>43</v>
      </c>
      <c r="AG49" s="37" t="s">
        <v>44</v>
      </c>
      <c r="AH49" s="37" t="s">
        <v>45</v>
      </c>
      <c r="AI49" s="37" t="s">
        <v>46</v>
      </c>
      <c r="AJ49" s="37" t="s">
        <v>47</v>
      </c>
      <c r="AK49" s="37" t="s">
        <v>48</v>
      </c>
      <c r="AL49" s="37" t="s">
        <v>49</v>
      </c>
      <c r="AM49" s="37" t="s">
        <v>50</v>
      </c>
      <c r="AN49" s="37" t="s">
        <v>51</v>
      </c>
      <c r="AO49" s="37" t="s">
        <v>52</v>
      </c>
    </row>
    <row r="50" customFormat="false" ht="13.2" hidden="false" customHeight="false" outlineLevel="0" collapsed="false">
      <c r="A50" s="19" t="s">
        <v>375</v>
      </c>
      <c r="B50" s="138" t="n">
        <f aca="false">B24*Factors!C7</f>
        <v>23420460.4236</v>
      </c>
      <c r="C50" s="138" t="n">
        <f aca="false">B53</f>
        <v>23453249.068193</v>
      </c>
      <c r="D50" s="138" t="n">
        <f aca="false">C53</f>
        <v>23486037.7127861</v>
      </c>
      <c r="E50" s="138" t="n">
        <f aca="false">D53</f>
        <v>23518826.3573791</v>
      </c>
      <c r="F50" s="138" t="n">
        <f aca="false">E53</f>
        <v>23551615.0019722</v>
      </c>
      <c r="G50" s="138" t="n">
        <f aca="false">F53</f>
        <v>23584403.6465652</v>
      </c>
      <c r="H50" s="138" t="n">
        <f aca="false">G53</f>
        <v>23617192.2911582</v>
      </c>
      <c r="I50" s="138" t="n">
        <f aca="false">H53</f>
        <v>23649980.9357513</v>
      </c>
      <c r="J50" s="138" t="n">
        <f aca="false">I53</f>
        <v>23682769.5803443</v>
      </c>
      <c r="K50" s="138" t="n">
        <f aca="false">J53</f>
        <v>23715558.2249374</v>
      </c>
      <c r="L50" s="138" t="n">
        <f aca="false">K53</f>
        <v>23748346.8695304</v>
      </c>
      <c r="M50" s="138" t="n">
        <f aca="false">L53</f>
        <v>23781135.5141235</v>
      </c>
      <c r="O50" s="19" t="s">
        <v>375</v>
      </c>
      <c r="P50" s="138" t="n">
        <f aca="false">M53</f>
        <v>23813924.1587165</v>
      </c>
      <c r="Q50" s="138" t="n">
        <f aca="false">P53</f>
        <v>23913148.8427111</v>
      </c>
      <c r="R50" s="138" t="n">
        <f aca="false">Q53</f>
        <v>24012373.5267058</v>
      </c>
      <c r="S50" s="138" t="n">
        <f aca="false">R53</f>
        <v>24111598.2107005</v>
      </c>
      <c r="T50" s="138" t="n">
        <f aca="false">S53</f>
        <v>24210822.8946951</v>
      </c>
      <c r="U50" s="138" t="n">
        <f aca="false">T53</f>
        <v>24310047.5786898</v>
      </c>
      <c r="V50" s="138" t="n">
        <f aca="false">U53</f>
        <v>24409272.2626844</v>
      </c>
      <c r="W50" s="138" t="n">
        <f aca="false">V53</f>
        <v>24508496.9466791</v>
      </c>
      <c r="X50" s="138" t="n">
        <f aca="false">W53</f>
        <v>24607721.6306737</v>
      </c>
      <c r="Y50" s="138" t="n">
        <f aca="false">X53</f>
        <v>24706946.3146684</v>
      </c>
      <c r="Z50" s="138" t="n">
        <f aca="false">Y53</f>
        <v>24806170.998663</v>
      </c>
      <c r="AA50" s="138" t="n">
        <f aca="false">Z53</f>
        <v>24905395.6826577</v>
      </c>
      <c r="AB50" s="138"/>
      <c r="AC50" s="19" t="s">
        <v>375</v>
      </c>
      <c r="AD50" s="138" t="n">
        <f aca="false">AA53</f>
        <v>25004620.3666523</v>
      </c>
      <c r="AE50" s="138" t="n">
        <f aca="false">AD53</f>
        <v>25108806.2848467</v>
      </c>
      <c r="AF50" s="138" t="n">
        <f aca="false">AE53</f>
        <v>25212992.2030411</v>
      </c>
      <c r="AG50" s="138" t="n">
        <f aca="false">AF53</f>
        <v>25317178.1212355</v>
      </c>
      <c r="AH50" s="138" t="n">
        <f aca="false">AG53</f>
        <v>25421364.0394299</v>
      </c>
      <c r="AI50" s="138" t="n">
        <f aca="false">AH53</f>
        <v>25525549.9576242</v>
      </c>
      <c r="AJ50" s="138" t="n">
        <f aca="false">AI53</f>
        <v>25629735.8758186</v>
      </c>
      <c r="AK50" s="138" t="n">
        <f aca="false">AJ53</f>
        <v>25733921.794013</v>
      </c>
      <c r="AL50" s="138" t="n">
        <f aca="false">AK53</f>
        <v>25838107.7122074</v>
      </c>
      <c r="AM50" s="138" t="n">
        <f aca="false">AL53</f>
        <v>25942293.6304018</v>
      </c>
      <c r="AN50" s="138" t="n">
        <f aca="false">AM53</f>
        <v>26046479.5485962</v>
      </c>
      <c r="AO50" s="138" t="n">
        <f aca="false">AN53</f>
        <v>26150665.4667905</v>
      </c>
    </row>
    <row r="51" customFormat="false" ht="13.2" hidden="false" customHeight="false" outlineLevel="0" collapsed="false">
      <c r="A51" s="19" t="s">
        <v>376</v>
      </c>
      <c r="B51" s="138" t="n">
        <f aca="false">B25*Factors!C11</f>
        <v>0</v>
      </c>
      <c r="C51" s="138" t="n">
        <f aca="false">C25*Factors!D11</f>
        <v>0</v>
      </c>
      <c r="D51" s="138" t="n">
        <f aca="false">D25*Factors!E11</f>
        <v>0</v>
      </c>
      <c r="E51" s="138" t="n">
        <f aca="false">E25*Factors!F11</f>
        <v>0</v>
      </c>
      <c r="F51" s="138" t="n">
        <f aca="false">F25*Factors!G11</f>
        <v>0</v>
      </c>
      <c r="G51" s="138" t="n">
        <f aca="false">G25*Factors!H11</f>
        <v>0</v>
      </c>
      <c r="H51" s="138" t="n">
        <f aca="false">H25*Factors!I11</f>
        <v>0</v>
      </c>
      <c r="I51" s="138" t="n">
        <f aca="false">I25*Factors!J11</f>
        <v>0</v>
      </c>
      <c r="J51" s="138" t="n">
        <f aca="false">J25*Factors!K11</f>
        <v>0</v>
      </c>
      <c r="K51" s="138" t="n">
        <f aca="false">K25*Factors!L11</f>
        <v>0</v>
      </c>
      <c r="L51" s="138" t="n">
        <f aca="false">L25*Factors!M11</f>
        <v>0</v>
      </c>
      <c r="M51" s="138" t="n">
        <f aca="false">M25*Factors!N11</f>
        <v>0</v>
      </c>
      <c r="O51" s="19" t="s">
        <v>376</v>
      </c>
      <c r="P51" s="138" t="n">
        <f aca="false">P25*Factors!Q11</f>
        <v>0</v>
      </c>
      <c r="Q51" s="138" t="n">
        <f aca="false">Q25*Factors!R11</f>
        <v>0</v>
      </c>
      <c r="R51" s="138" t="n">
        <f aca="false">R25*Factors!S11</f>
        <v>0</v>
      </c>
      <c r="S51" s="138" t="n">
        <f aca="false">S25*Factors!T11</f>
        <v>0</v>
      </c>
      <c r="T51" s="138" t="n">
        <f aca="false">T25*Factors!U11</f>
        <v>0</v>
      </c>
      <c r="U51" s="138" t="n">
        <f aca="false">U25*Factors!V11</f>
        <v>0</v>
      </c>
      <c r="V51" s="138" t="n">
        <f aca="false">V25*Factors!W11</f>
        <v>0</v>
      </c>
      <c r="W51" s="138" t="n">
        <f aca="false">W25*Factors!X11</f>
        <v>0</v>
      </c>
      <c r="X51" s="138" t="n">
        <f aca="false">X25*Factors!Y11</f>
        <v>0</v>
      </c>
      <c r="Y51" s="138" t="n">
        <f aca="false">Y25*Factors!Z11</f>
        <v>0</v>
      </c>
      <c r="Z51" s="138" t="n">
        <f aca="false">Z25*Factors!AA11</f>
        <v>0</v>
      </c>
      <c r="AA51" s="138" t="n">
        <f aca="false">AA25*Factors!AB11</f>
        <v>0</v>
      </c>
      <c r="AB51" s="138"/>
      <c r="AC51" s="19" t="s">
        <v>376</v>
      </c>
      <c r="AD51" s="138" t="n">
        <f aca="false">AD25*Factors!AE11</f>
        <v>0</v>
      </c>
      <c r="AE51" s="138" t="n">
        <f aca="false">AE25*Factors!AF11</f>
        <v>0</v>
      </c>
      <c r="AF51" s="138" t="n">
        <f aca="false">AF25*Factors!AG11</f>
        <v>0</v>
      </c>
      <c r="AG51" s="138" t="n">
        <f aca="false">AG25*Factors!AH11</f>
        <v>0</v>
      </c>
      <c r="AH51" s="138" t="n">
        <f aca="false">AH25*Factors!AI11</f>
        <v>0</v>
      </c>
      <c r="AI51" s="138" t="n">
        <f aca="false">AI25*Factors!AJ11</f>
        <v>0</v>
      </c>
      <c r="AJ51" s="138" t="n">
        <f aca="false">AJ25*Factors!AK11</f>
        <v>0</v>
      </c>
      <c r="AK51" s="138" t="n">
        <f aca="false">AK25*Factors!AL11</f>
        <v>0</v>
      </c>
      <c r="AL51" s="138" t="n">
        <f aca="false">AL25*Factors!AM11</f>
        <v>0</v>
      </c>
      <c r="AM51" s="138" t="n">
        <f aca="false">AM25*Factors!AN11</f>
        <v>0</v>
      </c>
      <c r="AN51" s="138" t="n">
        <f aca="false">AN25*Factors!AO11</f>
        <v>0</v>
      </c>
      <c r="AO51" s="138" t="n">
        <f aca="false">AO25*Factors!AP11</f>
        <v>0</v>
      </c>
    </row>
    <row r="52" customFormat="false" ht="13.2" hidden="false" customHeight="false" outlineLevel="0" collapsed="false">
      <c r="A52" s="19" t="s">
        <v>381</v>
      </c>
      <c r="B52" s="138" t="n">
        <f aca="false">B53-B50</f>
        <v>32788.6445930414</v>
      </c>
      <c r="C52" s="138" t="n">
        <f aca="false">C53-C50</f>
        <v>32788.6445930414</v>
      </c>
      <c r="D52" s="138" t="n">
        <f aca="false">D53-D50</f>
        <v>32788.6445930414</v>
      </c>
      <c r="E52" s="138" t="n">
        <f aca="false">E53-E50</f>
        <v>32788.6445930414</v>
      </c>
      <c r="F52" s="138" t="n">
        <f aca="false">F53-F50</f>
        <v>32788.6445930414</v>
      </c>
      <c r="G52" s="138" t="n">
        <f aca="false">G53-G50</f>
        <v>32788.6445930414</v>
      </c>
      <c r="H52" s="138" t="n">
        <f aca="false">H53-H50</f>
        <v>32788.6445930414</v>
      </c>
      <c r="I52" s="138" t="n">
        <f aca="false">I53-I50</f>
        <v>32788.6445930414</v>
      </c>
      <c r="J52" s="138" t="n">
        <f aca="false">J53-J50</f>
        <v>32788.6445930414</v>
      </c>
      <c r="K52" s="138" t="n">
        <f aca="false">K53-K50</f>
        <v>32788.6445930414</v>
      </c>
      <c r="L52" s="138" t="n">
        <f aca="false">L53-L50</f>
        <v>32788.6445930414</v>
      </c>
      <c r="M52" s="138" t="n">
        <f aca="false">M53-M50</f>
        <v>32788.6445930414</v>
      </c>
      <c r="N52" s="138" t="n">
        <f aca="false">SUM(B52:M52)</f>
        <v>393463.735116497</v>
      </c>
      <c r="O52" s="19" t="s">
        <v>381</v>
      </c>
      <c r="P52" s="138" t="n">
        <f aca="false">P53-P50</f>
        <v>99224.6839946508</v>
      </c>
      <c r="Q52" s="138" t="n">
        <f aca="false">Q53-Q50</f>
        <v>99224.6839946508</v>
      </c>
      <c r="R52" s="138" t="n">
        <f aca="false">R53-R50</f>
        <v>99224.6839946508</v>
      </c>
      <c r="S52" s="138" t="n">
        <f aca="false">S53-S50</f>
        <v>99224.6839946546</v>
      </c>
      <c r="T52" s="138" t="n">
        <f aca="false">T53-T50</f>
        <v>99224.6839946508</v>
      </c>
      <c r="U52" s="138" t="n">
        <f aca="false">U53-U50</f>
        <v>99224.6839946508</v>
      </c>
      <c r="V52" s="138" t="n">
        <f aca="false">V53-V50</f>
        <v>99224.6839946508</v>
      </c>
      <c r="W52" s="138" t="n">
        <f aca="false">W53-W50</f>
        <v>99224.6839946508</v>
      </c>
      <c r="X52" s="138" t="n">
        <f aca="false">X53-X50</f>
        <v>99224.6839946508</v>
      </c>
      <c r="Y52" s="138" t="n">
        <f aca="false">Y53-Y50</f>
        <v>99224.6839946508</v>
      </c>
      <c r="Z52" s="138" t="n">
        <f aca="false">Z53-Z50</f>
        <v>99224.6839946546</v>
      </c>
      <c r="AA52" s="138" t="n">
        <f aca="false">AA53-AA50</f>
        <v>99224.6839946508</v>
      </c>
      <c r="AB52" s="138"/>
      <c r="AC52" s="19" t="s">
        <v>381</v>
      </c>
      <c r="AD52" s="138" t="n">
        <f aca="false">AD53-AD50</f>
        <v>104185.918194383</v>
      </c>
      <c r="AE52" s="138" t="n">
        <f aca="false">AE53-AE50</f>
        <v>104185.918194383</v>
      </c>
      <c r="AF52" s="138" t="n">
        <f aca="false">AF53-AF50</f>
        <v>104185.918194387</v>
      </c>
      <c r="AG52" s="138" t="n">
        <f aca="false">AG53-AG50</f>
        <v>104185.918194383</v>
      </c>
      <c r="AH52" s="138" t="n">
        <f aca="false">AH53-AH50</f>
        <v>104185.918194387</v>
      </c>
      <c r="AI52" s="138" t="n">
        <f aca="false">AI53-AI50</f>
        <v>104185.918194383</v>
      </c>
      <c r="AJ52" s="138" t="n">
        <f aca="false">AJ53-AJ50</f>
        <v>104185.918194383</v>
      </c>
      <c r="AK52" s="138" t="n">
        <f aca="false">AK53-AK50</f>
        <v>104185.918194387</v>
      </c>
      <c r="AL52" s="138" t="n">
        <f aca="false">AL53-AL50</f>
        <v>104185.918194383</v>
      </c>
      <c r="AM52" s="138" t="n">
        <f aca="false">AM53-AM50</f>
        <v>104185.918194387</v>
      </c>
      <c r="AN52" s="138" t="n">
        <f aca="false">AN53-AN50</f>
        <v>104185.918194383</v>
      </c>
      <c r="AO52" s="138" t="n">
        <f aca="false">AO53-AO50</f>
        <v>104185.918194383</v>
      </c>
    </row>
    <row r="53" customFormat="false" ht="13.2" hidden="false" customHeight="false" outlineLevel="0" collapsed="false">
      <c r="A53" s="21" t="s">
        <v>377</v>
      </c>
      <c r="B53" s="202" t="n">
        <f aca="false">B26*Factors!C11</f>
        <v>23453249.068193</v>
      </c>
      <c r="C53" s="202" t="n">
        <f aca="false">C26*Factors!D11</f>
        <v>23486037.7127861</v>
      </c>
      <c r="D53" s="202" t="n">
        <f aca="false">D26*Factors!E11</f>
        <v>23518826.3573791</v>
      </c>
      <c r="E53" s="202" t="n">
        <f aca="false">E26*Factors!F11</f>
        <v>23551615.0019722</v>
      </c>
      <c r="F53" s="202" t="n">
        <f aca="false">F26*Factors!G11</f>
        <v>23584403.6465652</v>
      </c>
      <c r="G53" s="202" t="n">
        <f aca="false">G26*Factors!H11</f>
        <v>23617192.2911582</v>
      </c>
      <c r="H53" s="202" t="n">
        <f aca="false">H26*Factors!I11</f>
        <v>23649980.9357513</v>
      </c>
      <c r="I53" s="202" t="n">
        <f aca="false">I26*Factors!J11</f>
        <v>23682769.5803443</v>
      </c>
      <c r="J53" s="202" t="n">
        <f aca="false">J26*Factors!K11</f>
        <v>23715558.2249374</v>
      </c>
      <c r="K53" s="202" t="n">
        <f aca="false">K26*Factors!L11</f>
        <v>23748346.8695304</v>
      </c>
      <c r="L53" s="202" t="n">
        <f aca="false">L26*Factors!M11</f>
        <v>23781135.5141235</v>
      </c>
      <c r="M53" s="202" t="n">
        <f aca="false">M26*Factors!N11</f>
        <v>23813924.1587165</v>
      </c>
      <c r="N53" s="21"/>
      <c r="O53" s="21" t="s">
        <v>377</v>
      </c>
      <c r="P53" s="202" t="n">
        <f aca="false">P26*Factors!R11</f>
        <v>23913148.8427111</v>
      </c>
      <c r="Q53" s="202" t="n">
        <f aca="false">Q26*Factors!S11</f>
        <v>24012373.5267058</v>
      </c>
      <c r="R53" s="202" t="n">
        <f aca="false">R26*Factors!T11</f>
        <v>24111598.2107005</v>
      </c>
      <c r="S53" s="202" t="n">
        <f aca="false">S26*Factors!U11</f>
        <v>24210822.8946951</v>
      </c>
      <c r="T53" s="202" t="n">
        <f aca="false">T26*Factors!V11</f>
        <v>24310047.5786898</v>
      </c>
      <c r="U53" s="202" t="n">
        <f aca="false">U26*Factors!W11</f>
        <v>24409272.2626844</v>
      </c>
      <c r="V53" s="202" t="n">
        <f aca="false">V26*Factors!X11</f>
        <v>24508496.9466791</v>
      </c>
      <c r="W53" s="202" t="n">
        <f aca="false">W26*Factors!Y11</f>
        <v>24607721.6306737</v>
      </c>
      <c r="X53" s="202" t="n">
        <f aca="false">X26*Factors!Z11</f>
        <v>24706946.3146684</v>
      </c>
      <c r="Y53" s="202" t="n">
        <f aca="false">Y26*Factors!AA11</f>
        <v>24806170.998663</v>
      </c>
      <c r="Z53" s="202" t="n">
        <f aca="false">Z26*Factors!AB11</f>
        <v>24905395.6826577</v>
      </c>
      <c r="AA53" s="202" t="n">
        <f aca="false">AA26*Factors!AC11</f>
        <v>25004620.3666523</v>
      </c>
      <c r="AB53" s="38"/>
      <c r="AC53" s="21" t="s">
        <v>377</v>
      </c>
      <c r="AD53" s="202" t="n">
        <f aca="false">AD26*Factors!AG11</f>
        <v>25108806.2848467</v>
      </c>
      <c r="AE53" s="202" t="n">
        <f aca="false">AE26*Factors!AH11</f>
        <v>25212992.2030411</v>
      </c>
      <c r="AF53" s="202" t="n">
        <f aca="false">AF26*Factors!AI11</f>
        <v>25317178.1212355</v>
      </c>
      <c r="AG53" s="202" t="n">
        <f aca="false">AG26*Factors!AJ11</f>
        <v>25421364.0394299</v>
      </c>
      <c r="AH53" s="202" t="n">
        <f aca="false">AH26*Factors!AK11</f>
        <v>25525549.9576242</v>
      </c>
      <c r="AI53" s="202" t="n">
        <f aca="false">AI26*Factors!AL11</f>
        <v>25629735.8758186</v>
      </c>
      <c r="AJ53" s="202" t="n">
        <f aca="false">AJ26*Factors!AM11</f>
        <v>25733921.794013</v>
      </c>
      <c r="AK53" s="202" t="n">
        <f aca="false">AK26*Factors!AN11</f>
        <v>25838107.7122074</v>
      </c>
      <c r="AL53" s="202" t="n">
        <f aca="false">AL26*Factors!AO11</f>
        <v>25942293.6304018</v>
      </c>
      <c r="AM53" s="202" t="n">
        <f aca="false">AM26*Factors!AP11</f>
        <v>26046479.5485962</v>
      </c>
      <c r="AN53" s="202" t="n">
        <f aca="false">AN26*Factors!AQ11</f>
        <v>26150665.4667905</v>
      </c>
      <c r="AO53" s="202" t="n">
        <f aca="false">AO26*Factors!AR11</f>
        <v>26254851.3849849</v>
      </c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</row>
    <row r="54" customFormat="false" ht="13.2" hidden="false" customHeight="false" outlineLevel="0" collapsed="false"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</row>
    <row r="55" customFormat="false" ht="13.2" hidden="false" customHeight="false" outlineLevel="0" collapsed="false"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 t="n">
        <f aca="false">SUM(N37:N52)</f>
        <v>702267.195597269</v>
      </c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</row>
    <row r="56" customFormat="false" ht="13.8" hidden="false" customHeight="false" outlineLevel="0" collapsed="false">
      <c r="A56" s="21" t="s">
        <v>384</v>
      </c>
      <c r="B56" s="39" t="n">
        <f aca="false">B37+B45+B52</f>
        <v>717836.428267077</v>
      </c>
      <c r="C56" s="39" t="n">
        <f aca="false">C37+C45+C52</f>
        <v>717836.428267017</v>
      </c>
      <c r="D56" s="39" t="n">
        <f aca="false">D37+D45+D52</f>
        <v>717836.428267017</v>
      </c>
      <c r="E56" s="39" t="n">
        <f aca="false">E37+E45+E52</f>
        <v>717836.428267017</v>
      </c>
      <c r="F56" s="39" t="n">
        <f aca="false">F37+F45+F52</f>
        <v>717836.428267077</v>
      </c>
      <c r="G56" s="39" t="n">
        <f aca="false">G37+G45+G52</f>
        <v>717836.428267026</v>
      </c>
      <c r="H56" s="39" t="n">
        <f aca="false">H37+H45+H52</f>
        <v>703045.089887999</v>
      </c>
      <c r="I56" s="39" t="n">
        <f aca="false">I37+I45+I52</f>
        <v>703045.089887995</v>
      </c>
      <c r="J56" s="39" t="n">
        <f aca="false">J37+J45+J52</f>
        <v>703045.089887999</v>
      </c>
      <c r="K56" s="39" t="n">
        <f aca="false">K37+K45+K52</f>
        <v>703045.089888055</v>
      </c>
      <c r="L56" s="39" t="n">
        <f aca="false">L37+L45+L52</f>
        <v>703045.089887999</v>
      </c>
      <c r="M56" s="39" t="n">
        <f aca="false">M37+M45+M52</f>
        <v>703045.089887984</v>
      </c>
      <c r="N56" s="38"/>
      <c r="O56" s="21" t="s">
        <v>384</v>
      </c>
      <c r="P56" s="38" t="n">
        <f aca="false">P37+P45+P52</f>
        <v>2080987.60287417</v>
      </c>
      <c r="Q56" s="38" t="n">
        <f aca="false">Q37+Q45+Q52</f>
        <v>2080987.60287417</v>
      </c>
      <c r="R56" s="38" t="n">
        <f aca="false">R37+R45+R52</f>
        <v>2080987.60287411</v>
      </c>
      <c r="S56" s="38" t="n">
        <f aca="false">S37+S45+S52</f>
        <v>2080987.60287417</v>
      </c>
      <c r="T56" s="38" t="n">
        <f aca="false">T37+T45+T52</f>
        <v>2080987.60287412</v>
      </c>
      <c r="U56" s="38" t="n">
        <f aca="false">U37+U45+U52</f>
        <v>2030714.90563298</v>
      </c>
      <c r="V56" s="38" t="n">
        <f aca="false">V37+V45+V52</f>
        <v>2032554.150654</v>
      </c>
      <c r="W56" s="38" t="n">
        <f aca="false">W37+W45+W52</f>
        <v>2032554.15065394</v>
      </c>
      <c r="X56" s="38" t="n">
        <f aca="false">X37+X45+X52</f>
        <v>2032554.150654</v>
      </c>
      <c r="Y56" s="38" t="n">
        <f aca="false">Y37+Y45+Y52</f>
        <v>2032554.150654</v>
      </c>
      <c r="Z56" s="38" t="n">
        <f aca="false">Z37+Z45+Z52</f>
        <v>2032554.15065394</v>
      </c>
      <c r="AA56" s="38" t="n">
        <f aca="false">AA37+AA45+AA52</f>
        <v>1980228.72630161</v>
      </c>
      <c r="AB56" s="38"/>
      <c r="AC56" s="21" t="s">
        <v>384</v>
      </c>
      <c r="AD56" s="38" t="n">
        <f aca="false">AD37+AD45+AD52</f>
        <v>2081266.17101187</v>
      </c>
      <c r="AE56" s="38" t="n">
        <f aca="false">AE37+AE45+AE52</f>
        <v>2081266.17101187</v>
      </c>
      <c r="AF56" s="38" t="n">
        <f aca="false">AF37+AF45+AF52</f>
        <v>2081266.17101193</v>
      </c>
      <c r="AG56" s="38" t="n">
        <f aca="false">AG37+AG45+AG52</f>
        <v>2081266.17101187</v>
      </c>
      <c r="AH56" s="38" t="n">
        <f aca="false">AH37+AH45+AH52</f>
        <v>2081266.17101192</v>
      </c>
      <c r="AI56" s="38" t="n">
        <f aca="false">AI37+AI45+AI52</f>
        <v>1969129.89111167</v>
      </c>
      <c r="AJ56" s="38" t="n">
        <f aca="false">AJ37+AJ45+AJ52</f>
        <v>2026242.77901115</v>
      </c>
      <c r="AK56" s="38" t="n">
        <f aca="false">AK37+AK45+AK52</f>
        <v>2026242.77901116</v>
      </c>
      <c r="AL56" s="38" t="n">
        <f aca="false">AL37+AL45+AL52</f>
        <v>2026242.77901115</v>
      </c>
      <c r="AM56" s="38" t="n">
        <f aca="false">AM37+AM45+AM52</f>
        <v>2026242.77901116</v>
      </c>
      <c r="AN56" s="38" t="n">
        <f aca="false">AN37+AN45+AN52</f>
        <v>2026242.77901115</v>
      </c>
      <c r="AO56" s="38" t="n">
        <f aca="false">AO37+AO45+AO52</f>
        <v>1909595.93278619</v>
      </c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</row>
    <row r="57" customFormat="false" ht="13.8" hidden="false" customHeight="false" outlineLevel="0" collapsed="false"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</row>
    <row r="58" customFormat="false" ht="13.2" hidden="false" customHeight="false" outlineLevel="0" collapsed="false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</row>
    <row r="59" customFormat="false" ht="13.2" hidden="false" customHeight="false" outlineLevel="0" collapsed="false"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</row>
    <row r="60" customFormat="false" ht="13.2" hidden="false" customHeight="false" outlineLevel="0" collapsed="false"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</row>
    <row r="61" customFormat="false" ht="13.2" hidden="false" customHeight="false" outlineLevel="0" collapsed="false"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</row>
    <row r="62" customFormat="false" ht="13.2" hidden="false" customHeight="false" outlineLevel="0" collapsed="false"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</row>
    <row r="63" customFormat="false" ht="13.2" hidden="false" customHeight="false" outlineLevel="0" collapsed="false"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</row>
    <row r="64" customFormat="false" ht="13.2" hidden="false" customHeight="false" outlineLevel="0" collapsed="false"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</row>
    <row r="65" customFormat="false" ht="13.2" hidden="false" customHeight="false" outlineLevel="0" collapsed="false"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</row>
    <row r="66" customFormat="false" ht="13.2" hidden="false" customHeight="false" outlineLevel="0" collapsed="false"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</row>
    <row r="67" customFormat="false" ht="13.2" hidden="false" customHeight="false" outlineLevel="0" collapsed="false"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</row>
    <row r="68" customFormat="false" ht="13.2" hidden="false" customHeight="false" outlineLevel="0" collapsed="false"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</row>
    <row r="69" customFormat="false" ht="13.2" hidden="false" customHeight="false" outlineLevel="0" collapsed="false"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</row>
    <row r="70" customFormat="false" ht="13.2" hidden="false" customHeight="false" outlineLevel="0" collapsed="false"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</row>
    <row r="71" customFormat="false" ht="13.2" hidden="false" customHeight="false" outlineLevel="0" collapsed="false"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</row>
    <row r="72" customFormat="false" ht="13.2" hidden="false" customHeight="false" outlineLevel="0" collapsed="false"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</row>
    <row r="73" customFormat="false" ht="13.2" hidden="false" customHeight="false" outlineLevel="0" collapsed="false"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</row>
    <row r="74" customFormat="false" ht="13.2" hidden="false" customHeight="false" outlineLevel="0" collapsed="false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</row>
    <row r="75" customFormat="false" ht="13.2" hidden="false" customHeight="false" outlineLevel="0" collapsed="false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</row>
    <row r="76" customFormat="false" ht="13.2" hidden="false" customHeight="false" outlineLevel="0" collapsed="false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</row>
    <row r="77" customFormat="false" ht="13.2" hidden="false" customHeight="false" outlineLevel="0" collapsed="false"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</row>
    <row r="78" customFormat="false" ht="13.2" hidden="false" customHeight="false" outlineLevel="0" collapsed="false"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</row>
    <row r="79" customFormat="false" ht="13.2" hidden="false" customHeight="false" outlineLevel="0" collapsed="false"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</row>
    <row r="80" customFormat="false" ht="13.2" hidden="false" customHeight="false" outlineLevel="0" collapsed="false"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</row>
    <row r="81" customFormat="false" ht="13.2" hidden="false" customHeight="false" outlineLevel="0" collapsed="false"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</row>
    <row r="82" customFormat="false" ht="13.2" hidden="false" customHeight="false" outlineLevel="0" collapsed="false"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</row>
    <row r="83" customFormat="false" ht="13.2" hidden="false" customHeight="false" outlineLevel="0" collapsed="false"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</row>
    <row r="84" customFormat="false" ht="13.2" hidden="false" customHeight="false" outlineLevel="0" collapsed="false"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</row>
    <row r="85" customFormat="false" ht="13.2" hidden="false" customHeight="false" outlineLevel="0" collapsed="false"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</row>
    <row r="86" customFormat="false" ht="13.2" hidden="false" customHeight="false" outlineLevel="0" collapsed="false"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</row>
    <row r="87" customFormat="false" ht="13.2" hidden="false" customHeight="false" outlineLevel="0" collapsed="false"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</row>
    <row r="88" customFormat="false" ht="13.2" hidden="false" customHeight="false" outlineLevel="0" collapsed="false"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</row>
    <row r="89" customFormat="false" ht="13.2" hidden="false" customHeight="false" outlineLevel="0" collapsed="false"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</row>
    <row r="90" customFormat="false" ht="13.2" hidden="false" customHeight="false" outlineLevel="0" collapsed="false"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</row>
    <row r="91" customFormat="false" ht="13.2" hidden="false" customHeight="false" outlineLevel="0" collapsed="false"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</row>
    <row r="92" customFormat="false" ht="13.2" hidden="false" customHeight="false" outlineLevel="0" collapsed="false"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</row>
    <row r="93" customFormat="false" ht="13.2" hidden="false" customHeight="false" outlineLevel="0" collapsed="false"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</row>
    <row r="94" customFormat="false" ht="13.2" hidden="false" customHeight="false" outlineLevel="0" collapsed="false"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</row>
    <row r="95" customFormat="false" ht="13.2" hidden="false" customHeight="false" outlineLevel="0" collapsed="false"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</row>
    <row r="96" customFormat="false" ht="13.2" hidden="false" customHeight="false" outlineLevel="0" collapsed="false"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</row>
    <row r="97" customFormat="false" ht="13.2" hidden="false" customHeight="false" outlineLevel="0" collapsed="false"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</row>
    <row r="98" customFormat="false" ht="13.2" hidden="false" customHeight="false" outlineLevel="0" collapsed="false"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</row>
    <row r="99" customFormat="false" ht="13.2" hidden="false" customHeight="false" outlineLevel="0" collapsed="false"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</row>
    <row r="100" customFormat="false" ht="13.2" hidden="false" customHeight="false" outlineLevel="0" collapsed="false"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</row>
    <row r="101" customFormat="false" ht="13.2" hidden="false" customHeight="false" outlineLevel="0" collapsed="false"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</row>
    <row r="102" customFormat="false" ht="13.2" hidden="false" customHeight="false" outlineLevel="0" collapsed="false"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</row>
    <row r="103" customFormat="false" ht="13.2" hidden="false" customHeight="false" outlineLevel="0" collapsed="false"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</row>
    <row r="104" customFormat="false" ht="13.2" hidden="false" customHeight="false" outlineLevel="0" collapsed="false"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</row>
    <row r="105" customFormat="false" ht="13.2" hidden="false" customHeight="false" outlineLevel="0" collapsed="false"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</row>
    <row r="106" customFormat="false" ht="13.2" hidden="false" customHeight="false" outlineLevel="0" collapsed="false"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</row>
    <row r="107" customFormat="false" ht="13.2" hidden="false" customHeight="false" outlineLevel="0" collapsed="false"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</row>
    <row r="108" customFormat="false" ht="13.2" hidden="false" customHeight="false" outlineLevel="0" collapsed="false"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</row>
    <row r="109" customFormat="false" ht="13.2" hidden="false" customHeight="false" outlineLevel="0" collapsed="false"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</row>
    <row r="110" customFormat="false" ht="13.2" hidden="false" customHeight="false" outlineLevel="0" collapsed="false"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</row>
    <row r="111" customFormat="false" ht="13.2" hidden="false" customHeight="false" outlineLevel="0" collapsed="false"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</row>
    <row r="112" customFormat="false" ht="13.2" hidden="false" customHeight="false" outlineLevel="0" collapsed="false"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</row>
    <row r="113" customFormat="false" ht="13.2" hidden="false" customHeight="false" outlineLevel="0" collapsed="false"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</row>
    <row r="114" customFormat="false" ht="13.2" hidden="false" customHeight="false" outlineLevel="0" collapsed="false"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</row>
    <row r="115" customFormat="false" ht="13.2" hidden="false" customHeight="false" outlineLevel="0" collapsed="false"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</row>
    <row r="116" customFormat="false" ht="13.2" hidden="false" customHeight="false" outlineLevel="0" collapsed="false"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</row>
    <row r="117" customFormat="false" ht="13.2" hidden="false" customHeight="false" outlineLevel="0" collapsed="false"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</row>
    <row r="118" customFormat="false" ht="13.2" hidden="false" customHeight="false" outlineLevel="0" collapsed="false"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</row>
    <row r="119" customFormat="false" ht="13.2" hidden="false" customHeight="false" outlineLevel="0" collapsed="false"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</row>
    <row r="120" customFormat="false" ht="13.2" hidden="false" customHeight="false" outlineLevel="0" collapsed="false"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</row>
    <row r="121" customFormat="false" ht="13.2" hidden="false" customHeight="false" outlineLevel="0" collapsed="false"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</row>
    <row r="122" customFormat="false" ht="13.2" hidden="false" customHeight="false" outlineLevel="0" collapsed="false"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</row>
    <row r="123" customFormat="false" ht="13.2" hidden="false" customHeight="false" outlineLevel="0" collapsed="false"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</row>
    <row r="124" customFormat="false" ht="13.2" hidden="false" customHeight="false" outlineLevel="0" collapsed="false"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</row>
    <row r="125" customFormat="false" ht="13.2" hidden="false" customHeight="false" outlineLevel="0" collapsed="false"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</row>
    <row r="126" customFormat="false" ht="13.2" hidden="false" customHeight="false" outlineLevel="0" collapsed="false"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</row>
    <row r="127" customFormat="false" ht="13.2" hidden="false" customHeight="false" outlineLevel="0" collapsed="false"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</row>
    <row r="128" customFormat="false" ht="13.2" hidden="false" customHeight="false" outlineLevel="0" collapsed="false"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</row>
    <row r="129" customFormat="false" ht="13.2" hidden="false" customHeight="false" outlineLevel="0" collapsed="false"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</row>
    <row r="130" customFormat="false" ht="13.2" hidden="false" customHeight="false" outlineLevel="0" collapsed="false"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</row>
    <row r="131" customFormat="false" ht="13.2" hidden="false" customHeight="false" outlineLevel="0" collapsed="false"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</row>
    <row r="132" customFormat="false" ht="13.2" hidden="false" customHeight="false" outlineLevel="0" collapsed="false"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</row>
    <row r="133" customFormat="false" ht="13.2" hidden="false" customHeight="false" outlineLevel="0" collapsed="false"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</row>
    <row r="134" customFormat="false" ht="13.2" hidden="false" customHeight="false" outlineLevel="0" collapsed="false"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</row>
    <row r="135" customFormat="false" ht="13.2" hidden="false" customHeight="false" outlineLevel="0" collapsed="false"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</row>
    <row r="136" customFormat="false" ht="13.2" hidden="false" customHeight="false" outlineLevel="0" collapsed="false"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</row>
    <row r="137" customFormat="false" ht="13.2" hidden="false" customHeight="false" outlineLevel="0" collapsed="false"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</row>
    <row r="138" customFormat="false" ht="13.2" hidden="false" customHeight="false" outlineLevel="0" collapsed="false"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</row>
    <row r="139" customFormat="false" ht="13.2" hidden="false" customHeight="false" outlineLevel="0" collapsed="false"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</row>
    <row r="140" customFormat="false" ht="13.2" hidden="false" customHeight="false" outlineLevel="0" collapsed="false"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</row>
    <row r="141" customFormat="false" ht="13.2" hidden="false" customHeight="false" outlineLevel="0" collapsed="false"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</row>
    <row r="142" customFormat="false" ht="13.2" hidden="false" customHeight="false" outlineLevel="0" collapsed="false"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</row>
    <row r="143" customFormat="false" ht="13.2" hidden="false" customHeight="false" outlineLevel="0" collapsed="false"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</row>
    <row r="144" customFormat="false" ht="13.2" hidden="false" customHeight="false" outlineLevel="0" collapsed="false"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</row>
    <row r="145" customFormat="false" ht="13.2" hidden="false" customHeight="false" outlineLevel="0" collapsed="false"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</row>
    <row r="146" customFormat="false" ht="13.2" hidden="false" customHeight="false" outlineLevel="0" collapsed="false"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</row>
    <row r="147" customFormat="false" ht="13.2" hidden="false" customHeight="false" outlineLevel="0" collapsed="false"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</row>
    <row r="148" customFormat="false" ht="13.2" hidden="false" customHeight="false" outlineLevel="0" collapsed="false"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</row>
    <row r="149" customFormat="false" ht="13.2" hidden="false" customHeight="false" outlineLevel="0" collapsed="false"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</row>
    <row r="150" customFormat="false" ht="13.2" hidden="false" customHeight="false" outlineLevel="0" collapsed="false"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</row>
    <row r="151" customFormat="false" ht="13.2" hidden="false" customHeight="false" outlineLevel="0" collapsed="false"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</row>
    <row r="152" customFormat="false" ht="13.2" hidden="false" customHeight="false" outlineLevel="0" collapsed="false"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</row>
    <row r="153" customFormat="false" ht="13.2" hidden="false" customHeight="false" outlineLevel="0" collapsed="false"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</row>
    <row r="154" customFormat="false" ht="13.2" hidden="false" customHeight="false" outlineLevel="0" collapsed="false"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</row>
    <row r="155" customFormat="false" ht="13.2" hidden="false" customHeight="false" outlineLevel="0" collapsed="false"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</row>
    <row r="156" customFormat="false" ht="13.2" hidden="false" customHeight="false" outlineLevel="0" collapsed="false"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</row>
    <row r="157" customFormat="false" ht="13.2" hidden="false" customHeight="false" outlineLevel="0" collapsed="false"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</row>
    <row r="158" customFormat="false" ht="13.2" hidden="false" customHeight="false" outlineLevel="0" collapsed="false"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</row>
    <row r="159" customFormat="false" ht="13.2" hidden="false" customHeight="false" outlineLevel="0" collapsed="false"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</row>
    <row r="160" customFormat="false" ht="13.2" hidden="false" customHeight="false" outlineLevel="0" collapsed="false"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</row>
    <row r="161" customFormat="false" ht="13.2" hidden="false" customHeight="false" outlineLevel="0" collapsed="false"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</row>
    <row r="162" customFormat="false" ht="13.2" hidden="false" customHeight="false" outlineLevel="0" collapsed="false"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</row>
    <row r="163" customFormat="false" ht="13.2" hidden="false" customHeight="false" outlineLevel="0" collapsed="false"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</row>
    <row r="164" customFormat="false" ht="13.2" hidden="false" customHeight="false" outlineLevel="0" collapsed="false"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</row>
    <row r="165" customFormat="false" ht="13.2" hidden="false" customHeight="false" outlineLevel="0" collapsed="false"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</row>
    <row r="166" customFormat="false" ht="13.2" hidden="false" customHeight="false" outlineLevel="0" collapsed="false"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</row>
    <row r="167" customFormat="false" ht="13.2" hidden="false" customHeight="false" outlineLevel="0" collapsed="false"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</row>
    <row r="168" customFormat="false" ht="13.2" hidden="false" customHeight="false" outlineLevel="0" collapsed="false"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</row>
    <row r="169" customFormat="false" ht="13.2" hidden="false" customHeight="false" outlineLevel="0" collapsed="false"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</row>
    <row r="170" customFormat="false" ht="13.2" hidden="false" customHeight="false" outlineLevel="0" collapsed="false"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</row>
    <row r="171" customFormat="false" ht="13.2" hidden="false" customHeight="false" outlineLevel="0" collapsed="false"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</row>
    <row r="172" customFormat="false" ht="13.2" hidden="false" customHeight="false" outlineLevel="0" collapsed="false"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</row>
    <row r="173" customFormat="false" ht="13.2" hidden="false" customHeight="false" outlineLevel="0" collapsed="false"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</row>
    <row r="174" customFormat="false" ht="13.2" hidden="false" customHeight="false" outlineLevel="0" collapsed="false"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</row>
    <row r="175" customFormat="false" ht="13.2" hidden="false" customHeight="false" outlineLevel="0" collapsed="false"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</row>
    <row r="176" customFormat="false" ht="13.2" hidden="false" customHeight="false" outlineLevel="0" collapsed="false"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</row>
    <row r="177" customFormat="false" ht="13.2" hidden="false" customHeight="false" outlineLevel="0" collapsed="false"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/>
      <c r="AH177" s="138"/>
    </row>
    <row r="178" customFormat="false" ht="13.2" hidden="false" customHeight="false" outlineLevel="0" collapsed="false"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</row>
    <row r="179" customFormat="false" ht="13.2" hidden="false" customHeight="false" outlineLevel="0" collapsed="false"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</row>
    <row r="180" customFormat="false" ht="13.2" hidden="false" customHeight="false" outlineLevel="0" collapsed="false"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</row>
    <row r="181" customFormat="false" ht="13.2" hidden="false" customHeight="false" outlineLevel="0" collapsed="false"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</row>
    <row r="182" customFormat="false" ht="13.2" hidden="false" customHeight="false" outlineLevel="0" collapsed="false"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</row>
    <row r="183" customFormat="false" ht="13.2" hidden="false" customHeight="false" outlineLevel="0" collapsed="false"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</row>
    <row r="184" customFormat="false" ht="13.2" hidden="false" customHeight="false" outlineLevel="0" collapsed="false"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</row>
    <row r="185" customFormat="false" ht="13.2" hidden="false" customHeight="false" outlineLevel="0" collapsed="false"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</row>
    <row r="186" customFormat="false" ht="13.2" hidden="false" customHeight="false" outlineLevel="0" collapsed="false"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</row>
    <row r="187" customFormat="false" ht="13.2" hidden="false" customHeight="false" outlineLevel="0" collapsed="false"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</row>
    <row r="188" customFormat="false" ht="13.2" hidden="false" customHeight="false" outlineLevel="0" collapsed="false"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</row>
    <row r="189" customFormat="false" ht="13.2" hidden="false" customHeight="false" outlineLevel="0" collapsed="false"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</row>
    <row r="190" customFormat="false" ht="13.2" hidden="false" customHeight="false" outlineLevel="0" collapsed="false"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</row>
    <row r="191" customFormat="false" ht="13.2" hidden="false" customHeight="false" outlineLevel="0" collapsed="false"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</row>
    <row r="192" customFormat="false" ht="13.2" hidden="false" customHeight="false" outlineLevel="0" collapsed="false"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</row>
    <row r="193" customFormat="false" ht="13.2" hidden="false" customHeight="false" outlineLevel="0" collapsed="false"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</row>
    <row r="194" customFormat="false" ht="13.2" hidden="false" customHeight="false" outlineLevel="0" collapsed="false"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</row>
    <row r="195" customFormat="false" ht="13.2" hidden="false" customHeight="false" outlineLevel="0" collapsed="false"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</row>
    <row r="196" customFormat="false" ht="13.2" hidden="false" customHeight="false" outlineLevel="0" collapsed="false"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/>
      <c r="AH196" s="138"/>
    </row>
    <row r="197" customFormat="false" ht="13.2" hidden="false" customHeight="false" outlineLevel="0" collapsed="false"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</row>
    <row r="198" customFormat="false" ht="13.2" hidden="false" customHeight="false" outlineLevel="0" collapsed="false"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</row>
    <row r="199" customFormat="false" ht="13.2" hidden="false" customHeight="false" outlineLevel="0" collapsed="false"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</row>
    <row r="200" customFormat="false" ht="13.2" hidden="false" customHeight="false" outlineLevel="0" collapsed="false"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</row>
    <row r="201" customFormat="false" ht="13.2" hidden="false" customHeight="false" outlineLevel="0" collapsed="false"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</row>
    <row r="202" customFormat="false" ht="13.2" hidden="false" customHeight="false" outlineLevel="0" collapsed="false"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</row>
    <row r="203" customFormat="false" ht="13.2" hidden="false" customHeight="false" outlineLevel="0" collapsed="false"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</row>
    <row r="204" customFormat="false" ht="13.2" hidden="false" customHeight="false" outlineLevel="0" collapsed="false"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</row>
    <row r="205" customFormat="false" ht="13.2" hidden="false" customHeight="false" outlineLevel="0" collapsed="false"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</row>
    <row r="206" customFormat="false" ht="13.2" hidden="false" customHeight="false" outlineLevel="0" collapsed="false"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</row>
    <row r="207" customFormat="false" ht="13.2" hidden="false" customHeight="false" outlineLevel="0" collapsed="false"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</row>
    <row r="208" customFormat="false" ht="13.2" hidden="false" customHeight="false" outlineLevel="0" collapsed="false"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</row>
    <row r="209" customFormat="false" ht="13.2" hidden="false" customHeight="false" outlineLevel="0" collapsed="false"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</row>
    <row r="210" customFormat="false" ht="13.2" hidden="false" customHeight="false" outlineLevel="0" collapsed="false"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</row>
    <row r="211" customFormat="false" ht="13.2" hidden="false" customHeight="false" outlineLevel="0" collapsed="false"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</row>
    <row r="212" customFormat="false" ht="13.2" hidden="false" customHeight="false" outlineLevel="0" collapsed="false"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</row>
    <row r="213" customFormat="false" ht="13.2" hidden="false" customHeight="false" outlineLevel="0" collapsed="false"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</row>
    <row r="214" customFormat="false" ht="13.2" hidden="false" customHeight="false" outlineLevel="0" collapsed="false"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</row>
    <row r="215" customFormat="false" ht="13.2" hidden="false" customHeight="false" outlineLevel="0" collapsed="false"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</row>
    <row r="216" customFormat="false" ht="13.2" hidden="false" customHeight="false" outlineLevel="0" collapsed="false"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/>
      <c r="AH216" s="138"/>
    </row>
    <row r="217" customFormat="false" ht="13.2" hidden="false" customHeight="false" outlineLevel="0" collapsed="false"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</row>
    <row r="218" customFormat="false" ht="13.2" hidden="false" customHeight="false" outlineLevel="0" collapsed="false"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</row>
    <row r="219" customFormat="false" ht="13.2" hidden="false" customHeight="false" outlineLevel="0" collapsed="false"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</row>
    <row r="220" customFormat="false" ht="13.2" hidden="false" customHeight="false" outlineLevel="0" collapsed="false"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</row>
    <row r="221" customFormat="false" ht="13.2" hidden="false" customHeight="false" outlineLevel="0" collapsed="false"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</row>
    <row r="222" customFormat="false" ht="13.2" hidden="false" customHeight="false" outlineLevel="0" collapsed="false"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  <c r="AA222" s="138"/>
      <c r="AB222" s="138"/>
      <c r="AC222" s="138"/>
      <c r="AD222" s="138"/>
      <c r="AE222" s="138"/>
      <c r="AF222" s="138"/>
      <c r="AG222" s="138"/>
      <c r="AH222" s="138"/>
    </row>
    <row r="223" customFormat="false" ht="13.2" hidden="false" customHeight="false" outlineLevel="0" collapsed="false"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  <c r="AA223" s="138"/>
      <c r="AB223" s="138"/>
      <c r="AC223" s="138"/>
      <c r="AD223" s="138"/>
      <c r="AE223" s="138"/>
      <c r="AF223" s="138"/>
      <c r="AG223" s="138"/>
      <c r="AH223" s="138"/>
    </row>
    <row r="224" customFormat="false" ht="13.2" hidden="false" customHeight="false" outlineLevel="0" collapsed="false"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  <c r="AA224" s="138"/>
      <c r="AB224" s="138"/>
      <c r="AC224" s="138"/>
      <c r="AD224" s="138"/>
      <c r="AE224" s="138"/>
      <c r="AF224" s="138"/>
      <c r="AG224" s="138"/>
      <c r="AH224" s="138"/>
    </row>
    <row r="225" customFormat="false" ht="13.2" hidden="false" customHeight="false" outlineLevel="0" collapsed="false"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  <c r="AA225" s="138"/>
      <c r="AB225" s="138"/>
      <c r="AC225" s="138"/>
      <c r="AD225" s="138"/>
      <c r="AE225" s="138"/>
      <c r="AF225" s="138"/>
      <c r="AG225" s="138"/>
      <c r="AH225" s="138"/>
    </row>
    <row r="226" customFormat="false" ht="13.2" hidden="false" customHeight="false" outlineLevel="0" collapsed="false"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/>
      <c r="AH226" s="138"/>
    </row>
    <row r="227" customFormat="false" ht="13.2" hidden="false" customHeight="false" outlineLevel="0" collapsed="false"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  <c r="AA227" s="138"/>
      <c r="AB227" s="138"/>
      <c r="AC227" s="138"/>
      <c r="AD227" s="138"/>
      <c r="AE227" s="138"/>
      <c r="AF227" s="138"/>
      <c r="AG227" s="138"/>
      <c r="AH227" s="138"/>
    </row>
    <row r="228" customFormat="false" ht="13.2" hidden="false" customHeight="false" outlineLevel="0" collapsed="false"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</row>
    <row r="229" customFormat="false" ht="13.2" hidden="false" customHeight="false" outlineLevel="0" collapsed="false"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  <c r="AA229" s="138"/>
      <c r="AB229" s="138"/>
      <c r="AC229" s="138"/>
      <c r="AD229" s="138"/>
      <c r="AE229" s="138"/>
      <c r="AF229" s="138"/>
      <c r="AG229" s="138"/>
      <c r="AH229" s="138"/>
    </row>
    <row r="230" customFormat="false" ht="13.2" hidden="false" customHeight="false" outlineLevel="0" collapsed="false"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/>
      <c r="AH230" s="138"/>
    </row>
    <row r="231" customFormat="false" ht="13.2" hidden="false" customHeight="false" outlineLevel="0" collapsed="false"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/>
      <c r="AH231" s="138"/>
    </row>
    <row r="232" customFormat="false" ht="13.2" hidden="false" customHeight="false" outlineLevel="0" collapsed="false"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/>
      <c r="AH232" s="138"/>
    </row>
    <row r="233" customFormat="false" ht="13.2" hidden="false" customHeight="false" outlineLevel="0" collapsed="false"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/>
      <c r="AH233" s="138"/>
    </row>
    <row r="234" customFormat="false" ht="13.2" hidden="false" customHeight="false" outlineLevel="0" collapsed="false"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/>
      <c r="AH234" s="138"/>
    </row>
    <row r="235" customFormat="false" ht="13.2" hidden="false" customHeight="false" outlineLevel="0" collapsed="false"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</row>
    <row r="236" customFormat="false" ht="13.2" hidden="false" customHeight="false" outlineLevel="0" collapsed="false"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/>
      <c r="AH236" s="138"/>
    </row>
    <row r="237" customFormat="false" ht="13.2" hidden="false" customHeight="false" outlineLevel="0" collapsed="false"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/>
      <c r="AH237" s="138"/>
    </row>
    <row r="238" customFormat="false" ht="13.2" hidden="false" customHeight="false" outlineLevel="0" collapsed="false"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</row>
    <row r="239" customFormat="false" ht="13.2" hidden="false" customHeight="false" outlineLevel="0" collapsed="false"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/>
      <c r="AH239" s="138"/>
    </row>
    <row r="240" customFormat="false" ht="13.2" hidden="false" customHeight="false" outlineLevel="0" collapsed="false"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/>
      <c r="AH240" s="138"/>
    </row>
    <row r="241" customFormat="false" ht="13.2" hidden="false" customHeight="false" outlineLevel="0" collapsed="false"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/>
      <c r="AH241" s="138"/>
    </row>
    <row r="242" customFormat="false" ht="13.2" hidden="false" customHeight="false" outlineLevel="0" collapsed="false"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</row>
    <row r="243" customFormat="false" ht="13.2" hidden="false" customHeight="false" outlineLevel="0" collapsed="false"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38"/>
      <c r="AC243" s="138"/>
      <c r="AD243" s="138"/>
      <c r="AE243" s="138"/>
      <c r="AF243" s="138"/>
      <c r="AG243" s="138"/>
      <c r="AH243" s="138"/>
    </row>
    <row r="244" customFormat="false" ht="13.2" hidden="false" customHeight="false" outlineLevel="0" collapsed="false"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/>
      <c r="AH244" s="138"/>
    </row>
    <row r="245" customFormat="false" ht="13.2" hidden="false" customHeight="false" outlineLevel="0" collapsed="false"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/>
      <c r="AH245" s="138"/>
    </row>
    <row r="246" customFormat="false" ht="13.2" hidden="false" customHeight="false" outlineLevel="0" collapsed="false"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/>
      <c r="AH246" s="138"/>
    </row>
    <row r="247" customFormat="false" ht="13.2" hidden="false" customHeight="false" outlineLevel="0" collapsed="false"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  <c r="AA247" s="138"/>
      <c r="AB247" s="138"/>
      <c r="AC247" s="138"/>
      <c r="AD247" s="138"/>
      <c r="AE247" s="138"/>
      <c r="AF247" s="138"/>
      <c r="AG247" s="138"/>
      <c r="AH247" s="138"/>
    </row>
    <row r="248" customFormat="false" ht="13.2" hidden="false" customHeight="false" outlineLevel="0" collapsed="false"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/>
      <c r="AH248" s="138"/>
    </row>
    <row r="249" customFormat="false" ht="13.2" hidden="false" customHeight="false" outlineLevel="0" collapsed="false"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  <c r="AA249" s="138"/>
      <c r="AB249" s="138"/>
      <c r="AC249" s="138"/>
      <c r="AD249" s="138"/>
      <c r="AE249" s="138"/>
      <c r="AF249" s="138"/>
      <c r="AG249" s="138"/>
      <c r="AH249" s="138"/>
    </row>
    <row r="250" customFormat="false" ht="13.2" hidden="false" customHeight="false" outlineLevel="0" collapsed="false"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/>
      <c r="AH250" s="138"/>
    </row>
    <row r="251" customFormat="false" ht="13.2" hidden="false" customHeight="false" outlineLevel="0" collapsed="false"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/>
      <c r="AF251" s="138"/>
      <c r="AG251" s="138"/>
      <c r="AH251" s="138"/>
    </row>
    <row r="252" customFormat="false" ht="13.2" hidden="false" customHeight="false" outlineLevel="0" collapsed="false"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  <c r="AA252" s="138"/>
      <c r="AB252" s="138"/>
      <c r="AC252" s="138"/>
      <c r="AD252" s="138"/>
      <c r="AE252" s="138"/>
      <c r="AF252" s="138"/>
      <c r="AG252" s="138"/>
      <c r="AH252" s="138"/>
    </row>
    <row r="253" customFormat="false" ht="13.2" hidden="false" customHeight="false" outlineLevel="0" collapsed="false"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  <c r="AA253" s="138"/>
      <c r="AB253" s="138"/>
      <c r="AC253" s="138"/>
      <c r="AD253" s="138"/>
      <c r="AE253" s="138"/>
      <c r="AF253" s="138"/>
      <c r="AG253" s="138"/>
      <c r="AH253" s="138"/>
    </row>
    <row r="254" customFormat="false" ht="13.2" hidden="false" customHeight="false" outlineLevel="0" collapsed="false"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  <c r="AA254" s="138"/>
      <c r="AB254" s="138"/>
      <c r="AC254" s="138"/>
      <c r="AD254" s="138"/>
      <c r="AE254" s="138"/>
      <c r="AF254" s="138"/>
      <c r="AG254" s="138"/>
      <c r="AH254" s="138"/>
    </row>
    <row r="255" customFormat="false" ht="13.2" hidden="false" customHeight="false" outlineLevel="0" collapsed="false"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  <c r="AA255" s="138"/>
      <c r="AB255" s="138"/>
      <c r="AC255" s="138"/>
      <c r="AD255" s="138"/>
      <c r="AE255" s="138"/>
      <c r="AF255" s="138"/>
      <c r="AG255" s="138"/>
      <c r="AH255" s="138"/>
    </row>
    <row r="256" customFormat="false" ht="13.2" hidden="false" customHeight="false" outlineLevel="0" collapsed="false"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/>
      <c r="AH256" s="138"/>
    </row>
    <row r="257" customFormat="false" ht="13.2" hidden="false" customHeight="false" outlineLevel="0" collapsed="false"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38"/>
      <c r="AH257" s="138"/>
    </row>
    <row r="258" customFormat="false" ht="13.2" hidden="false" customHeight="false" outlineLevel="0" collapsed="false"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  <c r="AA258" s="138"/>
      <c r="AB258" s="138"/>
      <c r="AC258" s="138"/>
      <c r="AD258" s="138"/>
      <c r="AE258" s="138"/>
      <c r="AF258" s="138"/>
      <c r="AG258" s="138"/>
      <c r="AH258" s="138"/>
    </row>
    <row r="259" customFormat="false" ht="13.2" hidden="false" customHeight="false" outlineLevel="0" collapsed="false"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  <c r="AA259" s="138"/>
      <c r="AB259" s="138"/>
      <c r="AC259" s="138"/>
      <c r="AD259" s="138"/>
      <c r="AE259" s="138"/>
      <c r="AF259" s="138"/>
      <c r="AG259" s="138"/>
      <c r="AH259" s="138"/>
    </row>
    <row r="260" customFormat="false" ht="13.2" hidden="false" customHeight="false" outlineLevel="0" collapsed="false"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  <c r="AA260" s="138"/>
      <c r="AB260" s="138"/>
      <c r="AC260" s="138"/>
      <c r="AD260" s="138"/>
      <c r="AE260" s="138"/>
      <c r="AF260" s="138"/>
      <c r="AG260" s="138"/>
      <c r="AH260" s="138"/>
    </row>
    <row r="261" customFormat="false" ht="13.2" hidden="false" customHeight="false" outlineLevel="0" collapsed="false"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/>
      <c r="AH261" s="138"/>
    </row>
    <row r="262" customFormat="false" ht="13.2" hidden="false" customHeight="false" outlineLevel="0" collapsed="false"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  <c r="AA262" s="138"/>
      <c r="AB262" s="138"/>
      <c r="AC262" s="138"/>
      <c r="AD262" s="138"/>
      <c r="AE262" s="138"/>
      <c r="AF262" s="138"/>
      <c r="AG262" s="138"/>
      <c r="AH262" s="138"/>
    </row>
    <row r="263" customFormat="false" ht="13.2" hidden="false" customHeight="false" outlineLevel="0" collapsed="false"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  <c r="AA263" s="138"/>
      <c r="AB263" s="138"/>
      <c r="AC263" s="138"/>
      <c r="AD263" s="138"/>
      <c r="AE263" s="138"/>
      <c r="AF263" s="138"/>
      <c r="AG263" s="138"/>
      <c r="AH263" s="138"/>
    </row>
    <row r="264" customFormat="false" ht="13.2" hidden="false" customHeight="false" outlineLevel="0" collapsed="false"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/>
      <c r="AH264" s="138"/>
    </row>
    <row r="265" customFormat="false" ht="13.2" hidden="false" customHeight="false" outlineLevel="0" collapsed="false"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  <c r="AA265" s="138"/>
      <c r="AB265" s="138"/>
      <c r="AC265" s="138"/>
      <c r="AD265" s="138"/>
      <c r="AE265" s="138"/>
      <c r="AF265" s="138"/>
      <c r="AG265" s="138"/>
      <c r="AH265" s="138"/>
    </row>
    <row r="266" customFormat="false" ht="13.2" hidden="false" customHeight="false" outlineLevel="0" collapsed="false"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/>
      <c r="AH266" s="138"/>
    </row>
    <row r="267" customFormat="false" ht="13.2" hidden="false" customHeight="false" outlineLevel="0" collapsed="false"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  <c r="AA267" s="138"/>
      <c r="AB267" s="138"/>
      <c r="AC267" s="138"/>
      <c r="AD267" s="138"/>
      <c r="AE267" s="138"/>
      <c r="AF267" s="138"/>
      <c r="AG267" s="138"/>
      <c r="AH267" s="138"/>
    </row>
    <row r="268" customFormat="false" ht="13.2" hidden="false" customHeight="false" outlineLevel="0" collapsed="false"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</row>
    <row r="269" customFormat="false" ht="13.2" hidden="false" customHeight="false" outlineLevel="0" collapsed="false"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</row>
    <row r="270" customFormat="false" ht="13.2" hidden="false" customHeight="false" outlineLevel="0" collapsed="false"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</row>
    <row r="271" customFormat="false" ht="13.2" hidden="false" customHeight="false" outlineLevel="0" collapsed="false"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</row>
    <row r="272" customFormat="false" ht="13.2" hidden="false" customHeight="false" outlineLevel="0" collapsed="false"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</row>
    <row r="273" customFormat="false" ht="13.2" hidden="false" customHeight="false" outlineLevel="0" collapsed="false"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/>
      <c r="AH273" s="138"/>
    </row>
    <row r="274" customFormat="false" ht="13.2" hidden="false" customHeight="false" outlineLevel="0" collapsed="false"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  <c r="AA274" s="138"/>
      <c r="AB274" s="138"/>
      <c r="AC274" s="138"/>
      <c r="AD274" s="138"/>
      <c r="AE274" s="138"/>
      <c r="AF274" s="138"/>
      <c r="AG274" s="138"/>
      <c r="AH274" s="138"/>
    </row>
    <row r="275" customFormat="false" ht="13.2" hidden="false" customHeight="false" outlineLevel="0" collapsed="false"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  <c r="AA275" s="138"/>
      <c r="AB275" s="138"/>
      <c r="AC275" s="138"/>
      <c r="AD275" s="138"/>
      <c r="AE275" s="138"/>
      <c r="AF275" s="138"/>
      <c r="AG275" s="138"/>
      <c r="AH275" s="138"/>
    </row>
    <row r="276" customFormat="false" ht="13.2" hidden="false" customHeight="false" outlineLevel="0" collapsed="false"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  <c r="AA276" s="138"/>
      <c r="AB276" s="138"/>
      <c r="AC276" s="138"/>
      <c r="AD276" s="138"/>
      <c r="AE276" s="138"/>
      <c r="AF276" s="138"/>
      <c r="AG276" s="138"/>
      <c r="AH276" s="138"/>
    </row>
    <row r="277" customFormat="false" ht="13.2" hidden="false" customHeight="false" outlineLevel="0" collapsed="false"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</row>
    <row r="278" customFormat="false" ht="13.2" hidden="false" customHeight="false" outlineLevel="0" collapsed="false"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  <c r="AA278" s="138"/>
      <c r="AB278" s="138"/>
      <c r="AC278" s="138"/>
      <c r="AD278" s="138"/>
      <c r="AE278" s="138"/>
      <c r="AF278" s="138"/>
      <c r="AG278" s="138"/>
      <c r="AH278" s="138"/>
    </row>
    <row r="279" customFormat="false" ht="13.2" hidden="false" customHeight="false" outlineLevel="0" collapsed="false"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/>
      <c r="AH279" s="138"/>
    </row>
    <row r="280" customFormat="false" ht="13.2" hidden="false" customHeight="false" outlineLevel="0" collapsed="false"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  <c r="AA280" s="138"/>
      <c r="AB280" s="138"/>
      <c r="AC280" s="138"/>
      <c r="AD280" s="138"/>
      <c r="AE280" s="138"/>
      <c r="AF280" s="138"/>
      <c r="AG280" s="138"/>
      <c r="AH280" s="138"/>
    </row>
    <row r="281" customFormat="false" ht="13.2" hidden="false" customHeight="false" outlineLevel="0" collapsed="false"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  <c r="AA281" s="138"/>
      <c r="AB281" s="138"/>
      <c r="AC281" s="138"/>
      <c r="AD281" s="138"/>
      <c r="AE281" s="138"/>
      <c r="AF281" s="138"/>
      <c r="AG281" s="138"/>
      <c r="AH281" s="138"/>
    </row>
    <row r="282" customFormat="false" ht="13.2" hidden="false" customHeight="false" outlineLevel="0" collapsed="false"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  <c r="AA282" s="138"/>
      <c r="AB282" s="138"/>
      <c r="AC282" s="138"/>
      <c r="AD282" s="138"/>
      <c r="AE282" s="138"/>
      <c r="AF282" s="138"/>
      <c r="AG282" s="138"/>
      <c r="AH282" s="138"/>
    </row>
    <row r="283" customFormat="false" ht="13.2" hidden="false" customHeight="false" outlineLevel="0" collapsed="false"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  <c r="AA283" s="138"/>
      <c r="AB283" s="138"/>
      <c r="AC283" s="138"/>
      <c r="AD283" s="138"/>
      <c r="AE283" s="138"/>
      <c r="AF283" s="138"/>
      <c r="AG283" s="138"/>
      <c r="AH283" s="138"/>
    </row>
    <row r="284" customFormat="false" ht="13.2" hidden="false" customHeight="false" outlineLevel="0" collapsed="false"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/>
      <c r="AH284" s="138"/>
    </row>
    <row r="285" customFormat="false" ht="13.2" hidden="false" customHeight="false" outlineLevel="0" collapsed="false"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  <c r="AA285" s="138"/>
      <c r="AB285" s="138"/>
      <c r="AC285" s="138"/>
      <c r="AD285" s="138"/>
      <c r="AE285" s="138"/>
      <c r="AF285" s="138"/>
      <c r="AG285" s="138"/>
      <c r="AH285" s="138"/>
    </row>
    <row r="286" customFormat="false" ht="13.2" hidden="false" customHeight="false" outlineLevel="0" collapsed="false"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  <c r="AA286" s="138"/>
      <c r="AB286" s="138"/>
      <c r="AC286" s="138"/>
      <c r="AD286" s="138"/>
      <c r="AE286" s="138"/>
      <c r="AF286" s="138"/>
      <c r="AG286" s="138"/>
      <c r="AH286" s="138"/>
    </row>
    <row r="287" customFormat="false" ht="13.2" hidden="false" customHeight="false" outlineLevel="0" collapsed="false"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</row>
    <row r="288" customFormat="false" ht="13.2" hidden="false" customHeight="false" outlineLevel="0" collapsed="false"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/>
      <c r="AH288" s="138"/>
    </row>
    <row r="289" customFormat="false" ht="13.2" hidden="false" customHeight="false" outlineLevel="0" collapsed="false"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</row>
    <row r="290" customFormat="false" ht="13.2" hidden="false" customHeight="false" outlineLevel="0" collapsed="false"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/>
      <c r="AH290" s="138"/>
    </row>
    <row r="291" customFormat="false" ht="13.2" hidden="false" customHeight="false" outlineLevel="0" collapsed="false"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</row>
    <row r="292" customFormat="false" ht="13.2" hidden="false" customHeight="false" outlineLevel="0" collapsed="false"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/>
      <c r="AH292" s="138"/>
    </row>
    <row r="293" customFormat="false" ht="13.2" hidden="false" customHeight="false" outlineLevel="0" collapsed="false"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/>
      <c r="AH293" s="138"/>
    </row>
    <row r="294" customFormat="false" ht="13.2" hidden="false" customHeight="false" outlineLevel="0" collapsed="false"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/>
      <c r="AH294" s="138"/>
    </row>
    <row r="295" customFormat="false" ht="13.2" hidden="false" customHeight="false" outlineLevel="0" collapsed="false"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/>
      <c r="AH295" s="138"/>
    </row>
    <row r="296" customFormat="false" ht="13.2" hidden="false" customHeight="false" outlineLevel="0" collapsed="false"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/>
      <c r="AH296" s="138"/>
    </row>
    <row r="297" customFormat="false" ht="13.2" hidden="false" customHeight="false" outlineLevel="0" collapsed="false"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</row>
    <row r="298" customFormat="false" ht="13.2" hidden="false" customHeight="false" outlineLevel="0" collapsed="false"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</row>
    <row r="299" customFormat="false" ht="13.2" hidden="false" customHeight="false" outlineLevel="0" collapsed="false"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38"/>
      <c r="AG299" s="138"/>
      <c r="AH299" s="138"/>
    </row>
    <row r="300" customFormat="false" ht="13.2" hidden="false" customHeight="false" outlineLevel="0" collapsed="false"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</row>
    <row r="301" customFormat="false" ht="13.2" hidden="false" customHeight="false" outlineLevel="0" collapsed="false"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  <c r="AA301" s="138"/>
      <c r="AB301" s="138"/>
      <c r="AC301" s="138"/>
      <c r="AD301" s="138"/>
      <c r="AE301" s="138"/>
      <c r="AF301" s="138"/>
      <c r="AG301" s="138"/>
      <c r="AH301" s="138"/>
    </row>
    <row r="302" customFormat="false" ht="13.2" hidden="false" customHeight="false" outlineLevel="0" collapsed="false"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  <c r="AA302" s="138"/>
      <c r="AB302" s="138"/>
      <c r="AC302" s="138"/>
      <c r="AD302" s="138"/>
      <c r="AE302" s="138"/>
      <c r="AF302" s="138"/>
      <c r="AG302" s="138"/>
      <c r="AH302" s="138"/>
    </row>
    <row r="303" customFormat="false" ht="13.2" hidden="false" customHeight="false" outlineLevel="0" collapsed="false"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  <c r="AA303" s="138"/>
      <c r="AB303" s="138"/>
      <c r="AC303" s="138"/>
      <c r="AD303" s="138"/>
      <c r="AE303" s="138"/>
      <c r="AF303" s="138"/>
      <c r="AG303" s="138"/>
      <c r="AH303" s="138"/>
    </row>
    <row r="304" customFormat="false" ht="13.2" hidden="false" customHeight="false" outlineLevel="0" collapsed="false"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  <c r="AA304" s="138"/>
      <c r="AB304" s="138"/>
      <c r="AC304" s="138"/>
      <c r="AD304" s="138"/>
      <c r="AE304" s="138"/>
      <c r="AF304" s="138"/>
      <c r="AG304" s="138"/>
      <c r="AH304" s="138"/>
    </row>
    <row r="305" customFormat="false" ht="13.2" hidden="false" customHeight="false" outlineLevel="0" collapsed="false"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/>
      <c r="AH305" s="138"/>
    </row>
    <row r="306" customFormat="false" ht="13.2" hidden="false" customHeight="false" outlineLevel="0" collapsed="false"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  <c r="AA306" s="138"/>
      <c r="AB306" s="138"/>
      <c r="AC306" s="138"/>
      <c r="AD306" s="138"/>
      <c r="AE306" s="138"/>
      <c r="AF306" s="138"/>
      <c r="AG306" s="138"/>
      <c r="AH306" s="138"/>
    </row>
    <row r="307" customFormat="false" ht="13.2" hidden="false" customHeight="false" outlineLevel="0" collapsed="false"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  <c r="AA307" s="138"/>
      <c r="AB307" s="138"/>
      <c r="AC307" s="138"/>
      <c r="AD307" s="138"/>
      <c r="AE307" s="138"/>
      <c r="AF307" s="138"/>
      <c r="AG307" s="138"/>
      <c r="AH307" s="138"/>
    </row>
    <row r="308" customFormat="false" ht="13.2" hidden="false" customHeight="false" outlineLevel="0" collapsed="false"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  <c r="AA308" s="138"/>
      <c r="AB308" s="138"/>
      <c r="AC308" s="138"/>
      <c r="AD308" s="138"/>
      <c r="AE308" s="138"/>
      <c r="AF308" s="138"/>
      <c r="AG308" s="138"/>
      <c r="AH308" s="138"/>
    </row>
    <row r="309" customFormat="false" ht="13.2" hidden="false" customHeight="false" outlineLevel="0" collapsed="false"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  <c r="AA309" s="138"/>
      <c r="AB309" s="138"/>
      <c r="AC309" s="138"/>
      <c r="AD309" s="138"/>
      <c r="AE309" s="138"/>
      <c r="AF309" s="138"/>
      <c r="AG309" s="138"/>
      <c r="AH309" s="138"/>
    </row>
    <row r="310" customFormat="false" ht="13.2" hidden="false" customHeight="false" outlineLevel="0" collapsed="false"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  <c r="AA310" s="138"/>
      <c r="AB310" s="138"/>
      <c r="AC310" s="138"/>
      <c r="AD310" s="138"/>
      <c r="AE310" s="138"/>
      <c r="AF310" s="138"/>
      <c r="AG310" s="138"/>
      <c r="AH310" s="138"/>
    </row>
    <row r="311" customFormat="false" ht="13.2" hidden="false" customHeight="false" outlineLevel="0" collapsed="false"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  <c r="AA311" s="138"/>
      <c r="AB311" s="138"/>
      <c r="AC311" s="138"/>
      <c r="AD311" s="138"/>
      <c r="AE311" s="138"/>
      <c r="AF311" s="138"/>
      <c r="AG311" s="138"/>
      <c r="AH311" s="138"/>
    </row>
    <row r="312" customFormat="false" ht="13.2" hidden="false" customHeight="false" outlineLevel="0" collapsed="false"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  <c r="AA312" s="138"/>
      <c r="AB312" s="138"/>
      <c r="AC312" s="138"/>
      <c r="AD312" s="138"/>
      <c r="AE312" s="138"/>
      <c r="AF312" s="138"/>
      <c r="AG312" s="138"/>
      <c r="AH312" s="138"/>
    </row>
    <row r="313" customFormat="false" ht="13.2" hidden="false" customHeight="false" outlineLevel="0" collapsed="false"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  <c r="AA313" s="138"/>
      <c r="AB313" s="138"/>
      <c r="AC313" s="138"/>
      <c r="AD313" s="138"/>
      <c r="AE313" s="138"/>
      <c r="AF313" s="138"/>
      <c r="AG313" s="138"/>
      <c r="AH313" s="138"/>
    </row>
    <row r="314" customFormat="false" ht="13.2" hidden="false" customHeight="false" outlineLevel="0" collapsed="false"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  <c r="AA314" s="138"/>
      <c r="AB314" s="138"/>
      <c r="AC314" s="138"/>
      <c r="AD314" s="138"/>
      <c r="AE314" s="138"/>
      <c r="AF314" s="138"/>
      <c r="AG314" s="138"/>
      <c r="AH314" s="138"/>
    </row>
    <row r="315" customFormat="false" ht="13.2" hidden="false" customHeight="false" outlineLevel="0" collapsed="false"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  <c r="AA315" s="138"/>
      <c r="AB315" s="138"/>
      <c r="AC315" s="138"/>
      <c r="AD315" s="138"/>
      <c r="AE315" s="138"/>
      <c r="AF315" s="138"/>
      <c r="AG315" s="138"/>
      <c r="AH315" s="138"/>
    </row>
    <row r="316" customFormat="false" ht="13.2" hidden="false" customHeight="false" outlineLevel="0" collapsed="false"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  <c r="AA316" s="138"/>
      <c r="AB316" s="138"/>
      <c r="AC316" s="138"/>
      <c r="AD316" s="138"/>
      <c r="AE316" s="138"/>
      <c r="AF316" s="138"/>
      <c r="AG316" s="138"/>
      <c r="AH316" s="138"/>
    </row>
    <row r="317" customFormat="false" ht="13.2" hidden="false" customHeight="false" outlineLevel="0" collapsed="false"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  <c r="AA317" s="138"/>
      <c r="AB317" s="138"/>
      <c r="AC317" s="138"/>
      <c r="AD317" s="138"/>
      <c r="AE317" s="138"/>
      <c r="AF317" s="138"/>
      <c r="AG317" s="138"/>
      <c r="AH317" s="138"/>
    </row>
    <row r="318" customFormat="false" ht="13.2" hidden="false" customHeight="false" outlineLevel="0" collapsed="false"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  <c r="AA318" s="138"/>
      <c r="AB318" s="138"/>
      <c r="AC318" s="138"/>
      <c r="AD318" s="138"/>
      <c r="AE318" s="138"/>
      <c r="AF318" s="138"/>
      <c r="AG318" s="138"/>
      <c r="AH318" s="138"/>
    </row>
    <row r="319" customFormat="false" ht="13.2" hidden="false" customHeight="false" outlineLevel="0" collapsed="false"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  <c r="AA319" s="138"/>
      <c r="AB319" s="138"/>
      <c r="AC319" s="138"/>
      <c r="AD319" s="138"/>
      <c r="AE319" s="138"/>
      <c r="AF319" s="138"/>
      <c r="AG319" s="138"/>
      <c r="AH319" s="138"/>
    </row>
    <row r="320" customFormat="false" ht="13.2" hidden="false" customHeight="false" outlineLevel="0" collapsed="false"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  <c r="AA320" s="138"/>
      <c r="AB320" s="138"/>
      <c r="AC320" s="138"/>
      <c r="AD320" s="138"/>
      <c r="AE320" s="138"/>
      <c r="AF320" s="138"/>
      <c r="AG320" s="138"/>
      <c r="AH320" s="138"/>
    </row>
    <row r="321" customFormat="false" ht="13.2" hidden="false" customHeight="false" outlineLevel="0" collapsed="false"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  <c r="AA321" s="138"/>
      <c r="AB321" s="138"/>
      <c r="AC321" s="138"/>
      <c r="AD321" s="138"/>
      <c r="AE321" s="138"/>
      <c r="AF321" s="138"/>
      <c r="AG321" s="138"/>
      <c r="AH321" s="138"/>
    </row>
    <row r="322" customFormat="false" ht="13.2" hidden="false" customHeight="false" outlineLevel="0" collapsed="false"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  <c r="AA322" s="138"/>
      <c r="AB322" s="138"/>
      <c r="AC322" s="138"/>
      <c r="AD322" s="138"/>
      <c r="AE322" s="138"/>
      <c r="AF322" s="138"/>
      <c r="AG322" s="138"/>
      <c r="AH322" s="138"/>
    </row>
    <row r="323" customFormat="false" ht="13.2" hidden="false" customHeight="false" outlineLevel="0" collapsed="false"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  <c r="AA323" s="138"/>
      <c r="AB323" s="138"/>
      <c r="AC323" s="138"/>
      <c r="AD323" s="138"/>
      <c r="AE323" s="138"/>
      <c r="AF323" s="138"/>
      <c r="AG323" s="138"/>
      <c r="AH323" s="138"/>
    </row>
    <row r="324" customFormat="false" ht="13.2" hidden="false" customHeight="false" outlineLevel="0" collapsed="false"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/>
      <c r="AH324" s="138"/>
    </row>
    <row r="325" customFormat="false" ht="13.2" hidden="false" customHeight="false" outlineLevel="0" collapsed="false"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</row>
    <row r="326" customFormat="false" ht="13.2" hidden="false" customHeight="false" outlineLevel="0" collapsed="false"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</row>
    <row r="327" customFormat="false" ht="13.2" hidden="false" customHeight="false" outlineLevel="0" collapsed="false"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</row>
    <row r="328" customFormat="false" ht="13.2" hidden="false" customHeight="false" outlineLevel="0" collapsed="false"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  <c r="AA328" s="138"/>
      <c r="AB328" s="138"/>
      <c r="AC328" s="138"/>
      <c r="AD328" s="138"/>
      <c r="AE328" s="138"/>
      <c r="AF328" s="138"/>
      <c r="AG328" s="138"/>
      <c r="AH328" s="138"/>
    </row>
    <row r="329" customFormat="false" ht="13.2" hidden="false" customHeight="false" outlineLevel="0" collapsed="false"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  <c r="AA329" s="138"/>
      <c r="AB329" s="138"/>
      <c r="AC329" s="138"/>
      <c r="AD329" s="138"/>
      <c r="AE329" s="138"/>
      <c r="AF329" s="138"/>
      <c r="AG329" s="138"/>
      <c r="AH329" s="138"/>
    </row>
    <row r="330" customFormat="false" ht="13.2" hidden="false" customHeight="false" outlineLevel="0" collapsed="false"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  <c r="AA330" s="138"/>
      <c r="AB330" s="138"/>
      <c r="AC330" s="138"/>
      <c r="AD330" s="138"/>
      <c r="AE330" s="138"/>
      <c r="AF330" s="138"/>
      <c r="AG330" s="138"/>
      <c r="AH330" s="138"/>
    </row>
    <row r="331" customFormat="false" ht="13.2" hidden="false" customHeight="false" outlineLevel="0" collapsed="false"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  <c r="AA331" s="138"/>
      <c r="AB331" s="138"/>
      <c r="AC331" s="138"/>
      <c r="AD331" s="138"/>
      <c r="AE331" s="138"/>
      <c r="AF331" s="138"/>
      <c r="AG331" s="138"/>
      <c r="AH331" s="138"/>
    </row>
    <row r="332" customFormat="false" ht="13.2" hidden="false" customHeight="false" outlineLevel="0" collapsed="false"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38"/>
      <c r="AG332" s="138"/>
      <c r="AH332" s="138"/>
    </row>
    <row r="333" customFormat="false" ht="13.2" hidden="false" customHeight="false" outlineLevel="0" collapsed="false"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  <c r="AA333" s="138"/>
      <c r="AB333" s="138"/>
      <c r="AC333" s="138"/>
      <c r="AD333" s="138"/>
      <c r="AE333" s="138"/>
      <c r="AF333" s="138"/>
      <c r="AG333" s="138"/>
      <c r="AH333" s="138"/>
    </row>
    <row r="334" customFormat="false" ht="13.2" hidden="false" customHeight="false" outlineLevel="0" collapsed="false"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  <c r="AA334" s="138"/>
      <c r="AB334" s="138"/>
      <c r="AC334" s="138"/>
      <c r="AD334" s="138"/>
      <c r="AE334" s="138"/>
      <c r="AF334" s="138"/>
      <c r="AG334" s="138"/>
      <c r="AH334" s="138"/>
    </row>
    <row r="335" customFormat="false" ht="13.2" hidden="false" customHeight="false" outlineLevel="0" collapsed="false"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  <c r="AA335" s="138"/>
      <c r="AB335" s="138"/>
      <c r="AC335" s="138"/>
      <c r="AD335" s="138"/>
      <c r="AE335" s="138"/>
      <c r="AF335" s="138"/>
      <c r="AG335" s="138"/>
      <c r="AH335" s="138"/>
    </row>
    <row r="336" customFormat="false" ht="13.2" hidden="false" customHeight="false" outlineLevel="0" collapsed="false"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  <c r="AA336" s="138"/>
      <c r="AB336" s="138"/>
      <c r="AC336" s="138"/>
      <c r="AD336" s="138"/>
      <c r="AE336" s="138"/>
      <c r="AF336" s="138"/>
      <c r="AG336" s="138"/>
      <c r="AH336" s="138"/>
    </row>
    <row r="337" customFormat="false" ht="13.2" hidden="false" customHeight="false" outlineLevel="0" collapsed="false"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  <c r="AA337" s="138"/>
      <c r="AB337" s="138"/>
      <c r="AC337" s="138"/>
      <c r="AD337" s="138"/>
      <c r="AE337" s="138"/>
      <c r="AF337" s="138"/>
      <c r="AG337" s="138"/>
      <c r="AH337" s="138"/>
    </row>
    <row r="338" customFormat="false" ht="13.2" hidden="false" customHeight="false" outlineLevel="0" collapsed="false"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  <c r="AA338" s="138"/>
      <c r="AB338" s="138"/>
      <c r="AC338" s="138"/>
      <c r="AD338" s="138"/>
      <c r="AE338" s="138"/>
      <c r="AF338" s="138"/>
      <c r="AG338" s="138"/>
      <c r="AH338" s="138"/>
    </row>
    <row r="339" customFormat="false" ht="13.2" hidden="false" customHeight="false" outlineLevel="0" collapsed="false"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  <c r="AA339" s="138"/>
      <c r="AB339" s="138"/>
      <c r="AC339" s="138"/>
      <c r="AD339" s="138"/>
      <c r="AE339" s="138"/>
      <c r="AF339" s="138"/>
      <c r="AG339" s="138"/>
      <c r="AH339" s="138"/>
    </row>
    <row r="340" customFormat="false" ht="13.2" hidden="false" customHeight="false" outlineLevel="0" collapsed="false"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  <c r="AA340" s="138"/>
      <c r="AB340" s="138"/>
      <c r="AC340" s="138"/>
      <c r="AD340" s="138"/>
      <c r="AE340" s="138"/>
      <c r="AF340" s="138"/>
      <c r="AG340" s="138"/>
      <c r="AH340" s="138"/>
    </row>
    <row r="341" customFormat="false" ht="13.2" hidden="false" customHeight="false" outlineLevel="0" collapsed="false"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  <c r="AA341" s="138"/>
      <c r="AB341" s="138"/>
      <c r="AC341" s="138"/>
      <c r="AD341" s="138"/>
      <c r="AE341" s="138"/>
      <c r="AF341" s="138"/>
      <c r="AG341" s="138"/>
      <c r="AH341" s="138"/>
    </row>
    <row r="342" customFormat="false" ht="13.2" hidden="false" customHeight="false" outlineLevel="0" collapsed="false"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  <c r="AA342" s="138"/>
      <c r="AB342" s="138"/>
      <c r="AC342" s="138"/>
      <c r="AD342" s="138"/>
      <c r="AE342" s="138"/>
      <c r="AF342" s="138"/>
      <c r="AG342" s="138"/>
      <c r="AH342" s="138"/>
    </row>
    <row r="343" customFormat="false" ht="13.2" hidden="false" customHeight="false" outlineLevel="0" collapsed="false"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  <c r="AA343" s="138"/>
      <c r="AB343" s="138"/>
      <c r="AC343" s="138"/>
      <c r="AD343" s="138"/>
      <c r="AE343" s="138"/>
      <c r="AF343" s="138"/>
      <c r="AG343" s="138"/>
      <c r="AH343" s="138"/>
    </row>
    <row r="344" customFormat="false" ht="13.2" hidden="false" customHeight="false" outlineLevel="0" collapsed="false"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  <c r="AA344" s="138"/>
      <c r="AB344" s="138"/>
      <c r="AC344" s="138"/>
      <c r="AD344" s="138"/>
      <c r="AE344" s="138"/>
      <c r="AF344" s="138"/>
      <c r="AG344" s="138"/>
      <c r="AH344" s="138"/>
    </row>
    <row r="345" customFormat="false" ht="13.2" hidden="false" customHeight="false" outlineLevel="0" collapsed="false"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  <c r="AA345" s="138"/>
      <c r="AB345" s="138"/>
      <c r="AC345" s="138"/>
      <c r="AD345" s="138"/>
      <c r="AE345" s="138"/>
      <c r="AF345" s="138"/>
      <c r="AG345" s="138"/>
      <c r="AH345" s="138"/>
    </row>
    <row r="346" customFormat="false" ht="13.2" hidden="false" customHeight="false" outlineLevel="0" collapsed="false"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  <c r="AA346" s="138"/>
      <c r="AB346" s="138"/>
      <c r="AC346" s="138"/>
      <c r="AD346" s="138"/>
      <c r="AE346" s="138"/>
      <c r="AF346" s="138"/>
      <c r="AG346" s="138"/>
      <c r="AH346" s="138"/>
    </row>
    <row r="347" customFormat="false" ht="13.2" hidden="false" customHeight="false" outlineLevel="0" collapsed="false"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  <c r="AA347" s="138"/>
      <c r="AB347" s="138"/>
      <c r="AC347" s="138"/>
      <c r="AD347" s="138"/>
      <c r="AE347" s="138"/>
      <c r="AF347" s="138"/>
      <c r="AG347" s="138"/>
      <c r="AH347" s="138"/>
    </row>
    <row r="348" customFormat="false" ht="13.2" hidden="false" customHeight="false" outlineLevel="0" collapsed="false"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  <c r="AA348" s="138"/>
      <c r="AB348" s="138"/>
      <c r="AC348" s="138"/>
      <c r="AD348" s="138"/>
      <c r="AE348" s="138"/>
      <c r="AF348" s="138"/>
      <c r="AG348" s="138"/>
      <c r="AH348" s="138"/>
    </row>
    <row r="349" customFormat="false" ht="13.2" hidden="false" customHeight="false" outlineLevel="0" collapsed="false"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  <c r="AA349" s="138"/>
      <c r="AB349" s="138"/>
      <c r="AC349" s="138"/>
      <c r="AD349" s="138"/>
      <c r="AE349" s="138"/>
      <c r="AF349" s="138"/>
      <c r="AG349" s="138"/>
      <c r="AH349" s="138"/>
    </row>
    <row r="350" customFormat="false" ht="13.2" hidden="false" customHeight="false" outlineLevel="0" collapsed="false"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  <c r="AA350" s="138"/>
      <c r="AB350" s="138"/>
      <c r="AC350" s="138"/>
      <c r="AD350" s="138"/>
      <c r="AE350" s="138"/>
      <c r="AF350" s="138"/>
      <c r="AG350" s="138"/>
      <c r="AH350" s="138"/>
    </row>
    <row r="351" customFormat="false" ht="13.2" hidden="false" customHeight="false" outlineLevel="0" collapsed="false"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  <c r="AA351" s="138"/>
      <c r="AB351" s="138"/>
      <c r="AC351" s="138"/>
      <c r="AD351" s="138"/>
      <c r="AE351" s="138"/>
      <c r="AF351" s="138"/>
      <c r="AG351" s="138"/>
      <c r="AH351" s="138"/>
    </row>
    <row r="352" customFormat="false" ht="13.2" hidden="false" customHeight="false" outlineLevel="0" collapsed="false"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  <c r="AA352" s="138"/>
      <c r="AB352" s="138"/>
      <c r="AC352" s="138"/>
      <c r="AD352" s="138"/>
      <c r="AE352" s="138"/>
      <c r="AF352" s="138"/>
      <c r="AG352" s="138"/>
      <c r="AH352" s="138"/>
    </row>
    <row r="353" customFormat="false" ht="13.2" hidden="false" customHeight="false" outlineLevel="0" collapsed="false"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  <c r="AA353" s="138"/>
      <c r="AB353" s="138"/>
      <c r="AC353" s="138"/>
      <c r="AD353" s="138"/>
      <c r="AE353" s="138"/>
      <c r="AF353" s="138"/>
      <c r="AG353" s="138"/>
      <c r="AH353" s="138"/>
    </row>
    <row r="354" customFormat="false" ht="13.2" hidden="false" customHeight="false" outlineLevel="0" collapsed="false"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  <c r="AA354" s="138"/>
      <c r="AB354" s="138"/>
      <c r="AC354" s="138"/>
      <c r="AD354" s="138"/>
      <c r="AE354" s="138"/>
      <c r="AF354" s="138"/>
      <c r="AG354" s="138"/>
      <c r="AH354" s="138"/>
    </row>
    <row r="355" customFormat="false" ht="13.2" hidden="false" customHeight="false" outlineLevel="0" collapsed="false"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  <c r="AA355" s="138"/>
      <c r="AB355" s="138"/>
      <c r="AC355" s="138"/>
      <c r="AD355" s="138"/>
      <c r="AE355" s="138"/>
      <c r="AF355" s="138"/>
      <c r="AG355" s="138"/>
      <c r="AH355" s="138"/>
    </row>
    <row r="356" customFormat="false" ht="13.2" hidden="false" customHeight="false" outlineLevel="0" collapsed="false"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  <c r="AD356" s="138"/>
      <c r="AE356" s="138"/>
      <c r="AF356" s="138"/>
      <c r="AG356" s="138"/>
      <c r="AH356" s="138"/>
    </row>
    <row r="357" customFormat="false" ht="13.2" hidden="false" customHeight="false" outlineLevel="0" collapsed="false"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  <c r="AA357" s="138"/>
      <c r="AB357" s="138"/>
      <c r="AC357" s="138"/>
      <c r="AD357" s="138"/>
      <c r="AE357" s="138"/>
      <c r="AF357" s="138"/>
      <c r="AG357" s="138"/>
      <c r="AH357" s="138"/>
    </row>
    <row r="358" customFormat="false" ht="13.2" hidden="false" customHeight="false" outlineLevel="0" collapsed="false"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  <c r="AA358" s="138"/>
      <c r="AB358" s="138"/>
      <c r="AC358" s="138"/>
      <c r="AD358" s="138"/>
      <c r="AE358" s="138"/>
      <c r="AF358" s="138"/>
      <c r="AG358" s="138"/>
      <c r="AH358" s="138"/>
    </row>
    <row r="359" customFormat="false" ht="13.2" hidden="false" customHeight="false" outlineLevel="0" collapsed="false"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  <c r="AA359" s="138"/>
      <c r="AB359" s="138"/>
      <c r="AC359" s="138"/>
      <c r="AD359" s="138"/>
      <c r="AE359" s="138"/>
      <c r="AF359" s="138"/>
      <c r="AG359" s="138"/>
      <c r="AH359" s="138"/>
    </row>
    <row r="360" customFormat="false" ht="13.2" hidden="false" customHeight="false" outlineLevel="0" collapsed="false"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  <c r="AA360" s="138"/>
      <c r="AB360" s="138"/>
      <c r="AC360" s="138"/>
      <c r="AD360" s="138"/>
      <c r="AE360" s="138"/>
      <c r="AF360" s="138"/>
      <c r="AG360" s="138"/>
      <c r="AH360" s="138"/>
    </row>
    <row r="361" customFormat="false" ht="13.2" hidden="false" customHeight="false" outlineLevel="0" collapsed="false"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  <c r="AA361" s="138"/>
      <c r="AB361" s="138"/>
      <c r="AC361" s="138"/>
      <c r="AD361" s="138"/>
      <c r="AE361" s="138"/>
      <c r="AF361" s="138"/>
      <c r="AG361" s="138"/>
      <c r="AH361" s="138"/>
    </row>
    <row r="362" customFormat="false" ht="13.2" hidden="false" customHeight="false" outlineLevel="0" collapsed="false"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  <c r="AA362" s="138"/>
      <c r="AB362" s="138"/>
      <c r="AC362" s="138"/>
      <c r="AD362" s="138"/>
      <c r="AE362" s="138"/>
      <c r="AF362" s="138"/>
      <c r="AG362" s="138"/>
      <c r="AH362" s="138"/>
    </row>
    <row r="363" customFormat="false" ht="13.2" hidden="false" customHeight="false" outlineLevel="0" collapsed="false"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  <c r="AA363" s="138"/>
      <c r="AB363" s="138"/>
      <c r="AC363" s="138"/>
      <c r="AD363" s="138"/>
      <c r="AE363" s="138"/>
      <c r="AF363" s="138"/>
      <c r="AG363" s="138"/>
      <c r="AH363" s="138"/>
    </row>
    <row r="364" customFormat="false" ht="13.2" hidden="false" customHeight="false" outlineLevel="0" collapsed="false"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  <c r="AA364" s="138"/>
      <c r="AB364" s="138"/>
      <c r="AC364" s="138"/>
      <c r="AD364" s="138"/>
      <c r="AE364" s="138"/>
      <c r="AF364" s="138"/>
      <c r="AG364" s="138"/>
      <c r="AH364" s="138"/>
    </row>
    <row r="365" customFormat="false" ht="13.2" hidden="false" customHeight="false" outlineLevel="0" collapsed="false"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  <c r="AA365" s="138"/>
      <c r="AB365" s="138"/>
      <c r="AC365" s="138"/>
      <c r="AD365" s="138"/>
      <c r="AE365" s="138"/>
      <c r="AF365" s="138"/>
      <c r="AG365" s="138"/>
      <c r="AH365" s="138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O248"/>
  <sheetViews>
    <sheetView showFormulas="false" showGridLines="true" showRowColHeaders="true" showZeros="true" rightToLeft="false" tabSelected="false" showOutlineSymbols="true" defaultGridColor="true" view="pageBreakPreview" topLeftCell="B62" colorId="64" zoomScale="75" zoomScaleNormal="75" zoomScalePageLayoutView="75" workbookViewId="0">
      <selection pane="topLeft" activeCell="P81" activeCellId="0" sqref="P81"/>
    </sheetView>
  </sheetViews>
  <sheetFormatPr defaultColWidth="8.875" defaultRowHeight="13.2" customHeight="true" zeroHeight="false" outlineLevelRow="0" outlineLevelCol="0"/>
  <cols>
    <col collapsed="false" customWidth="true" hidden="true" outlineLevel="0" max="1" min="1" style="19" width="8.1"/>
    <col collapsed="false" customWidth="true" hidden="false" outlineLevel="0" max="2" min="2" style="19" width="25.66"/>
    <col collapsed="false" customWidth="true" hidden="false" outlineLevel="0" max="3" min="3" style="19" width="3.1"/>
    <col collapsed="false" customWidth="true" hidden="false" outlineLevel="0" max="4" min="4" style="19" width="11.55"/>
    <col collapsed="false" customWidth="true" hidden="false" outlineLevel="0" max="6" min="5" style="19" width="9.99"/>
    <col collapsed="false" customWidth="true" hidden="false" outlineLevel="0" max="7" min="7" style="19" width="10.43"/>
    <col collapsed="false" customWidth="true" hidden="false" outlineLevel="0" max="8" min="8" style="19" width="11.99"/>
    <col collapsed="false" customWidth="true" hidden="false" outlineLevel="0" max="15" min="9" style="19" width="9.99"/>
    <col collapsed="false" customWidth="true" hidden="false" outlineLevel="0" max="16" min="16" style="19" width="15.55"/>
    <col collapsed="false" customWidth="false" hidden="false" outlineLevel="0" max="257" min="17" style="19" width="8.87"/>
  </cols>
  <sheetData>
    <row r="1" customFormat="false" ht="13.2" hidden="false" customHeight="false" outlineLevel="0" collapsed="false">
      <c r="B1" s="21" t="str">
        <f aca="false">Factors!A1</f>
        <v>ENS BUDGET - YEAR 2002</v>
      </c>
    </row>
    <row r="2" customFormat="false" ht="23.4" hidden="false" customHeight="true" outlineLevel="0" collapsed="false">
      <c r="B2" s="198" t="s">
        <v>385</v>
      </c>
    </row>
    <row r="3" customFormat="false" ht="17.4" hidden="false" customHeight="false" outlineLevel="0" collapsed="false">
      <c r="A3" s="21"/>
      <c r="B3" s="199" t="s">
        <v>386</v>
      </c>
    </row>
    <row r="4" customFormat="false" ht="13.2" hidden="true" customHeight="false" outlineLevel="0" collapsed="false">
      <c r="A4" s="88"/>
      <c r="B4" s="37" t="s">
        <v>170</v>
      </c>
      <c r="D4" s="37" t="s">
        <v>387</v>
      </c>
      <c r="E4" s="37" t="s">
        <v>388</v>
      </c>
      <c r="F4" s="37" t="s">
        <v>389</v>
      </c>
      <c r="G4" s="37" t="n">
        <v>18</v>
      </c>
      <c r="H4" s="88" t="s">
        <v>66</v>
      </c>
    </row>
    <row r="5" customFormat="false" ht="13.2" hidden="true" customHeight="false" outlineLevel="0" collapsed="false">
      <c r="A5" s="208" t="n">
        <v>8</v>
      </c>
      <c r="B5" s="209" t="s">
        <v>390</v>
      </c>
      <c r="C5" s="210" t="s">
        <v>391</v>
      </c>
      <c r="D5" s="211" t="n">
        <v>3250</v>
      </c>
      <c r="E5" s="211" t="n">
        <f aca="false">D5*$G$4/100</f>
        <v>585</v>
      </c>
      <c r="F5" s="211"/>
      <c r="G5" s="211"/>
      <c r="H5" s="212" t="n">
        <f aca="false">SUM(D5:G5)</f>
        <v>3835</v>
      </c>
      <c r="I5" s="19" t="n">
        <f aca="false">H5/D5</f>
        <v>1.18</v>
      </c>
      <c r="J5" s="212"/>
    </row>
    <row r="6" customFormat="false" ht="13.2" hidden="true" customHeight="false" outlineLevel="0" collapsed="false">
      <c r="A6" s="208" t="n">
        <v>9</v>
      </c>
      <c r="B6" s="209" t="s">
        <v>392</v>
      </c>
      <c r="C6" s="210" t="s">
        <v>391</v>
      </c>
      <c r="D6" s="211" t="n">
        <v>7427.82</v>
      </c>
      <c r="E6" s="211" t="n">
        <f aca="false">D6*$G$4/100</f>
        <v>1337.0076</v>
      </c>
      <c r="F6" s="211"/>
      <c r="G6" s="211"/>
      <c r="H6" s="212" t="n">
        <f aca="false">SUM(D6:G6)</f>
        <v>8764.8276</v>
      </c>
      <c r="I6" s="19" t="n">
        <f aca="false">H6/D6</f>
        <v>1.18</v>
      </c>
      <c r="J6" s="212"/>
      <c r="K6" s="212"/>
    </row>
    <row r="7" customFormat="false" ht="13.2" hidden="true" customHeight="false" outlineLevel="0" collapsed="false">
      <c r="A7" s="208" t="n">
        <v>12</v>
      </c>
      <c r="B7" s="209" t="s">
        <v>393</v>
      </c>
      <c r="C7" s="210" t="s">
        <v>391</v>
      </c>
      <c r="D7" s="211" t="n">
        <v>6228.17</v>
      </c>
      <c r="E7" s="211" t="n">
        <f aca="false">D7*$G$4/100</f>
        <v>1121.0706</v>
      </c>
      <c r="F7" s="211"/>
      <c r="G7" s="211"/>
      <c r="H7" s="212" t="n">
        <f aca="false">SUM(D7:G7)</f>
        <v>7349.2406</v>
      </c>
      <c r="I7" s="19" t="n">
        <f aca="false">H7/D7</f>
        <v>1.18</v>
      </c>
      <c r="J7" s="212"/>
      <c r="K7" s="212"/>
    </row>
    <row r="8" customFormat="false" ht="13.2" hidden="true" customHeight="false" outlineLevel="0" collapsed="false">
      <c r="A8" s="208" t="n">
        <v>17</v>
      </c>
      <c r="B8" s="209" t="s">
        <v>394</v>
      </c>
      <c r="C8" s="210" t="s">
        <v>391</v>
      </c>
      <c r="D8" s="211" t="n">
        <v>6258</v>
      </c>
      <c r="E8" s="211" t="n">
        <f aca="false">D8*$G$4/100</f>
        <v>1126.44</v>
      </c>
      <c r="F8" s="211"/>
      <c r="G8" s="211"/>
      <c r="H8" s="212" t="n">
        <f aca="false">SUM(D8:G8)</f>
        <v>7384.44</v>
      </c>
      <c r="I8" s="19" t="n">
        <f aca="false">H8/D8</f>
        <v>1.18</v>
      </c>
      <c r="J8" s="212"/>
      <c r="K8" s="212"/>
    </row>
    <row r="9" customFormat="false" ht="13.2" hidden="true" customHeight="false" outlineLevel="0" collapsed="false">
      <c r="A9" s="208" t="n">
        <v>33</v>
      </c>
      <c r="B9" s="209" t="s">
        <v>395</v>
      </c>
      <c r="C9" s="210" t="s">
        <v>391</v>
      </c>
      <c r="D9" s="211" t="n">
        <v>10000</v>
      </c>
      <c r="E9" s="211" t="n">
        <f aca="false">D9*$G$4/100</f>
        <v>1800</v>
      </c>
      <c r="F9" s="211"/>
      <c r="G9" s="211"/>
      <c r="H9" s="212" t="n">
        <f aca="false">SUM(D9:G9)</f>
        <v>11800</v>
      </c>
      <c r="I9" s="19" t="n">
        <f aca="false">H9/D9</f>
        <v>1.18</v>
      </c>
      <c r="J9" s="212"/>
    </row>
    <row r="10" customFormat="false" ht="13.2" hidden="true" customHeight="false" outlineLevel="0" collapsed="false">
      <c r="A10" s="208" t="n">
        <v>40</v>
      </c>
      <c r="B10" s="209" t="s">
        <v>396</v>
      </c>
      <c r="C10" s="210" t="s">
        <v>391</v>
      </c>
      <c r="D10" s="211" t="n">
        <v>8308.66</v>
      </c>
      <c r="E10" s="211" t="n">
        <f aca="false">D10*$G$4/100</f>
        <v>1495.5588</v>
      </c>
      <c r="F10" s="211"/>
      <c r="G10" s="211"/>
      <c r="H10" s="212" t="n">
        <f aca="false">SUM(D10:G10)</f>
        <v>9804.2188</v>
      </c>
      <c r="I10" s="19" t="n">
        <f aca="false">H10/D10</f>
        <v>1.18</v>
      </c>
      <c r="J10" s="212"/>
      <c r="K10" s="212"/>
    </row>
    <row r="11" customFormat="false" ht="13.2" hidden="true" customHeight="false" outlineLevel="0" collapsed="false">
      <c r="A11" s="208" t="n">
        <v>4</v>
      </c>
      <c r="B11" s="209" t="s">
        <v>397</v>
      </c>
      <c r="C11" s="210" t="s">
        <v>398</v>
      </c>
      <c r="D11" s="211" t="n">
        <v>5750</v>
      </c>
      <c r="E11" s="211" t="n">
        <f aca="false">D11*$G$4/100</f>
        <v>1035</v>
      </c>
      <c r="F11" s="211"/>
      <c r="G11" s="211"/>
      <c r="H11" s="212" t="n">
        <f aca="false">SUM(D11:G11)</f>
        <v>6785</v>
      </c>
      <c r="I11" s="19" t="n">
        <f aca="false">H11/D11</f>
        <v>1.18</v>
      </c>
      <c r="J11" s="212"/>
    </row>
    <row r="12" customFormat="false" ht="13.2" hidden="true" customHeight="false" outlineLevel="0" collapsed="false">
      <c r="A12" s="208" t="n">
        <v>10</v>
      </c>
      <c r="B12" s="209" t="s">
        <v>399</v>
      </c>
      <c r="C12" s="210" t="s">
        <v>398</v>
      </c>
      <c r="D12" s="211" t="n">
        <v>4216.76</v>
      </c>
      <c r="E12" s="211" t="n">
        <f aca="false">D12*$G$4/100</f>
        <v>759.0168</v>
      </c>
      <c r="F12" s="211"/>
      <c r="G12" s="211"/>
      <c r="H12" s="212" t="n">
        <f aca="false">SUM(D12:G12)</f>
        <v>4975.7768</v>
      </c>
      <c r="I12" s="19" t="n">
        <f aca="false">H12/D12</f>
        <v>1.18</v>
      </c>
      <c r="J12" s="212"/>
      <c r="K12" s="162"/>
    </row>
    <row r="13" customFormat="false" ht="13.2" hidden="true" customHeight="false" outlineLevel="0" collapsed="false">
      <c r="A13" s="208" t="n">
        <v>14</v>
      </c>
      <c r="B13" s="209" t="s">
        <v>400</v>
      </c>
      <c r="C13" s="210" t="s">
        <v>398</v>
      </c>
      <c r="D13" s="211" t="n">
        <v>4109.5</v>
      </c>
      <c r="E13" s="211" t="n">
        <f aca="false">D13*$G$4/100</f>
        <v>739.71</v>
      </c>
      <c r="F13" s="211"/>
      <c r="G13" s="211"/>
      <c r="H13" s="212" t="n">
        <f aca="false">SUM(D13:G13)</f>
        <v>4849.21</v>
      </c>
      <c r="I13" s="19" t="n">
        <f aca="false">H13/D13</f>
        <v>1.18</v>
      </c>
      <c r="J13" s="212"/>
    </row>
    <row r="14" customFormat="false" ht="13.2" hidden="true" customHeight="false" outlineLevel="0" collapsed="false">
      <c r="A14" s="208" t="n">
        <v>27</v>
      </c>
      <c r="B14" s="209" t="s">
        <v>401</v>
      </c>
      <c r="C14" s="210" t="s">
        <v>398</v>
      </c>
      <c r="D14" s="211" t="n">
        <v>3462.89</v>
      </c>
      <c r="E14" s="211" t="n">
        <f aca="false">D14*$G$4/100</f>
        <v>623.3202</v>
      </c>
      <c r="F14" s="211"/>
      <c r="G14" s="211"/>
      <c r="H14" s="212" t="n">
        <f aca="false">SUM(D14:G14)</f>
        <v>4086.2102</v>
      </c>
      <c r="I14" s="19" t="n">
        <f aca="false">H14/D14</f>
        <v>1.18</v>
      </c>
      <c r="J14" s="212"/>
    </row>
    <row r="15" customFormat="false" ht="13.2" hidden="true" customHeight="false" outlineLevel="0" collapsed="false">
      <c r="A15" s="208" t="n">
        <v>34</v>
      </c>
      <c r="B15" s="209" t="s">
        <v>402</v>
      </c>
      <c r="C15" s="210" t="s">
        <v>398</v>
      </c>
      <c r="D15" s="211" t="n">
        <v>4243.48</v>
      </c>
      <c r="E15" s="211" t="n">
        <f aca="false">D15*$G$4/100</f>
        <v>763.8264</v>
      </c>
      <c r="F15" s="211"/>
      <c r="G15" s="211"/>
      <c r="H15" s="212" t="n">
        <f aca="false">SUM(D15:G15)</f>
        <v>5007.3064</v>
      </c>
      <c r="I15" s="19" t="n">
        <f aca="false">H15/D15</f>
        <v>1.18</v>
      </c>
      <c r="J15" s="212"/>
    </row>
    <row r="16" customFormat="false" ht="13.2" hidden="true" customHeight="false" outlineLevel="0" collapsed="false">
      <c r="A16" s="208" t="n">
        <v>30</v>
      </c>
      <c r="B16" s="209" t="s">
        <v>403</v>
      </c>
      <c r="C16" s="210" t="s">
        <v>398</v>
      </c>
      <c r="D16" s="211" t="n">
        <v>3483.01</v>
      </c>
      <c r="E16" s="211" t="n">
        <f aca="false">D16*$G$4/100</f>
        <v>626.9418</v>
      </c>
      <c r="F16" s="211"/>
      <c r="G16" s="211"/>
      <c r="H16" s="212" t="n">
        <f aca="false">SUM(D16:G16)</f>
        <v>4109.9518</v>
      </c>
      <c r="I16" s="19" t="n">
        <f aca="false">H16/D16</f>
        <v>1.18</v>
      </c>
      <c r="J16" s="212"/>
    </row>
    <row r="17" customFormat="false" ht="13.2" hidden="true" customHeight="false" outlineLevel="0" collapsed="false">
      <c r="A17" s="208" t="n">
        <v>1</v>
      </c>
      <c r="B17" s="209" t="s">
        <v>404</v>
      </c>
      <c r="C17" s="210" t="s">
        <v>398</v>
      </c>
      <c r="D17" s="211" t="n">
        <v>4114.86</v>
      </c>
      <c r="E17" s="211" t="n">
        <f aca="false">D17*$G$4/100</f>
        <v>740.6748</v>
      </c>
      <c r="F17" s="211"/>
      <c r="G17" s="211"/>
      <c r="H17" s="212" t="n">
        <f aca="false">SUM(D17:G17)</f>
        <v>4855.5348</v>
      </c>
      <c r="I17" s="19" t="n">
        <f aca="false">H17/D17</f>
        <v>1.18</v>
      </c>
      <c r="J17" s="212"/>
    </row>
    <row r="18" customFormat="false" ht="13.2" hidden="true" customHeight="false" outlineLevel="0" collapsed="false">
      <c r="A18" s="208" t="n">
        <v>2</v>
      </c>
      <c r="B18" s="209" t="s">
        <v>405</v>
      </c>
      <c r="C18" s="210" t="s">
        <v>398</v>
      </c>
      <c r="D18" s="211" t="n">
        <v>4386.03</v>
      </c>
      <c r="E18" s="211" t="n">
        <f aca="false">D18*$G$4/100</f>
        <v>789.4854</v>
      </c>
      <c r="F18" s="211"/>
      <c r="G18" s="211"/>
      <c r="H18" s="212" t="n">
        <f aca="false">SUM(D18:G18)</f>
        <v>5175.5154</v>
      </c>
      <c r="I18" s="19" t="n">
        <f aca="false">H18/D18</f>
        <v>1.18</v>
      </c>
      <c r="J18" s="212"/>
    </row>
    <row r="19" customFormat="false" ht="13.2" hidden="true" customHeight="false" outlineLevel="0" collapsed="false">
      <c r="A19" s="208" t="n">
        <v>11</v>
      </c>
      <c r="B19" s="209" t="s">
        <v>406</v>
      </c>
      <c r="C19" s="210" t="s">
        <v>398</v>
      </c>
      <c r="D19" s="211" t="n">
        <v>4482.47</v>
      </c>
      <c r="E19" s="211" t="n">
        <f aca="false">D19*$G$4/100</f>
        <v>806.8446</v>
      </c>
      <c r="F19" s="211"/>
      <c r="G19" s="211"/>
      <c r="H19" s="212" t="n">
        <f aca="false">SUM(D19:G19)</f>
        <v>5289.3146</v>
      </c>
      <c r="I19" s="19" t="n">
        <f aca="false">H19/D19</f>
        <v>1.18</v>
      </c>
      <c r="J19" s="212"/>
    </row>
    <row r="20" customFormat="false" ht="13.2" hidden="true" customHeight="false" outlineLevel="0" collapsed="false">
      <c r="A20" s="208" t="n">
        <v>19</v>
      </c>
      <c r="B20" s="209" t="s">
        <v>407</v>
      </c>
      <c r="C20" s="210" t="s">
        <v>398</v>
      </c>
      <c r="D20" s="211" t="n">
        <v>4327.25</v>
      </c>
      <c r="E20" s="211" t="n">
        <f aca="false">D20*$G$4/100</f>
        <v>778.905</v>
      </c>
      <c r="F20" s="211"/>
      <c r="G20" s="211"/>
      <c r="H20" s="212" t="n">
        <f aca="false">SUM(D20:G20)</f>
        <v>5106.155</v>
      </c>
      <c r="I20" s="19" t="n">
        <f aca="false">H20/D20</f>
        <v>1.18</v>
      </c>
      <c r="J20" s="212"/>
      <c r="K20" s="162"/>
    </row>
    <row r="21" customFormat="false" ht="13.2" hidden="true" customHeight="false" outlineLevel="0" collapsed="false">
      <c r="A21" s="208" t="n">
        <v>25</v>
      </c>
      <c r="B21" s="209" t="s">
        <v>408</v>
      </c>
      <c r="C21" s="210" t="s">
        <v>398</v>
      </c>
      <c r="D21" s="211" t="n">
        <v>4586.35</v>
      </c>
      <c r="E21" s="211" t="n">
        <f aca="false">D21*$G$4/100</f>
        <v>825.543</v>
      </c>
      <c r="F21" s="211"/>
      <c r="G21" s="211"/>
      <c r="H21" s="212" t="n">
        <f aca="false">SUM(D21:G21)</f>
        <v>5411.893</v>
      </c>
      <c r="I21" s="19" t="n">
        <f aca="false">H21/D21</f>
        <v>1.18</v>
      </c>
      <c r="J21" s="212"/>
    </row>
    <row r="22" customFormat="false" ht="13.2" hidden="true" customHeight="false" outlineLevel="0" collapsed="false">
      <c r="A22" s="208" t="n">
        <v>26</v>
      </c>
      <c r="B22" s="209" t="s">
        <v>409</v>
      </c>
      <c r="C22" s="210" t="s">
        <v>398</v>
      </c>
      <c r="D22" s="211" t="n">
        <v>5056.17</v>
      </c>
      <c r="E22" s="211" t="n">
        <f aca="false">D22*$G$4/100</f>
        <v>910.1106</v>
      </c>
      <c r="F22" s="211"/>
      <c r="G22" s="211"/>
      <c r="H22" s="212" t="n">
        <f aca="false">SUM(D22:G22)</f>
        <v>5966.2806</v>
      </c>
      <c r="I22" s="19" t="n">
        <f aca="false">H22/D22</f>
        <v>1.18</v>
      </c>
      <c r="J22" s="212"/>
    </row>
    <row r="23" customFormat="false" ht="13.2" hidden="true" customHeight="false" outlineLevel="0" collapsed="false">
      <c r="A23" s="208" t="n">
        <v>28</v>
      </c>
      <c r="B23" s="209" t="s">
        <v>410</v>
      </c>
      <c r="C23" s="210" t="s">
        <v>398</v>
      </c>
      <c r="D23" s="211" t="n">
        <v>4276.97</v>
      </c>
      <c r="E23" s="211" t="n">
        <f aca="false">D23*$G$4/100</f>
        <v>769.8546</v>
      </c>
      <c r="F23" s="211"/>
      <c r="G23" s="211"/>
      <c r="H23" s="212" t="n">
        <f aca="false">SUM(D23:G23)</f>
        <v>5046.8246</v>
      </c>
      <c r="I23" s="19" t="n">
        <f aca="false">H23/D23</f>
        <v>1.18</v>
      </c>
      <c r="J23" s="212"/>
    </row>
    <row r="24" customFormat="false" ht="13.2" hidden="true" customHeight="false" outlineLevel="0" collapsed="false">
      <c r="A24" s="208" t="n">
        <v>29</v>
      </c>
      <c r="B24" s="209" t="s">
        <v>411</v>
      </c>
      <c r="C24" s="210" t="s">
        <v>398</v>
      </c>
      <c r="D24" s="211" t="n">
        <v>4809.54</v>
      </c>
      <c r="E24" s="211" t="n">
        <f aca="false">D24*$G$4/100</f>
        <v>865.7172</v>
      </c>
      <c r="F24" s="211"/>
      <c r="G24" s="211"/>
      <c r="H24" s="212" t="n">
        <f aca="false">SUM(D24:G24)</f>
        <v>5675.2572</v>
      </c>
      <c r="I24" s="19" t="n">
        <f aca="false">H24/D24</f>
        <v>1.18</v>
      </c>
      <c r="J24" s="212"/>
    </row>
    <row r="25" customFormat="false" ht="13.2" hidden="true" customHeight="false" outlineLevel="0" collapsed="false">
      <c r="A25" s="208" t="n">
        <v>31</v>
      </c>
      <c r="B25" s="209" t="s">
        <v>412</v>
      </c>
      <c r="C25" s="210" t="s">
        <v>398</v>
      </c>
      <c r="D25" s="211" t="n">
        <v>3721.2</v>
      </c>
      <c r="E25" s="211" t="n">
        <f aca="false">D25*$G$4/100</f>
        <v>669.816</v>
      </c>
      <c r="F25" s="211"/>
      <c r="G25" s="211"/>
      <c r="H25" s="212" t="n">
        <f aca="false">SUM(D25:G25)</f>
        <v>4391.016</v>
      </c>
      <c r="I25" s="19" t="n">
        <f aca="false">H25/D25</f>
        <v>1.18</v>
      </c>
      <c r="J25" s="212"/>
    </row>
    <row r="26" customFormat="false" ht="13.2" hidden="true" customHeight="false" outlineLevel="0" collapsed="false">
      <c r="A26" s="208" t="n">
        <v>35</v>
      </c>
      <c r="B26" s="209" t="s">
        <v>413</v>
      </c>
      <c r="C26" s="210" t="s">
        <v>398</v>
      </c>
      <c r="D26" s="211" t="n">
        <v>3926.46</v>
      </c>
      <c r="E26" s="211" t="n">
        <f aca="false">D26*$G$4/100</f>
        <v>706.7628</v>
      </c>
      <c r="F26" s="211"/>
      <c r="G26" s="211"/>
      <c r="H26" s="212" t="n">
        <f aca="false">SUM(D26:G26)</f>
        <v>4633.2228</v>
      </c>
      <c r="I26" s="19" t="n">
        <f aca="false">H26/D26</f>
        <v>1.18</v>
      </c>
      <c r="J26" s="212"/>
    </row>
    <row r="27" customFormat="false" ht="13.2" hidden="true" customHeight="false" outlineLevel="0" collapsed="false">
      <c r="A27" s="208" t="n">
        <v>39</v>
      </c>
      <c r="B27" s="209" t="s">
        <v>414</v>
      </c>
      <c r="C27" s="210" t="s">
        <v>398</v>
      </c>
      <c r="D27" s="211" t="n">
        <v>3394.78</v>
      </c>
      <c r="E27" s="211" t="n">
        <f aca="false">D27*$G$4/100</f>
        <v>611.0604</v>
      </c>
      <c r="F27" s="211"/>
      <c r="G27" s="211"/>
      <c r="H27" s="212" t="n">
        <f aca="false">SUM(D27:G27)</f>
        <v>4005.8404</v>
      </c>
      <c r="I27" s="19" t="n">
        <f aca="false">H27/D27</f>
        <v>1.18</v>
      </c>
      <c r="J27" s="212"/>
    </row>
    <row r="28" customFormat="false" ht="13.2" hidden="true" customHeight="false" outlineLevel="0" collapsed="false">
      <c r="A28" s="208" t="n">
        <v>43</v>
      </c>
      <c r="B28" s="209" t="s">
        <v>415</v>
      </c>
      <c r="C28" s="210" t="s">
        <v>398</v>
      </c>
      <c r="D28" s="211" t="n">
        <v>3952.45</v>
      </c>
      <c r="E28" s="211" t="n">
        <f aca="false">D28*$G$4/100</f>
        <v>711.441</v>
      </c>
      <c r="F28" s="211"/>
      <c r="G28" s="211"/>
      <c r="H28" s="212" t="n">
        <f aca="false">SUM(D28:G28)</f>
        <v>4663.891</v>
      </c>
      <c r="I28" s="19" t="n">
        <f aca="false">H28/D28</f>
        <v>1.18</v>
      </c>
      <c r="J28" s="212"/>
    </row>
    <row r="29" customFormat="false" ht="13.2" hidden="true" customHeight="false" outlineLevel="0" collapsed="false">
      <c r="A29" s="208" t="n">
        <v>44</v>
      </c>
      <c r="B29" s="209" t="s">
        <v>416</v>
      </c>
      <c r="C29" s="210" t="s">
        <v>398</v>
      </c>
      <c r="D29" s="211" t="n">
        <v>3727.74</v>
      </c>
      <c r="E29" s="211" t="n">
        <f aca="false">D29*$G$4/100</f>
        <v>670.9932</v>
      </c>
      <c r="F29" s="211"/>
      <c r="G29" s="211"/>
      <c r="H29" s="212" t="n">
        <f aca="false">SUM(D29:G29)</f>
        <v>4398.7332</v>
      </c>
      <c r="I29" s="19" t="n">
        <f aca="false">H29/D29</f>
        <v>1.18</v>
      </c>
      <c r="J29" s="212"/>
    </row>
    <row r="30" customFormat="false" ht="13.2" hidden="true" customHeight="false" outlineLevel="0" collapsed="false">
      <c r="A30" s="208" t="n">
        <v>47</v>
      </c>
      <c r="B30" s="209" t="s">
        <v>417</v>
      </c>
      <c r="C30" s="210" t="s">
        <v>398</v>
      </c>
      <c r="D30" s="211" t="n">
        <v>3560.52</v>
      </c>
      <c r="E30" s="211" t="n">
        <f aca="false">D30*$G$4/100</f>
        <v>640.8936</v>
      </c>
      <c r="F30" s="211"/>
      <c r="G30" s="211"/>
      <c r="H30" s="212" t="n">
        <f aca="false">SUM(D30:G30)</f>
        <v>4201.4136</v>
      </c>
      <c r="I30" s="19" t="n">
        <f aca="false">H30/D30</f>
        <v>1.18</v>
      </c>
      <c r="J30" s="212"/>
    </row>
    <row r="31" customFormat="false" ht="13.2" hidden="true" customHeight="false" outlineLevel="0" collapsed="false">
      <c r="A31" s="208" t="n">
        <v>49</v>
      </c>
      <c r="B31" s="209" t="s">
        <v>418</v>
      </c>
      <c r="C31" s="210" t="s">
        <v>398</v>
      </c>
      <c r="D31" s="211" t="n">
        <v>3933.8</v>
      </c>
      <c r="E31" s="211" t="n">
        <f aca="false">D31*$G$4/100</f>
        <v>708.084</v>
      </c>
      <c r="F31" s="211"/>
      <c r="G31" s="211"/>
      <c r="H31" s="212" t="n">
        <f aca="false">SUM(D31:G31)</f>
        <v>4641.884</v>
      </c>
      <c r="I31" s="19" t="n">
        <f aca="false">H31/D31</f>
        <v>1.18</v>
      </c>
      <c r="J31" s="212"/>
    </row>
    <row r="32" customFormat="false" ht="13.2" hidden="true" customHeight="false" outlineLevel="0" collapsed="false">
      <c r="A32" s="208" t="n">
        <v>6</v>
      </c>
      <c r="B32" s="209" t="s">
        <v>419</v>
      </c>
      <c r="C32" s="210" t="s">
        <v>398</v>
      </c>
      <c r="D32" s="211" t="n">
        <v>1750</v>
      </c>
      <c r="E32" s="211" t="n">
        <f aca="false">D32*$G$4/100</f>
        <v>315</v>
      </c>
      <c r="F32" s="211"/>
      <c r="G32" s="211"/>
      <c r="H32" s="212" t="n">
        <f aca="false">SUM(D32:G32)</f>
        <v>2065</v>
      </c>
      <c r="I32" s="19" t="n">
        <f aca="false">H32/D32</f>
        <v>1.18</v>
      </c>
      <c r="J32" s="212"/>
    </row>
    <row r="33" customFormat="false" ht="13.2" hidden="true" customHeight="false" outlineLevel="0" collapsed="false">
      <c r="A33" s="208" t="n">
        <v>16</v>
      </c>
      <c r="B33" s="209" t="s">
        <v>420</v>
      </c>
      <c r="C33" s="210" t="s">
        <v>398</v>
      </c>
      <c r="D33" s="211" t="n">
        <v>2500</v>
      </c>
      <c r="E33" s="211" t="n">
        <f aca="false">D33*$G$4/100</f>
        <v>450</v>
      </c>
      <c r="F33" s="211"/>
      <c r="G33" s="211"/>
      <c r="H33" s="212" t="n">
        <f aca="false">SUM(D33:G33)</f>
        <v>2950</v>
      </c>
      <c r="I33" s="19" t="n">
        <f aca="false">H33/D33</f>
        <v>1.18</v>
      </c>
      <c r="J33" s="212"/>
    </row>
    <row r="34" customFormat="false" ht="13.2" hidden="true" customHeight="false" outlineLevel="0" collapsed="false">
      <c r="A34" s="208" t="n">
        <v>21</v>
      </c>
      <c r="B34" s="209" t="s">
        <v>421</v>
      </c>
      <c r="C34" s="210" t="s">
        <v>398</v>
      </c>
      <c r="D34" s="211" t="n">
        <v>3667.04</v>
      </c>
      <c r="E34" s="211" t="n">
        <f aca="false">D34*$G$4/100</f>
        <v>660.0672</v>
      </c>
      <c r="F34" s="211"/>
      <c r="G34" s="211"/>
      <c r="H34" s="212" t="n">
        <f aca="false">SUM(D34:G34)</f>
        <v>4327.1072</v>
      </c>
      <c r="I34" s="19" t="n">
        <f aca="false">H34/D34</f>
        <v>1.18</v>
      </c>
      <c r="J34" s="212"/>
    </row>
    <row r="35" customFormat="false" ht="13.2" hidden="true" customHeight="false" outlineLevel="0" collapsed="false">
      <c r="A35" s="208" t="n">
        <v>37</v>
      </c>
      <c r="B35" s="209" t="s">
        <v>422</v>
      </c>
      <c r="C35" s="210" t="s">
        <v>398</v>
      </c>
      <c r="D35" s="211" t="n">
        <v>4523.42</v>
      </c>
      <c r="E35" s="211" t="n">
        <f aca="false">D35*$G$4/100</f>
        <v>814.2156</v>
      </c>
      <c r="F35" s="211"/>
      <c r="G35" s="211"/>
      <c r="H35" s="212" t="n">
        <f aca="false">SUM(D35:G35)</f>
        <v>5337.6356</v>
      </c>
      <c r="I35" s="19" t="n">
        <f aca="false">H35/D35</f>
        <v>1.18</v>
      </c>
      <c r="J35" s="212"/>
    </row>
    <row r="36" customFormat="false" ht="13.2" hidden="true" customHeight="false" outlineLevel="0" collapsed="false">
      <c r="A36" s="208" t="n">
        <v>48</v>
      </c>
      <c r="B36" s="209" t="s">
        <v>423</v>
      </c>
      <c r="C36" s="210" t="s">
        <v>398</v>
      </c>
      <c r="D36" s="211" t="n">
        <v>4821.82</v>
      </c>
      <c r="E36" s="211" t="n">
        <f aca="false">D36*$G$4/100</f>
        <v>867.9276</v>
      </c>
      <c r="F36" s="211"/>
      <c r="G36" s="211"/>
      <c r="H36" s="212" t="n">
        <f aca="false">SUM(D36:G36)</f>
        <v>5689.7476</v>
      </c>
      <c r="I36" s="19" t="n">
        <f aca="false">H36/D36</f>
        <v>1.18</v>
      </c>
      <c r="J36" s="212"/>
      <c r="K36" s="212"/>
    </row>
    <row r="37" customFormat="false" ht="13.2" hidden="true" customHeight="false" outlineLevel="0" collapsed="false">
      <c r="A37" s="208"/>
      <c r="B37" s="209" t="s">
        <v>424</v>
      </c>
      <c r="C37" s="210" t="s">
        <v>398</v>
      </c>
      <c r="D37" s="211" t="n">
        <v>3700</v>
      </c>
      <c r="E37" s="211" t="n">
        <f aca="false">D37*$G$4/100</f>
        <v>666</v>
      </c>
      <c r="F37" s="211"/>
      <c r="G37" s="211"/>
      <c r="H37" s="212" t="n">
        <f aca="false">SUM(D37:G37)</f>
        <v>4366</v>
      </c>
      <c r="I37" s="19" t="n">
        <f aca="false">H37/D37</f>
        <v>1.18</v>
      </c>
      <c r="J37" s="212"/>
      <c r="K37" s="212"/>
    </row>
    <row r="38" customFormat="false" ht="13.2" hidden="true" customHeight="false" outlineLevel="0" collapsed="false">
      <c r="A38" s="208" t="n">
        <v>24</v>
      </c>
      <c r="B38" s="209" t="s">
        <v>425</v>
      </c>
      <c r="C38" s="210" t="s">
        <v>426</v>
      </c>
      <c r="D38" s="211" t="n">
        <v>6630</v>
      </c>
      <c r="E38" s="211" t="n">
        <f aca="false">D38*$G$4/100</f>
        <v>1193.4</v>
      </c>
      <c r="F38" s="211"/>
      <c r="G38" s="211"/>
      <c r="H38" s="212" t="n">
        <f aca="false">SUM(D38:G38)</f>
        <v>7823.4</v>
      </c>
      <c r="I38" s="19" t="n">
        <f aca="false">H38/D38</f>
        <v>1.18</v>
      </c>
      <c r="J38" s="212"/>
    </row>
    <row r="39" customFormat="false" ht="13.2" hidden="true" customHeight="false" outlineLevel="0" collapsed="false">
      <c r="A39" s="208" t="n">
        <v>42</v>
      </c>
      <c r="B39" s="209" t="s">
        <v>427</v>
      </c>
      <c r="C39" s="210" t="s">
        <v>426</v>
      </c>
      <c r="D39" s="211" t="n">
        <v>7030</v>
      </c>
      <c r="E39" s="211" t="n">
        <f aca="false">D39*$G$4/100</f>
        <v>1265.4</v>
      </c>
      <c r="F39" s="211"/>
      <c r="G39" s="211"/>
      <c r="H39" s="212" t="n">
        <f aca="false">SUM(D39:G39)</f>
        <v>8295.4</v>
      </c>
      <c r="I39" s="19" t="n">
        <f aca="false">H39/D39</f>
        <v>1.18</v>
      </c>
      <c r="J39" s="212"/>
      <c r="K39" s="212"/>
    </row>
    <row r="40" customFormat="false" ht="13.2" hidden="true" customHeight="false" outlineLevel="0" collapsed="false">
      <c r="A40" s="208" t="n">
        <v>5</v>
      </c>
      <c r="B40" s="209" t="s">
        <v>428</v>
      </c>
      <c r="C40" s="210" t="s">
        <v>429</v>
      </c>
      <c r="D40" s="211" t="n">
        <v>3818.18</v>
      </c>
      <c r="E40" s="211" t="n">
        <f aca="false">D40*$G$4/100</f>
        <v>687.2724</v>
      </c>
      <c r="F40" s="211"/>
      <c r="G40" s="211"/>
      <c r="H40" s="212" t="n">
        <f aca="false">SUM(D40:G40)</f>
        <v>4505.4524</v>
      </c>
      <c r="I40" s="19" t="n">
        <f aca="false">H40/D40</f>
        <v>1.18</v>
      </c>
      <c r="J40" s="212"/>
    </row>
    <row r="41" customFormat="false" ht="13.2" hidden="true" customHeight="false" outlineLevel="0" collapsed="false">
      <c r="A41" s="208" t="n">
        <v>41</v>
      </c>
      <c r="B41" s="209" t="s">
        <v>430</v>
      </c>
      <c r="C41" s="210" t="s">
        <v>429</v>
      </c>
      <c r="D41" s="211" t="n">
        <v>5581.45</v>
      </c>
      <c r="E41" s="211" t="n">
        <f aca="false">D41*$G$4/100</f>
        <v>1004.661</v>
      </c>
      <c r="F41" s="211"/>
      <c r="G41" s="211"/>
      <c r="H41" s="212" t="n">
        <f aca="false">SUM(D41:G41)</f>
        <v>6586.111</v>
      </c>
      <c r="I41" s="19" t="n">
        <f aca="false">H41/D41</f>
        <v>1.18</v>
      </c>
      <c r="J41" s="212"/>
      <c r="K41" s="162"/>
    </row>
    <row r="42" customFormat="false" ht="13.2" hidden="true" customHeight="false" outlineLevel="0" collapsed="false">
      <c r="A42" s="208" t="n">
        <v>45</v>
      </c>
      <c r="B42" s="209" t="s">
        <v>431</v>
      </c>
      <c r="C42" s="210" t="s">
        <v>429</v>
      </c>
      <c r="D42" s="211" t="n">
        <v>4451.62</v>
      </c>
      <c r="E42" s="211" t="n">
        <f aca="false">D42*$G$4/100</f>
        <v>801.2916</v>
      </c>
      <c r="F42" s="211"/>
      <c r="G42" s="211"/>
      <c r="H42" s="212" t="n">
        <f aca="false">SUM(D42:G42)</f>
        <v>5252.9116</v>
      </c>
      <c r="I42" s="19" t="n">
        <f aca="false">H42/D42</f>
        <v>1.18</v>
      </c>
      <c r="J42" s="212"/>
    </row>
    <row r="43" customFormat="false" ht="13.2" hidden="true" customHeight="false" outlineLevel="0" collapsed="false">
      <c r="A43" s="208" t="n">
        <v>20</v>
      </c>
      <c r="B43" s="209" t="s">
        <v>432</v>
      </c>
      <c r="C43" s="210" t="s">
        <v>429</v>
      </c>
      <c r="D43" s="211" t="n">
        <v>4950</v>
      </c>
      <c r="E43" s="211" t="n">
        <f aca="false">D43*$G$4/100</f>
        <v>891</v>
      </c>
      <c r="F43" s="211"/>
      <c r="G43" s="211"/>
      <c r="H43" s="212" t="n">
        <f aca="false">SUM(D43:G43)</f>
        <v>5841</v>
      </c>
      <c r="I43" s="19" t="n">
        <f aca="false">H43/D43</f>
        <v>1.18</v>
      </c>
      <c r="J43" s="212"/>
    </row>
    <row r="44" customFormat="false" ht="13.2" hidden="true" customHeight="false" outlineLevel="0" collapsed="false">
      <c r="A44" s="208" t="n">
        <v>13</v>
      </c>
      <c r="B44" s="209" t="s">
        <v>433</v>
      </c>
      <c r="C44" s="210" t="s">
        <v>429</v>
      </c>
      <c r="D44" s="211" t="n">
        <v>3780</v>
      </c>
      <c r="E44" s="211" t="n">
        <f aca="false">D44*$G$4/100</f>
        <v>680.4</v>
      </c>
      <c r="F44" s="211"/>
      <c r="G44" s="211"/>
      <c r="H44" s="212" t="n">
        <f aca="false">SUM(D44:G44)</f>
        <v>4460.4</v>
      </c>
      <c r="I44" s="19" t="n">
        <f aca="false">H44/D44</f>
        <v>1.18</v>
      </c>
      <c r="J44" s="212"/>
    </row>
    <row r="45" customFormat="false" ht="13.2" hidden="true" customHeight="false" outlineLevel="0" collapsed="false">
      <c r="A45" s="208" t="n">
        <v>22</v>
      </c>
      <c r="B45" s="209" t="s">
        <v>434</v>
      </c>
      <c r="C45" s="210" t="s">
        <v>429</v>
      </c>
      <c r="D45" s="211" t="n">
        <v>2500</v>
      </c>
      <c r="E45" s="211" t="n">
        <f aca="false">D45*$G$4/100</f>
        <v>450</v>
      </c>
      <c r="F45" s="211"/>
      <c r="G45" s="211"/>
      <c r="H45" s="212" t="n">
        <f aca="false">SUM(D45:G45)</f>
        <v>2950</v>
      </c>
      <c r="I45" s="19" t="n">
        <f aca="false">H45/D45</f>
        <v>1.18</v>
      </c>
      <c r="J45" s="212"/>
    </row>
    <row r="46" customFormat="false" ht="13.2" hidden="true" customHeight="false" outlineLevel="0" collapsed="false">
      <c r="A46" s="208" t="n">
        <v>38</v>
      </c>
      <c r="B46" s="209" t="s">
        <v>435</v>
      </c>
      <c r="C46" s="210" t="s">
        <v>429</v>
      </c>
      <c r="D46" s="211" t="n">
        <v>2500</v>
      </c>
      <c r="E46" s="211" t="n">
        <f aca="false">D46*$G$4/100</f>
        <v>450</v>
      </c>
      <c r="F46" s="211"/>
      <c r="G46" s="211"/>
      <c r="H46" s="212" t="n">
        <f aca="false">SUM(D46:G46)</f>
        <v>2950</v>
      </c>
      <c r="I46" s="19" t="n">
        <f aca="false">H46/D46</f>
        <v>1.18</v>
      </c>
      <c r="J46" s="212"/>
      <c r="K46" s="212"/>
    </row>
    <row r="47" customFormat="false" ht="13.2" hidden="true" customHeight="false" outlineLevel="0" collapsed="false">
      <c r="A47" s="208" t="n">
        <v>7</v>
      </c>
      <c r="B47" s="209" t="s">
        <v>436</v>
      </c>
      <c r="C47" s="210" t="s">
        <v>437</v>
      </c>
      <c r="D47" s="211" t="n">
        <v>4850</v>
      </c>
      <c r="E47" s="211" t="n">
        <f aca="false">D47*$G$4/100</f>
        <v>873</v>
      </c>
      <c r="F47" s="211"/>
      <c r="G47" s="211"/>
      <c r="H47" s="212" t="n">
        <f aca="false">SUM(D47:G47)</f>
        <v>5723</v>
      </c>
      <c r="I47" s="19" t="n">
        <f aca="false">H47/D47</f>
        <v>1.18</v>
      </c>
      <c r="J47" s="212"/>
    </row>
    <row r="48" customFormat="false" ht="13.2" hidden="true" customHeight="false" outlineLevel="0" collapsed="false">
      <c r="A48" s="208" t="n">
        <v>23</v>
      </c>
      <c r="B48" s="209" t="s">
        <v>438</v>
      </c>
      <c r="C48" s="210" t="s">
        <v>437</v>
      </c>
      <c r="D48" s="211" t="n">
        <v>10767</v>
      </c>
      <c r="E48" s="211" t="n">
        <f aca="false">D48*$G$4/100</f>
        <v>1938.06</v>
      </c>
      <c r="F48" s="211"/>
      <c r="G48" s="211"/>
      <c r="H48" s="212" t="n">
        <f aca="false">SUM(D48:G48)</f>
        <v>12705.06</v>
      </c>
      <c r="I48" s="19" t="n">
        <f aca="false">H48/D48</f>
        <v>1.18</v>
      </c>
      <c r="J48" s="212"/>
      <c r="K48" s="212"/>
    </row>
    <row r="49" customFormat="false" ht="13.2" hidden="true" customHeight="false" outlineLevel="0" collapsed="false">
      <c r="A49" s="208" t="n">
        <v>36</v>
      </c>
      <c r="B49" s="209" t="s">
        <v>439</v>
      </c>
      <c r="C49" s="210" t="s">
        <v>437</v>
      </c>
      <c r="D49" s="211" t="n">
        <v>7166.67</v>
      </c>
      <c r="E49" s="211" t="n">
        <f aca="false">D49*$G$4/100</f>
        <v>1290.0006</v>
      </c>
      <c r="F49" s="211"/>
      <c r="G49" s="211"/>
      <c r="H49" s="212" t="n">
        <f aca="false">SUM(D49:G49)</f>
        <v>8456.6706</v>
      </c>
      <c r="I49" s="19" t="n">
        <f aca="false">H49/D49</f>
        <v>1.18</v>
      </c>
      <c r="J49" s="212"/>
      <c r="K49" s="212"/>
    </row>
    <row r="50" customFormat="false" ht="13.2" hidden="true" customHeight="false" outlineLevel="0" collapsed="false">
      <c r="A50" s="208" t="n">
        <v>18</v>
      </c>
      <c r="B50" s="209" t="s">
        <v>440</v>
      </c>
      <c r="C50" s="210" t="s">
        <v>437</v>
      </c>
      <c r="D50" s="211" t="n">
        <v>7328.75</v>
      </c>
      <c r="E50" s="211" t="n">
        <f aca="false">D50*$G$4/100</f>
        <v>1319.175</v>
      </c>
      <c r="F50" s="211"/>
      <c r="G50" s="211"/>
      <c r="H50" s="213" t="n">
        <f aca="false">SUM(D50:G50)</f>
        <v>8647.925</v>
      </c>
      <c r="I50" s="19" t="n">
        <f aca="false">H50/D50</f>
        <v>1.18</v>
      </c>
      <c r="J50" s="213"/>
      <c r="K50" s="212"/>
    </row>
    <row r="51" customFormat="false" ht="13.2" hidden="true" customHeight="false" outlineLevel="0" collapsed="false">
      <c r="A51" s="214"/>
      <c r="B51" s="152"/>
      <c r="C51" s="152"/>
      <c r="D51" s="211"/>
      <c r="E51" s="211"/>
      <c r="F51" s="211"/>
      <c r="G51" s="211"/>
      <c r="H51" s="212"/>
      <c r="I51" s="212"/>
      <c r="J51" s="212"/>
      <c r="K51" s="212"/>
    </row>
    <row r="52" customFormat="false" ht="13.2" hidden="true" customHeight="false" outlineLevel="0" collapsed="false">
      <c r="A52" s="214"/>
      <c r="B52" s="152" t="s">
        <v>66</v>
      </c>
      <c r="C52" s="152"/>
      <c r="D52" s="211" t="n">
        <f aca="false">SUM(D5:D50)</f>
        <v>221310.83</v>
      </c>
      <c r="E52" s="211" t="n">
        <f aca="false">SUM(E5:E50)</f>
        <v>39835.9494</v>
      </c>
      <c r="F52" s="211" t="n">
        <f aca="false">SUM(F5:F50)</f>
        <v>0</v>
      </c>
      <c r="G52" s="211" t="n">
        <f aca="false">SUM(G5:G50)</f>
        <v>0</v>
      </c>
      <c r="H52" s="211" t="n">
        <f aca="false">SUM(H5:H50)</f>
        <v>261146.7794</v>
      </c>
      <c r="I52" s="19" t="n">
        <f aca="false">H52/D52</f>
        <v>1.18</v>
      </c>
      <c r="J52" s="211"/>
      <c r="K52" s="212"/>
    </row>
    <row r="53" customFormat="false" ht="13.2" hidden="true" customHeight="false" outlineLevel="0" collapsed="false">
      <c r="A53" s="214"/>
      <c r="B53" s="152"/>
      <c r="C53" s="152"/>
      <c r="D53" s="211"/>
      <c r="E53" s="211"/>
      <c r="F53" s="211"/>
      <c r="G53" s="211"/>
      <c r="H53" s="211"/>
      <c r="I53" s="212"/>
      <c r="J53" s="211"/>
      <c r="K53" s="212"/>
    </row>
    <row r="54" customFormat="false" ht="13.2" hidden="true" customHeight="false" outlineLevel="0" collapsed="false">
      <c r="A54" s="214"/>
      <c r="B54" s="152"/>
      <c r="C54" s="152"/>
      <c r="D54" s="211"/>
      <c r="E54" s="211"/>
      <c r="F54" s="211"/>
      <c r="G54" s="211"/>
      <c r="H54" s="212"/>
      <c r="I54" s="212"/>
      <c r="J54" s="212"/>
      <c r="K54" s="212"/>
    </row>
    <row r="55" customFormat="false" ht="13.2" hidden="true" customHeight="false" outlineLevel="0" collapsed="false">
      <c r="A55" s="214"/>
      <c r="B55" s="215" t="s">
        <v>441</v>
      </c>
      <c r="C55" s="152"/>
      <c r="D55" s="211"/>
      <c r="E55" s="211"/>
      <c r="F55" s="211"/>
      <c r="G55" s="211"/>
      <c r="H55" s="212"/>
      <c r="I55" s="212"/>
      <c r="J55" s="212"/>
      <c r="K55" s="212"/>
    </row>
    <row r="56" customFormat="false" ht="13.2" hidden="true" customHeight="false" outlineLevel="0" collapsed="false">
      <c r="A56" s="208"/>
      <c r="B56" s="209" t="s">
        <v>438</v>
      </c>
      <c r="C56" s="210" t="s">
        <v>437</v>
      </c>
      <c r="D56" s="211" t="n">
        <v>5833.33</v>
      </c>
      <c r="E56" s="211" t="n">
        <v>0</v>
      </c>
      <c r="F56" s="211" t="n">
        <v>0</v>
      </c>
      <c r="G56" s="211" t="n">
        <v>0</v>
      </c>
      <c r="H56" s="212" t="n">
        <f aca="false">SUM(D56:G56)</f>
        <v>5833.33</v>
      </c>
      <c r="I56" s="19" t="n">
        <f aca="false">H56/D56</f>
        <v>1</v>
      </c>
      <c r="J56" s="212"/>
      <c r="K56" s="212"/>
    </row>
    <row r="57" customFormat="false" ht="13.2" hidden="true" customHeight="false" outlineLevel="0" collapsed="false">
      <c r="A57" s="208"/>
      <c r="B57" s="209" t="s">
        <v>442</v>
      </c>
      <c r="C57" s="210" t="s">
        <v>437</v>
      </c>
      <c r="D57" s="211" t="n">
        <v>2916.67</v>
      </c>
      <c r="E57" s="211" t="n">
        <v>0</v>
      </c>
      <c r="F57" s="211" t="n">
        <v>0</v>
      </c>
      <c r="G57" s="211" t="n">
        <v>0</v>
      </c>
      <c r="H57" s="212" t="n">
        <f aca="false">SUM(D57:G57)</f>
        <v>2916.67</v>
      </c>
      <c r="I57" s="19" t="n">
        <f aca="false">H57/D57</f>
        <v>1</v>
      </c>
      <c r="J57" s="212"/>
      <c r="K57" s="212"/>
    </row>
    <row r="58" customFormat="false" ht="13.2" hidden="true" customHeight="false" outlineLevel="0" collapsed="false">
      <c r="A58" s="208"/>
      <c r="B58" s="209" t="s">
        <v>440</v>
      </c>
      <c r="C58" s="210" t="s">
        <v>437</v>
      </c>
      <c r="D58" s="211" t="n">
        <v>5532.75</v>
      </c>
      <c r="E58" s="211" t="n">
        <v>0</v>
      </c>
      <c r="F58" s="211" t="n">
        <v>0</v>
      </c>
      <c r="G58" s="211" t="n">
        <v>0</v>
      </c>
      <c r="H58" s="212" t="n">
        <f aca="false">SUM(D58:G58)</f>
        <v>5532.75</v>
      </c>
      <c r="I58" s="19" t="n">
        <f aca="false">H58/D58</f>
        <v>1</v>
      </c>
      <c r="J58" s="212"/>
      <c r="K58" s="212"/>
    </row>
    <row r="59" customFormat="false" ht="13.2" hidden="true" customHeight="false" outlineLevel="0" collapsed="false">
      <c r="A59" s="88"/>
      <c r="D59" s="212"/>
      <c r="E59" s="212"/>
      <c r="F59" s="212"/>
      <c r="G59" s="212"/>
      <c r="H59" s="212"/>
      <c r="I59" s="212"/>
      <c r="J59" s="212"/>
      <c r="K59" s="212"/>
    </row>
    <row r="60" customFormat="false" ht="13.2" hidden="true" customHeight="false" outlineLevel="0" collapsed="false">
      <c r="A60" s="88"/>
      <c r="D60" s="212" t="n">
        <f aca="false">SUM(D56:D59)</f>
        <v>14282.75</v>
      </c>
      <c r="E60" s="212" t="n">
        <f aca="false">SUM(E56:E59)</f>
        <v>0</v>
      </c>
      <c r="F60" s="212" t="n">
        <f aca="false">SUM(F56:F59)</f>
        <v>0</v>
      </c>
      <c r="G60" s="212" t="n">
        <f aca="false">SUM(G56:G59)</f>
        <v>0</v>
      </c>
      <c r="H60" s="212" t="n">
        <f aca="false">SUM(H56:H59)</f>
        <v>14282.75</v>
      </c>
      <c r="I60" s="19" t="n">
        <f aca="false">H60/D60</f>
        <v>1</v>
      </c>
      <c r="J60" s="212"/>
      <c r="K60" s="212"/>
    </row>
    <row r="61" customFormat="false" ht="41.4" hidden="false" customHeight="true" outlineLevel="0" collapsed="false">
      <c r="A61" s="88"/>
      <c r="D61" s="212"/>
      <c r="E61" s="212"/>
      <c r="F61" s="212"/>
      <c r="G61" s="212"/>
      <c r="H61" s="212"/>
      <c r="I61" s="212"/>
    </row>
    <row r="62" customFormat="false" ht="13.2" hidden="false" customHeight="false" outlineLevel="0" collapsed="false">
      <c r="A62" s="88"/>
      <c r="B62" s="21" t="s">
        <v>443</v>
      </c>
      <c r="D62" s="37" t="s">
        <v>41</v>
      </c>
      <c r="E62" s="37" t="s">
        <v>42</v>
      </c>
      <c r="F62" s="37" t="s">
        <v>43</v>
      </c>
      <c r="G62" s="37" t="s">
        <v>44</v>
      </c>
      <c r="H62" s="37" t="s">
        <v>45</v>
      </c>
      <c r="I62" s="37" t="s">
        <v>46</v>
      </c>
      <c r="J62" s="37" t="s">
        <v>47</v>
      </c>
      <c r="K62" s="37" t="s">
        <v>48</v>
      </c>
      <c r="L62" s="37" t="s">
        <v>49</v>
      </c>
      <c r="M62" s="37" t="s">
        <v>50</v>
      </c>
      <c r="N62" s="37" t="s">
        <v>51</v>
      </c>
      <c r="O62" s="37" t="s">
        <v>52</v>
      </c>
      <c r="P62" s="37" t="s">
        <v>66</v>
      </c>
      <c r="R62" s="19" t="s">
        <v>170</v>
      </c>
      <c r="T62" s="37" t="s">
        <v>41</v>
      </c>
      <c r="U62" s="37" t="s">
        <v>42</v>
      </c>
      <c r="V62" s="37" t="s">
        <v>43</v>
      </c>
      <c r="W62" s="37" t="s">
        <v>44</v>
      </c>
      <c r="X62" s="37" t="s">
        <v>45</v>
      </c>
      <c r="Y62" s="37" t="s">
        <v>46</v>
      </c>
      <c r="Z62" s="37" t="s">
        <v>47</v>
      </c>
      <c r="AA62" s="37" t="s">
        <v>48</v>
      </c>
      <c r="AB62" s="37" t="s">
        <v>49</v>
      </c>
      <c r="AC62" s="37" t="s">
        <v>50</v>
      </c>
      <c r="AD62" s="37" t="s">
        <v>51</v>
      </c>
      <c r="AE62" s="37" t="s">
        <v>52</v>
      </c>
    </row>
    <row r="63" customFormat="false" ht="13.2" hidden="false" customHeight="false" outlineLevel="0" collapsed="false">
      <c r="A63" s="88"/>
      <c r="D63" s="212"/>
      <c r="E63" s="212"/>
      <c r="F63" s="212"/>
      <c r="G63" s="212"/>
      <c r="H63" s="212"/>
      <c r="I63" s="212"/>
      <c r="R63" s="21" t="s">
        <v>444</v>
      </c>
      <c r="T63" s="212"/>
      <c r="U63" s="212"/>
      <c r="V63" s="212"/>
      <c r="W63" s="212"/>
      <c r="X63" s="212"/>
      <c r="Y63" s="212"/>
    </row>
    <row r="64" customFormat="false" ht="13.2" hidden="true" customHeight="false" outlineLevel="0" collapsed="false">
      <c r="A64" s="88"/>
      <c r="B64" s="19" t="s">
        <v>445</v>
      </c>
      <c r="D64" s="212" t="n">
        <v>0.1</v>
      </c>
      <c r="E64" s="212" t="n">
        <v>0</v>
      </c>
      <c r="F64" s="212" t="n">
        <v>0</v>
      </c>
      <c r="G64" s="212" t="n">
        <v>0</v>
      </c>
      <c r="H64" s="212" t="n">
        <v>0</v>
      </c>
      <c r="I64" s="212" t="n">
        <v>0</v>
      </c>
      <c r="J64" s="212" t="n">
        <v>0</v>
      </c>
      <c r="K64" s="212" t="n">
        <v>0</v>
      </c>
      <c r="L64" s="212" t="n">
        <v>0</v>
      </c>
      <c r="M64" s="212" t="n">
        <v>0</v>
      </c>
      <c r="N64" s="212" t="n">
        <v>0</v>
      </c>
      <c r="O64" s="212" t="n">
        <v>0</v>
      </c>
      <c r="R64" s="19" t="s">
        <v>445</v>
      </c>
      <c r="T64" s="212" t="n">
        <v>0.1</v>
      </c>
      <c r="U64" s="212" t="n">
        <v>0</v>
      </c>
      <c r="V64" s="212" t="n">
        <v>0</v>
      </c>
      <c r="W64" s="212" t="n">
        <v>0</v>
      </c>
      <c r="X64" s="212" t="n">
        <v>0</v>
      </c>
      <c r="Y64" s="212" t="n">
        <v>0</v>
      </c>
      <c r="Z64" s="212" t="n">
        <v>0</v>
      </c>
      <c r="AA64" s="212" t="n">
        <v>0</v>
      </c>
      <c r="AB64" s="212" t="n">
        <v>0</v>
      </c>
      <c r="AC64" s="212" t="n">
        <v>0</v>
      </c>
      <c r="AD64" s="212" t="n">
        <v>0</v>
      </c>
      <c r="AE64" s="212" t="n">
        <v>0</v>
      </c>
    </row>
    <row r="65" customFormat="false" ht="13.2" hidden="false" customHeight="false" outlineLevel="0" collapsed="false">
      <c r="A65" s="88"/>
      <c r="B65" s="19" t="s">
        <v>446</v>
      </c>
      <c r="D65" s="212" t="n">
        <f aca="false">1+D64</f>
        <v>1.1</v>
      </c>
      <c r="E65" s="212" t="n">
        <f aca="false">D65+E64</f>
        <v>1.1</v>
      </c>
      <c r="F65" s="212" t="n">
        <f aca="false">E65+F64</f>
        <v>1.1</v>
      </c>
      <c r="G65" s="212" t="n">
        <f aca="false">F65+G64</f>
        <v>1.1</v>
      </c>
      <c r="H65" s="212" t="n">
        <f aca="false">G65+H64</f>
        <v>1.1</v>
      </c>
      <c r="I65" s="212" t="n">
        <f aca="false">H65+I64</f>
        <v>1.1</v>
      </c>
      <c r="J65" s="212" t="n">
        <f aca="false">I65+J64</f>
        <v>1.1</v>
      </c>
      <c r="K65" s="212" t="n">
        <f aca="false">J65+K64</f>
        <v>1.1</v>
      </c>
      <c r="L65" s="212" t="n">
        <f aca="false">K65+L64</f>
        <v>1.1</v>
      </c>
      <c r="M65" s="212" t="n">
        <f aca="false">L65+M64</f>
        <v>1.1</v>
      </c>
      <c r="N65" s="212" t="n">
        <f aca="false">M65+N64</f>
        <v>1.1</v>
      </c>
      <c r="O65" s="212" t="n">
        <f aca="false">N65+O64</f>
        <v>1.1</v>
      </c>
      <c r="R65" s="19" t="s">
        <v>446</v>
      </c>
      <c r="T65" s="212" t="n">
        <f aca="false">1+T64</f>
        <v>1.1</v>
      </c>
      <c r="U65" s="212" t="n">
        <f aca="false">T65+U64</f>
        <v>1.1</v>
      </c>
      <c r="V65" s="212" t="n">
        <f aca="false">U65+V64</f>
        <v>1.1</v>
      </c>
      <c r="W65" s="212" t="n">
        <f aca="false">V65+W64</f>
        <v>1.1</v>
      </c>
      <c r="X65" s="212" t="n">
        <f aca="false">W65+X64</f>
        <v>1.1</v>
      </c>
      <c r="Y65" s="212" t="n">
        <f aca="false">X65+Y64</f>
        <v>1.1</v>
      </c>
      <c r="Z65" s="212" t="n">
        <f aca="false">Y65+Z64</f>
        <v>1.1</v>
      </c>
      <c r="AA65" s="212" t="n">
        <f aca="false">Z65+AA64</f>
        <v>1.1</v>
      </c>
      <c r="AB65" s="212" t="n">
        <f aca="false">AA65+AB64</f>
        <v>1.1</v>
      </c>
      <c r="AC65" s="212" t="n">
        <f aca="false">AB65+AC64</f>
        <v>1.1</v>
      </c>
      <c r="AD65" s="212" t="n">
        <f aca="false">AC65+AD64</f>
        <v>1.1</v>
      </c>
      <c r="AE65" s="212" t="n">
        <f aca="false">AD65+AE64</f>
        <v>1.1</v>
      </c>
    </row>
    <row r="66" customFormat="false" ht="12.6" hidden="false" customHeight="true" outlineLevel="0" collapsed="false">
      <c r="A66" s="88"/>
      <c r="B66" s="21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R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customFormat="false" ht="13.2" hidden="false" customHeight="false" outlineLevel="0" collapsed="false">
      <c r="A67" s="88"/>
      <c r="B67" s="19" t="s">
        <v>447</v>
      </c>
      <c r="D67" s="138" t="n">
        <f aca="false">$D$52*D65</f>
        <v>243441.913</v>
      </c>
      <c r="E67" s="138" t="n">
        <f aca="false">$D$52*E65</f>
        <v>243441.913</v>
      </c>
      <c r="F67" s="138" t="n">
        <f aca="false">$D$52*F65</f>
        <v>243441.913</v>
      </c>
      <c r="G67" s="138" t="n">
        <f aca="false">$D$52*G65</f>
        <v>243441.913</v>
      </c>
      <c r="H67" s="138" t="n">
        <f aca="false">$D$52*H65</f>
        <v>243441.913</v>
      </c>
      <c r="I67" s="138" t="n">
        <f aca="false">$D$52*I65</f>
        <v>243441.913</v>
      </c>
      <c r="J67" s="138" t="n">
        <f aca="false">$D$52*J65</f>
        <v>243441.913</v>
      </c>
      <c r="K67" s="138" t="n">
        <f aca="false">$D$52*K65</f>
        <v>243441.913</v>
      </c>
      <c r="L67" s="138" t="n">
        <f aca="false">$D$52*L65</f>
        <v>243441.913</v>
      </c>
      <c r="M67" s="138" t="n">
        <f aca="false">$D$52*M65</f>
        <v>243441.913</v>
      </c>
      <c r="N67" s="138" t="n">
        <f aca="false">$D$52*N65</f>
        <v>243441.913</v>
      </c>
      <c r="O67" s="138" t="n">
        <f aca="false">$D$52*O65</f>
        <v>243441.913</v>
      </c>
      <c r="P67" s="138" t="n">
        <f aca="false">SUM(D67:O67)</f>
        <v>2921302.956</v>
      </c>
      <c r="R67" s="19" t="s">
        <v>447</v>
      </c>
      <c r="T67" s="138" t="n">
        <f aca="false">O67*T65</f>
        <v>267786.1043</v>
      </c>
      <c r="U67" s="138" t="n">
        <f aca="false">T67</f>
        <v>267786.1043</v>
      </c>
      <c r="V67" s="138" t="n">
        <f aca="false">U67</f>
        <v>267786.1043</v>
      </c>
      <c r="W67" s="138" t="n">
        <f aca="false">V67</f>
        <v>267786.1043</v>
      </c>
      <c r="X67" s="138" t="n">
        <f aca="false">W67</f>
        <v>267786.1043</v>
      </c>
      <c r="Y67" s="138" t="n">
        <f aca="false">X67</f>
        <v>267786.1043</v>
      </c>
      <c r="Z67" s="138" t="n">
        <f aca="false">Y67</f>
        <v>267786.1043</v>
      </c>
      <c r="AA67" s="138" t="n">
        <f aca="false">Z67</f>
        <v>267786.1043</v>
      </c>
      <c r="AB67" s="138" t="n">
        <f aca="false">AA67</f>
        <v>267786.1043</v>
      </c>
      <c r="AC67" s="138" t="n">
        <f aca="false">AB67</f>
        <v>267786.1043</v>
      </c>
      <c r="AD67" s="138" t="n">
        <f aca="false">AC67</f>
        <v>267786.1043</v>
      </c>
      <c r="AE67" s="138" t="n">
        <f aca="false">AD67</f>
        <v>267786.1043</v>
      </c>
    </row>
    <row r="68" customFormat="false" ht="13.2" hidden="false" customHeight="false" outlineLevel="0" collapsed="false">
      <c r="A68" s="88"/>
      <c r="B68" s="19" t="s">
        <v>388</v>
      </c>
      <c r="D68" s="138" t="n">
        <f aca="false">$E$52*D65</f>
        <v>43819.54434</v>
      </c>
      <c r="E68" s="138" t="n">
        <f aca="false">$E$52*E65</f>
        <v>43819.54434</v>
      </c>
      <c r="F68" s="138" t="n">
        <f aca="false">$E$52*F65</f>
        <v>43819.54434</v>
      </c>
      <c r="G68" s="138" t="n">
        <f aca="false">$E$52*G65</f>
        <v>43819.54434</v>
      </c>
      <c r="H68" s="138" t="n">
        <f aca="false">$E$52*H65</f>
        <v>43819.54434</v>
      </c>
      <c r="I68" s="138" t="n">
        <f aca="false">$E$52*I65</f>
        <v>43819.54434</v>
      </c>
      <c r="J68" s="138" t="n">
        <f aca="false">$E$52*J65</f>
        <v>43819.54434</v>
      </c>
      <c r="K68" s="138" t="n">
        <f aca="false">$E$52*K65</f>
        <v>43819.54434</v>
      </c>
      <c r="L68" s="138" t="n">
        <f aca="false">$E$52*L65</f>
        <v>43819.54434</v>
      </c>
      <c r="M68" s="138" t="n">
        <f aca="false">$E$52*M65</f>
        <v>43819.54434</v>
      </c>
      <c r="N68" s="138" t="n">
        <f aca="false">$E$52*N65</f>
        <v>43819.54434</v>
      </c>
      <c r="O68" s="138" t="n">
        <f aca="false">$E$52*O65</f>
        <v>43819.54434</v>
      </c>
      <c r="P68" s="138" t="n">
        <f aca="false">SUM(D68:O68)</f>
        <v>525834.53208</v>
      </c>
      <c r="R68" s="19" t="s">
        <v>388</v>
      </c>
      <c r="T68" s="138" t="n">
        <f aca="false">O68*T65</f>
        <v>48201.498774</v>
      </c>
      <c r="U68" s="138" t="n">
        <f aca="false">T68</f>
        <v>48201.498774</v>
      </c>
      <c r="V68" s="138" t="n">
        <f aca="false">U68</f>
        <v>48201.498774</v>
      </c>
      <c r="W68" s="138" t="n">
        <f aca="false">V68</f>
        <v>48201.498774</v>
      </c>
      <c r="X68" s="138" t="n">
        <f aca="false">W68</f>
        <v>48201.498774</v>
      </c>
      <c r="Y68" s="138" t="n">
        <f aca="false">X68</f>
        <v>48201.498774</v>
      </c>
      <c r="Z68" s="138" t="n">
        <f aca="false">Y68</f>
        <v>48201.498774</v>
      </c>
      <c r="AA68" s="138" t="n">
        <f aca="false">Z68</f>
        <v>48201.498774</v>
      </c>
      <c r="AB68" s="138" t="n">
        <f aca="false">AA68</f>
        <v>48201.498774</v>
      </c>
      <c r="AC68" s="138" t="n">
        <f aca="false">AB68</f>
        <v>48201.498774</v>
      </c>
      <c r="AD68" s="138" t="n">
        <f aca="false">AC68</f>
        <v>48201.498774</v>
      </c>
      <c r="AE68" s="138" t="n">
        <f aca="false">AD68</f>
        <v>48201.498774</v>
      </c>
    </row>
    <row r="69" customFormat="false" ht="13.2" hidden="false" customHeight="false" outlineLevel="0" collapsed="false">
      <c r="A69" s="88"/>
      <c r="B69" s="19" t="s">
        <v>448</v>
      </c>
      <c r="D69" s="138" t="n">
        <f aca="false">SUM(D67:D68)/12</f>
        <v>23938.4547783333</v>
      </c>
      <c r="E69" s="138" t="n">
        <f aca="false">SUM(E67:E68)/12</f>
        <v>23938.4547783333</v>
      </c>
      <c r="F69" s="138" t="n">
        <f aca="false">SUM(F67:F68)/12</f>
        <v>23938.4547783333</v>
      </c>
      <c r="G69" s="138" t="n">
        <f aca="false">SUM(G67:G68)/12</f>
        <v>23938.4547783333</v>
      </c>
      <c r="H69" s="138" t="n">
        <f aca="false">SUM(H67:H68)/12</f>
        <v>23938.4547783333</v>
      </c>
      <c r="I69" s="138" t="n">
        <f aca="false">SUM(I67:I68)/12</f>
        <v>23938.4547783333</v>
      </c>
      <c r="J69" s="138" t="n">
        <f aca="false">SUM(J67:J68)/12</f>
        <v>23938.4547783333</v>
      </c>
      <c r="K69" s="138" t="n">
        <f aca="false">SUM(K67:K68)/12</f>
        <v>23938.4547783333</v>
      </c>
      <c r="L69" s="138" t="n">
        <f aca="false">SUM(L67:L68)/12</f>
        <v>23938.4547783333</v>
      </c>
      <c r="M69" s="138" t="n">
        <f aca="false">SUM(M67:M68)/12</f>
        <v>23938.4547783333</v>
      </c>
      <c r="N69" s="138" t="n">
        <f aca="false">SUM(N67:N68)/12</f>
        <v>23938.4547783333</v>
      </c>
      <c r="O69" s="138" t="n">
        <f aca="false">SUM(O67:O68)/12</f>
        <v>23938.4547783333</v>
      </c>
      <c r="P69" s="138" t="n">
        <f aca="false">SUM(D69:O69)</f>
        <v>287261.45734</v>
      </c>
      <c r="R69" s="19" t="s">
        <v>448</v>
      </c>
      <c r="T69" s="138" t="n">
        <f aca="false">SUM(T67:T68)/12</f>
        <v>26332.3002561667</v>
      </c>
      <c r="U69" s="138" t="n">
        <f aca="false">SUM(U67:U68)/12</f>
        <v>26332.3002561667</v>
      </c>
      <c r="V69" s="138" t="n">
        <f aca="false">SUM(V67:V68)/12</f>
        <v>26332.3002561667</v>
      </c>
      <c r="W69" s="138" t="n">
        <f aca="false">SUM(W67:W68)/12</f>
        <v>26332.3002561667</v>
      </c>
      <c r="X69" s="138" t="n">
        <f aca="false">SUM(X67:X68)/12</f>
        <v>26332.3002561667</v>
      </c>
      <c r="Y69" s="138" t="n">
        <f aca="false">SUM(Y67:Y68)/12</f>
        <v>26332.3002561667</v>
      </c>
      <c r="Z69" s="138" t="n">
        <f aca="false">SUM(Z67:Z68)/12</f>
        <v>26332.3002561667</v>
      </c>
      <c r="AA69" s="138" t="n">
        <f aca="false">SUM(AA67:AA68)/12</f>
        <v>26332.3002561667</v>
      </c>
      <c r="AB69" s="138" t="n">
        <f aca="false">SUM(AB67:AB68)/12</f>
        <v>26332.3002561667</v>
      </c>
      <c r="AC69" s="138" t="n">
        <f aca="false">SUM(AC67:AC68)/12</f>
        <v>26332.3002561667</v>
      </c>
      <c r="AD69" s="138" t="n">
        <f aca="false">SUM(AD67:AD68)/12</f>
        <v>26332.3002561667</v>
      </c>
      <c r="AE69" s="138" t="n">
        <f aca="false">SUM(AE67:AE68)/12</f>
        <v>26332.3002561667</v>
      </c>
    </row>
    <row r="70" customFormat="false" ht="13.2" hidden="true" customHeight="false" outlineLevel="0" collapsed="false">
      <c r="A70" s="8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</row>
    <row r="71" customFormat="false" ht="13.2" hidden="true" customHeight="false" outlineLevel="0" collapsed="false">
      <c r="A71" s="88"/>
      <c r="D71" s="138"/>
      <c r="E71" s="138"/>
      <c r="F71" s="216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T71" s="138"/>
      <c r="U71" s="138"/>
      <c r="V71" s="216"/>
      <c r="W71" s="138"/>
      <c r="X71" s="138"/>
      <c r="Y71" s="138"/>
      <c r="Z71" s="138"/>
      <c r="AA71" s="138"/>
      <c r="AB71" s="138"/>
      <c r="AC71" s="138"/>
      <c r="AD71" s="138"/>
      <c r="AE71" s="138"/>
    </row>
    <row r="72" customFormat="false" ht="13.2" hidden="true" customHeight="false" outlineLevel="0" collapsed="false">
      <c r="A72" s="88"/>
      <c r="B72" s="19" t="s">
        <v>445</v>
      </c>
      <c r="D72" s="212" t="n">
        <v>0</v>
      </c>
      <c r="E72" s="212" t="n">
        <f aca="false">D72</f>
        <v>0</v>
      </c>
      <c r="F72" s="212" t="n">
        <v>0</v>
      </c>
      <c r="G72" s="212" t="n">
        <v>0</v>
      </c>
      <c r="H72" s="212" t="n">
        <v>0</v>
      </c>
      <c r="I72" s="212" t="n">
        <v>0</v>
      </c>
      <c r="J72" s="212" t="n">
        <v>0</v>
      </c>
      <c r="K72" s="212" t="n">
        <v>0</v>
      </c>
      <c r="L72" s="212" t="n">
        <v>0</v>
      </c>
      <c r="M72" s="212" t="n">
        <v>0</v>
      </c>
      <c r="N72" s="212" t="n">
        <v>0</v>
      </c>
      <c r="O72" s="212" t="n">
        <v>0</v>
      </c>
      <c r="P72" s="138"/>
      <c r="R72" s="19" t="s">
        <v>445</v>
      </c>
      <c r="T72" s="212" t="n">
        <v>0</v>
      </c>
      <c r="U72" s="212" t="n">
        <v>0</v>
      </c>
      <c r="V72" s="212" t="n">
        <v>0</v>
      </c>
      <c r="W72" s="212" t="n">
        <v>0</v>
      </c>
      <c r="X72" s="212" t="n">
        <v>0</v>
      </c>
      <c r="Y72" s="212" t="n">
        <v>0</v>
      </c>
      <c r="Z72" s="212" t="n">
        <v>0</v>
      </c>
      <c r="AA72" s="212" t="n">
        <v>0</v>
      </c>
      <c r="AB72" s="212" t="n">
        <v>0</v>
      </c>
      <c r="AC72" s="212" t="n">
        <v>0</v>
      </c>
      <c r="AD72" s="212" t="n">
        <v>0</v>
      </c>
      <c r="AE72" s="212" t="n">
        <v>0</v>
      </c>
    </row>
    <row r="73" customFormat="false" ht="13.2" hidden="true" customHeight="false" outlineLevel="0" collapsed="false">
      <c r="A73" s="88"/>
      <c r="B73" s="19" t="s">
        <v>446</v>
      </c>
      <c r="D73" s="217" t="n">
        <v>1.1</v>
      </c>
      <c r="E73" s="217" t="n">
        <f aca="false">D73+E72</f>
        <v>1.1</v>
      </c>
      <c r="F73" s="217" t="n">
        <f aca="false">E73+F72</f>
        <v>1.1</v>
      </c>
      <c r="G73" s="217" t="n">
        <f aca="false">F73+G72</f>
        <v>1.1</v>
      </c>
      <c r="H73" s="217" t="n">
        <f aca="false">G73+H72</f>
        <v>1.1</v>
      </c>
      <c r="I73" s="217" t="n">
        <f aca="false">H73+I72</f>
        <v>1.1</v>
      </c>
      <c r="J73" s="217" t="n">
        <f aca="false">I73+J72</f>
        <v>1.1</v>
      </c>
      <c r="K73" s="217" t="n">
        <f aca="false">J73+K72</f>
        <v>1.1</v>
      </c>
      <c r="L73" s="217" t="n">
        <f aca="false">K73+L72</f>
        <v>1.1</v>
      </c>
      <c r="M73" s="217" t="n">
        <f aca="false">L73+M72</f>
        <v>1.1</v>
      </c>
      <c r="N73" s="217" t="n">
        <f aca="false">M73+N72</f>
        <v>1.1</v>
      </c>
      <c r="O73" s="217" t="n">
        <f aca="false">N73+O72</f>
        <v>1.1</v>
      </c>
      <c r="P73" s="138"/>
      <c r="R73" s="19" t="s">
        <v>446</v>
      </c>
      <c r="T73" s="212" t="n">
        <v>1.1</v>
      </c>
      <c r="U73" s="212" t="n">
        <f aca="false">T73+U72</f>
        <v>1.1</v>
      </c>
      <c r="V73" s="212" t="n">
        <f aca="false">U73+V72</f>
        <v>1.1</v>
      </c>
      <c r="W73" s="212" t="n">
        <f aca="false">V73+W72</f>
        <v>1.1</v>
      </c>
      <c r="X73" s="212" t="n">
        <f aca="false">W73+X72</f>
        <v>1.1</v>
      </c>
      <c r="Y73" s="212" t="n">
        <f aca="false">X73+Y72</f>
        <v>1.1</v>
      </c>
      <c r="Z73" s="212" t="n">
        <f aca="false">Y73+Z72</f>
        <v>1.1</v>
      </c>
      <c r="AA73" s="212" t="n">
        <f aca="false">Z73+AA72</f>
        <v>1.1</v>
      </c>
      <c r="AB73" s="212" t="n">
        <f aca="false">AA73+AB72</f>
        <v>1.1</v>
      </c>
      <c r="AC73" s="212" t="n">
        <f aca="false">AB73+AC72</f>
        <v>1.1</v>
      </c>
      <c r="AD73" s="212" t="n">
        <f aca="false">AC73+AD72</f>
        <v>1.1</v>
      </c>
      <c r="AE73" s="212" t="n">
        <f aca="false">AD73+AE72</f>
        <v>1.1</v>
      </c>
    </row>
    <row r="74" customFormat="false" ht="13.2" hidden="true" customHeight="false" outlineLevel="0" collapsed="false">
      <c r="B74" s="138" t="s">
        <v>449</v>
      </c>
      <c r="C74" s="138"/>
      <c r="D74" s="138" t="n">
        <f aca="false">D60*employees!D73</f>
        <v>15711.025</v>
      </c>
      <c r="E74" s="138" t="n">
        <f aca="false">D74</f>
        <v>15711.025</v>
      </c>
      <c r="F74" s="138" t="n">
        <f aca="false">E74</f>
        <v>15711.025</v>
      </c>
      <c r="G74" s="138" t="n">
        <f aca="false">F74</f>
        <v>15711.025</v>
      </c>
      <c r="H74" s="138" t="n">
        <f aca="false">G74</f>
        <v>15711.025</v>
      </c>
      <c r="I74" s="138" t="n">
        <f aca="false">H74</f>
        <v>15711.025</v>
      </c>
      <c r="J74" s="138" t="n">
        <f aca="false">I74</f>
        <v>15711.025</v>
      </c>
      <c r="K74" s="138" t="n">
        <f aca="false">J74</f>
        <v>15711.025</v>
      </c>
      <c r="L74" s="138" t="n">
        <f aca="false">K74</f>
        <v>15711.025</v>
      </c>
      <c r="M74" s="138" t="n">
        <f aca="false">L74</f>
        <v>15711.025</v>
      </c>
      <c r="N74" s="138" t="n">
        <f aca="false">M74</f>
        <v>15711.025</v>
      </c>
      <c r="O74" s="138" t="n">
        <f aca="false">N74</f>
        <v>15711.025</v>
      </c>
      <c r="P74" s="138" t="n">
        <f aca="false">SUM(D74:O74)</f>
        <v>188532.3</v>
      </c>
      <c r="R74" s="138" t="s">
        <v>449</v>
      </c>
      <c r="S74" s="138"/>
      <c r="T74" s="138" t="n">
        <f aca="false">O74*T73</f>
        <v>17282.1275</v>
      </c>
      <c r="U74" s="138" t="n">
        <f aca="false">T74</f>
        <v>17282.1275</v>
      </c>
      <c r="V74" s="138" t="n">
        <f aca="false">U74</f>
        <v>17282.1275</v>
      </c>
      <c r="W74" s="138" t="n">
        <f aca="false">V74</f>
        <v>17282.1275</v>
      </c>
      <c r="X74" s="138" t="n">
        <f aca="false">W74</f>
        <v>17282.1275</v>
      </c>
      <c r="Y74" s="138" t="n">
        <f aca="false">X74</f>
        <v>17282.1275</v>
      </c>
      <c r="Z74" s="138" t="n">
        <f aca="false">Y74</f>
        <v>17282.1275</v>
      </c>
      <c r="AA74" s="138" t="n">
        <f aca="false">Z74</f>
        <v>17282.1275</v>
      </c>
      <c r="AB74" s="138" t="n">
        <f aca="false">AA74</f>
        <v>17282.1275</v>
      </c>
      <c r="AC74" s="138" t="n">
        <f aca="false">AB74</f>
        <v>17282.1275</v>
      </c>
      <c r="AD74" s="138" t="n">
        <f aca="false">AC74</f>
        <v>17282.1275</v>
      </c>
      <c r="AE74" s="138" t="n">
        <f aca="false">AD74</f>
        <v>17282.1275</v>
      </c>
    </row>
    <row r="75" customFormat="false" ht="13.2" hidden="false" customHeight="false" outlineLevel="0" collapsed="false">
      <c r="B75" s="138" t="s">
        <v>450</v>
      </c>
      <c r="C75" s="138"/>
      <c r="D75" s="138" t="n">
        <f aca="false">D74*Factors!C11</f>
        <v>67611.082017369</v>
      </c>
      <c r="E75" s="138" t="n">
        <f aca="false">E74*Factors!D11</f>
        <v>67705.605199738</v>
      </c>
      <c r="F75" s="138" t="n">
        <f aca="false">F74*Factors!E11</f>
        <v>67800.128382107</v>
      </c>
      <c r="G75" s="138" t="n">
        <f aca="false">G74*Factors!F11</f>
        <v>67894.651564476</v>
      </c>
      <c r="H75" s="138" t="n">
        <f aca="false">H74*Factors!G11</f>
        <v>67989.174746845</v>
      </c>
      <c r="I75" s="138" t="n">
        <f aca="false">I74*Factors!H11</f>
        <v>68083.697929214</v>
      </c>
      <c r="J75" s="138" t="n">
        <f aca="false">J74*Factors!I11</f>
        <v>68178.221111583</v>
      </c>
      <c r="K75" s="138" t="n">
        <f aca="false">K74*Factors!J11</f>
        <v>68272.744293952</v>
      </c>
      <c r="L75" s="138" t="n">
        <f aca="false">L74*Factors!K11</f>
        <v>68367.267476321</v>
      </c>
      <c r="M75" s="138" t="n">
        <f aca="false">M74*Factors!L11</f>
        <v>68461.7906586901</v>
      </c>
      <c r="N75" s="138" t="n">
        <f aca="false">N74*Factors!M11</f>
        <v>68556.3138410591</v>
      </c>
      <c r="O75" s="138" t="n">
        <f aca="false">O74*Factors!N11</f>
        <v>68650.8370234281</v>
      </c>
      <c r="P75" s="138" t="n">
        <f aca="false">SUM(D75:O75)</f>
        <v>817571.514244782</v>
      </c>
      <c r="R75" s="138" t="s">
        <v>451</v>
      </c>
      <c r="S75" s="138"/>
      <c r="T75" s="138" t="n">
        <v>0</v>
      </c>
      <c r="U75" s="138" t="n">
        <f aca="false">T75</f>
        <v>0</v>
      </c>
      <c r="V75" s="138" t="n">
        <f aca="false">U75</f>
        <v>0</v>
      </c>
      <c r="W75" s="138" t="n">
        <f aca="false">V75</f>
        <v>0</v>
      </c>
      <c r="X75" s="138" t="n">
        <f aca="false">W75</f>
        <v>0</v>
      </c>
      <c r="Y75" s="138" t="n">
        <f aca="false">X75</f>
        <v>0</v>
      </c>
      <c r="Z75" s="138" t="n">
        <f aca="false">Y75</f>
        <v>0</v>
      </c>
      <c r="AA75" s="138" t="n">
        <f aca="false">Z75</f>
        <v>0</v>
      </c>
      <c r="AB75" s="138" t="n">
        <f aca="false">AA75</f>
        <v>0</v>
      </c>
      <c r="AC75" s="138" t="n">
        <f aca="false">AB75</f>
        <v>0</v>
      </c>
      <c r="AD75" s="138" t="n">
        <f aca="false">AC75</f>
        <v>0</v>
      </c>
      <c r="AE75" s="138" t="n">
        <f aca="false">AD75</f>
        <v>0</v>
      </c>
    </row>
    <row r="76" customFormat="false" ht="13.2" hidden="true" customHeight="false" outlineLevel="0" collapsed="false"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</row>
    <row r="77" customFormat="false" ht="13.2" hidden="true" customHeight="false" outlineLevel="0" collapsed="false"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</row>
    <row r="78" customFormat="false" ht="13.2" hidden="false" customHeight="false" outlineLevel="0" collapsed="false">
      <c r="B78" s="204" t="s">
        <v>452</v>
      </c>
      <c r="C78" s="138" t="n">
        <v>12</v>
      </c>
      <c r="D78" s="138" t="n">
        <f aca="false">((D60*Factors!F11)+employees!D52-employees!D50-employees!D49-employees!D48)*12*C78/100</f>
        <v>371189.981538951</v>
      </c>
      <c r="E78" s="138"/>
      <c r="F78" s="138"/>
      <c r="H78" s="138"/>
      <c r="I78" s="138"/>
      <c r="J78" s="138"/>
      <c r="K78" s="138"/>
      <c r="L78" s="138"/>
      <c r="M78" s="138"/>
      <c r="N78" s="138"/>
      <c r="O78" s="138"/>
      <c r="P78" s="138" t="n">
        <f aca="false">SUM(D78:O78)</f>
        <v>371189.981538951</v>
      </c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</row>
    <row r="79" customFormat="false" ht="13.2" hidden="true" customHeight="false" outlineLevel="0" collapsed="false">
      <c r="B79" s="21" t="s">
        <v>388</v>
      </c>
      <c r="D79" s="138" t="n">
        <f aca="false">D78*21/121</f>
        <v>64421.4017546939</v>
      </c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 t="n">
        <f aca="false">SUM(D79:O79)</f>
        <v>64421.4017546939</v>
      </c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  <row r="80" customFormat="false" ht="30.6" hidden="false" customHeight="true" outlineLevel="0" collapsed="false">
      <c r="B80" s="21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</row>
    <row r="81" customFormat="false" ht="13.8" hidden="false" customHeight="false" outlineLevel="0" collapsed="false">
      <c r="B81" s="218" t="s">
        <v>66</v>
      </c>
      <c r="C81" s="219"/>
      <c r="D81" s="39" t="n">
        <f aca="false">D67+D68+D69+D75+D78</f>
        <v>750000.975674653</v>
      </c>
      <c r="E81" s="39" t="n">
        <f aca="false">E67+E68+E69+E75+E78</f>
        <v>378905.517318071</v>
      </c>
      <c r="F81" s="39" t="n">
        <f aca="false">F67+F68+F69+F75+F78</f>
        <v>379000.04050044</v>
      </c>
      <c r="G81" s="39" t="n">
        <f aca="false">G67+G68+G69+G75+G78</f>
        <v>379094.563682809</v>
      </c>
      <c r="H81" s="39" t="n">
        <f aca="false">H67+H68+H69+H75+H78</f>
        <v>379189.086865178</v>
      </c>
      <c r="I81" s="39" t="n">
        <f aca="false">I67+I68+I69+I75+I78</f>
        <v>379283.610047547</v>
      </c>
      <c r="J81" s="39" t="n">
        <f aca="false">J67+J68+J69+J75+J78</f>
        <v>379378.133229916</v>
      </c>
      <c r="K81" s="39" t="n">
        <f aca="false">K67+K68+K69+K75+K78</f>
        <v>379472.656412285</v>
      </c>
      <c r="L81" s="39" t="n">
        <f aca="false">L67+L68+L69+L75+L78</f>
        <v>379567.179594654</v>
      </c>
      <c r="M81" s="39" t="n">
        <f aca="false">M67+M68+M69+M75+M78</f>
        <v>379661.702777023</v>
      </c>
      <c r="N81" s="39" t="n">
        <f aca="false">N67+N68+N69+N75+N78</f>
        <v>379756.225959392</v>
      </c>
      <c r="O81" s="39" t="n">
        <f aca="false">O67+O68+O69+O75+O78</f>
        <v>379850.749141761</v>
      </c>
      <c r="P81" s="39" t="n">
        <f aca="false">P67+P68+P69+P75+P78</f>
        <v>4923160.44120373</v>
      </c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</row>
    <row r="82" customFormat="false" ht="13.8" hidden="false" customHeight="false" outlineLevel="0" collapsed="false"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</row>
    <row r="83" customFormat="false" ht="13.2" hidden="false" customHeight="false" outlineLevel="0" collapsed="false"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</row>
    <row r="84" customFormat="false" ht="13.2" hidden="false" customHeight="false" outlineLevel="0" collapsed="false">
      <c r="B84" s="205" t="s">
        <v>453</v>
      </c>
      <c r="C84" s="138"/>
      <c r="D84" s="37" t="s">
        <v>41</v>
      </c>
      <c r="E84" s="37" t="s">
        <v>42</v>
      </c>
      <c r="F84" s="37" t="s">
        <v>43</v>
      </c>
      <c r="G84" s="37" t="s">
        <v>44</v>
      </c>
      <c r="H84" s="37" t="s">
        <v>45</v>
      </c>
      <c r="I84" s="37" t="s">
        <v>46</v>
      </c>
      <c r="J84" s="37" t="s">
        <v>47</v>
      </c>
      <c r="K84" s="37" t="s">
        <v>48</v>
      </c>
      <c r="L84" s="37" t="s">
        <v>49</v>
      </c>
      <c r="M84" s="37" t="s">
        <v>50</v>
      </c>
      <c r="N84" s="37" t="s">
        <v>51</v>
      </c>
      <c r="O84" s="37" t="s">
        <v>52</v>
      </c>
      <c r="P84" s="36" t="str">
        <f aca="false">P62</f>
        <v>Total</v>
      </c>
      <c r="R84" s="138"/>
      <c r="S84" s="138"/>
      <c r="T84" s="37" t="s">
        <v>41</v>
      </c>
      <c r="U84" s="37" t="s">
        <v>42</v>
      </c>
      <c r="V84" s="37" t="s">
        <v>43</v>
      </c>
      <c r="W84" s="37" t="s">
        <v>44</v>
      </c>
      <c r="X84" s="37" t="s">
        <v>45</v>
      </c>
      <c r="Y84" s="37" t="s">
        <v>46</v>
      </c>
      <c r="Z84" s="37" t="s">
        <v>47</v>
      </c>
      <c r="AA84" s="37" t="s">
        <v>48</v>
      </c>
      <c r="AB84" s="37" t="s">
        <v>49</v>
      </c>
      <c r="AC84" s="37" t="s">
        <v>50</v>
      </c>
      <c r="AD84" s="37" t="s">
        <v>51</v>
      </c>
      <c r="AE84" s="37" t="s">
        <v>52</v>
      </c>
    </row>
    <row r="85" customFormat="false" ht="13.2" hidden="false" customHeight="false" outlineLevel="0" collapsed="false">
      <c r="A85" s="163" t="s">
        <v>454</v>
      </c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R85" s="205" t="s">
        <v>455</v>
      </c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</row>
    <row r="86" customFormat="false" ht="13.2" hidden="false" customHeight="false" outlineLevel="0" collapsed="false">
      <c r="A86" s="166" t="s">
        <v>456</v>
      </c>
      <c r="B86" s="170" t="s">
        <v>457</v>
      </c>
      <c r="C86" s="138"/>
      <c r="D86" s="138" t="n">
        <v>6300</v>
      </c>
      <c r="E86" s="138" t="n">
        <f aca="false">D86</f>
        <v>6300</v>
      </c>
      <c r="F86" s="138" t="n">
        <f aca="false">E86</f>
        <v>6300</v>
      </c>
      <c r="G86" s="138" t="n">
        <f aca="false">F86</f>
        <v>6300</v>
      </c>
      <c r="H86" s="138" t="n">
        <f aca="false">G86</f>
        <v>6300</v>
      </c>
      <c r="I86" s="138" t="n">
        <f aca="false">H86</f>
        <v>6300</v>
      </c>
      <c r="J86" s="138" t="n">
        <f aca="false">I86</f>
        <v>6300</v>
      </c>
      <c r="K86" s="138" t="n">
        <f aca="false">J86</f>
        <v>6300</v>
      </c>
      <c r="L86" s="138" t="n">
        <f aca="false">K86</f>
        <v>6300</v>
      </c>
      <c r="M86" s="138" t="n">
        <f aca="false">L86</f>
        <v>6300</v>
      </c>
      <c r="N86" s="138" t="n">
        <f aca="false">M86</f>
        <v>6300</v>
      </c>
      <c r="O86" s="138" t="n">
        <f aca="false">N86</f>
        <v>6300</v>
      </c>
      <c r="P86" s="138" t="n">
        <f aca="false">SUM(D86:O86)</f>
        <v>75600</v>
      </c>
      <c r="Q86" s="138"/>
      <c r="R86" s="170" t="s">
        <v>458</v>
      </c>
      <c r="S86" s="138"/>
      <c r="T86" s="138" t="n">
        <v>6300</v>
      </c>
      <c r="U86" s="138" t="n">
        <f aca="false">T86</f>
        <v>6300</v>
      </c>
      <c r="V86" s="138" t="n">
        <f aca="false">U86</f>
        <v>6300</v>
      </c>
      <c r="W86" s="138" t="n">
        <f aca="false">V86</f>
        <v>6300</v>
      </c>
      <c r="X86" s="138" t="n">
        <f aca="false">W86</f>
        <v>6300</v>
      </c>
      <c r="Y86" s="138" t="n">
        <f aca="false">X86</f>
        <v>6300</v>
      </c>
      <c r="Z86" s="138" t="n">
        <f aca="false">Y86</f>
        <v>6300</v>
      </c>
      <c r="AA86" s="138" t="n">
        <f aca="false">Z86</f>
        <v>6300</v>
      </c>
      <c r="AB86" s="138" t="n">
        <f aca="false">AA86</f>
        <v>6300</v>
      </c>
      <c r="AC86" s="138" t="n">
        <f aca="false">AB86</f>
        <v>6300</v>
      </c>
      <c r="AD86" s="138" t="n">
        <f aca="false">AC86</f>
        <v>6300</v>
      </c>
      <c r="AE86" s="138" t="n">
        <f aca="false">AD86</f>
        <v>6300</v>
      </c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  <c r="CD86" s="138"/>
      <c r="CE86" s="138"/>
      <c r="CF86" s="138"/>
      <c r="CG86" s="138"/>
      <c r="CH86" s="138"/>
      <c r="CI86" s="138"/>
      <c r="CJ86" s="138"/>
      <c r="CK86" s="138"/>
      <c r="CL86" s="138"/>
      <c r="CM86" s="138"/>
      <c r="CN86" s="138"/>
      <c r="CO86" s="138"/>
    </row>
    <row r="87" customFormat="false" ht="13.2" hidden="false" customHeight="false" outlineLevel="0" collapsed="false">
      <c r="A87" s="166" t="s">
        <v>459</v>
      </c>
      <c r="B87" s="170" t="s">
        <v>460</v>
      </c>
      <c r="D87" s="138" t="n">
        <v>13500</v>
      </c>
      <c r="E87" s="138" t="n">
        <f aca="false">D87</f>
        <v>13500</v>
      </c>
      <c r="F87" s="138" t="n">
        <f aca="false">E87</f>
        <v>13500</v>
      </c>
      <c r="G87" s="138" t="n">
        <f aca="false">F87</f>
        <v>13500</v>
      </c>
      <c r="H87" s="138" t="n">
        <f aca="false">G87</f>
        <v>13500</v>
      </c>
      <c r="I87" s="138" t="n">
        <f aca="false">H87</f>
        <v>13500</v>
      </c>
      <c r="J87" s="138" t="n">
        <f aca="false">I87</f>
        <v>13500</v>
      </c>
      <c r="K87" s="138" t="n">
        <f aca="false">J87</f>
        <v>13500</v>
      </c>
      <c r="L87" s="138" t="n">
        <f aca="false">K87</f>
        <v>13500</v>
      </c>
      <c r="M87" s="138" t="n">
        <f aca="false">L87</f>
        <v>13500</v>
      </c>
      <c r="N87" s="138" t="n">
        <f aca="false">M87</f>
        <v>13500</v>
      </c>
      <c r="O87" s="138" t="n">
        <f aca="false">N87</f>
        <v>13500</v>
      </c>
      <c r="P87" s="138" t="n">
        <f aca="false">SUM(D87:O87)</f>
        <v>162000</v>
      </c>
      <c r="Q87" s="138"/>
      <c r="R87" s="170" t="s">
        <v>461</v>
      </c>
      <c r="T87" s="138" t="n">
        <v>13140</v>
      </c>
      <c r="U87" s="138" t="n">
        <f aca="false">T87</f>
        <v>13140</v>
      </c>
      <c r="V87" s="138" t="n">
        <f aca="false">U87</f>
        <v>13140</v>
      </c>
      <c r="W87" s="138" t="n">
        <f aca="false">V87</f>
        <v>13140</v>
      </c>
      <c r="X87" s="138" t="n">
        <f aca="false">W87</f>
        <v>13140</v>
      </c>
      <c r="Y87" s="138" t="n">
        <f aca="false">X87</f>
        <v>13140</v>
      </c>
      <c r="Z87" s="138" t="n">
        <f aca="false">Y87</f>
        <v>13140</v>
      </c>
      <c r="AA87" s="138" t="n">
        <f aca="false">Z87</f>
        <v>13140</v>
      </c>
      <c r="AB87" s="138" t="n">
        <f aca="false">AA87</f>
        <v>13140</v>
      </c>
      <c r="AC87" s="138" t="n">
        <f aca="false">AB87</f>
        <v>13140</v>
      </c>
      <c r="AD87" s="138" t="n">
        <f aca="false">AC87</f>
        <v>13140</v>
      </c>
      <c r="AE87" s="138" t="n">
        <f aca="false">AD87</f>
        <v>13140</v>
      </c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  <c r="CD87" s="138"/>
      <c r="CE87" s="138"/>
      <c r="CF87" s="138"/>
      <c r="CG87" s="138"/>
      <c r="CH87" s="138"/>
      <c r="CI87" s="138"/>
      <c r="CJ87" s="138"/>
      <c r="CK87" s="138"/>
      <c r="CL87" s="138"/>
      <c r="CM87" s="138"/>
      <c r="CN87" s="138"/>
      <c r="CO87" s="138"/>
    </row>
    <row r="88" customFormat="false" ht="13.2" hidden="false" customHeight="false" outlineLevel="0" collapsed="false">
      <c r="A88" s="166" t="s">
        <v>462</v>
      </c>
      <c r="B88" s="170" t="s">
        <v>463</v>
      </c>
      <c r="C88" s="138"/>
      <c r="D88" s="138" t="n">
        <v>2500</v>
      </c>
      <c r="E88" s="138" t="n">
        <f aca="false">D88</f>
        <v>2500</v>
      </c>
      <c r="F88" s="138" t="n">
        <f aca="false">E88</f>
        <v>2500</v>
      </c>
      <c r="G88" s="138" t="n">
        <f aca="false">F88</f>
        <v>2500</v>
      </c>
      <c r="H88" s="138" t="n">
        <f aca="false">G88</f>
        <v>2500</v>
      </c>
      <c r="I88" s="138" t="n">
        <f aca="false">H88</f>
        <v>2500</v>
      </c>
      <c r="J88" s="138" t="n">
        <f aca="false">I88</f>
        <v>2500</v>
      </c>
      <c r="K88" s="138" t="n">
        <f aca="false">J88</f>
        <v>2500</v>
      </c>
      <c r="L88" s="138" t="n">
        <f aca="false">K88</f>
        <v>2500</v>
      </c>
      <c r="M88" s="138" t="n">
        <f aca="false">L88</f>
        <v>2500</v>
      </c>
      <c r="N88" s="138" t="n">
        <f aca="false">M88</f>
        <v>2500</v>
      </c>
      <c r="O88" s="138" t="n">
        <f aca="false">N88</f>
        <v>2500</v>
      </c>
      <c r="P88" s="138" t="n">
        <f aca="false">SUM(D88:O88)</f>
        <v>30000</v>
      </c>
      <c r="Q88" s="138"/>
      <c r="R88" s="170" t="s">
        <v>464</v>
      </c>
      <c r="S88" s="138"/>
      <c r="T88" s="138" t="n">
        <v>1000</v>
      </c>
      <c r="U88" s="138" t="n">
        <f aca="false">T88</f>
        <v>1000</v>
      </c>
      <c r="V88" s="138" t="n">
        <f aca="false">U88</f>
        <v>1000</v>
      </c>
      <c r="W88" s="138" t="n">
        <f aca="false">V88</f>
        <v>1000</v>
      </c>
      <c r="X88" s="138" t="n">
        <f aca="false">W88</f>
        <v>1000</v>
      </c>
      <c r="Y88" s="138" t="n">
        <f aca="false">X88</f>
        <v>1000</v>
      </c>
      <c r="Z88" s="138" t="n">
        <f aca="false">Y88</f>
        <v>1000</v>
      </c>
      <c r="AA88" s="138" t="n">
        <f aca="false">Z88</f>
        <v>1000</v>
      </c>
      <c r="AB88" s="138" t="n">
        <f aca="false">AA88</f>
        <v>1000</v>
      </c>
      <c r="AC88" s="138" t="n">
        <f aca="false">AB88</f>
        <v>1000</v>
      </c>
      <c r="AD88" s="138" t="n">
        <f aca="false">AC88</f>
        <v>1000</v>
      </c>
      <c r="AE88" s="138" t="n">
        <f aca="false">AD88</f>
        <v>1000</v>
      </c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8"/>
      <c r="CB88" s="138"/>
      <c r="CC88" s="138"/>
      <c r="CD88" s="138"/>
      <c r="CE88" s="138"/>
      <c r="CF88" s="138"/>
      <c r="CG88" s="138"/>
      <c r="CH88" s="138"/>
      <c r="CI88" s="138"/>
      <c r="CJ88" s="138"/>
      <c r="CK88" s="138"/>
      <c r="CL88" s="138"/>
      <c r="CM88" s="138"/>
      <c r="CN88" s="138"/>
      <c r="CO88" s="138"/>
    </row>
    <row r="89" customFormat="false" ht="13.2" hidden="false" customHeight="false" outlineLevel="0" collapsed="false">
      <c r="A89" s="166" t="s">
        <v>465</v>
      </c>
      <c r="B89" s="170" t="s">
        <v>466</v>
      </c>
      <c r="C89" s="138"/>
      <c r="D89" s="138" t="n">
        <v>11000</v>
      </c>
      <c r="E89" s="138" t="n">
        <f aca="false">D89</f>
        <v>11000</v>
      </c>
      <c r="F89" s="138" t="n">
        <f aca="false">E89</f>
        <v>11000</v>
      </c>
      <c r="G89" s="138" t="n">
        <f aca="false">F89</f>
        <v>11000</v>
      </c>
      <c r="H89" s="138" t="n">
        <f aca="false">G89</f>
        <v>11000</v>
      </c>
      <c r="I89" s="138" t="n">
        <f aca="false">H89</f>
        <v>11000</v>
      </c>
      <c r="J89" s="138" t="n">
        <f aca="false">I89</f>
        <v>11000</v>
      </c>
      <c r="K89" s="138" t="n">
        <f aca="false">J89</f>
        <v>11000</v>
      </c>
      <c r="L89" s="138" t="n">
        <f aca="false">K89</f>
        <v>11000</v>
      </c>
      <c r="M89" s="138" t="n">
        <f aca="false">L89</f>
        <v>11000</v>
      </c>
      <c r="N89" s="138" t="n">
        <f aca="false">M89</f>
        <v>11000</v>
      </c>
      <c r="O89" s="138" t="n">
        <f aca="false">N89</f>
        <v>11000</v>
      </c>
      <c r="P89" s="138" t="n">
        <f aca="false">SUM(D89:O89)</f>
        <v>132000</v>
      </c>
      <c r="Q89" s="138"/>
      <c r="R89" s="170" t="s">
        <v>467</v>
      </c>
      <c r="S89" s="138"/>
      <c r="T89" s="138" t="n">
        <v>5000</v>
      </c>
      <c r="U89" s="138" t="n">
        <f aca="false">T89</f>
        <v>5000</v>
      </c>
      <c r="V89" s="138" t="n">
        <f aca="false">U89</f>
        <v>5000</v>
      </c>
      <c r="W89" s="138" t="n">
        <f aca="false">V89</f>
        <v>5000</v>
      </c>
      <c r="X89" s="138" t="n">
        <f aca="false">W89</f>
        <v>5000</v>
      </c>
      <c r="Y89" s="138" t="n">
        <f aca="false">X89</f>
        <v>5000</v>
      </c>
      <c r="Z89" s="138" t="n">
        <f aca="false">Y89</f>
        <v>5000</v>
      </c>
      <c r="AA89" s="138" t="n">
        <f aca="false">Z89</f>
        <v>5000</v>
      </c>
      <c r="AB89" s="138" t="n">
        <f aca="false">AA89</f>
        <v>5000</v>
      </c>
      <c r="AC89" s="138" t="n">
        <f aca="false">AB89</f>
        <v>5000</v>
      </c>
      <c r="AD89" s="138" t="n">
        <f aca="false">AC89</f>
        <v>5000</v>
      </c>
      <c r="AE89" s="138" t="n">
        <f aca="false">AD89</f>
        <v>5000</v>
      </c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8"/>
      <c r="BR89" s="138"/>
      <c r="BS89" s="138"/>
      <c r="BT89" s="138"/>
      <c r="BU89" s="138"/>
      <c r="BV89" s="138"/>
      <c r="BW89" s="138"/>
      <c r="BX89" s="138"/>
      <c r="BY89" s="138"/>
      <c r="BZ89" s="138"/>
      <c r="CA89" s="138"/>
      <c r="CB89" s="138"/>
      <c r="CC89" s="138"/>
      <c r="CD89" s="138"/>
      <c r="CE89" s="138"/>
      <c r="CF89" s="138"/>
      <c r="CG89" s="138"/>
      <c r="CH89" s="138"/>
      <c r="CI89" s="138"/>
      <c r="CJ89" s="138"/>
      <c r="CK89" s="138"/>
      <c r="CL89" s="138"/>
      <c r="CM89" s="138"/>
      <c r="CN89" s="138"/>
      <c r="CO89" s="138"/>
    </row>
    <row r="90" customFormat="false" ht="13.2" hidden="false" customHeight="false" outlineLevel="0" collapsed="false">
      <c r="A90" s="166" t="s">
        <v>468</v>
      </c>
      <c r="B90" s="170" t="s">
        <v>469</v>
      </c>
      <c r="D90" s="138" t="n">
        <v>1000</v>
      </c>
      <c r="E90" s="138" t="n">
        <f aca="false">D90</f>
        <v>1000</v>
      </c>
      <c r="F90" s="138" t="n">
        <f aca="false">E90</f>
        <v>1000</v>
      </c>
      <c r="G90" s="138" t="n">
        <f aca="false">F90</f>
        <v>1000</v>
      </c>
      <c r="H90" s="138" t="n">
        <f aca="false">G90</f>
        <v>1000</v>
      </c>
      <c r="I90" s="138" t="n">
        <f aca="false">H90</f>
        <v>1000</v>
      </c>
      <c r="J90" s="138" t="n">
        <f aca="false">I90</f>
        <v>1000</v>
      </c>
      <c r="K90" s="138" t="n">
        <f aca="false">J90</f>
        <v>1000</v>
      </c>
      <c r="L90" s="138" t="n">
        <f aca="false">K90</f>
        <v>1000</v>
      </c>
      <c r="M90" s="138" t="n">
        <f aca="false">L90</f>
        <v>1000</v>
      </c>
      <c r="N90" s="138" t="n">
        <f aca="false">M90</f>
        <v>1000</v>
      </c>
      <c r="O90" s="138" t="n">
        <f aca="false">N90</f>
        <v>1000</v>
      </c>
      <c r="P90" s="138" t="n">
        <f aca="false">SUM(D90:O90)</f>
        <v>12000</v>
      </c>
      <c r="Q90" s="138"/>
      <c r="R90" s="170" t="s">
        <v>470</v>
      </c>
      <c r="T90" s="138" t="n">
        <v>1000</v>
      </c>
      <c r="U90" s="138" t="n">
        <f aca="false">T90</f>
        <v>1000</v>
      </c>
      <c r="V90" s="138" t="n">
        <f aca="false">U90</f>
        <v>1000</v>
      </c>
      <c r="W90" s="138" t="n">
        <f aca="false">V90</f>
        <v>1000</v>
      </c>
      <c r="X90" s="138" t="n">
        <f aca="false">W90</f>
        <v>1000</v>
      </c>
      <c r="Y90" s="138" t="n">
        <f aca="false">X90</f>
        <v>1000</v>
      </c>
      <c r="Z90" s="138" t="n">
        <f aca="false">Y90</f>
        <v>1000</v>
      </c>
      <c r="AA90" s="138" t="n">
        <f aca="false">Z90</f>
        <v>1000</v>
      </c>
      <c r="AB90" s="138" t="n">
        <f aca="false">AA90</f>
        <v>1000</v>
      </c>
      <c r="AC90" s="138" t="n">
        <f aca="false">AB90</f>
        <v>1000</v>
      </c>
      <c r="AD90" s="138" t="n">
        <f aca="false">AC90</f>
        <v>1000</v>
      </c>
      <c r="AE90" s="138" t="n">
        <f aca="false">AD90</f>
        <v>1000</v>
      </c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8"/>
    </row>
    <row r="91" customFormat="false" ht="13.8" hidden="false" customHeight="false" outlineLevel="0" collapsed="false">
      <c r="B91" s="218" t="s">
        <v>66</v>
      </c>
      <c r="C91" s="219"/>
      <c r="D91" s="39" t="n">
        <f aca="false">SUM(D86:D90)</f>
        <v>34300</v>
      </c>
      <c r="E91" s="39" t="n">
        <f aca="false">SUM(E86:E90)</f>
        <v>34300</v>
      </c>
      <c r="F91" s="39" t="n">
        <f aca="false">SUM(F86:F90)</f>
        <v>34300</v>
      </c>
      <c r="G91" s="39" t="n">
        <f aca="false">SUM(G86:G90)</f>
        <v>34300</v>
      </c>
      <c r="H91" s="39" t="n">
        <f aca="false">SUM(H86:H90)</f>
        <v>34300</v>
      </c>
      <c r="I91" s="39" t="n">
        <f aca="false">SUM(I86:I90)</f>
        <v>34300</v>
      </c>
      <c r="J91" s="39" t="n">
        <f aca="false">SUM(J86:J90)</f>
        <v>34300</v>
      </c>
      <c r="K91" s="39" t="n">
        <f aca="false">SUM(K86:K90)</f>
        <v>34300</v>
      </c>
      <c r="L91" s="39" t="n">
        <f aca="false">SUM(L86:L90)</f>
        <v>34300</v>
      </c>
      <c r="M91" s="39" t="n">
        <f aca="false">SUM(M86:M90)</f>
        <v>34300</v>
      </c>
      <c r="N91" s="39" t="n">
        <f aca="false">SUM(N86:N90)</f>
        <v>34300</v>
      </c>
      <c r="O91" s="39" t="n">
        <f aca="false">SUM(O86:O90)</f>
        <v>34300</v>
      </c>
      <c r="P91" s="39" t="n">
        <f aca="false">SUM(P86:P90)</f>
        <v>411600</v>
      </c>
    </row>
    <row r="92" customFormat="false" ht="13.8" hidden="false" customHeight="false" outlineLevel="0" collapsed="false"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</row>
    <row r="93" customFormat="false" ht="13.2" hidden="false" customHeight="false" outlineLevel="0" collapsed="false">
      <c r="B93" s="220"/>
      <c r="C93" s="37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</row>
    <row r="94" customFormat="false" ht="13.2" hidden="false" customHeight="false" outlineLevel="0" collapsed="false"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</row>
    <row r="95" customFormat="false" ht="13.2" hidden="false" customHeight="false" outlineLevel="0" collapsed="false"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</row>
    <row r="96" customFormat="false" ht="13.2" hidden="false" customHeight="false" outlineLevel="0" collapsed="false"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</row>
    <row r="97" customFormat="false" ht="13.2" hidden="false" customHeight="false" outlineLevel="0" collapsed="false"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</row>
    <row r="98" customFormat="false" ht="13.2" hidden="false" customHeight="false" outlineLevel="0" collapsed="false"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</row>
    <row r="99" customFormat="false" ht="13.2" hidden="false" customHeight="false" outlineLevel="0" collapsed="false"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</row>
    <row r="100" customFormat="false" ht="13.2" hidden="false" customHeight="false" outlineLevel="0" collapsed="false"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</row>
    <row r="101" customFormat="false" ht="13.2" hidden="false" customHeight="false" outlineLevel="0" collapsed="false"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</row>
    <row r="102" customFormat="false" ht="13.2" hidden="false" customHeight="false" outlineLevel="0" collapsed="false"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</row>
    <row r="103" customFormat="false" ht="13.2" hidden="false" customHeight="false" outlineLevel="0" collapsed="false">
      <c r="B103" s="138"/>
      <c r="C103" s="138"/>
      <c r="D103" s="138"/>
      <c r="E103" s="222"/>
      <c r="F103" s="138"/>
      <c r="G103" s="138"/>
      <c r="H103" s="138"/>
      <c r="I103" s="138"/>
      <c r="J103" s="138"/>
      <c r="K103" s="138"/>
      <c r="L103" s="138"/>
      <c r="M103" s="138"/>
      <c r="N103" s="138"/>
    </row>
    <row r="104" customFormat="false" ht="13.2" hidden="false" customHeight="false" outlineLevel="0" collapsed="false">
      <c r="B104" s="138"/>
      <c r="C104" s="138"/>
      <c r="D104" s="138"/>
      <c r="E104" s="222"/>
      <c r="F104" s="138"/>
      <c r="G104" s="138"/>
      <c r="H104" s="138"/>
      <c r="I104" s="138"/>
      <c r="J104" s="138"/>
      <c r="K104" s="138"/>
      <c r="L104" s="138"/>
      <c r="M104" s="138"/>
      <c r="N104" s="138"/>
    </row>
    <row r="105" customFormat="false" ht="13.2" hidden="false" customHeight="false" outlineLevel="0" collapsed="false"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</row>
    <row r="106" customFormat="false" ht="13.2" hidden="false" customHeight="false" outlineLevel="0" collapsed="false"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</row>
    <row r="107" customFormat="false" ht="13.2" hidden="false" customHeight="false" outlineLevel="0" collapsed="false"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</row>
    <row r="108" customFormat="false" ht="13.2" hidden="false" customHeight="false" outlineLevel="0" collapsed="false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</row>
    <row r="109" customFormat="false" ht="13.2" hidden="false" customHeight="false" outlineLevel="0" collapsed="false"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</row>
    <row r="110" customFormat="false" ht="13.2" hidden="false" customHeight="false" outlineLevel="0" collapsed="false"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</row>
    <row r="111" customFormat="false" ht="13.2" hidden="false" customHeight="false" outlineLevel="0" collapsed="false"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</row>
    <row r="112" customFormat="false" ht="13.2" hidden="false" customHeight="false" outlineLevel="0" collapsed="false"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</row>
    <row r="113" customFormat="false" ht="13.2" hidden="false" customHeight="false" outlineLevel="0" collapsed="false"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</row>
    <row r="114" customFormat="false" ht="13.2" hidden="false" customHeight="false" outlineLevel="0" collapsed="false"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</row>
    <row r="115" customFormat="false" ht="13.2" hidden="false" customHeight="false" outlineLevel="0" collapsed="false"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</row>
    <row r="116" customFormat="false" ht="13.2" hidden="false" customHeight="false" outlineLevel="0" collapsed="false"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</row>
    <row r="117" customFormat="false" ht="13.2" hidden="false" customHeight="false" outlineLevel="0" collapsed="false"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</row>
    <row r="118" customFormat="false" ht="13.2" hidden="false" customHeight="false" outlineLevel="0" collapsed="false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</row>
    <row r="119" customFormat="false" ht="13.2" hidden="false" customHeight="false" outlineLevel="0" collapsed="false"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</row>
    <row r="120" customFormat="false" ht="13.2" hidden="false" customHeight="false" outlineLevel="0" collapsed="false"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</row>
    <row r="121" customFormat="false" ht="13.2" hidden="false" customHeight="false" outlineLevel="0" collapsed="false"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</row>
    <row r="122" customFormat="false" ht="13.2" hidden="false" customHeight="false" outlineLevel="0" collapsed="false"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</row>
    <row r="123" customFormat="false" ht="13.2" hidden="false" customHeight="false" outlineLevel="0" collapsed="false"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</row>
    <row r="124" customFormat="false" ht="13.2" hidden="false" customHeight="false" outlineLevel="0" collapsed="false"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</row>
    <row r="125" customFormat="false" ht="13.2" hidden="false" customHeight="false" outlineLevel="0" collapsed="false"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</row>
    <row r="126" customFormat="false" ht="13.2" hidden="false" customHeight="false" outlineLevel="0" collapsed="false"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</row>
    <row r="127" customFormat="false" ht="13.2" hidden="false" customHeight="false" outlineLevel="0" collapsed="false"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</row>
    <row r="128" customFormat="false" ht="13.2" hidden="false" customHeight="false" outlineLevel="0" collapsed="false"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</row>
    <row r="129" customFormat="false" ht="13.2" hidden="false" customHeight="false" outlineLevel="0" collapsed="false"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</row>
    <row r="130" customFormat="false" ht="13.2" hidden="false" customHeight="false" outlineLevel="0" collapsed="false"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</row>
    <row r="131" customFormat="false" ht="13.2" hidden="false" customHeight="false" outlineLevel="0" collapsed="false"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</row>
    <row r="132" customFormat="false" ht="13.2" hidden="false" customHeight="false" outlineLevel="0" collapsed="false"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</row>
    <row r="133" customFormat="false" ht="13.2" hidden="false" customHeight="false" outlineLevel="0" collapsed="false"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</row>
    <row r="134" customFormat="false" ht="13.2" hidden="false" customHeight="false" outlineLevel="0" collapsed="false"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</row>
    <row r="135" customFormat="false" ht="13.2" hidden="false" customHeight="false" outlineLevel="0" collapsed="false"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</row>
    <row r="136" customFormat="false" ht="13.2" hidden="false" customHeight="false" outlineLevel="0" collapsed="false"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</row>
    <row r="137" customFormat="false" ht="13.2" hidden="false" customHeight="false" outlineLevel="0" collapsed="false"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</row>
    <row r="138" customFormat="false" ht="13.2" hidden="false" customHeight="false" outlineLevel="0" collapsed="false"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</row>
    <row r="139" customFormat="false" ht="13.2" hidden="false" customHeight="false" outlineLevel="0" collapsed="false"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</row>
    <row r="140" customFormat="false" ht="13.2" hidden="false" customHeight="false" outlineLevel="0" collapsed="false"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</row>
    <row r="141" customFormat="false" ht="13.2" hidden="false" customHeight="false" outlineLevel="0" collapsed="false"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</row>
    <row r="142" customFormat="false" ht="13.2" hidden="false" customHeight="false" outlineLevel="0" collapsed="false"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</row>
    <row r="143" customFormat="false" ht="13.2" hidden="false" customHeight="false" outlineLevel="0" collapsed="false"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</row>
    <row r="144" customFormat="false" ht="13.2" hidden="false" customHeight="false" outlineLevel="0" collapsed="false"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</row>
    <row r="145" customFormat="false" ht="13.2" hidden="false" customHeight="false" outlineLevel="0" collapsed="false"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</row>
    <row r="146" customFormat="false" ht="13.2" hidden="false" customHeight="false" outlineLevel="0" collapsed="false"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</row>
    <row r="147" customFormat="false" ht="13.2" hidden="false" customHeight="false" outlineLevel="0" collapsed="false"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</row>
    <row r="148" customFormat="false" ht="13.2" hidden="false" customHeight="false" outlineLevel="0" collapsed="false"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</row>
    <row r="149" customFormat="false" ht="13.2" hidden="false" customHeight="false" outlineLevel="0" collapsed="false"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</row>
    <row r="150" customFormat="false" ht="13.2" hidden="false" customHeight="false" outlineLevel="0" collapsed="false"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</row>
    <row r="151" customFormat="false" ht="13.2" hidden="false" customHeight="false" outlineLevel="0" collapsed="false"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</row>
    <row r="152" customFormat="false" ht="13.2" hidden="false" customHeight="false" outlineLevel="0" collapsed="false"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</row>
    <row r="153" customFormat="false" ht="13.2" hidden="false" customHeight="false" outlineLevel="0" collapsed="false"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</row>
    <row r="154" customFormat="false" ht="13.2" hidden="false" customHeight="false" outlineLevel="0" collapsed="false"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</row>
    <row r="155" customFormat="false" ht="13.2" hidden="false" customHeight="false" outlineLevel="0" collapsed="false"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</row>
    <row r="156" customFormat="false" ht="13.2" hidden="false" customHeight="false" outlineLevel="0" collapsed="false"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</row>
    <row r="157" customFormat="false" ht="13.2" hidden="false" customHeight="false" outlineLevel="0" collapsed="false"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</row>
    <row r="158" customFormat="false" ht="13.2" hidden="false" customHeight="false" outlineLevel="0" collapsed="false"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</row>
    <row r="159" customFormat="false" ht="13.2" hidden="false" customHeight="false" outlineLevel="0" collapsed="false"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</row>
    <row r="160" customFormat="false" ht="13.2" hidden="false" customHeight="false" outlineLevel="0" collapsed="false"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</row>
    <row r="161" customFormat="false" ht="13.2" hidden="false" customHeight="false" outlineLevel="0" collapsed="false"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</row>
    <row r="162" customFormat="false" ht="13.2" hidden="false" customHeight="false" outlineLevel="0" collapsed="false"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customFormat="false" ht="13.2" hidden="false" customHeight="false" outlineLevel="0" collapsed="false"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</row>
    <row r="164" customFormat="false" ht="13.2" hidden="false" customHeight="false" outlineLevel="0" collapsed="false"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</row>
    <row r="165" customFormat="false" ht="13.2" hidden="false" customHeight="false" outlineLevel="0" collapsed="false"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</row>
    <row r="166" customFormat="false" ht="13.2" hidden="false" customHeight="false" outlineLevel="0" collapsed="false"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</row>
    <row r="167" customFormat="false" ht="13.2" hidden="false" customHeight="false" outlineLevel="0" collapsed="false"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</row>
    <row r="168" customFormat="false" ht="13.2" hidden="false" customHeight="false" outlineLevel="0" collapsed="false"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</row>
    <row r="169" customFormat="false" ht="13.2" hidden="false" customHeight="false" outlineLevel="0" collapsed="false"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</row>
    <row r="170" customFormat="false" ht="13.2" hidden="false" customHeight="false" outlineLevel="0" collapsed="false"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customFormat="false" ht="13.2" hidden="false" customHeight="false" outlineLevel="0" collapsed="false"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</row>
    <row r="172" customFormat="false" ht="13.2" hidden="false" customHeight="false" outlineLevel="0" collapsed="false"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</row>
    <row r="173" customFormat="false" ht="13.2" hidden="false" customHeight="false" outlineLevel="0" collapsed="false"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  <row r="174" customFormat="false" ht="13.2" hidden="false" customHeight="false" outlineLevel="0" collapsed="false"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</row>
    <row r="175" customFormat="false" ht="13.2" hidden="false" customHeight="false" outlineLevel="0" collapsed="false"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</row>
    <row r="176" customFormat="false" ht="13.2" hidden="false" customHeight="false" outlineLevel="0" collapsed="false"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</row>
    <row r="177" customFormat="false" ht="13.2" hidden="false" customHeight="false" outlineLevel="0" collapsed="false"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</row>
    <row r="178" customFormat="false" ht="13.2" hidden="false" customHeight="false" outlineLevel="0" collapsed="false"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</row>
    <row r="179" customFormat="false" ht="13.2" hidden="false" customHeight="false" outlineLevel="0" collapsed="false"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</row>
    <row r="180" customFormat="false" ht="13.2" hidden="false" customHeight="false" outlineLevel="0" collapsed="false"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</row>
    <row r="181" customFormat="false" ht="13.2" hidden="false" customHeight="false" outlineLevel="0" collapsed="false"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</row>
    <row r="182" customFormat="false" ht="13.2" hidden="false" customHeight="false" outlineLevel="0" collapsed="false"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</row>
    <row r="183" customFormat="false" ht="13.2" hidden="false" customHeight="false" outlineLevel="0" collapsed="false"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</row>
    <row r="184" customFormat="false" ht="13.2" hidden="false" customHeight="false" outlineLevel="0" collapsed="false"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</row>
    <row r="185" customFormat="false" ht="13.2" hidden="false" customHeight="false" outlineLevel="0" collapsed="false"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</row>
    <row r="186" customFormat="false" ht="13.2" hidden="false" customHeight="false" outlineLevel="0" collapsed="false"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</row>
    <row r="187" customFormat="false" ht="13.2" hidden="false" customHeight="false" outlineLevel="0" collapsed="false"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</row>
    <row r="188" customFormat="false" ht="13.2" hidden="false" customHeight="false" outlineLevel="0" collapsed="false"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</row>
    <row r="189" customFormat="false" ht="13.2" hidden="false" customHeight="false" outlineLevel="0" collapsed="false"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</row>
    <row r="190" customFormat="false" ht="13.2" hidden="false" customHeight="false" outlineLevel="0" collapsed="false"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</row>
    <row r="191" customFormat="false" ht="13.2" hidden="false" customHeight="false" outlineLevel="0" collapsed="false"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</row>
    <row r="192" customFormat="false" ht="13.2" hidden="false" customHeight="false" outlineLevel="0" collapsed="false"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</row>
    <row r="193" customFormat="false" ht="13.2" hidden="false" customHeight="false" outlineLevel="0" collapsed="false"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</row>
    <row r="194" customFormat="false" ht="13.2" hidden="false" customHeight="false" outlineLevel="0" collapsed="false"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</row>
    <row r="195" customFormat="false" ht="13.2" hidden="false" customHeight="false" outlineLevel="0" collapsed="false"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</row>
    <row r="196" customFormat="false" ht="13.2" hidden="false" customHeight="false" outlineLevel="0" collapsed="false"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</row>
    <row r="197" customFormat="false" ht="13.2" hidden="false" customHeight="false" outlineLevel="0" collapsed="false"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</row>
    <row r="198" customFormat="false" ht="13.2" hidden="false" customHeight="false" outlineLevel="0" collapsed="false"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</row>
    <row r="199" customFormat="false" ht="13.2" hidden="false" customHeight="false" outlineLevel="0" collapsed="false"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</row>
    <row r="200" customFormat="false" ht="13.2" hidden="false" customHeight="false" outlineLevel="0" collapsed="false"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</row>
    <row r="201" customFormat="false" ht="13.2" hidden="false" customHeight="false" outlineLevel="0" collapsed="false"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</row>
    <row r="202" customFormat="false" ht="13.2" hidden="false" customHeight="false" outlineLevel="0" collapsed="false"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</row>
    <row r="203" customFormat="false" ht="13.2" hidden="false" customHeight="false" outlineLevel="0" collapsed="false"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</row>
    <row r="204" customFormat="false" ht="13.2" hidden="false" customHeight="false" outlineLevel="0" collapsed="false"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</row>
    <row r="205" customFormat="false" ht="13.2" hidden="false" customHeight="false" outlineLevel="0" collapsed="false"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</row>
    <row r="206" customFormat="false" ht="13.2" hidden="false" customHeight="false" outlineLevel="0" collapsed="false"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</row>
    <row r="207" customFormat="false" ht="13.2" hidden="false" customHeight="false" outlineLevel="0" collapsed="false"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</row>
    <row r="208" customFormat="false" ht="13.2" hidden="false" customHeight="false" outlineLevel="0" collapsed="false"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</row>
    <row r="209" customFormat="false" ht="13.2" hidden="false" customHeight="false" outlineLevel="0" collapsed="false"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</row>
    <row r="210" customFormat="false" ht="13.2" hidden="false" customHeight="false" outlineLevel="0" collapsed="false"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</row>
    <row r="211" customFormat="false" ht="13.2" hidden="false" customHeight="false" outlineLevel="0" collapsed="false"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</row>
    <row r="212" customFormat="false" ht="13.2" hidden="false" customHeight="false" outlineLevel="0" collapsed="false"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</row>
    <row r="213" customFormat="false" ht="13.2" hidden="false" customHeight="false" outlineLevel="0" collapsed="false"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</row>
    <row r="214" customFormat="false" ht="13.2" hidden="false" customHeight="false" outlineLevel="0" collapsed="false"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</row>
    <row r="215" customFormat="false" ht="13.2" hidden="false" customHeight="false" outlineLevel="0" collapsed="false"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</row>
    <row r="216" customFormat="false" ht="13.2" hidden="false" customHeight="false" outlineLevel="0" collapsed="false"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</row>
    <row r="217" customFormat="false" ht="13.2" hidden="false" customHeight="false" outlineLevel="0" collapsed="false"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</row>
    <row r="218" customFormat="false" ht="13.2" hidden="false" customHeight="false" outlineLevel="0" collapsed="false"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</row>
    <row r="219" customFormat="false" ht="13.2" hidden="false" customHeight="false" outlineLevel="0" collapsed="false"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</row>
    <row r="220" customFormat="false" ht="13.2" hidden="false" customHeight="false" outlineLevel="0" collapsed="false"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</row>
    <row r="221" customFormat="false" ht="13.2" hidden="false" customHeight="false" outlineLevel="0" collapsed="false"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</row>
    <row r="222" customFormat="false" ht="13.2" hidden="false" customHeight="false" outlineLevel="0" collapsed="false"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</row>
    <row r="223" customFormat="false" ht="13.2" hidden="false" customHeight="false" outlineLevel="0" collapsed="false"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</row>
    <row r="224" customFormat="false" ht="13.2" hidden="false" customHeight="false" outlineLevel="0" collapsed="false"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</row>
    <row r="225" customFormat="false" ht="13.2" hidden="false" customHeight="false" outlineLevel="0" collapsed="false"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</row>
    <row r="226" customFormat="false" ht="13.2" hidden="false" customHeight="false" outlineLevel="0" collapsed="false"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</row>
    <row r="227" customFormat="false" ht="13.2" hidden="false" customHeight="false" outlineLevel="0" collapsed="false"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</row>
    <row r="228" customFormat="false" ht="13.2" hidden="false" customHeight="false" outlineLevel="0" collapsed="false"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</row>
    <row r="229" customFormat="false" ht="13.2" hidden="false" customHeight="false" outlineLevel="0" collapsed="false"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</row>
    <row r="230" customFormat="false" ht="13.2" hidden="false" customHeight="false" outlineLevel="0" collapsed="false"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</row>
    <row r="231" customFormat="false" ht="13.2" hidden="false" customHeight="false" outlineLevel="0" collapsed="false"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</row>
    <row r="232" customFormat="false" ht="13.2" hidden="false" customHeight="false" outlineLevel="0" collapsed="false"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</row>
    <row r="233" customFormat="false" ht="13.2" hidden="false" customHeight="false" outlineLevel="0" collapsed="false"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</row>
    <row r="234" customFormat="false" ht="13.2" hidden="false" customHeight="false" outlineLevel="0" collapsed="false"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</row>
    <row r="235" customFormat="false" ht="13.2" hidden="false" customHeight="false" outlineLevel="0" collapsed="false"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</row>
    <row r="236" customFormat="false" ht="13.2" hidden="false" customHeight="false" outlineLevel="0" collapsed="false"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</row>
    <row r="237" customFormat="false" ht="13.2" hidden="false" customHeight="false" outlineLevel="0" collapsed="false"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</row>
    <row r="238" customFormat="false" ht="13.2" hidden="false" customHeight="false" outlineLevel="0" collapsed="false"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</row>
    <row r="239" customFormat="false" ht="13.2" hidden="false" customHeight="false" outlineLevel="0" collapsed="false"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</row>
    <row r="240" customFormat="false" ht="13.2" hidden="false" customHeight="false" outlineLevel="0" collapsed="false"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</row>
    <row r="241" customFormat="false" ht="13.2" hidden="false" customHeight="false" outlineLevel="0" collapsed="false"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</row>
    <row r="242" customFormat="false" ht="13.2" hidden="false" customHeight="false" outlineLevel="0" collapsed="false"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</row>
    <row r="243" customFormat="false" ht="13.2" hidden="false" customHeight="false" outlineLevel="0" collapsed="false"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</row>
    <row r="244" customFormat="false" ht="13.2" hidden="false" customHeight="false" outlineLevel="0" collapsed="false"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</row>
    <row r="245" customFormat="false" ht="13.2" hidden="false" customHeight="false" outlineLevel="0" collapsed="false"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</row>
    <row r="246" customFormat="false" ht="13.2" hidden="false" customHeight="false" outlineLevel="0" collapsed="false"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</row>
    <row r="247" customFormat="false" ht="13.2" hidden="false" customHeight="false" outlineLevel="0" collapsed="false"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</row>
    <row r="248" customFormat="false" ht="13.2" hidden="false" customHeight="false" outlineLevel="0" collapsed="false"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0"/>
  <sheetViews>
    <sheetView showFormulas="false" showGridLines="true" showRowColHeaders="true" showZeros="true" rightToLeft="false" tabSelected="false" showOutlineSymbols="true" defaultGridColor="true" view="pageBreakPreview" topLeftCell="A2" colorId="64" zoomScale="75" zoomScaleNormal="75" zoomScalePageLayoutView="75" workbookViewId="0">
      <selection pane="topLeft" activeCell="E34" activeCellId="0" sqref="E34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19" width="20.43"/>
    <col collapsed="false" customWidth="true" hidden="false" outlineLevel="0" max="13" min="2" style="19" width="12.66"/>
    <col collapsed="false" customWidth="true" hidden="false" outlineLevel="0" max="14" min="14" style="19" width="16.1"/>
    <col collapsed="false" customWidth="false" hidden="false" outlineLevel="0" max="257" min="15" style="19" width="8.87"/>
  </cols>
  <sheetData>
    <row r="1" customFormat="false" ht="13.2" hidden="false" customHeight="false" outlineLevel="0" collapsed="false">
      <c r="A1" s="21" t="str">
        <f aca="false">Factors!A1</f>
        <v>ENS BUDGET - YEAR 2002</v>
      </c>
    </row>
    <row r="2" customFormat="false" ht="25.95" hidden="false" customHeight="true" outlineLevel="0" collapsed="false">
      <c r="A2" s="198" t="s">
        <v>385</v>
      </c>
    </row>
    <row r="3" customFormat="false" ht="17.4" hidden="false" customHeight="false" outlineLevel="0" collapsed="false">
      <c r="A3" s="199" t="s">
        <v>471</v>
      </c>
    </row>
    <row r="4" customFormat="false" ht="13.2" hidden="true" customHeight="false" outlineLevel="0" collapsed="false"/>
    <row r="5" customFormat="false" ht="13.2" hidden="true" customHeight="false" outlineLevel="0" collapsed="false">
      <c r="A5" s="19" t="s">
        <v>472</v>
      </c>
    </row>
    <row r="6" customFormat="false" ht="13.2" hidden="true" customHeight="false" outlineLevel="0" collapsed="false"/>
    <row r="7" customFormat="false" ht="13.2" hidden="true" customHeight="false" outlineLevel="0" collapsed="false">
      <c r="A7" s="19" t="s">
        <v>473</v>
      </c>
    </row>
    <row r="8" customFormat="false" ht="13.2" hidden="true" customHeight="false" outlineLevel="0" collapsed="false">
      <c r="A8" s="19" t="s">
        <v>474</v>
      </c>
      <c r="B8" s="138" t="n">
        <v>50000</v>
      </c>
    </row>
    <row r="9" customFormat="false" ht="13.2" hidden="true" customHeight="false" outlineLevel="0" collapsed="false">
      <c r="A9" s="19" t="s">
        <v>475</v>
      </c>
      <c r="B9" s="138" t="n">
        <v>50000</v>
      </c>
    </row>
    <row r="10" customFormat="false" ht="13.2" hidden="true" customHeight="false" outlineLevel="0" collapsed="false">
      <c r="A10" s="184" t="s">
        <v>170</v>
      </c>
      <c r="B10" s="138" t="n">
        <f aca="false">SUM(B8:B9)</f>
        <v>100000</v>
      </c>
    </row>
    <row r="11" customFormat="false" ht="13.2" hidden="true" customHeight="false" outlineLevel="0" collapsed="false">
      <c r="A11" s="184" t="s">
        <v>351</v>
      </c>
      <c r="B11" s="138" t="n">
        <v>23500</v>
      </c>
    </row>
    <row r="12" customFormat="false" ht="13.2" hidden="true" customHeight="false" outlineLevel="0" collapsed="false">
      <c r="B12" s="138"/>
    </row>
    <row r="13" customFormat="false" ht="68.4" hidden="false" customHeight="true" outlineLevel="0" collapsed="false"/>
    <row r="14" customFormat="false" ht="13.2" hidden="false" customHeight="false" outlineLevel="0" collapsed="false">
      <c r="B14" s="37" t="s">
        <v>41</v>
      </c>
      <c r="C14" s="37" t="s">
        <v>42</v>
      </c>
      <c r="D14" s="37" t="s">
        <v>43</v>
      </c>
      <c r="E14" s="37" t="s">
        <v>44</v>
      </c>
      <c r="F14" s="37" t="s">
        <v>45</v>
      </c>
      <c r="G14" s="37" t="s">
        <v>46</v>
      </c>
      <c r="H14" s="37" t="s">
        <v>47</v>
      </c>
      <c r="I14" s="37" t="s">
        <v>48</v>
      </c>
      <c r="J14" s="37" t="s">
        <v>49</v>
      </c>
      <c r="K14" s="37" t="s">
        <v>50</v>
      </c>
      <c r="L14" s="37" t="s">
        <v>51</v>
      </c>
      <c r="M14" s="37" t="s">
        <v>52</v>
      </c>
      <c r="N14" s="37"/>
    </row>
    <row r="15" customFormat="false" ht="13.2" hidden="true" customHeight="false" outlineLevel="0" collapsed="false">
      <c r="A15" s="19" t="s">
        <v>476</v>
      </c>
      <c r="B15" s="138" t="n">
        <f aca="false">130000000+B11</f>
        <v>130023500</v>
      </c>
      <c r="C15" s="138" t="n">
        <f aca="false">B18</f>
        <v>130023500</v>
      </c>
      <c r="D15" s="138" t="n">
        <f aca="false">C18</f>
        <v>130023500</v>
      </c>
      <c r="E15" s="138" t="n">
        <f aca="false">D18</f>
        <v>130023500</v>
      </c>
      <c r="F15" s="138" t="n">
        <f aca="false">E18</f>
        <v>130023500</v>
      </c>
      <c r="G15" s="138" t="n">
        <f aca="false">F18</f>
        <v>130023500</v>
      </c>
      <c r="H15" s="138" t="n">
        <f aca="false">G18</f>
        <v>130023500</v>
      </c>
      <c r="I15" s="138" t="n">
        <f aca="false">H18</f>
        <v>130023500</v>
      </c>
      <c r="J15" s="138" t="n">
        <f aca="false">I18</f>
        <v>130023500</v>
      </c>
      <c r="K15" s="138" t="n">
        <f aca="false">J18</f>
        <v>130023500</v>
      </c>
      <c r="L15" s="138" t="n">
        <f aca="false">K18</f>
        <v>130023500</v>
      </c>
      <c r="M15" s="138" t="n">
        <f aca="false">L18</f>
        <v>130023500</v>
      </c>
    </row>
    <row r="16" customFormat="false" ht="13.2" hidden="true" customHeight="false" outlineLevel="0" collapsed="false">
      <c r="A16" s="19" t="s">
        <v>477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</row>
    <row r="17" customFormat="false" ht="13.2" hidden="true" customHeight="false" outlineLevel="0" collapsed="false">
      <c r="A17" s="19" t="s">
        <v>478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</row>
    <row r="18" customFormat="false" ht="13.2" hidden="true" customHeight="false" outlineLevel="0" collapsed="false">
      <c r="A18" s="19" t="s">
        <v>479</v>
      </c>
      <c r="B18" s="138" t="n">
        <f aca="false">SUM(B15:B17)</f>
        <v>130023500</v>
      </c>
      <c r="C18" s="138" t="n">
        <f aca="false">SUM(C15:C17)</f>
        <v>130023500</v>
      </c>
      <c r="D18" s="138" t="n">
        <f aca="false">SUM(D15:D17)</f>
        <v>130023500</v>
      </c>
      <c r="E18" s="138" t="n">
        <f aca="false">SUM(E15:E17)</f>
        <v>130023500</v>
      </c>
      <c r="F18" s="138" t="n">
        <f aca="false">SUM(F15:F17)</f>
        <v>130023500</v>
      </c>
      <c r="G18" s="138" t="n">
        <f aca="false">SUM(G15:G17)</f>
        <v>130023500</v>
      </c>
      <c r="H18" s="138" t="n">
        <f aca="false">SUM(H15:H17)</f>
        <v>130023500</v>
      </c>
      <c r="I18" s="138" t="n">
        <f aca="false">SUM(I15:I17)</f>
        <v>130023500</v>
      </c>
      <c r="J18" s="138" t="n">
        <f aca="false">SUM(J15:J17)</f>
        <v>130023500</v>
      </c>
      <c r="K18" s="138" t="n">
        <f aca="false">SUM(K15:K17)</f>
        <v>130023500</v>
      </c>
      <c r="L18" s="138" t="n">
        <f aca="false">SUM(L15:L17)</f>
        <v>130023500</v>
      </c>
      <c r="M18" s="138" t="n">
        <f aca="false">SUM(M15:M17)</f>
        <v>130023500</v>
      </c>
    </row>
    <row r="19" customFormat="false" ht="13.2" hidden="true" customHeight="false" outlineLevel="0" collapsed="false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</row>
    <row r="20" customFormat="false" ht="28.2" hidden="false" customHeight="true" outlineLevel="0" collapsed="false">
      <c r="A20" s="60" t="s">
        <v>480</v>
      </c>
      <c r="B20" s="138" t="n">
        <f aca="false">(Balance!C10+Balance!C21)*1000</f>
        <v>571729200</v>
      </c>
      <c r="C20" s="138" t="n">
        <f aca="false">B24</f>
        <v>571865947</v>
      </c>
      <c r="D20" s="138" t="n">
        <f aca="false">C24</f>
        <v>571865947</v>
      </c>
      <c r="E20" s="138" t="n">
        <f aca="false">D24</f>
        <v>571900911.285714</v>
      </c>
      <c r="F20" s="138" t="n">
        <f aca="false">E24</f>
        <v>571900911.285714</v>
      </c>
      <c r="G20" s="138" t="n">
        <f aca="false">F24</f>
        <v>571900911.285714</v>
      </c>
      <c r="H20" s="138" t="n">
        <f aca="false">G24</f>
        <v>571961554.142857</v>
      </c>
      <c r="I20" s="138" t="n">
        <f aca="false">H24</f>
        <v>571961554.142857</v>
      </c>
      <c r="J20" s="138" t="n">
        <f aca="false">I24</f>
        <v>571961554.142857</v>
      </c>
      <c r="K20" s="138" t="n">
        <f aca="false">J24</f>
        <v>571961554.142857</v>
      </c>
      <c r="L20" s="138" t="n">
        <f aca="false">K24</f>
        <v>571961554.142857</v>
      </c>
      <c r="M20" s="138" t="n">
        <f aca="false">L24</f>
        <v>571961554.142857</v>
      </c>
      <c r="N20" s="138"/>
    </row>
    <row r="21" customFormat="false" ht="13.2" hidden="false" customHeight="false" outlineLevel="0" collapsed="false">
      <c r="A21" s="60" t="s">
        <v>477</v>
      </c>
      <c r="B21" s="138" t="n">
        <f aca="false">'Capital budget'!B30</f>
        <v>136747</v>
      </c>
      <c r="C21" s="138" t="n">
        <f aca="false">'Capital budget'!C30</f>
        <v>0</v>
      </c>
      <c r="D21" s="138" t="n">
        <f aca="false">'Capital budget'!D30</f>
        <v>34964.2857142857</v>
      </c>
      <c r="E21" s="138" t="n">
        <f aca="false">'Capital budget'!E30</f>
        <v>0</v>
      </c>
      <c r="F21" s="138" t="n">
        <f aca="false">'Capital budget'!F30</f>
        <v>0</v>
      </c>
      <c r="G21" s="138" t="n">
        <f aca="false">'Capital budget'!G30</f>
        <v>60642.8571428571</v>
      </c>
      <c r="H21" s="138" t="n">
        <f aca="false">'Capital budget'!H30</f>
        <v>0</v>
      </c>
      <c r="I21" s="138" t="n">
        <f aca="false">'Capital budget'!I30</f>
        <v>0</v>
      </c>
      <c r="J21" s="138" t="n">
        <f aca="false">'Capital budget'!J30</f>
        <v>0</v>
      </c>
      <c r="K21" s="138" t="n">
        <f aca="false">'Capital budget'!K30</f>
        <v>0</v>
      </c>
      <c r="L21" s="138" t="n">
        <f aca="false">'Capital budget'!L30</f>
        <v>0</v>
      </c>
      <c r="M21" s="138" t="n">
        <f aca="false">'Capital budget'!M30</f>
        <v>0</v>
      </c>
    </row>
    <row r="22" customFormat="false" ht="13.2" hidden="false" customHeight="false" outlineLevel="0" collapsed="false">
      <c r="A22" s="60" t="s">
        <v>478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</row>
    <row r="23" customFormat="false" ht="13.2" hidden="false" customHeight="false" outlineLevel="0" collapsed="false">
      <c r="A23" s="60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</row>
    <row r="24" customFormat="false" ht="26.4" hidden="false" customHeight="false" outlineLevel="0" collapsed="false">
      <c r="A24" s="60" t="s">
        <v>481</v>
      </c>
      <c r="B24" s="138" t="n">
        <f aca="false">SUM(B20:B23)</f>
        <v>571865947</v>
      </c>
      <c r="C24" s="138" t="n">
        <f aca="false">SUM(C20:C23)</f>
        <v>571865947</v>
      </c>
      <c r="D24" s="138" t="n">
        <f aca="false">SUM(D20:D23)</f>
        <v>571900911.285714</v>
      </c>
      <c r="E24" s="138" t="n">
        <f aca="false">SUM(E20:E23)</f>
        <v>571900911.285714</v>
      </c>
      <c r="F24" s="138" t="n">
        <f aca="false">SUM(F20:F23)</f>
        <v>571900911.285714</v>
      </c>
      <c r="G24" s="138" t="n">
        <f aca="false">SUM(G20:G23)</f>
        <v>571961554.142857</v>
      </c>
      <c r="H24" s="138" t="n">
        <f aca="false">SUM(H20:H23)</f>
        <v>571961554.142857</v>
      </c>
      <c r="I24" s="138" t="n">
        <f aca="false">SUM(I20:I23)</f>
        <v>571961554.142857</v>
      </c>
      <c r="J24" s="138" t="n">
        <f aca="false">SUM(J20:J23)</f>
        <v>571961554.142857</v>
      </c>
      <c r="K24" s="138" t="n">
        <f aca="false">SUM(K20:K23)</f>
        <v>571961554.142857</v>
      </c>
      <c r="L24" s="138" t="n">
        <f aca="false">SUM(L20:L23)</f>
        <v>571961554.142857</v>
      </c>
      <c r="M24" s="138" t="n">
        <f aca="false">SUM(M20:M23)</f>
        <v>571961554.142857</v>
      </c>
      <c r="N24" s="138"/>
    </row>
    <row r="25" customFormat="false" ht="13.2" hidden="false" customHeight="false" outlineLevel="0" collapsed="false">
      <c r="A25" s="60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</row>
    <row r="26" customFormat="false" ht="13.2" hidden="false" customHeight="false" outlineLevel="0" collapsed="false">
      <c r="A26" s="60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</row>
    <row r="27" customFormat="false" ht="13.2" hidden="false" customHeight="false" outlineLevel="0" collapsed="false">
      <c r="A27" s="60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</row>
    <row r="28" customFormat="false" ht="13.2" hidden="false" customHeight="false" outlineLevel="0" collapsed="false">
      <c r="A28" s="60"/>
      <c r="B28" s="37" t="s">
        <v>41</v>
      </c>
      <c r="C28" s="37" t="s">
        <v>42</v>
      </c>
      <c r="D28" s="37" t="s">
        <v>43</v>
      </c>
      <c r="E28" s="37" t="s">
        <v>44</v>
      </c>
      <c r="F28" s="37" t="s">
        <v>45</v>
      </c>
      <c r="G28" s="37" t="s">
        <v>46</v>
      </c>
      <c r="H28" s="37" t="s">
        <v>47</v>
      </c>
      <c r="I28" s="37" t="s">
        <v>48</v>
      </c>
      <c r="J28" s="37" t="s">
        <v>49</v>
      </c>
      <c r="K28" s="37" t="s">
        <v>50</v>
      </c>
      <c r="L28" s="37" t="s">
        <v>51</v>
      </c>
      <c r="M28" s="37" t="s">
        <v>52</v>
      </c>
      <c r="N28" s="37" t="s">
        <v>66</v>
      </c>
    </row>
    <row r="29" customFormat="false" ht="13.2" hidden="true" customHeight="false" outlineLevel="0" collapsed="false">
      <c r="A29" s="60" t="s">
        <v>482</v>
      </c>
      <c r="B29" s="138" t="n">
        <f aca="false">$B$34*B15/12</f>
        <v>668537.495833333</v>
      </c>
      <c r="C29" s="138" t="n">
        <f aca="false">$B$34*C15/12</f>
        <v>668537.495833333</v>
      </c>
      <c r="D29" s="138" t="n">
        <f aca="false">$B$34*D15/12</f>
        <v>668537.495833333</v>
      </c>
      <c r="E29" s="138" t="n">
        <f aca="false">$B$34*E15/12</f>
        <v>668537.495833333</v>
      </c>
      <c r="F29" s="138" t="n">
        <f aca="false">$B$34*F15/12</f>
        <v>668537.495833333</v>
      </c>
      <c r="G29" s="138" t="n">
        <f aca="false">$B$34*G15/12</f>
        <v>668537.495833333</v>
      </c>
      <c r="H29" s="138" t="n">
        <f aca="false">$B$34*H15/12</f>
        <v>668537.495833333</v>
      </c>
      <c r="I29" s="138" t="n">
        <f aca="false">$B$34*I15/12</f>
        <v>668537.495833333</v>
      </c>
      <c r="J29" s="138" t="n">
        <f aca="false">$B$34*J15/12</f>
        <v>668537.495833333</v>
      </c>
      <c r="K29" s="138" t="n">
        <f aca="false">$B$34*K15/12</f>
        <v>668537.495833333</v>
      </c>
      <c r="L29" s="138" t="n">
        <f aca="false">$B$34*L15/12</f>
        <v>668537.495833333</v>
      </c>
      <c r="M29" s="138" t="n">
        <f aca="false">$B$34*M15/12</f>
        <v>668537.495833333</v>
      </c>
      <c r="N29" s="138" t="n">
        <f aca="false">SUM(B29:M29)</f>
        <v>8022449.95</v>
      </c>
    </row>
    <row r="30" customFormat="false" ht="13.2" hidden="true" customHeight="false" outlineLevel="0" collapsed="false">
      <c r="A30" s="60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customFormat="false" ht="13.8" hidden="false" customHeight="false" outlineLevel="0" collapsed="false">
      <c r="A31" s="61" t="s">
        <v>483</v>
      </c>
      <c r="B31" s="39" t="n">
        <f aca="false">$B$34*B20/12</f>
        <v>2939640.97</v>
      </c>
      <c r="C31" s="39" t="n">
        <f aca="false">$B$34*C20/12</f>
        <v>2940344.07749167</v>
      </c>
      <c r="D31" s="39" t="n">
        <f aca="false">$B$34*D20/12</f>
        <v>2940344.07749167</v>
      </c>
      <c r="E31" s="39" t="n">
        <f aca="false">$B$34*E20/12</f>
        <v>2940523.85219405</v>
      </c>
      <c r="F31" s="39" t="n">
        <f aca="false">$B$34*F20/12</f>
        <v>2940523.85219405</v>
      </c>
      <c r="G31" s="39" t="n">
        <f aca="false">$B$34*G20/12</f>
        <v>2940523.85219405</v>
      </c>
      <c r="H31" s="39" t="n">
        <f aca="false">$B$34*H20/12</f>
        <v>2940835.65755119</v>
      </c>
      <c r="I31" s="39" t="n">
        <f aca="false">$B$34*I20/12</f>
        <v>2940835.65755119</v>
      </c>
      <c r="J31" s="39" t="n">
        <f aca="false">$B$34*J20/12</f>
        <v>2940835.65755119</v>
      </c>
      <c r="K31" s="39" t="n">
        <f aca="false">$B$34*K20/12</f>
        <v>2940835.65755119</v>
      </c>
      <c r="L31" s="39" t="n">
        <f aca="false">$B$34*L20/12</f>
        <v>2940835.65755119</v>
      </c>
      <c r="M31" s="39" t="n">
        <f aca="false">$B$34*M20/12</f>
        <v>2940835.65755119</v>
      </c>
      <c r="N31" s="39" t="n">
        <f aca="false">SUM(B31:M31)</f>
        <v>35286914.6268726</v>
      </c>
    </row>
    <row r="32" customFormat="false" ht="13.8" hidden="false" customHeight="false" outlineLevel="0" collapsed="false">
      <c r="A32" s="223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customFormat="false" ht="13.8" hidden="false" customHeight="false" outlineLevel="0" collapsed="false">
      <c r="A33" s="60"/>
    </row>
    <row r="34" customFormat="false" ht="13.8" hidden="false" customHeight="false" outlineLevel="0" collapsed="false">
      <c r="A34" s="60" t="s">
        <v>484</v>
      </c>
      <c r="B34" s="224" t="n">
        <v>0.0617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</row>
    <row r="35" customFormat="false" ht="13.2" hidden="false" customHeight="false" outlineLevel="0" collapsed="false">
      <c r="A35" s="60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</row>
    <row r="36" customFormat="false" ht="130.2" hidden="false" customHeight="true" outlineLevel="0" collapsed="false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</row>
    <row r="37" customFormat="false" ht="22.8" hidden="false" customHeight="false" outlineLevel="0" collapsed="false">
      <c r="A37" s="225" t="s">
        <v>485</v>
      </c>
      <c r="B37" s="226"/>
      <c r="D37" s="227"/>
      <c r="E37" s="228"/>
      <c r="F37" s="229"/>
      <c r="G37" s="230"/>
      <c r="H37" s="231"/>
      <c r="I37" s="138"/>
      <c r="J37" s="138"/>
      <c r="K37" s="138"/>
      <c r="L37" s="138"/>
      <c r="M37" s="138"/>
    </row>
    <row r="38" customFormat="false" ht="13.2" hidden="false" customHeight="false" outlineLevel="0" collapsed="false">
      <c r="A38" s="232"/>
      <c r="B38" s="232"/>
      <c r="C38" s="233"/>
      <c r="D38" s="233"/>
      <c r="E38" s="234"/>
      <c r="F38" s="229"/>
      <c r="G38" s="230"/>
      <c r="H38" s="231"/>
      <c r="I38" s="138"/>
      <c r="J38" s="138"/>
      <c r="K38" s="138"/>
      <c r="L38" s="138"/>
      <c r="M38" s="138"/>
    </row>
    <row r="39" customFormat="false" ht="52.8" hidden="false" customHeight="false" outlineLevel="0" collapsed="false">
      <c r="A39" s="235" t="s">
        <v>486</v>
      </c>
      <c r="B39" s="235" t="s">
        <v>487</v>
      </c>
      <c r="C39" s="235" t="s">
        <v>488</v>
      </c>
      <c r="D39" s="236" t="s">
        <v>489</v>
      </c>
      <c r="E39" s="237" t="s">
        <v>490</v>
      </c>
      <c r="F39" s="238" t="s">
        <v>491</v>
      </c>
      <c r="G39" s="239" t="s">
        <v>492</v>
      </c>
      <c r="H39" s="239" t="s">
        <v>493</v>
      </c>
      <c r="I39" s="138"/>
      <c r="J39" s="138"/>
      <c r="K39" s="138"/>
      <c r="L39" s="138"/>
      <c r="M39" s="138"/>
    </row>
    <row r="40" customFormat="false" ht="97.2" hidden="false" customHeight="false" outlineLevel="0" collapsed="false">
      <c r="A40" s="240" t="n">
        <v>1</v>
      </c>
      <c r="B40" s="241" t="n">
        <v>101001</v>
      </c>
      <c r="C40" s="242" t="s">
        <v>494</v>
      </c>
      <c r="D40" s="242" t="s">
        <v>495</v>
      </c>
      <c r="E40" s="243" t="n">
        <v>0.025</v>
      </c>
      <c r="F40" s="244" t="s">
        <v>496</v>
      </c>
      <c r="G40" s="245" t="n">
        <f aca="false">32082383.16+44359.74+4410</f>
        <v>32131152.9</v>
      </c>
      <c r="H40" s="245" t="n">
        <f aca="false">G40*E40/12</f>
        <v>66939.901875</v>
      </c>
      <c r="I40" s="138"/>
      <c r="J40" s="138"/>
      <c r="K40" s="138"/>
      <c r="L40" s="138"/>
      <c r="M40" s="138"/>
    </row>
    <row r="41" customFormat="false" ht="37.2" hidden="false" customHeight="false" outlineLevel="0" collapsed="false">
      <c r="A41" s="240" t="n">
        <v>2</v>
      </c>
      <c r="B41" s="241" t="n">
        <v>101002</v>
      </c>
      <c r="C41" s="242" t="s">
        <v>497</v>
      </c>
      <c r="D41" s="242" t="s">
        <v>498</v>
      </c>
      <c r="E41" s="243" t="n">
        <v>0.025</v>
      </c>
      <c r="F41" s="244" t="s">
        <v>496</v>
      </c>
      <c r="G41" s="245" t="n">
        <v>3208729.08</v>
      </c>
      <c r="H41" s="245" t="n">
        <f aca="false">G41*E41/12</f>
        <v>6684.85225</v>
      </c>
      <c r="I41" s="138"/>
      <c r="J41" s="138"/>
      <c r="K41" s="138"/>
      <c r="L41" s="138"/>
      <c r="M41" s="138"/>
    </row>
    <row r="42" customFormat="false" ht="37.2" hidden="false" customHeight="false" outlineLevel="0" collapsed="false">
      <c r="A42" s="240" t="n">
        <v>3</v>
      </c>
      <c r="B42" s="241" t="n">
        <v>101003</v>
      </c>
      <c r="C42" s="242" t="s">
        <v>499</v>
      </c>
      <c r="D42" s="242" t="s">
        <v>500</v>
      </c>
      <c r="E42" s="243" t="n">
        <v>0.025</v>
      </c>
      <c r="F42" s="244" t="s">
        <v>496</v>
      </c>
      <c r="G42" s="245" t="n">
        <v>4741663.57</v>
      </c>
      <c r="H42" s="245" t="n">
        <f aca="false">G42*E42/12</f>
        <v>9878.46577083333</v>
      </c>
      <c r="I42" s="138"/>
      <c r="J42" s="138"/>
      <c r="K42" s="138"/>
      <c r="L42" s="138"/>
      <c r="M42" s="138"/>
    </row>
    <row r="43" customFormat="false" ht="37.2" hidden="false" customHeight="false" outlineLevel="0" collapsed="false">
      <c r="A43" s="240" t="n">
        <v>4</v>
      </c>
      <c r="B43" s="241" t="n">
        <v>101004</v>
      </c>
      <c r="C43" s="242" t="s">
        <v>501</v>
      </c>
      <c r="D43" s="242" t="s">
        <v>502</v>
      </c>
      <c r="E43" s="243" t="n">
        <v>0.025</v>
      </c>
      <c r="F43" s="244" t="s">
        <v>496</v>
      </c>
      <c r="G43" s="245" t="n">
        <v>888144.59</v>
      </c>
      <c r="H43" s="245" t="n">
        <f aca="false">G43*E43/12</f>
        <v>1850.30122916667</v>
      </c>
      <c r="I43" s="138"/>
      <c r="J43" s="138"/>
      <c r="K43" s="138"/>
      <c r="L43" s="138"/>
      <c r="M43" s="138"/>
    </row>
    <row r="44" customFormat="false" ht="49.2" hidden="false" customHeight="false" outlineLevel="0" collapsed="false">
      <c r="A44" s="240" t="n">
        <v>5</v>
      </c>
      <c r="B44" s="241" t="n">
        <v>101005</v>
      </c>
      <c r="C44" s="242" t="s">
        <v>503</v>
      </c>
      <c r="D44" s="242" t="s">
        <v>504</v>
      </c>
      <c r="E44" s="243" t="n">
        <v>0.025</v>
      </c>
      <c r="F44" s="244" t="s">
        <v>496</v>
      </c>
      <c r="G44" s="245" t="n">
        <v>1217399.42</v>
      </c>
      <c r="H44" s="245" t="n">
        <f aca="false">G44*E44/12</f>
        <v>2536.24879166667</v>
      </c>
    </row>
    <row r="45" customFormat="false" ht="14.4" hidden="false" customHeight="false" outlineLevel="0" collapsed="false">
      <c r="A45" s="240" t="n">
        <v>6</v>
      </c>
      <c r="B45" s="241" t="n">
        <v>109001</v>
      </c>
      <c r="C45" s="242" t="s">
        <v>505</v>
      </c>
      <c r="D45" s="242" t="s">
        <v>506</v>
      </c>
      <c r="E45" s="243" t="n">
        <v>0.025</v>
      </c>
      <c r="F45" s="244" t="s">
        <v>496</v>
      </c>
      <c r="G45" s="245" t="n">
        <v>1361723.5</v>
      </c>
      <c r="H45" s="245" t="n">
        <f aca="false">G45*E45/12</f>
        <v>2836.92395833333</v>
      </c>
    </row>
    <row r="46" customFormat="false" ht="37.2" hidden="false" customHeight="false" outlineLevel="0" collapsed="false">
      <c r="A46" s="240" t="n">
        <v>7</v>
      </c>
      <c r="B46" s="246" t="n">
        <v>201001</v>
      </c>
      <c r="C46" s="247" t="s">
        <v>507</v>
      </c>
      <c r="D46" s="247" t="s">
        <v>508</v>
      </c>
      <c r="E46" s="248" t="n">
        <v>0.045</v>
      </c>
      <c r="F46" s="249" t="s">
        <v>496</v>
      </c>
      <c r="G46" s="250" t="n">
        <v>554626.92</v>
      </c>
      <c r="H46" s="250" t="n">
        <f aca="false">G46*E46/12</f>
        <v>2079.85095</v>
      </c>
    </row>
    <row r="47" customFormat="false" ht="37.2" hidden="false" customHeight="false" outlineLevel="0" collapsed="false">
      <c r="A47" s="240" t="n">
        <v>8</v>
      </c>
      <c r="B47" s="246" t="n">
        <v>201002</v>
      </c>
      <c r="C47" s="247" t="s">
        <v>509</v>
      </c>
      <c r="D47" s="247" t="s">
        <v>508</v>
      </c>
      <c r="E47" s="248" t="n">
        <v>0.045</v>
      </c>
      <c r="F47" s="249" t="s">
        <v>496</v>
      </c>
      <c r="G47" s="250" t="n">
        <v>554626.92</v>
      </c>
      <c r="H47" s="250" t="n">
        <f aca="false">G47*E47/12</f>
        <v>2079.85095</v>
      </c>
    </row>
    <row r="48" customFormat="false" ht="37.2" hidden="false" customHeight="false" outlineLevel="0" collapsed="false">
      <c r="A48" s="240" t="n">
        <v>9</v>
      </c>
      <c r="B48" s="246" t="n">
        <v>201003</v>
      </c>
      <c r="C48" s="247" t="s">
        <v>510</v>
      </c>
      <c r="D48" s="247" t="s">
        <v>511</v>
      </c>
      <c r="E48" s="248" t="n">
        <v>0.045</v>
      </c>
      <c r="F48" s="249" t="s">
        <v>496</v>
      </c>
      <c r="G48" s="250" t="n">
        <v>307847.52</v>
      </c>
      <c r="H48" s="250" t="n">
        <f aca="false">G48*E48/12</f>
        <v>1154.4282</v>
      </c>
    </row>
    <row r="49" customFormat="false" ht="37.2" hidden="false" customHeight="false" outlineLevel="0" collapsed="false">
      <c r="A49" s="240" t="n">
        <v>10</v>
      </c>
      <c r="B49" s="246" t="n">
        <v>201004</v>
      </c>
      <c r="C49" s="247" t="s">
        <v>512</v>
      </c>
      <c r="D49" s="247" t="s">
        <v>513</v>
      </c>
      <c r="E49" s="248" t="n">
        <v>0.045</v>
      </c>
      <c r="F49" s="249" t="s">
        <v>496</v>
      </c>
      <c r="G49" s="250" t="n">
        <v>307847.52</v>
      </c>
      <c r="H49" s="250" t="n">
        <f aca="false">G49*E49/12</f>
        <v>1154.4282</v>
      </c>
    </row>
    <row r="50" customFormat="false" ht="49.2" hidden="false" customHeight="false" outlineLevel="0" collapsed="false">
      <c r="A50" s="240" t="n">
        <v>11</v>
      </c>
      <c r="B50" s="246" t="n">
        <v>201005</v>
      </c>
      <c r="C50" s="247" t="s">
        <v>514</v>
      </c>
      <c r="D50" s="247" t="s">
        <v>515</v>
      </c>
      <c r="E50" s="248" t="n">
        <v>0.045</v>
      </c>
      <c r="F50" s="249" t="s">
        <v>496</v>
      </c>
      <c r="G50" s="250" t="n">
        <v>2305729.99</v>
      </c>
      <c r="H50" s="250" t="n">
        <f aca="false">G50*E50/12</f>
        <v>8646.4874625</v>
      </c>
    </row>
    <row r="51" customFormat="false" ht="49.2" hidden="false" customHeight="false" outlineLevel="0" collapsed="false">
      <c r="A51" s="240" t="n">
        <v>12</v>
      </c>
      <c r="B51" s="246" t="n">
        <v>201006</v>
      </c>
      <c r="C51" s="247" t="s">
        <v>516</v>
      </c>
      <c r="D51" s="247" t="s">
        <v>517</v>
      </c>
      <c r="E51" s="248" t="n">
        <v>0.045</v>
      </c>
      <c r="F51" s="249" t="s">
        <v>496</v>
      </c>
      <c r="G51" s="250" t="n">
        <v>2305729.99</v>
      </c>
      <c r="H51" s="250" t="n">
        <f aca="false">G51*E51/12</f>
        <v>8646.4874625</v>
      </c>
    </row>
    <row r="52" customFormat="false" ht="25.2" hidden="false" customHeight="false" outlineLevel="0" collapsed="false">
      <c r="A52" s="240" t="n">
        <v>13</v>
      </c>
      <c r="B52" s="246" t="n">
        <v>211001</v>
      </c>
      <c r="C52" s="247" t="s">
        <v>518</v>
      </c>
      <c r="D52" s="247" t="s">
        <v>519</v>
      </c>
      <c r="E52" s="248" t="n">
        <v>0.045</v>
      </c>
      <c r="F52" s="249" t="s">
        <v>496</v>
      </c>
      <c r="G52" s="250" t="n">
        <v>200363.16</v>
      </c>
      <c r="H52" s="250" t="n">
        <f aca="false">G52*E52/12</f>
        <v>751.36185</v>
      </c>
    </row>
    <row r="53" customFormat="false" ht="25.2" hidden="false" customHeight="false" outlineLevel="0" collapsed="false">
      <c r="A53" s="240" t="n">
        <v>14</v>
      </c>
      <c r="B53" s="246" t="n">
        <v>211002</v>
      </c>
      <c r="C53" s="247" t="s">
        <v>520</v>
      </c>
      <c r="D53" s="247" t="s">
        <v>521</v>
      </c>
      <c r="E53" s="248" t="n">
        <v>0.045</v>
      </c>
      <c r="F53" s="249" t="s">
        <v>496</v>
      </c>
      <c r="G53" s="250" t="n">
        <v>2203994.77</v>
      </c>
      <c r="H53" s="250" t="n">
        <f aca="false">G53*E53/12</f>
        <v>8264.9803875</v>
      </c>
    </row>
    <row r="54" customFormat="false" ht="25.2" hidden="false" customHeight="false" outlineLevel="0" collapsed="false">
      <c r="A54" s="240" t="n">
        <v>15</v>
      </c>
      <c r="B54" s="246" t="n">
        <v>211003</v>
      </c>
      <c r="C54" s="247" t="s">
        <v>522</v>
      </c>
      <c r="D54" s="247" t="s">
        <v>523</v>
      </c>
      <c r="E54" s="248" t="n">
        <v>0.05</v>
      </c>
      <c r="F54" s="249" t="s">
        <v>496</v>
      </c>
      <c r="G54" s="250" t="n">
        <v>16302764.15</v>
      </c>
      <c r="H54" s="250" t="n">
        <f aca="false">G54*E54/12</f>
        <v>67928.1839583333</v>
      </c>
    </row>
    <row r="55" customFormat="false" ht="49.2" hidden="false" customHeight="false" outlineLevel="0" collapsed="false">
      <c r="A55" s="240" t="n">
        <v>16</v>
      </c>
      <c r="B55" s="246" t="n">
        <v>211004</v>
      </c>
      <c r="C55" s="247" t="s">
        <v>524</v>
      </c>
      <c r="D55" s="247" t="s">
        <v>525</v>
      </c>
      <c r="E55" s="248" t="n">
        <v>0.045</v>
      </c>
      <c r="F55" s="249" t="s">
        <v>496</v>
      </c>
      <c r="G55" s="250" t="n">
        <v>247507.43</v>
      </c>
      <c r="H55" s="250" t="n">
        <f aca="false">G55*E55/12</f>
        <v>928.1528625</v>
      </c>
    </row>
    <row r="56" customFormat="false" ht="37.2" hidden="false" customHeight="false" outlineLevel="0" collapsed="false">
      <c r="A56" s="240" t="n">
        <v>17</v>
      </c>
      <c r="B56" s="246" t="n">
        <v>211005</v>
      </c>
      <c r="C56" s="247" t="s">
        <v>526</v>
      </c>
      <c r="D56" s="247" t="s">
        <v>527</v>
      </c>
      <c r="E56" s="248" t="n">
        <v>0.045</v>
      </c>
      <c r="F56" s="249" t="s">
        <v>496</v>
      </c>
      <c r="G56" s="250" t="n">
        <f aca="false">76609.44+38304.72</f>
        <v>114914.16</v>
      </c>
      <c r="H56" s="250" t="n">
        <f aca="false">G56*E56/12</f>
        <v>430.9281</v>
      </c>
    </row>
    <row r="57" customFormat="false" ht="49.2" hidden="false" customHeight="false" outlineLevel="0" collapsed="false">
      <c r="A57" s="240" t="n">
        <v>18</v>
      </c>
      <c r="B57" s="246" t="n">
        <v>211006</v>
      </c>
      <c r="C57" s="247" t="s">
        <v>528</v>
      </c>
      <c r="D57" s="247" t="s">
        <v>529</v>
      </c>
      <c r="E57" s="248" t="n">
        <v>0.045</v>
      </c>
      <c r="F57" s="249" t="s">
        <v>496</v>
      </c>
      <c r="G57" s="250" t="n">
        <v>1388599.48</v>
      </c>
      <c r="H57" s="250" t="n">
        <f aca="false">G57*E57/12</f>
        <v>5207.24805</v>
      </c>
    </row>
    <row r="58" customFormat="false" ht="37.2" hidden="false" customHeight="false" outlineLevel="0" collapsed="false">
      <c r="A58" s="240" t="n">
        <v>19</v>
      </c>
      <c r="B58" s="246" t="n">
        <v>211007</v>
      </c>
      <c r="C58" s="247" t="s">
        <v>530</v>
      </c>
      <c r="D58" s="247" t="s">
        <v>531</v>
      </c>
      <c r="E58" s="248" t="n">
        <v>0.045</v>
      </c>
      <c r="F58" s="249" t="s">
        <v>496</v>
      </c>
      <c r="G58" s="250" t="n">
        <v>7329273.96</v>
      </c>
      <c r="H58" s="250" t="n">
        <f aca="false">G58*E58/12</f>
        <v>27484.77735</v>
      </c>
    </row>
    <row r="59" customFormat="false" ht="25.2" hidden="false" customHeight="false" outlineLevel="0" collapsed="false">
      <c r="A59" s="240" t="n">
        <v>20</v>
      </c>
      <c r="B59" s="246" t="n">
        <v>211008</v>
      </c>
      <c r="C59" s="247" t="s">
        <v>532</v>
      </c>
      <c r="D59" s="247" t="s">
        <v>533</v>
      </c>
      <c r="E59" s="248" t="n">
        <v>0.045</v>
      </c>
      <c r="F59" s="249" t="s">
        <v>496</v>
      </c>
      <c r="G59" s="250" t="n">
        <v>2929792.32</v>
      </c>
      <c r="H59" s="250" t="n">
        <f aca="false">G59*E59/12</f>
        <v>10986.7212</v>
      </c>
    </row>
    <row r="60" customFormat="false" ht="25.2" hidden="false" customHeight="false" outlineLevel="0" collapsed="false">
      <c r="A60" s="240" t="n">
        <v>21</v>
      </c>
      <c r="B60" s="246" t="n">
        <v>211009</v>
      </c>
      <c r="C60" s="247" t="s">
        <v>534</v>
      </c>
      <c r="D60" s="247" t="s">
        <v>535</v>
      </c>
      <c r="E60" s="248" t="n">
        <v>0.045</v>
      </c>
      <c r="F60" s="249" t="s">
        <v>496</v>
      </c>
      <c r="G60" s="250" t="n">
        <v>8695088.41</v>
      </c>
      <c r="H60" s="250" t="n">
        <f aca="false">G60*E60/12</f>
        <v>32606.5815375</v>
      </c>
    </row>
    <row r="61" customFormat="false" ht="25.2" hidden="false" customHeight="false" outlineLevel="0" collapsed="false">
      <c r="A61" s="240" t="n">
        <v>22</v>
      </c>
      <c r="B61" s="246" t="n">
        <v>211010</v>
      </c>
      <c r="C61" s="247" t="s">
        <v>536</v>
      </c>
      <c r="D61" s="247" t="s">
        <v>537</v>
      </c>
      <c r="E61" s="248" t="n">
        <v>0.045</v>
      </c>
      <c r="F61" s="249" t="s">
        <v>496</v>
      </c>
      <c r="G61" s="250" t="n">
        <v>2736276.53</v>
      </c>
      <c r="H61" s="250" t="n">
        <f aca="false">G61*E61/12</f>
        <v>10261.0369875</v>
      </c>
    </row>
    <row r="62" customFormat="false" ht="25.2" hidden="false" customHeight="false" outlineLevel="0" collapsed="false">
      <c r="A62" s="240" t="n">
        <v>23</v>
      </c>
      <c r="B62" s="246" t="n">
        <v>211011</v>
      </c>
      <c r="C62" s="247" t="s">
        <v>538</v>
      </c>
      <c r="D62" s="247" t="s">
        <v>539</v>
      </c>
      <c r="E62" s="248" t="n">
        <v>0.045</v>
      </c>
      <c r="F62" s="249" t="s">
        <v>496</v>
      </c>
      <c r="G62" s="250" t="n">
        <v>6200666.77</v>
      </c>
      <c r="H62" s="250" t="n">
        <f aca="false">G62*E62/12</f>
        <v>23252.5003875</v>
      </c>
    </row>
    <row r="63" customFormat="false" ht="37.2" hidden="false" customHeight="false" outlineLevel="0" collapsed="false">
      <c r="A63" s="240" t="n">
        <v>24</v>
      </c>
      <c r="B63" s="246" t="n">
        <v>211012</v>
      </c>
      <c r="C63" s="247" t="s">
        <v>540</v>
      </c>
      <c r="D63" s="247" t="s">
        <v>541</v>
      </c>
      <c r="E63" s="248" t="n">
        <v>0.045</v>
      </c>
      <c r="F63" s="249" t="s">
        <v>496</v>
      </c>
      <c r="G63" s="250" t="n">
        <v>2446052.95</v>
      </c>
      <c r="H63" s="250" t="n">
        <f aca="false">G63*E63/12</f>
        <v>9172.6985625</v>
      </c>
    </row>
    <row r="64" customFormat="false" ht="25.2" hidden="false" customHeight="false" outlineLevel="0" collapsed="false">
      <c r="A64" s="240" t="n">
        <v>25</v>
      </c>
      <c r="B64" s="246" t="n">
        <v>211013</v>
      </c>
      <c r="C64" s="247" t="s">
        <v>542</v>
      </c>
      <c r="D64" s="247" t="s">
        <v>543</v>
      </c>
      <c r="E64" s="248" t="n">
        <v>0.045</v>
      </c>
      <c r="F64" s="249" t="s">
        <v>496</v>
      </c>
      <c r="G64" s="250" t="n">
        <v>9363890.82</v>
      </c>
      <c r="H64" s="250" t="n">
        <f aca="false">G64*E64/12</f>
        <v>35114.590575</v>
      </c>
    </row>
    <row r="65" customFormat="false" ht="25.2" hidden="false" customHeight="false" outlineLevel="0" collapsed="false">
      <c r="A65" s="240" t="n">
        <v>26</v>
      </c>
      <c r="B65" s="246" t="n">
        <v>211014</v>
      </c>
      <c r="C65" s="247" t="s">
        <v>544</v>
      </c>
      <c r="D65" s="247" t="s">
        <v>545</v>
      </c>
      <c r="E65" s="248" t="n">
        <v>0.045</v>
      </c>
      <c r="F65" s="249" t="s">
        <v>496</v>
      </c>
      <c r="G65" s="250" t="n">
        <v>5336058.94</v>
      </c>
      <c r="H65" s="250" t="n">
        <f aca="false">G65*E65/12</f>
        <v>20010.221025</v>
      </c>
    </row>
    <row r="66" customFormat="false" ht="25.2" hidden="false" customHeight="false" outlineLevel="0" collapsed="false">
      <c r="A66" s="240" t="n">
        <v>27</v>
      </c>
      <c r="B66" s="246" t="n">
        <v>211015</v>
      </c>
      <c r="C66" s="247" t="s">
        <v>546</v>
      </c>
      <c r="D66" s="247" t="s">
        <v>547</v>
      </c>
      <c r="E66" s="248" t="n">
        <v>0.045</v>
      </c>
      <c r="F66" s="249" t="s">
        <v>496</v>
      </c>
      <c r="G66" s="250" t="n">
        <v>2926770.6</v>
      </c>
      <c r="H66" s="250" t="n">
        <f aca="false">G66*E66/12</f>
        <v>10975.38975</v>
      </c>
    </row>
    <row r="67" customFormat="false" ht="49.2" hidden="false" customHeight="false" outlineLevel="0" collapsed="false">
      <c r="A67" s="240" t="n">
        <v>28</v>
      </c>
      <c r="B67" s="246" t="n">
        <v>211016</v>
      </c>
      <c r="C67" s="247" t="s">
        <v>548</v>
      </c>
      <c r="D67" s="247" t="s">
        <v>549</v>
      </c>
      <c r="E67" s="248" t="n">
        <v>0.045</v>
      </c>
      <c r="F67" s="249" t="s">
        <v>496</v>
      </c>
      <c r="G67" s="250" t="n">
        <v>1941194.09</v>
      </c>
      <c r="H67" s="250" t="n">
        <f aca="false">G67*E67/12</f>
        <v>7279.4778375</v>
      </c>
    </row>
    <row r="68" customFormat="false" ht="25.2" hidden="false" customHeight="false" outlineLevel="0" collapsed="false">
      <c r="A68" s="240" t="n">
        <v>29</v>
      </c>
      <c r="B68" s="246" t="n">
        <v>211017</v>
      </c>
      <c r="C68" s="247" t="s">
        <v>550</v>
      </c>
      <c r="D68" s="247" t="s">
        <v>551</v>
      </c>
      <c r="E68" s="248" t="n">
        <v>0.045</v>
      </c>
      <c r="F68" s="249" t="s">
        <v>496</v>
      </c>
      <c r="G68" s="250" t="n">
        <v>2380785.8</v>
      </c>
      <c r="H68" s="250" t="n">
        <f aca="false">G68*E68/12</f>
        <v>8927.94675</v>
      </c>
    </row>
    <row r="69" customFormat="false" ht="73.2" hidden="false" customHeight="false" outlineLevel="0" collapsed="false">
      <c r="A69" s="240" t="n">
        <v>30</v>
      </c>
      <c r="B69" s="246" t="n">
        <v>211018</v>
      </c>
      <c r="C69" s="247" t="s">
        <v>552</v>
      </c>
      <c r="D69" s="247" t="s">
        <v>553</v>
      </c>
      <c r="E69" s="248" t="n">
        <v>0.045</v>
      </c>
      <c r="F69" s="249" t="s">
        <v>496</v>
      </c>
      <c r="G69" s="250" t="n">
        <v>4394198.88</v>
      </c>
      <c r="H69" s="250" t="n">
        <f aca="false">G69*E69/12</f>
        <v>16478.2458</v>
      </c>
    </row>
    <row r="70" customFormat="false" ht="37.2" hidden="false" customHeight="false" outlineLevel="0" collapsed="false">
      <c r="A70" s="240" t="n">
        <v>31</v>
      </c>
      <c r="B70" s="246" t="n">
        <v>211019</v>
      </c>
      <c r="C70" s="247" t="s">
        <v>554</v>
      </c>
      <c r="D70" s="247" t="s">
        <v>555</v>
      </c>
      <c r="E70" s="248" t="n">
        <v>0.045</v>
      </c>
      <c r="F70" s="249" t="s">
        <v>496</v>
      </c>
      <c r="G70" s="250" t="n">
        <v>428897</v>
      </c>
      <c r="H70" s="250" t="n">
        <f aca="false">G70*E70/12</f>
        <v>1608.36375</v>
      </c>
    </row>
    <row r="71" customFormat="false" ht="61.2" hidden="false" customHeight="false" outlineLevel="0" collapsed="false">
      <c r="A71" s="240" t="n">
        <v>32</v>
      </c>
      <c r="B71" s="246" t="n">
        <v>220001</v>
      </c>
      <c r="C71" s="247" t="s">
        <v>556</v>
      </c>
      <c r="D71" s="247" t="s">
        <v>557</v>
      </c>
      <c r="E71" s="248" t="n">
        <v>0.045</v>
      </c>
      <c r="F71" s="249" t="s">
        <v>558</v>
      </c>
      <c r="G71" s="250" t="n">
        <f aca="false">2149575.98+23238.19+37997.87</f>
        <v>2210812.04</v>
      </c>
      <c r="H71" s="250" t="n">
        <f aca="false">G71*E71/12</f>
        <v>8290.54515</v>
      </c>
    </row>
    <row r="72" customFormat="false" ht="25.2" hidden="false" customHeight="false" outlineLevel="0" collapsed="false">
      <c r="A72" s="240" t="n">
        <v>33</v>
      </c>
      <c r="B72" s="246" t="n">
        <v>221001</v>
      </c>
      <c r="C72" s="247" t="s">
        <v>559</v>
      </c>
      <c r="D72" s="247" t="s">
        <v>560</v>
      </c>
      <c r="E72" s="248" t="n">
        <v>0.045</v>
      </c>
      <c r="F72" s="249" t="s">
        <v>496</v>
      </c>
      <c r="G72" s="250" t="n">
        <v>4011135.9</v>
      </c>
      <c r="H72" s="250" t="n">
        <f aca="false">G72*E72/12</f>
        <v>15041.759625</v>
      </c>
    </row>
    <row r="73" customFormat="false" ht="49.2" hidden="false" customHeight="false" outlineLevel="0" collapsed="false">
      <c r="A73" s="240" t="n">
        <v>34</v>
      </c>
      <c r="B73" s="246" t="n">
        <v>223001</v>
      </c>
      <c r="C73" s="247" t="s">
        <v>561</v>
      </c>
      <c r="D73" s="247" t="s">
        <v>562</v>
      </c>
      <c r="E73" s="248" t="n">
        <v>0.045</v>
      </c>
      <c r="F73" s="249" t="s">
        <v>496</v>
      </c>
      <c r="G73" s="250" t="n">
        <v>1783968.67</v>
      </c>
      <c r="H73" s="250" t="n">
        <f aca="false">G73*E73/12</f>
        <v>6689.8825125</v>
      </c>
    </row>
    <row r="74" customFormat="false" ht="25.2" hidden="false" customHeight="false" outlineLevel="0" collapsed="false">
      <c r="A74" s="240" t="n">
        <v>35</v>
      </c>
      <c r="B74" s="246" t="n">
        <v>291001</v>
      </c>
      <c r="C74" s="247" t="s">
        <v>563</v>
      </c>
      <c r="D74" s="247" t="s">
        <v>564</v>
      </c>
      <c r="E74" s="248" t="n">
        <v>0.025</v>
      </c>
      <c r="F74" s="249" t="s">
        <v>496</v>
      </c>
      <c r="G74" s="250" t="n">
        <v>644872.79</v>
      </c>
      <c r="H74" s="250" t="n">
        <f aca="false">G74*E74/12</f>
        <v>1343.48497916667</v>
      </c>
    </row>
    <row r="75" customFormat="false" ht="37.2" hidden="false" customHeight="false" outlineLevel="0" collapsed="false">
      <c r="A75" s="240"/>
      <c r="B75" s="246" t="n">
        <v>291002</v>
      </c>
      <c r="C75" s="247" t="s">
        <v>565</v>
      </c>
      <c r="D75" s="247"/>
      <c r="E75" s="248" t="n">
        <v>0.025</v>
      </c>
      <c r="F75" s="249" t="s">
        <v>566</v>
      </c>
      <c r="G75" s="250" t="n">
        <v>125979.04</v>
      </c>
      <c r="H75" s="250" t="n">
        <f aca="false">G75*E75/12</f>
        <v>262.456333333333</v>
      </c>
    </row>
    <row r="76" customFormat="false" ht="37.2" hidden="false" customHeight="false" outlineLevel="0" collapsed="false">
      <c r="A76" s="240" t="n">
        <v>36</v>
      </c>
      <c r="B76" s="251" t="n">
        <v>313001</v>
      </c>
      <c r="C76" s="252" t="s">
        <v>567</v>
      </c>
      <c r="D76" s="252" t="s">
        <v>568</v>
      </c>
      <c r="E76" s="253" t="n">
        <v>0.05</v>
      </c>
      <c r="F76" s="254" t="s">
        <v>496</v>
      </c>
      <c r="G76" s="255" t="n">
        <v>3949504.11</v>
      </c>
      <c r="H76" s="255" t="n">
        <f aca="false">G76*E76/12</f>
        <v>16456.267125</v>
      </c>
    </row>
    <row r="77" customFormat="false" ht="37.2" hidden="false" customHeight="false" outlineLevel="0" collapsed="false">
      <c r="A77" s="240" t="n">
        <v>37</v>
      </c>
      <c r="B77" s="251" t="n">
        <v>313002</v>
      </c>
      <c r="C77" s="252" t="s">
        <v>569</v>
      </c>
      <c r="D77" s="252" t="s">
        <v>570</v>
      </c>
      <c r="E77" s="253" t="n">
        <v>0.05</v>
      </c>
      <c r="F77" s="254" t="s">
        <v>496</v>
      </c>
      <c r="G77" s="255" t="n">
        <v>3949504.11</v>
      </c>
      <c r="H77" s="255" t="n">
        <f aca="false">G77*E77/12</f>
        <v>16456.267125</v>
      </c>
    </row>
    <row r="78" customFormat="false" ht="37.2" hidden="false" customHeight="false" outlineLevel="0" collapsed="false">
      <c r="A78" s="240" t="n">
        <v>38</v>
      </c>
      <c r="B78" s="251" t="n">
        <v>313003</v>
      </c>
      <c r="C78" s="252" t="s">
        <v>571</v>
      </c>
      <c r="D78" s="252" t="s">
        <v>572</v>
      </c>
      <c r="E78" s="253" t="n">
        <v>0.05</v>
      </c>
      <c r="F78" s="254" t="s">
        <v>496</v>
      </c>
      <c r="G78" s="255" t="n">
        <v>4005578.24</v>
      </c>
      <c r="H78" s="255" t="n">
        <f aca="false">G78*E78/12</f>
        <v>16689.9093333333</v>
      </c>
    </row>
    <row r="79" customFormat="false" ht="37.2" hidden="false" customHeight="false" outlineLevel="0" collapsed="false">
      <c r="A79" s="240" t="n">
        <v>39</v>
      </c>
      <c r="B79" s="251" t="n">
        <v>313004</v>
      </c>
      <c r="C79" s="252" t="s">
        <v>573</v>
      </c>
      <c r="D79" s="252" t="s">
        <v>574</v>
      </c>
      <c r="E79" s="253" t="n">
        <v>0.05</v>
      </c>
      <c r="F79" s="254" t="s">
        <v>496</v>
      </c>
      <c r="G79" s="255" t="n">
        <v>3998377.23</v>
      </c>
      <c r="H79" s="255" t="n">
        <f aca="false">G79*E79/12</f>
        <v>16659.905125</v>
      </c>
    </row>
    <row r="80" customFormat="false" ht="37.2" hidden="false" customHeight="false" outlineLevel="0" collapsed="false">
      <c r="A80" s="240" t="n">
        <v>40</v>
      </c>
      <c r="B80" s="251" t="n">
        <v>313005</v>
      </c>
      <c r="C80" s="252" t="s">
        <v>575</v>
      </c>
      <c r="D80" s="252" t="s">
        <v>576</v>
      </c>
      <c r="E80" s="253" t="n">
        <v>0.05</v>
      </c>
      <c r="F80" s="254" t="s">
        <v>496</v>
      </c>
      <c r="G80" s="255" t="n">
        <v>4190864.71</v>
      </c>
      <c r="H80" s="255" t="n">
        <f aca="false">G80*E80/12</f>
        <v>17461.9362916667</v>
      </c>
    </row>
    <row r="81" customFormat="false" ht="37.2" hidden="false" customHeight="false" outlineLevel="0" collapsed="false">
      <c r="A81" s="240" t="n">
        <v>41</v>
      </c>
      <c r="B81" s="251" t="n">
        <v>313006</v>
      </c>
      <c r="C81" s="252" t="s">
        <v>577</v>
      </c>
      <c r="D81" s="252" t="s">
        <v>578</v>
      </c>
      <c r="E81" s="253" t="n">
        <v>0.05</v>
      </c>
      <c r="F81" s="254" t="s">
        <v>496</v>
      </c>
      <c r="G81" s="255" t="n">
        <v>20460769.43</v>
      </c>
      <c r="H81" s="255" t="n">
        <f aca="false">G81*E81/12</f>
        <v>85253.2059583333</v>
      </c>
    </row>
    <row r="82" customFormat="false" ht="37.2" hidden="false" customHeight="false" outlineLevel="0" collapsed="false">
      <c r="A82" s="240" t="n">
        <v>42</v>
      </c>
      <c r="B82" s="251" t="n">
        <v>313007</v>
      </c>
      <c r="C82" s="252" t="s">
        <v>579</v>
      </c>
      <c r="D82" s="252" t="s">
        <v>580</v>
      </c>
      <c r="E82" s="253" t="n">
        <v>0.05</v>
      </c>
      <c r="F82" s="254" t="s">
        <v>496</v>
      </c>
      <c r="G82" s="255" t="n">
        <v>20613988.31</v>
      </c>
      <c r="H82" s="255" t="n">
        <f aca="false">G82*E82/12</f>
        <v>85891.6179583333</v>
      </c>
    </row>
    <row r="83" customFormat="false" ht="37.2" hidden="false" customHeight="false" outlineLevel="0" collapsed="false">
      <c r="A83" s="240" t="n">
        <v>43</v>
      </c>
      <c r="B83" s="251" t="n">
        <v>340001</v>
      </c>
      <c r="C83" s="252" t="s">
        <v>581</v>
      </c>
      <c r="D83" s="252" t="s">
        <v>582</v>
      </c>
      <c r="E83" s="253" t="n">
        <v>0.05</v>
      </c>
      <c r="F83" s="254" t="s">
        <v>496</v>
      </c>
      <c r="G83" s="255" t="n">
        <v>90936524.9</v>
      </c>
      <c r="H83" s="255" t="n">
        <f aca="false">G83*E83/12</f>
        <v>378902.187083333</v>
      </c>
    </row>
    <row r="84" customFormat="false" ht="37.2" hidden="false" customHeight="false" outlineLevel="0" collapsed="false">
      <c r="A84" s="240" t="n">
        <v>44</v>
      </c>
      <c r="B84" s="251" t="n">
        <v>343001</v>
      </c>
      <c r="C84" s="252" t="s">
        <v>583</v>
      </c>
      <c r="D84" s="252" t="s">
        <v>584</v>
      </c>
      <c r="E84" s="253" t="n">
        <v>0.14</v>
      </c>
      <c r="F84" s="254" t="s">
        <v>496</v>
      </c>
      <c r="G84" s="255" t="n">
        <v>327293.97</v>
      </c>
      <c r="H84" s="255" t="n">
        <f aca="false">G84*E84/12</f>
        <v>3818.42965</v>
      </c>
    </row>
    <row r="85" customFormat="false" ht="37.2" hidden="false" customHeight="false" outlineLevel="0" collapsed="false">
      <c r="A85" s="240" t="n">
        <v>45</v>
      </c>
      <c r="B85" s="251" t="n">
        <v>348001</v>
      </c>
      <c r="C85" s="252" t="s">
        <v>585</v>
      </c>
      <c r="D85" s="252" t="s">
        <v>586</v>
      </c>
      <c r="E85" s="253" t="n">
        <v>0.05</v>
      </c>
      <c r="F85" s="254" t="s">
        <v>496</v>
      </c>
      <c r="G85" s="255" t="n">
        <v>89217400.74</v>
      </c>
      <c r="H85" s="255" t="n">
        <f aca="false">G85*E85/12</f>
        <v>371739.16975</v>
      </c>
    </row>
    <row r="86" customFormat="false" ht="37.2" hidden="false" customHeight="false" outlineLevel="0" collapsed="false">
      <c r="A86" s="240" t="n">
        <v>46</v>
      </c>
      <c r="B86" s="251" t="n">
        <v>348002</v>
      </c>
      <c r="C86" s="252" t="s">
        <v>587</v>
      </c>
      <c r="D86" s="252" t="s">
        <v>588</v>
      </c>
      <c r="E86" s="253" t="n">
        <v>0.05</v>
      </c>
      <c r="F86" s="254" t="s">
        <v>496</v>
      </c>
      <c r="G86" s="255" t="n">
        <v>89205614.66</v>
      </c>
      <c r="H86" s="255" t="n">
        <f aca="false">G86*E86/12</f>
        <v>371690.061083333</v>
      </c>
    </row>
    <row r="87" customFormat="false" ht="37.2" hidden="false" customHeight="false" outlineLevel="0" collapsed="false">
      <c r="A87" s="240" t="n">
        <v>47</v>
      </c>
      <c r="B87" s="256" t="n">
        <v>441001</v>
      </c>
      <c r="C87" s="257" t="s">
        <v>589</v>
      </c>
      <c r="D87" s="257" t="s">
        <v>590</v>
      </c>
      <c r="E87" s="258" t="n">
        <v>0.14</v>
      </c>
      <c r="F87" s="259" t="s">
        <v>496</v>
      </c>
      <c r="G87" s="260" t="n">
        <v>1198571.27</v>
      </c>
      <c r="H87" s="260" t="n">
        <f aca="false">G87*E87/12</f>
        <v>13983.3314833333</v>
      </c>
    </row>
    <row r="88" customFormat="false" ht="37.2" hidden="false" customHeight="false" outlineLevel="0" collapsed="false">
      <c r="A88" s="240" t="n">
        <v>48</v>
      </c>
      <c r="B88" s="256" t="n">
        <v>441002</v>
      </c>
      <c r="C88" s="257" t="s">
        <v>591</v>
      </c>
      <c r="D88" s="257" t="s">
        <v>592</v>
      </c>
      <c r="E88" s="258" t="n">
        <v>0.14</v>
      </c>
      <c r="F88" s="259" t="s">
        <v>496</v>
      </c>
      <c r="G88" s="260" t="n">
        <v>1198571.27</v>
      </c>
      <c r="H88" s="260" t="n">
        <f aca="false">G88*E88/12</f>
        <v>13983.3314833333</v>
      </c>
    </row>
    <row r="89" customFormat="false" ht="49.2" hidden="false" customHeight="false" outlineLevel="0" collapsed="false">
      <c r="A89" s="240" t="n">
        <v>49</v>
      </c>
      <c r="B89" s="256" t="n">
        <v>441003</v>
      </c>
      <c r="C89" s="257" t="s">
        <v>593</v>
      </c>
      <c r="D89" s="257" t="s">
        <v>594</v>
      </c>
      <c r="E89" s="258" t="n">
        <v>0.14</v>
      </c>
      <c r="F89" s="259" t="s">
        <v>496</v>
      </c>
      <c r="G89" s="260" t="n">
        <v>71302.12</v>
      </c>
      <c r="H89" s="260" t="n">
        <f aca="false">G89*E89/12</f>
        <v>831.858066666667</v>
      </c>
    </row>
    <row r="90" customFormat="false" ht="49.2" hidden="false" customHeight="false" outlineLevel="0" collapsed="false">
      <c r="A90" s="240" t="n">
        <v>50</v>
      </c>
      <c r="B90" s="256" t="n">
        <v>441004</v>
      </c>
      <c r="C90" s="257" t="s">
        <v>595</v>
      </c>
      <c r="D90" s="257" t="s">
        <v>596</v>
      </c>
      <c r="E90" s="258" t="n">
        <v>0.14</v>
      </c>
      <c r="F90" s="259" t="s">
        <v>496</v>
      </c>
      <c r="G90" s="260" t="n">
        <v>71302.12</v>
      </c>
      <c r="H90" s="260" t="n">
        <f aca="false">G90*E90/12</f>
        <v>831.858066666667</v>
      </c>
    </row>
    <row r="91" customFormat="false" ht="49.2" hidden="false" customHeight="false" outlineLevel="0" collapsed="false">
      <c r="A91" s="240" t="n">
        <v>51</v>
      </c>
      <c r="B91" s="256" t="n">
        <v>441005</v>
      </c>
      <c r="C91" s="257" t="s">
        <v>597</v>
      </c>
      <c r="D91" s="257" t="s">
        <v>598</v>
      </c>
      <c r="E91" s="258" t="n">
        <v>0.14</v>
      </c>
      <c r="F91" s="259" t="s">
        <v>496</v>
      </c>
      <c r="G91" s="260" t="n">
        <v>71302.12</v>
      </c>
      <c r="H91" s="260" t="n">
        <f aca="false">G91*E91/12</f>
        <v>831.858066666667</v>
      </c>
    </row>
    <row r="92" customFormat="false" ht="49.2" hidden="false" customHeight="false" outlineLevel="0" collapsed="false">
      <c r="A92" s="240" t="n">
        <v>52</v>
      </c>
      <c r="B92" s="256" t="n">
        <v>441006</v>
      </c>
      <c r="C92" s="257" t="s">
        <v>599</v>
      </c>
      <c r="D92" s="257" t="s">
        <v>600</v>
      </c>
      <c r="E92" s="258" t="n">
        <v>0.14</v>
      </c>
      <c r="F92" s="259" t="s">
        <v>496</v>
      </c>
      <c r="G92" s="260" t="n">
        <v>71302.12</v>
      </c>
      <c r="H92" s="260" t="n">
        <f aca="false">G92*E92/12</f>
        <v>831.858066666667</v>
      </c>
    </row>
    <row r="93" customFormat="false" ht="49.2" hidden="false" customHeight="false" outlineLevel="0" collapsed="false">
      <c r="A93" s="240" t="n">
        <v>53</v>
      </c>
      <c r="B93" s="256" t="n">
        <v>441007</v>
      </c>
      <c r="C93" s="257" t="s">
        <v>601</v>
      </c>
      <c r="D93" s="257" t="s">
        <v>602</v>
      </c>
      <c r="E93" s="258" t="n">
        <v>0.14</v>
      </c>
      <c r="F93" s="259" t="s">
        <v>496</v>
      </c>
      <c r="G93" s="260" t="n">
        <v>71302.12</v>
      </c>
      <c r="H93" s="260" t="n">
        <f aca="false">G93*E93/12</f>
        <v>831.858066666667</v>
      </c>
    </row>
    <row r="94" customFormat="false" ht="37.2" hidden="false" customHeight="false" outlineLevel="0" collapsed="false">
      <c r="A94" s="240" t="n">
        <v>54</v>
      </c>
      <c r="B94" s="256" t="n">
        <v>441008</v>
      </c>
      <c r="C94" s="257" t="s">
        <v>603</v>
      </c>
      <c r="D94" s="257" t="s">
        <v>604</v>
      </c>
      <c r="E94" s="258" t="n">
        <v>0.14</v>
      </c>
      <c r="F94" s="259" t="s">
        <v>496</v>
      </c>
      <c r="G94" s="260" t="n">
        <v>741663.89</v>
      </c>
      <c r="H94" s="260" t="n">
        <f aca="false">G94*E94/12</f>
        <v>8652.74538333334</v>
      </c>
    </row>
    <row r="95" customFormat="false" ht="37.2" hidden="false" customHeight="false" outlineLevel="0" collapsed="false">
      <c r="A95" s="240" t="n">
        <v>55</v>
      </c>
      <c r="B95" s="256" t="n">
        <v>441009</v>
      </c>
      <c r="C95" s="257" t="s">
        <v>605</v>
      </c>
      <c r="D95" s="257" t="s">
        <v>606</v>
      </c>
      <c r="E95" s="258" t="n">
        <v>0.14</v>
      </c>
      <c r="F95" s="259" t="s">
        <v>496</v>
      </c>
      <c r="G95" s="260" t="n">
        <v>741663.89</v>
      </c>
      <c r="H95" s="260" t="n">
        <f aca="false">G95*E95/12</f>
        <v>8652.74538333334</v>
      </c>
    </row>
    <row r="96" customFormat="false" ht="37.2" hidden="false" customHeight="false" outlineLevel="0" collapsed="false">
      <c r="A96" s="240" t="n">
        <v>56</v>
      </c>
      <c r="B96" s="256" t="n">
        <v>441010</v>
      </c>
      <c r="C96" s="257" t="s">
        <v>607</v>
      </c>
      <c r="D96" s="257" t="s">
        <v>608</v>
      </c>
      <c r="E96" s="258" t="n">
        <v>0.14</v>
      </c>
      <c r="F96" s="259" t="s">
        <v>496</v>
      </c>
      <c r="G96" s="260" t="n">
        <v>741663.89</v>
      </c>
      <c r="H96" s="260" t="n">
        <f aca="false">G96*E96/12</f>
        <v>8652.74538333334</v>
      </c>
    </row>
    <row r="97" customFormat="false" ht="37.2" hidden="false" customHeight="false" outlineLevel="0" collapsed="false">
      <c r="A97" s="240" t="n">
        <v>57</v>
      </c>
      <c r="B97" s="256" t="n">
        <v>441011</v>
      </c>
      <c r="C97" s="257" t="s">
        <v>609</v>
      </c>
      <c r="D97" s="257" t="s">
        <v>610</v>
      </c>
      <c r="E97" s="258" t="n">
        <v>0.14</v>
      </c>
      <c r="F97" s="259" t="s">
        <v>496</v>
      </c>
      <c r="G97" s="260" t="n">
        <v>531931.37</v>
      </c>
      <c r="H97" s="260" t="n">
        <f aca="false">G97*E97/12</f>
        <v>6205.86598333333</v>
      </c>
    </row>
    <row r="98" customFormat="false" ht="37.2" hidden="false" customHeight="false" outlineLevel="0" collapsed="false">
      <c r="A98" s="240" t="n">
        <v>58</v>
      </c>
      <c r="B98" s="256" t="n">
        <v>441012</v>
      </c>
      <c r="C98" s="257" t="s">
        <v>611</v>
      </c>
      <c r="D98" s="257" t="s">
        <v>612</v>
      </c>
      <c r="E98" s="258" t="n">
        <v>0.14</v>
      </c>
      <c r="F98" s="259" t="s">
        <v>496</v>
      </c>
      <c r="G98" s="260" t="n">
        <v>531931.37</v>
      </c>
      <c r="H98" s="260" t="n">
        <f aca="false">G98*E98/12</f>
        <v>6205.86598333333</v>
      </c>
    </row>
    <row r="99" customFormat="false" ht="14.4" hidden="false" customHeight="false" outlineLevel="0" collapsed="false">
      <c r="A99" s="240" t="n">
        <v>59</v>
      </c>
      <c r="B99" s="256" t="n">
        <v>444001</v>
      </c>
      <c r="C99" s="257" t="s">
        <v>613</v>
      </c>
      <c r="D99" s="257" t="s">
        <v>614</v>
      </c>
      <c r="E99" s="258" t="n">
        <v>0.14</v>
      </c>
      <c r="F99" s="259" t="s">
        <v>496</v>
      </c>
      <c r="G99" s="260" t="n">
        <v>193926.29</v>
      </c>
      <c r="H99" s="260" t="n">
        <f aca="false">G99*E99/12</f>
        <v>2262.47338333333</v>
      </c>
    </row>
    <row r="100" customFormat="false" ht="14.4" hidden="false" customHeight="false" outlineLevel="0" collapsed="false">
      <c r="A100" s="240" t="n">
        <v>60</v>
      </c>
      <c r="B100" s="256" t="n">
        <v>444002</v>
      </c>
      <c r="C100" s="257" t="s">
        <v>615</v>
      </c>
      <c r="D100" s="257" t="s">
        <v>616</v>
      </c>
      <c r="E100" s="258" t="n">
        <v>0.14</v>
      </c>
      <c r="F100" s="259" t="s">
        <v>496</v>
      </c>
      <c r="G100" s="260" t="n">
        <v>193926.29</v>
      </c>
      <c r="H100" s="260" t="n">
        <f aca="false">G100*E100/12</f>
        <v>2262.47338333333</v>
      </c>
    </row>
    <row r="101" customFormat="false" ht="37.2" hidden="false" customHeight="false" outlineLevel="0" collapsed="false">
      <c r="A101" s="240" t="n">
        <v>61</v>
      </c>
      <c r="B101" s="256" t="n">
        <v>463001</v>
      </c>
      <c r="C101" s="257" t="s">
        <v>617</v>
      </c>
      <c r="D101" s="257" t="s">
        <v>618</v>
      </c>
      <c r="E101" s="258" t="n">
        <v>0.14</v>
      </c>
      <c r="F101" s="259" t="s">
        <v>496</v>
      </c>
      <c r="G101" s="260" t="n">
        <v>743376.42</v>
      </c>
      <c r="H101" s="260" t="n">
        <f aca="false">G101*E101/12</f>
        <v>8672.7249</v>
      </c>
    </row>
    <row r="102" customFormat="false" ht="37.2" hidden="false" customHeight="false" outlineLevel="0" collapsed="false">
      <c r="A102" s="240" t="n">
        <v>62</v>
      </c>
      <c r="B102" s="256" t="n">
        <v>484001</v>
      </c>
      <c r="C102" s="257" t="s">
        <v>619</v>
      </c>
      <c r="D102" s="257" t="s">
        <v>620</v>
      </c>
      <c r="E102" s="258" t="n">
        <v>0.18</v>
      </c>
      <c r="F102" s="259" t="s">
        <v>621</v>
      </c>
      <c r="G102" s="260" t="n">
        <v>16372</v>
      </c>
      <c r="H102" s="260" t="n">
        <f aca="false">G102*E102/12</f>
        <v>245.58</v>
      </c>
    </row>
    <row r="103" customFormat="false" ht="25.2" hidden="false" customHeight="false" outlineLevel="0" collapsed="false">
      <c r="A103" s="240" t="n">
        <v>63</v>
      </c>
      <c r="B103" s="256" t="n">
        <v>484002</v>
      </c>
      <c r="C103" s="257" t="s">
        <v>622</v>
      </c>
      <c r="D103" s="257" t="s">
        <v>623</v>
      </c>
      <c r="E103" s="258" t="n">
        <v>0.18</v>
      </c>
      <c r="F103" s="259" t="s">
        <v>621</v>
      </c>
      <c r="G103" s="260" t="n">
        <v>6341</v>
      </c>
      <c r="H103" s="260" t="n">
        <f aca="false">G103*E103/12</f>
        <v>95.115</v>
      </c>
    </row>
    <row r="104" customFormat="false" ht="73.2" hidden="false" customHeight="false" outlineLevel="0" collapsed="false">
      <c r="A104" s="240" t="n">
        <v>64</v>
      </c>
      <c r="B104" s="256" t="s">
        <v>624</v>
      </c>
      <c r="C104" s="257" t="s">
        <v>625</v>
      </c>
      <c r="D104" s="257" t="s">
        <v>626</v>
      </c>
      <c r="E104" s="258" t="n">
        <v>0.3</v>
      </c>
      <c r="F104" s="259" t="s">
        <v>627</v>
      </c>
      <c r="G104" s="260" t="n">
        <f aca="false">11428+51201+67331+8413+7862+25145+12857+51919.37+53776.66+2780+3258+1504+58810</f>
        <v>356285.03</v>
      </c>
      <c r="H104" s="260" t="n">
        <f aca="false">G104*E104/12</f>
        <v>8907.12575</v>
      </c>
    </row>
    <row r="105" customFormat="false" ht="25.2" hidden="false" customHeight="false" outlineLevel="0" collapsed="false">
      <c r="A105" s="240" t="n">
        <v>65</v>
      </c>
      <c r="B105" s="256" t="s">
        <v>628</v>
      </c>
      <c r="C105" s="257" t="s">
        <v>629</v>
      </c>
      <c r="D105" s="257" t="s">
        <v>630</v>
      </c>
      <c r="E105" s="258" t="n">
        <v>0.3</v>
      </c>
      <c r="F105" s="259" t="s">
        <v>631</v>
      </c>
      <c r="G105" s="260" t="n">
        <v>13606</v>
      </c>
      <c r="H105" s="260" t="n">
        <f aca="false">G105*E105/12</f>
        <v>340.15</v>
      </c>
    </row>
    <row r="106" customFormat="false" ht="25.2" hidden="false" customHeight="false" outlineLevel="0" collapsed="false">
      <c r="A106" s="240" t="n">
        <v>66</v>
      </c>
      <c r="B106" s="256" t="s">
        <v>632</v>
      </c>
      <c r="C106" s="257" t="s">
        <v>629</v>
      </c>
      <c r="D106" s="257" t="s">
        <v>630</v>
      </c>
      <c r="E106" s="258" t="n">
        <v>0.3</v>
      </c>
      <c r="F106" s="259" t="s">
        <v>631</v>
      </c>
      <c r="G106" s="260" t="n">
        <v>13606</v>
      </c>
      <c r="H106" s="260" t="n">
        <f aca="false">G106*E106/12</f>
        <v>340.15</v>
      </c>
    </row>
    <row r="107" customFormat="false" ht="25.2" hidden="false" customHeight="false" outlineLevel="0" collapsed="false">
      <c r="A107" s="240" t="n">
        <v>67</v>
      </c>
      <c r="B107" s="256" t="s">
        <v>633</v>
      </c>
      <c r="C107" s="257" t="s">
        <v>629</v>
      </c>
      <c r="D107" s="257" t="s">
        <v>630</v>
      </c>
      <c r="E107" s="258" t="n">
        <v>0.3</v>
      </c>
      <c r="F107" s="259" t="s">
        <v>631</v>
      </c>
      <c r="G107" s="260" t="n">
        <v>13606</v>
      </c>
      <c r="H107" s="260" t="n">
        <f aca="false">G107*E107/12</f>
        <v>340.15</v>
      </c>
    </row>
    <row r="108" customFormat="false" ht="25.2" hidden="false" customHeight="false" outlineLevel="0" collapsed="false">
      <c r="A108" s="240" t="n">
        <v>68</v>
      </c>
      <c r="B108" s="256" t="s">
        <v>634</v>
      </c>
      <c r="C108" s="257" t="s">
        <v>629</v>
      </c>
      <c r="D108" s="257" t="s">
        <v>630</v>
      </c>
      <c r="E108" s="258" t="n">
        <v>0.3</v>
      </c>
      <c r="F108" s="259" t="s">
        <v>631</v>
      </c>
      <c r="G108" s="260" t="n">
        <v>13606</v>
      </c>
      <c r="H108" s="260" t="n">
        <f aca="false">G108*E108/12</f>
        <v>340.15</v>
      </c>
    </row>
    <row r="109" customFormat="false" ht="37.2" hidden="false" customHeight="false" outlineLevel="0" collapsed="false">
      <c r="A109" s="240" t="n">
        <v>69</v>
      </c>
      <c r="B109" s="256" t="s">
        <v>635</v>
      </c>
      <c r="C109" s="257" t="s">
        <v>636</v>
      </c>
      <c r="D109" s="257" t="s">
        <v>637</v>
      </c>
      <c r="E109" s="258" t="n">
        <v>0.3</v>
      </c>
      <c r="F109" s="259" t="s">
        <v>638</v>
      </c>
      <c r="G109" s="260" t="n">
        <v>25779</v>
      </c>
      <c r="H109" s="260" t="n">
        <f aca="false">G109*E109/12</f>
        <v>644.475</v>
      </c>
    </row>
    <row r="110" customFormat="false" ht="25.2" hidden="false" customHeight="false" outlineLevel="0" collapsed="false">
      <c r="A110" s="240" t="n">
        <v>70</v>
      </c>
      <c r="B110" s="256" t="s">
        <v>639</v>
      </c>
      <c r="C110" s="257" t="s">
        <v>629</v>
      </c>
      <c r="D110" s="257" t="s">
        <v>630</v>
      </c>
      <c r="E110" s="258" t="n">
        <v>0.3</v>
      </c>
      <c r="F110" s="259" t="s">
        <v>640</v>
      </c>
      <c r="G110" s="260" t="n">
        <v>13045</v>
      </c>
      <c r="H110" s="260" t="n">
        <f aca="false">G110*E110/12</f>
        <v>326.125</v>
      </c>
    </row>
    <row r="111" customFormat="false" ht="25.2" hidden="false" customHeight="false" outlineLevel="0" collapsed="false">
      <c r="A111" s="240" t="n">
        <v>71</v>
      </c>
      <c r="B111" s="256" t="s">
        <v>641</v>
      </c>
      <c r="C111" s="257" t="s">
        <v>629</v>
      </c>
      <c r="D111" s="257" t="s">
        <v>630</v>
      </c>
      <c r="E111" s="258" t="n">
        <v>0.3</v>
      </c>
      <c r="F111" s="259" t="s">
        <v>640</v>
      </c>
      <c r="G111" s="260" t="n">
        <v>13045</v>
      </c>
      <c r="H111" s="260" t="n">
        <f aca="false">G111*E111/12</f>
        <v>326.125</v>
      </c>
    </row>
    <row r="112" customFormat="false" ht="25.2" hidden="false" customHeight="false" outlineLevel="0" collapsed="false">
      <c r="A112" s="240" t="n">
        <v>72</v>
      </c>
      <c r="B112" s="256" t="s">
        <v>642</v>
      </c>
      <c r="C112" s="257" t="s">
        <v>629</v>
      </c>
      <c r="D112" s="257" t="s">
        <v>630</v>
      </c>
      <c r="E112" s="258" t="n">
        <v>0.3</v>
      </c>
      <c r="F112" s="259" t="s">
        <v>640</v>
      </c>
      <c r="G112" s="260" t="n">
        <v>13045</v>
      </c>
      <c r="H112" s="260" t="n">
        <f aca="false">G112*E112/12</f>
        <v>326.125</v>
      </c>
    </row>
    <row r="113" customFormat="false" ht="25.2" hidden="false" customHeight="false" outlineLevel="0" collapsed="false">
      <c r="A113" s="240" t="n">
        <v>73</v>
      </c>
      <c r="B113" s="256" t="s">
        <v>643</v>
      </c>
      <c r="C113" s="257" t="s">
        <v>629</v>
      </c>
      <c r="D113" s="257" t="s">
        <v>630</v>
      </c>
      <c r="E113" s="258" t="n">
        <v>0.3</v>
      </c>
      <c r="F113" s="259" t="s">
        <v>644</v>
      </c>
      <c r="G113" s="260" t="n">
        <v>13297</v>
      </c>
      <c r="H113" s="260" t="n">
        <f aca="false">G113*E113/12</f>
        <v>332.425</v>
      </c>
    </row>
    <row r="114" customFormat="false" ht="25.2" hidden="false" customHeight="false" outlineLevel="0" collapsed="false">
      <c r="A114" s="240" t="n">
        <v>74</v>
      </c>
      <c r="B114" s="256" t="s">
        <v>645</v>
      </c>
      <c r="C114" s="257" t="s">
        <v>629</v>
      </c>
      <c r="D114" s="257" t="s">
        <v>630</v>
      </c>
      <c r="E114" s="258" t="n">
        <v>0.3</v>
      </c>
      <c r="F114" s="259" t="s">
        <v>644</v>
      </c>
      <c r="G114" s="260" t="n">
        <v>13297</v>
      </c>
      <c r="H114" s="260" t="n">
        <f aca="false">G114*E114/12</f>
        <v>332.425</v>
      </c>
    </row>
    <row r="115" customFormat="false" ht="25.2" hidden="false" customHeight="false" outlineLevel="0" collapsed="false">
      <c r="A115" s="240" t="n">
        <v>75</v>
      </c>
      <c r="B115" s="256" t="s">
        <v>646</v>
      </c>
      <c r="C115" s="257" t="s">
        <v>629</v>
      </c>
      <c r="D115" s="257" t="s">
        <v>630</v>
      </c>
      <c r="E115" s="258" t="n">
        <v>0.3</v>
      </c>
      <c r="F115" s="259" t="s">
        <v>644</v>
      </c>
      <c r="G115" s="260" t="n">
        <v>13297</v>
      </c>
      <c r="H115" s="260" t="n">
        <f aca="false">G115*E115/12</f>
        <v>332.425</v>
      </c>
    </row>
    <row r="116" customFormat="false" ht="25.2" hidden="false" customHeight="false" outlineLevel="0" collapsed="false">
      <c r="A116" s="240" t="n">
        <v>76</v>
      </c>
      <c r="B116" s="256" t="s">
        <v>647</v>
      </c>
      <c r="C116" s="257" t="s">
        <v>629</v>
      </c>
      <c r="D116" s="257" t="s">
        <v>630</v>
      </c>
      <c r="E116" s="258" t="n">
        <v>0.3</v>
      </c>
      <c r="F116" s="259" t="s">
        <v>648</v>
      </c>
      <c r="G116" s="260" t="n">
        <v>13770</v>
      </c>
      <c r="H116" s="260" t="n">
        <f aca="false">G116*E116/12</f>
        <v>344.25</v>
      </c>
    </row>
    <row r="117" customFormat="false" ht="14.4" hidden="false" customHeight="false" outlineLevel="0" collapsed="false">
      <c r="A117" s="240" t="n">
        <v>77</v>
      </c>
      <c r="B117" s="256" t="s">
        <v>649</v>
      </c>
      <c r="C117" s="257" t="s">
        <v>650</v>
      </c>
      <c r="D117" s="257" t="s">
        <v>651</v>
      </c>
      <c r="E117" s="258" t="n">
        <v>0.3</v>
      </c>
      <c r="F117" s="259" t="s">
        <v>652</v>
      </c>
      <c r="G117" s="260" t="n">
        <v>3281.97</v>
      </c>
      <c r="H117" s="260" t="n">
        <f aca="false">G117*E117/12</f>
        <v>82.04925</v>
      </c>
    </row>
    <row r="118" customFormat="false" ht="37.2" hidden="false" customHeight="false" outlineLevel="0" collapsed="false">
      <c r="A118" s="240" t="n">
        <v>78</v>
      </c>
      <c r="B118" s="256" t="s">
        <v>653</v>
      </c>
      <c r="C118" s="257" t="s">
        <v>654</v>
      </c>
      <c r="D118" s="257" t="s">
        <v>655</v>
      </c>
      <c r="E118" s="258" t="n">
        <v>0.3</v>
      </c>
      <c r="F118" s="259" t="s">
        <v>656</v>
      </c>
      <c r="G118" s="260" t="n">
        <f aca="false">15332+1700</f>
        <v>17032</v>
      </c>
      <c r="H118" s="260" t="n">
        <f aca="false">G118*E118/12</f>
        <v>425.8</v>
      </c>
    </row>
    <row r="119" customFormat="false" ht="25.2" hidden="false" customHeight="false" outlineLevel="0" collapsed="false">
      <c r="A119" s="240" t="n">
        <v>79</v>
      </c>
      <c r="B119" s="256" t="s">
        <v>657</v>
      </c>
      <c r="C119" s="257" t="s">
        <v>629</v>
      </c>
      <c r="D119" s="257" t="s">
        <v>630</v>
      </c>
      <c r="E119" s="258" t="n">
        <v>0.3</v>
      </c>
      <c r="F119" s="259" t="s">
        <v>658</v>
      </c>
      <c r="G119" s="260" t="n">
        <v>9402</v>
      </c>
      <c r="H119" s="260" t="n">
        <f aca="false">G119*E119/12</f>
        <v>235.05</v>
      </c>
    </row>
    <row r="120" customFormat="false" ht="25.2" hidden="false" customHeight="false" outlineLevel="0" collapsed="false">
      <c r="A120" s="240" t="n">
        <v>80</v>
      </c>
      <c r="B120" s="256" t="s">
        <v>659</v>
      </c>
      <c r="C120" s="257" t="s">
        <v>629</v>
      </c>
      <c r="D120" s="257" t="s">
        <v>630</v>
      </c>
      <c r="E120" s="258" t="n">
        <v>0.3</v>
      </c>
      <c r="F120" s="259" t="s">
        <v>660</v>
      </c>
      <c r="G120" s="260" t="n">
        <v>7492</v>
      </c>
      <c r="H120" s="260" t="n">
        <f aca="false">G120*E120/12</f>
        <v>187.3</v>
      </c>
    </row>
    <row r="121" customFormat="false" ht="25.2" hidden="false" customHeight="false" outlineLevel="0" collapsed="false">
      <c r="A121" s="240" t="n">
        <v>81</v>
      </c>
      <c r="B121" s="256" t="s">
        <v>661</v>
      </c>
      <c r="C121" s="257" t="s">
        <v>629</v>
      </c>
      <c r="D121" s="257" t="s">
        <v>630</v>
      </c>
      <c r="E121" s="258" t="n">
        <v>0.3</v>
      </c>
      <c r="F121" s="259" t="s">
        <v>660</v>
      </c>
      <c r="G121" s="260" t="n">
        <v>7492</v>
      </c>
      <c r="H121" s="260" t="n">
        <f aca="false">G121*E121/12</f>
        <v>187.3</v>
      </c>
    </row>
    <row r="122" customFormat="false" ht="37.2" hidden="false" customHeight="false" outlineLevel="0" collapsed="false">
      <c r="A122" s="240" t="n">
        <v>82</v>
      </c>
      <c r="B122" s="256" t="s">
        <v>662</v>
      </c>
      <c r="C122" s="257" t="s">
        <v>636</v>
      </c>
      <c r="D122" s="257" t="s">
        <v>637</v>
      </c>
      <c r="E122" s="258" t="n">
        <v>0.3</v>
      </c>
      <c r="F122" s="259" t="s">
        <v>663</v>
      </c>
      <c r="G122" s="260" t="n">
        <v>11216</v>
      </c>
      <c r="H122" s="260" t="n">
        <f aca="false">G122*E122/12</f>
        <v>280.4</v>
      </c>
    </row>
    <row r="123" customFormat="false" ht="37.2" hidden="false" customHeight="false" outlineLevel="0" collapsed="false">
      <c r="A123" s="240" t="n">
        <v>83</v>
      </c>
      <c r="B123" s="256" t="s">
        <v>664</v>
      </c>
      <c r="C123" s="257" t="s">
        <v>665</v>
      </c>
      <c r="D123" s="257" t="s">
        <v>666</v>
      </c>
      <c r="E123" s="258" t="n">
        <v>0.3</v>
      </c>
      <c r="F123" s="259" t="s">
        <v>667</v>
      </c>
      <c r="G123" s="260" t="n">
        <v>4633.61</v>
      </c>
      <c r="H123" s="260" t="n">
        <f aca="false">G123*E123/12</f>
        <v>115.84025</v>
      </c>
    </row>
    <row r="124" customFormat="false" ht="25.2" hidden="false" customHeight="false" outlineLevel="0" collapsed="false">
      <c r="A124" s="240" t="n">
        <v>84</v>
      </c>
      <c r="B124" s="256" t="s">
        <v>668</v>
      </c>
      <c r="C124" s="257" t="s">
        <v>629</v>
      </c>
      <c r="D124" s="257" t="s">
        <v>630</v>
      </c>
      <c r="E124" s="258" t="n">
        <v>0.3</v>
      </c>
      <c r="F124" s="259" t="s">
        <v>669</v>
      </c>
      <c r="G124" s="260" t="n">
        <v>7481</v>
      </c>
      <c r="H124" s="260" t="n">
        <f aca="false">G124*E124/12</f>
        <v>187.025</v>
      </c>
    </row>
    <row r="125" customFormat="false" ht="25.2" hidden="false" customHeight="false" outlineLevel="0" collapsed="false">
      <c r="A125" s="240" t="n">
        <v>85</v>
      </c>
      <c r="B125" s="256" t="s">
        <v>670</v>
      </c>
      <c r="C125" s="257" t="s">
        <v>629</v>
      </c>
      <c r="D125" s="257" t="s">
        <v>630</v>
      </c>
      <c r="E125" s="258" t="n">
        <v>0.3</v>
      </c>
      <c r="F125" s="259" t="s">
        <v>669</v>
      </c>
      <c r="G125" s="260" t="n">
        <v>7481</v>
      </c>
      <c r="H125" s="260" t="n">
        <f aca="false">G125*E125/12</f>
        <v>187.025</v>
      </c>
    </row>
    <row r="126" customFormat="false" ht="37.2" hidden="false" customHeight="false" outlineLevel="0" collapsed="false">
      <c r="A126" s="240" t="n">
        <v>86</v>
      </c>
      <c r="B126" s="256" t="n">
        <v>492001</v>
      </c>
      <c r="C126" s="257" t="s">
        <v>671</v>
      </c>
      <c r="D126" s="257" t="s">
        <v>672</v>
      </c>
      <c r="E126" s="258" t="n">
        <v>0.18</v>
      </c>
      <c r="F126" s="259" t="s">
        <v>496</v>
      </c>
      <c r="G126" s="260" t="n">
        <v>9388596.3</v>
      </c>
      <c r="H126" s="260" t="n">
        <f aca="false">G126*E126/12</f>
        <v>140828.9445</v>
      </c>
    </row>
    <row r="127" customFormat="false" ht="25.2" hidden="false" customHeight="false" outlineLevel="0" collapsed="false">
      <c r="A127" s="240" t="n">
        <v>87</v>
      </c>
      <c r="B127" s="261" t="n">
        <v>604001</v>
      </c>
      <c r="C127" s="262" t="s">
        <v>673</v>
      </c>
      <c r="D127" s="262" t="s">
        <v>674</v>
      </c>
      <c r="E127" s="263" t="n">
        <v>0.1</v>
      </c>
      <c r="F127" s="264" t="s">
        <v>496</v>
      </c>
      <c r="G127" s="265" t="n">
        <v>954671.53</v>
      </c>
      <c r="H127" s="265" t="n">
        <f aca="false">G127*E127/12</f>
        <v>7955.59608333333</v>
      </c>
    </row>
    <row r="128" customFormat="false" ht="37.2" hidden="false" customHeight="false" outlineLevel="0" collapsed="false">
      <c r="A128" s="240" t="n">
        <v>88</v>
      </c>
      <c r="B128" s="261" t="n">
        <v>604002</v>
      </c>
      <c r="C128" s="262" t="s">
        <v>675</v>
      </c>
      <c r="D128" s="262" t="s">
        <v>676</v>
      </c>
      <c r="E128" s="263" t="n">
        <v>0.1</v>
      </c>
      <c r="F128" s="264" t="s">
        <v>496</v>
      </c>
      <c r="G128" s="265" t="n">
        <v>942885.47</v>
      </c>
      <c r="H128" s="265" t="n">
        <f aca="false">G128*E128/12</f>
        <v>7857.37891666667</v>
      </c>
    </row>
    <row r="129" customFormat="false" ht="37.2" hidden="false" customHeight="false" outlineLevel="0" collapsed="false">
      <c r="A129" s="240" t="n">
        <v>89</v>
      </c>
      <c r="B129" s="261" t="n">
        <v>604003</v>
      </c>
      <c r="C129" s="262" t="s">
        <v>677</v>
      </c>
      <c r="D129" s="262" t="s">
        <v>678</v>
      </c>
      <c r="E129" s="263" t="n">
        <v>0.1</v>
      </c>
      <c r="F129" s="264" t="s">
        <v>496</v>
      </c>
      <c r="G129" s="265" t="n">
        <v>942885.47</v>
      </c>
      <c r="H129" s="265" t="n">
        <f aca="false">G129*E129/12</f>
        <v>7857.37891666667</v>
      </c>
    </row>
    <row r="130" customFormat="false" ht="25.2" hidden="false" customHeight="false" outlineLevel="0" collapsed="false">
      <c r="A130" s="240" t="n">
        <v>90</v>
      </c>
      <c r="B130" s="261" t="n">
        <v>604004</v>
      </c>
      <c r="C130" s="262" t="s">
        <v>679</v>
      </c>
      <c r="D130" s="262" t="s">
        <v>680</v>
      </c>
      <c r="E130" s="263" t="n">
        <v>0.1</v>
      </c>
      <c r="F130" s="264" t="s">
        <v>496</v>
      </c>
      <c r="G130" s="265" t="n">
        <v>5561642.76</v>
      </c>
      <c r="H130" s="265" t="n">
        <f aca="false">G130*E130/12</f>
        <v>46347.023</v>
      </c>
    </row>
    <row r="131" customFormat="false" ht="25.2" hidden="false" customHeight="false" outlineLevel="0" collapsed="false">
      <c r="A131" s="240" t="n">
        <v>91</v>
      </c>
      <c r="B131" s="261" t="n">
        <v>604005</v>
      </c>
      <c r="C131" s="262" t="s">
        <v>681</v>
      </c>
      <c r="D131" s="262" t="s">
        <v>682</v>
      </c>
      <c r="E131" s="263" t="n">
        <v>0.1</v>
      </c>
      <c r="F131" s="264" t="s">
        <v>496</v>
      </c>
      <c r="G131" s="265" t="n">
        <v>5561642.76</v>
      </c>
      <c r="H131" s="265" t="n">
        <f aca="false">G131*E131/12</f>
        <v>46347.023</v>
      </c>
    </row>
    <row r="132" customFormat="false" ht="61.2" hidden="false" customHeight="false" outlineLevel="0" collapsed="false">
      <c r="A132" s="240" t="n">
        <v>92</v>
      </c>
      <c r="B132" s="261" t="n">
        <v>604006</v>
      </c>
      <c r="C132" s="262" t="s">
        <v>683</v>
      </c>
      <c r="D132" s="262" t="s">
        <v>684</v>
      </c>
      <c r="E132" s="263" t="n">
        <v>0.1</v>
      </c>
      <c r="F132" s="264" t="s">
        <v>496</v>
      </c>
      <c r="G132" s="265" t="n">
        <v>154288.83</v>
      </c>
      <c r="H132" s="265" t="n">
        <f aca="false">G132*E132/12</f>
        <v>1285.74025</v>
      </c>
    </row>
    <row r="133" customFormat="false" ht="49.2" hidden="false" customHeight="false" outlineLevel="0" collapsed="false">
      <c r="A133" s="240" t="n">
        <v>93</v>
      </c>
      <c r="B133" s="261" t="n">
        <v>604007</v>
      </c>
      <c r="C133" s="262" t="s">
        <v>685</v>
      </c>
      <c r="D133" s="262" t="s">
        <v>686</v>
      </c>
      <c r="E133" s="263" t="n">
        <v>0.1</v>
      </c>
      <c r="F133" s="264" t="s">
        <v>687</v>
      </c>
      <c r="G133" s="265" t="n">
        <v>1550166.69</v>
      </c>
      <c r="H133" s="265" t="n">
        <f aca="false">G133*E133/12</f>
        <v>12918.05575</v>
      </c>
    </row>
    <row r="134" customFormat="false" ht="61.2" hidden="false" customHeight="false" outlineLevel="0" collapsed="false">
      <c r="A134" s="240" t="n">
        <v>94</v>
      </c>
      <c r="B134" s="261" t="n">
        <v>604008</v>
      </c>
      <c r="C134" s="262" t="s">
        <v>688</v>
      </c>
      <c r="D134" s="262" t="s">
        <v>689</v>
      </c>
      <c r="E134" s="263" t="n">
        <v>0.1</v>
      </c>
      <c r="F134" s="264" t="s">
        <v>690</v>
      </c>
      <c r="G134" s="265" t="n">
        <v>431656.4</v>
      </c>
      <c r="H134" s="265" t="n">
        <f aca="false">G134*E134/12</f>
        <v>3597.13666666667</v>
      </c>
    </row>
    <row r="135" customFormat="false" ht="37.2" hidden="false" customHeight="false" outlineLevel="0" collapsed="false">
      <c r="A135" s="240" t="n">
        <v>95</v>
      </c>
      <c r="B135" s="261" t="n">
        <v>610001</v>
      </c>
      <c r="C135" s="262" t="s">
        <v>691</v>
      </c>
      <c r="D135" s="262" t="s">
        <v>692</v>
      </c>
      <c r="E135" s="263" t="n">
        <v>0.18</v>
      </c>
      <c r="F135" s="264" t="s">
        <v>496</v>
      </c>
      <c r="G135" s="265" t="n">
        <v>5959337.38</v>
      </c>
      <c r="H135" s="265" t="n">
        <f aca="false">G135*E135/12</f>
        <v>89390.0607</v>
      </c>
    </row>
    <row r="136" customFormat="false" ht="49.2" hidden="false" customHeight="false" outlineLevel="0" collapsed="false">
      <c r="A136" s="240" t="n">
        <v>96</v>
      </c>
      <c r="B136" s="261" t="n">
        <v>610002</v>
      </c>
      <c r="C136" s="262" t="s">
        <v>693</v>
      </c>
      <c r="D136" s="262" t="s">
        <v>694</v>
      </c>
      <c r="E136" s="263" t="n">
        <v>0.18</v>
      </c>
      <c r="F136" s="264" t="s">
        <v>496</v>
      </c>
      <c r="G136" s="265" t="n">
        <v>7647666.77</v>
      </c>
      <c r="H136" s="265" t="n">
        <f aca="false">G136*E136/12</f>
        <v>114715.00155</v>
      </c>
    </row>
    <row r="137" customFormat="false" ht="25.2" hidden="false" customHeight="false" outlineLevel="0" collapsed="false">
      <c r="A137" s="240" t="n">
        <v>97</v>
      </c>
      <c r="B137" s="261" t="n">
        <v>610003</v>
      </c>
      <c r="C137" s="262" t="s">
        <v>695</v>
      </c>
      <c r="D137" s="262" t="s">
        <v>696</v>
      </c>
      <c r="E137" s="263" t="n">
        <v>0.18</v>
      </c>
      <c r="F137" s="264" t="s">
        <v>496</v>
      </c>
      <c r="G137" s="265" t="n">
        <v>835816.96</v>
      </c>
      <c r="H137" s="265" t="n">
        <f aca="false">G137*E137/12</f>
        <v>12537.2544</v>
      </c>
    </row>
    <row r="138" customFormat="false" ht="25.2" hidden="false" customHeight="false" outlineLevel="0" collapsed="false">
      <c r="A138" s="240" t="n">
        <v>98</v>
      </c>
      <c r="B138" s="261" t="n">
        <v>614001</v>
      </c>
      <c r="C138" s="262" t="s">
        <v>697</v>
      </c>
      <c r="D138" s="262" t="s">
        <v>698</v>
      </c>
      <c r="E138" s="263" t="n">
        <v>0.18</v>
      </c>
      <c r="F138" s="264" t="s">
        <v>496</v>
      </c>
      <c r="G138" s="265" t="n">
        <f aca="false">873581.61+1831584.43</f>
        <v>2705166.04</v>
      </c>
      <c r="H138" s="265" t="n">
        <f aca="false">G138*E138/12</f>
        <v>40577.4906</v>
      </c>
    </row>
    <row r="139" customFormat="false" ht="37.2" hidden="false" customHeight="false" outlineLevel="0" collapsed="false">
      <c r="A139" s="240" t="n">
        <v>99</v>
      </c>
      <c r="B139" s="261" t="n">
        <v>626001</v>
      </c>
      <c r="C139" s="262" t="s">
        <v>699</v>
      </c>
      <c r="D139" s="262" t="s">
        <v>700</v>
      </c>
      <c r="E139" s="263" t="n">
        <v>0.1</v>
      </c>
      <c r="F139" s="264" t="s">
        <v>496</v>
      </c>
      <c r="G139" s="265" t="n">
        <f aca="false">333380.67+5650</f>
        <v>339030.67</v>
      </c>
      <c r="H139" s="265" t="n">
        <f aca="false">G139*E139/12</f>
        <v>2825.25558333333</v>
      </c>
    </row>
    <row r="140" customFormat="false" ht="49.2" hidden="false" customHeight="false" outlineLevel="0" collapsed="false">
      <c r="A140" s="240" t="n">
        <v>100</v>
      </c>
      <c r="B140" s="261" t="n">
        <v>630001</v>
      </c>
      <c r="C140" s="262" t="s">
        <v>701</v>
      </c>
      <c r="D140" s="262" t="s">
        <v>702</v>
      </c>
      <c r="E140" s="263" t="n">
        <v>0.1</v>
      </c>
      <c r="F140" s="264" t="s">
        <v>496</v>
      </c>
      <c r="G140" s="265" t="n">
        <v>5245214.18</v>
      </c>
      <c r="H140" s="265" t="n">
        <f aca="false">G140*E140/12</f>
        <v>43710.1181666667</v>
      </c>
    </row>
    <row r="141" customFormat="false" ht="49.2" hidden="false" customHeight="false" outlineLevel="0" collapsed="false">
      <c r="A141" s="240" t="n">
        <v>101</v>
      </c>
      <c r="B141" s="261" t="n">
        <v>630002</v>
      </c>
      <c r="C141" s="262" t="s">
        <v>703</v>
      </c>
      <c r="D141" s="262" t="s">
        <v>704</v>
      </c>
      <c r="E141" s="263" t="n">
        <v>0.1</v>
      </c>
      <c r="F141" s="264" t="s">
        <v>496</v>
      </c>
      <c r="G141" s="265" t="n">
        <v>5245214.18</v>
      </c>
      <c r="H141" s="265" t="n">
        <f aca="false">G141*E141/12</f>
        <v>43710.1181666667</v>
      </c>
    </row>
    <row r="142" customFormat="false" ht="49.2" hidden="false" customHeight="false" outlineLevel="0" collapsed="false">
      <c r="A142" s="240" t="n">
        <v>102</v>
      </c>
      <c r="B142" s="261" t="n">
        <v>630003</v>
      </c>
      <c r="C142" s="262" t="s">
        <v>705</v>
      </c>
      <c r="D142" s="262" t="s">
        <v>706</v>
      </c>
      <c r="E142" s="263" t="n">
        <v>0.1</v>
      </c>
      <c r="F142" s="264" t="s">
        <v>496</v>
      </c>
      <c r="G142" s="265" t="n">
        <v>5245214.18</v>
      </c>
      <c r="H142" s="265" t="n">
        <f aca="false">G142*E142/12</f>
        <v>43710.1181666667</v>
      </c>
    </row>
    <row r="143" customFormat="false" ht="37.2" hidden="false" customHeight="false" outlineLevel="0" collapsed="false">
      <c r="A143" s="240" t="n">
        <v>103</v>
      </c>
      <c r="B143" s="261" t="n">
        <v>630004</v>
      </c>
      <c r="C143" s="262" t="s">
        <v>707</v>
      </c>
      <c r="D143" s="262" t="s">
        <v>708</v>
      </c>
      <c r="E143" s="263" t="n">
        <v>0.1</v>
      </c>
      <c r="F143" s="264" t="s">
        <v>496</v>
      </c>
      <c r="G143" s="265" t="n">
        <v>458663.06</v>
      </c>
      <c r="H143" s="265" t="n">
        <f aca="false">G143*E143/12</f>
        <v>3822.19216666667</v>
      </c>
    </row>
    <row r="144" customFormat="false" ht="37.2" hidden="false" customHeight="false" outlineLevel="0" collapsed="false">
      <c r="A144" s="240" t="n">
        <v>104</v>
      </c>
      <c r="B144" s="261" t="n">
        <v>630005</v>
      </c>
      <c r="C144" s="262" t="s">
        <v>707</v>
      </c>
      <c r="D144" s="262" t="s">
        <v>708</v>
      </c>
      <c r="E144" s="263" t="n">
        <v>0.1</v>
      </c>
      <c r="F144" s="264" t="s">
        <v>496</v>
      </c>
      <c r="G144" s="265" t="n">
        <v>458663.06</v>
      </c>
      <c r="H144" s="265" t="n">
        <f aca="false">G144*E144/12</f>
        <v>3822.19216666667</v>
      </c>
    </row>
    <row r="145" customFormat="false" ht="37.2" hidden="false" customHeight="false" outlineLevel="0" collapsed="false">
      <c r="A145" s="240" t="n">
        <v>105</v>
      </c>
      <c r="B145" s="261" t="n">
        <v>630006</v>
      </c>
      <c r="C145" s="262" t="s">
        <v>709</v>
      </c>
      <c r="D145" s="262" t="s">
        <v>710</v>
      </c>
      <c r="E145" s="263" t="n">
        <v>0.1</v>
      </c>
      <c r="F145" s="264" t="s">
        <v>496</v>
      </c>
      <c r="G145" s="265" t="n">
        <v>458663.06</v>
      </c>
      <c r="H145" s="265" t="n">
        <f aca="false">G145*E145/12</f>
        <v>3822.19216666667</v>
      </c>
    </row>
    <row r="146" customFormat="false" ht="37.2" hidden="false" customHeight="false" outlineLevel="0" collapsed="false">
      <c r="A146" s="240" t="n">
        <v>106</v>
      </c>
      <c r="B146" s="261" t="n">
        <v>630007</v>
      </c>
      <c r="C146" s="262" t="s">
        <v>711</v>
      </c>
      <c r="D146" s="262" t="s">
        <v>710</v>
      </c>
      <c r="E146" s="263" t="n">
        <v>0.1</v>
      </c>
      <c r="F146" s="264" t="s">
        <v>496</v>
      </c>
      <c r="G146" s="265" t="n">
        <v>458663.06</v>
      </c>
      <c r="H146" s="265" t="n">
        <f aca="false">G146*E146/12</f>
        <v>3822.19216666667</v>
      </c>
    </row>
    <row r="147" customFormat="false" ht="25.2" hidden="false" customHeight="false" outlineLevel="0" collapsed="false">
      <c r="A147" s="240" t="n">
        <v>107</v>
      </c>
      <c r="B147" s="261" t="n">
        <v>633001</v>
      </c>
      <c r="C147" s="262" t="s">
        <v>712</v>
      </c>
      <c r="D147" s="262" t="s">
        <v>713</v>
      </c>
      <c r="E147" s="263" t="n">
        <v>0.2</v>
      </c>
      <c r="F147" s="264" t="s">
        <v>496</v>
      </c>
      <c r="G147" s="265" t="n">
        <v>1614619.97</v>
      </c>
      <c r="H147" s="265" t="n">
        <f aca="false">G147*E147/12</f>
        <v>26910.3328333333</v>
      </c>
    </row>
    <row r="148" customFormat="false" ht="25.2" hidden="false" customHeight="false" outlineLevel="0" collapsed="false">
      <c r="A148" s="240" t="n">
        <v>108</v>
      </c>
      <c r="B148" s="261" t="n">
        <v>646001</v>
      </c>
      <c r="C148" s="262" t="s">
        <v>714</v>
      </c>
      <c r="D148" s="262" t="s">
        <v>715</v>
      </c>
      <c r="E148" s="263" t="n">
        <v>0.1</v>
      </c>
      <c r="F148" s="264" t="s">
        <v>496</v>
      </c>
      <c r="G148" s="265" t="n">
        <v>2129776.5</v>
      </c>
      <c r="H148" s="265" t="n">
        <f aca="false">G148*E148/12</f>
        <v>17748.1375</v>
      </c>
    </row>
    <row r="149" customFormat="false" ht="25.2" hidden="false" customHeight="false" outlineLevel="0" collapsed="false">
      <c r="A149" s="240" t="n">
        <v>109</v>
      </c>
      <c r="B149" s="261" t="n">
        <v>653001</v>
      </c>
      <c r="C149" s="262" t="s">
        <v>716</v>
      </c>
      <c r="D149" s="262" t="s">
        <v>717</v>
      </c>
      <c r="E149" s="263" t="n">
        <v>0.1</v>
      </c>
      <c r="F149" s="264" t="s">
        <v>718</v>
      </c>
      <c r="G149" s="265" t="n">
        <v>2565</v>
      </c>
      <c r="H149" s="265" t="n">
        <f aca="false">G149*E149/12</f>
        <v>21.375</v>
      </c>
    </row>
    <row r="150" customFormat="false" ht="25.2" hidden="false" customHeight="false" outlineLevel="0" collapsed="false">
      <c r="A150" s="240" t="n">
        <v>110</v>
      </c>
      <c r="B150" s="261" t="n">
        <v>653002</v>
      </c>
      <c r="C150" s="262" t="s">
        <v>719</v>
      </c>
      <c r="D150" s="262" t="s">
        <v>720</v>
      </c>
      <c r="E150" s="263" t="n">
        <v>0.1</v>
      </c>
      <c r="F150" s="264" t="s">
        <v>496</v>
      </c>
      <c r="G150" s="265" t="n">
        <v>355515.33</v>
      </c>
      <c r="H150" s="265" t="n">
        <f aca="false">G150*E150/12</f>
        <v>2962.62775</v>
      </c>
    </row>
    <row r="151" customFormat="false" ht="73.2" hidden="false" customHeight="false" outlineLevel="0" collapsed="false">
      <c r="A151" s="240" t="n">
        <v>111</v>
      </c>
      <c r="B151" s="261" t="n">
        <v>654001</v>
      </c>
      <c r="C151" s="262" t="s">
        <v>721</v>
      </c>
      <c r="D151" s="262" t="s">
        <v>720</v>
      </c>
      <c r="E151" s="263" t="n">
        <v>0.1</v>
      </c>
      <c r="F151" s="264" t="s">
        <v>722</v>
      </c>
      <c r="G151" s="265" t="n">
        <f aca="false">20042194.47+102000+12460</f>
        <v>20156654.47</v>
      </c>
      <c r="H151" s="265" t="n">
        <f aca="false">G151*E151/12</f>
        <v>167972.120583333</v>
      </c>
    </row>
    <row r="152" customFormat="false" ht="25.2" hidden="false" customHeight="false" outlineLevel="0" collapsed="false">
      <c r="A152" s="240" t="n">
        <v>112</v>
      </c>
      <c r="B152" s="261" t="n">
        <v>655001</v>
      </c>
      <c r="C152" s="262" t="s">
        <v>723</v>
      </c>
      <c r="D152" s="262" t="s">
        <v>724</v>
      </c>
      <c r="E152" s="263" t="n">
        <v>0.1</v>
      </c>
      <c r="F152" s="264" t="s">
        <v>496</v>
      </c>
      <c r="G152" s="265" t="n">
        <v>325196.73</v>
      </c>
      <c r="H152" s="265" t="n">
        <f aca="false">G152*E152/12</f>
        <v>2709.97275</v>
      </c>
    </row>
    <row r="153" customFormat="false" ht="49.2" hidden="false" customHeight="false" outlineLevel="0" collapsed="false">
      <c r="A153" s="240" t="n">
        <v>113</v>
      </c>
      <c r="B153" s="261" t="n">
        <v>662001</v>
      </c>
      <c r="C153" s="262" t="s">
        <v>725</v>
      </c>
      <c r="D153" s="262" t="s">
        <v>726</v>
      </c>
      <c r="E153" s="263" t="n">
        <v>0.1</v>
      </c>
      <c r="F153" s="264" t="s">
        <v>727</v>
      </c>
      <c r="G153" s="265" t="n">
        <v>17160</v>
      </c>
      <c r="H153" s="265" t="n">
        <f aca="false">G153*E153/12</f>
        <v>143</v>
      </c>
    </row>
    <row r="154" customFormat="false" ht="85.2" hidden="false" customHeight="false" outlineLevel="0" collapsed="false">
      <c r="A154" s="240" t="n">
        <v>114</v>
      </c>
      <c r="B154" s="261" t="n">
        <v>663002</v>
      </c>
      <c r="C154" s="262" t="s">
        <v>728</v>
      </c>
      <c r="D154" s="262" t="s">
        <v>729</v>
      </c>
      <c r="E154" s="263" t="n">
        <v>0.1</v>
      </c>
      <c r="F154" s="264" t="s">
        <v>496</v>
      </c>
      <c r="G154" s="265" t="n">
        <v>7803218.51</v>
      </c>
      <c r="H154" s="265" t="n">
        <f aca="false">G154*E154/12</f>
        <v>65026.8209166667</v>
      </c>
    </row>
    <row r="155" customFormat="false" ht="49.2" hidden="false" customHeight="false" outlineLevel="0" collapsed="false">
      <c r="A155" s="240" t="n">
        <v>115</v>
      </c>
      <c r="B155" s="246" t="n">
        <v>741001</v>
      </c>
      <c r="C155" s="247" t="s">
        <v>730</v>
      </c>
      <c r="D155" s="247" t="s">
        <v>731</v>
      </c>
      <c r="E155" s="248" t="n">
        <v>0.17</v>
      </c>
      <c r="F155" s="249" t="s">
        <v>732</v>
      </c>
      <c r="G155" s="250" t="n">
        <v>90563</v>
      </c>
      <c r="H155" s="250" t="n">
        <f aca="false">G155*E155/12</f>
        <v>1282.97583333333</v>
      </c>
    </row>
    <row r="156" customFormat="false" ht="49.2" hidden="false" customHeight="false" outlineLevel="0" collapsed="false">
      <c r="A156" s="240" t="n">
        <v>116</v>
      </c>
      <c r="B156" s="246" t="n">
        <v>741002</v>
      </c>
      <c r="C156" s="247" t="s">
        <v>733</v>
      </c>
      <c r="D156" s="247" t="s">
        <v>731</v>
      </c>
      <c r="E156" s="248" t="n">
        <v>0.17</v>
      </c>
      <c r="F156" s="249" t="s">
        <v>732</v>
      </c>
      <c r="G156" s="250" t="n">
        <v>70690</v>
      </c>
      <c r="H156" s="250" t="n">
        <f aca="false">G156*E156/12</f>
        <v>1001.44166666667</v>
      </c>
    </row>
    <row r="157" customFormat="false" ht="49.2" hidden="false" customHeight="false" outlineLevel="0" collapsed="false">
      <c r="A157" s="240" t="n">
        <v>117</v>
      </c>
      <c r="B157" s="246" t="n">
        <v>742001</v>
      </c>
      <c r="C157" s="247" t="s">
        <v>734</v>
      </c>
      <c r="D157" s="247" t="s">
        <v>731</v>
      </c>
      <c r="E157" s="248" t="n">
        <v>0.17</v>
      </c>
      <c r="F157" s="249" t="s">
        <v>735</v>
      </c>
      <c r="G157" s="250" t="n">
        <v>58762.3</v>
      </c>
      <c r="H157" s="250" t="n">
        <f aca="false">G157*E157/12</f>
        <v>832.465916666667</v>
      </c>
    </row>
    <row r="158" customFormat="false" ht="49.2" hidden="false" customHeight="false" outlineLevel="0" collapsed="false">
      <c r="A158" s="240" t="n">
        <v>118</v>
      </c>
      <c r="B158" s="246" t="n">
        <v>741003</v>
      </c>
      <c r="C158" s="247" t="s">
        <v>736</v>
      </c>
      <c r="D158" s="247" t="s">
        <v>731</v>
      </c>
      <c r="E158" s="248" t="n">
        <v>0.17</v>
      </c>
      <c r="F158" s="249" t="s">
        <v>737</v>
      </c>
      <c r="G158" s="250" t="n">
        <v>76105.83</v>
      </c>
      <c r="H158" s="250" t="n">
        <f aca="false">G158*E158/12</f>
        <v>1078.165925</v>
      </c>
    </row>
    <row r="159" customFormat="false" ht="37.2" hidden="false" customHeight="false" outlineLevel="0" collapsed="false">
      <c r="A159" s="240" t="n">
        <v>119</v>
      </c>
      <c r="B159" s="246" t="n">
        <v>742002</v>
      </c>
      <c r="C159" s="247" t="s">
        <v>738</v>
      </c>
      <c r="D159" s="247" t="s">
        <v>739</v>
      </c>
      <c r="E159" s="248" t="n">
        <v>0.17</v>
      </c>
      <c r="F159" s="249" t="s">
        <v>740</v>
      </c>
      <c r="G159" s="250" t="n">
        <v>56967.21</v>
      </c>
      <c r="H159" s="250" t="n">
        <f aca="false">G159*E159/12</f>
        <v>807.035475</v>
      </c>
    </row>
    <row r="160" customFormat="false" ht="37.2" hidden="false" customHeight="false" outlineLevel="0" collapsed="false">
      <c r="A160" s="240" t="n">
        <v>120</v>
      </c>
      <c r="B160" s="246" t="n">
        <v>741004</v>
      </c>
      <c r="C160" s="247" t="s">
        <v>741</v>
      </c>
      <c r="D160" s="247" t="s">
        <v>731</v>
      </c>
      <c r="E160" s="248" t="n">
        <v>0.17</v>
      </c>
      <c r="F160" s="249" t="s">
        <v>742</v>
      </c>
      <c r="G160" s="250" t="n">
        <v>56847.8</v>
      </c>
      <c r="H160" s="250" t="n">
        <f aca="false">G160*E160/12</f>
        <v>805.343833333334</v>
      </c>
    </row>
    <row r="161" customFormat="false" ht="25.2" hidden="false" customHeight="false" outlineLevel="0" collapsed="false">
      <c r="A161" s="240" t="n">
        <v>121</v>
      </c>
      <c r="B161" s="246" t="n">
        <v>763001</v>
      </c>
      <c r="C161" s="247" t="s">
        <v>743</v>
      </c>
      <c r="D161" s="247" t="s">
        <v>744</v>
      </c>
      <c r="E161" s="248" t="n">
        <v>0.14</v>
      </c>
      <c r="F161" s="249" t="s">
        <v>745</v>
      </c>
      <c r="G161" s="250" t="n">
        <v>73352</v>
      </c>
      <c r="H161" s="250" t="n">
        <f aca="false">G161*E161/12</f>
        <v>855.773333333333</v>
      </c>
    </row>
    <row r="162" customFormat="false" ht="14.4" hidden="false" customHeight="false" outlineLevel="0" collapsed="false">
      <c r="A162" s="240" t="n">
        <v>122</v>
      </c>
      <c r="B162" s="246" t="n">
        <v>748001</v>
      </c>
      <c r="C162" s="247" t="s">
        <v>746</v>
      </c>
      <c r="D162" s="247" t="s">
        <v>747</v>
      </c>
      <c r="E162" s="248" t="n">
        <v>0.14</v>
      </c>
      <c r="F162" s="249" t="s">
        <v>745</v>
      </c>
      <c r="G162" s="250" t="n">
        <v>5900</v>
      </c>
      <c r="H162" s="250" t="n">
        <f aca="false">G162*E162/12</f>
        <v>68.8333333333333</v>
      </c>
    </row>
    <row r="163" customFormat="false" ht="37.2" hidden="false" customHeight="false" outlineLevel="0" collapsed="false">
      <c r="A163" s="240" t="n">
        <v>123</v>
      </c>
      <c r="B163" s="246" t="n">
        <v>741005</v>
      </c>
      <c r="C163" s="247" t="s">
        <v>748</v>
      </c>
      <c r="D163" s="247" t="s">
        <v>749</v>
      </c>
      <c r="E163" s="248" t="n">
        <v>0.2</v>
      </c>
      <c r="F163" s="249" t="s">
        <v>750</v>
      </c>
      <c r="G163" s="250" t="n">
        <v>152687.12</v>
      </c>
      <c r="H163" s="250" t="n">
        <f aca="false">G163*E163/12</f>
        <v>2544.78533333333</v>
      </c>
    </row>
    <row r="164" customFormat="false" ht="37.2" hidden="false" customHeight="false" outlineLevel="0" collapsed="false">
      <c r="A164" s="240" t="n">
        <v>124</v>
      </c>
      <c r="B164" s="246" t="n">
        <v>741006</v>
      </c>
      <c r="C164" s="247" t="s">
        <v>751</v>
      </c>
      <c r="D164" s="247" t="s">
        <v>749</v>
      </c>
      <c r="E164" s="248" t="n">
        <v>0.2</v>
      </c>
      <c r="F164" s="249" t="s">
        <v>750</v>
      </c>
      <c r="G164" s="250" t="n">
        <v>105551.46</v>
      </c>
      <c r="H164" s="250" t="n">
        <f aca="false">G164*E164/12</f>
        <v>1759.191</v>
      </c>
    </row>
    <row r="165" customFormat="false" ht="37.2" hidden="false" customHeight="false" outlineLevel="0" collapsed="false">
      <c r="A165" s="240" t="n">
        <v>125</v>
      </c>
      <c r="B165" s="246" t="n">
        <v>741007</v>
      </c>
      <c r="C165" s="247" t="s">
        <v>752</v>
      </c>
      <c r="D165" s="247" t="s">
        <v>749</v>
      </c>
      <c r="E165" s="248" t="n">
        <v>0.2</v>
      </c>
      <c r="F165" s="249" t="s">
        <v>750</v>
      </c>
      <c r="G165" s="250" t="n">
        <v>107961.2</v>
      </c>
      <c r="H165" s="250" t="n">
        <f aca="false">G165*E165/12</f>
        <v>1799.35333333333</v>
      </c>
    </row>
    <row r="166" customFormat="false" ht="37.2" hidden="false" customHeight="false" outlineLevel="0" collapsed="false">
      <c r="A166" s="240" t="n">
        <v>126</v>
      </c>
      <c r="B166" s="246" t="n">
        <v>741008</v>
      </c>
      <c r="C166" s="247" t="s">
        <v>753</v>
      </c>
      <c r="D166" s="247" t="s">
        <v>749</v>
      </c>
      <c r="E166" s="248" t="n">
        <v>0.2</v>
      </c>
      <c r="F166" s="249" t="s">
        <v>750</v>
      </c>
      <c r="G166" s="250" t="n">
        <v>89675.45</v>
      </c>
      <c r="H166" s="250" t="n">
        <f aca="false">G166*E166/12</f>
        <v>1494.59083333333</v>
      </c>
    </row>
    <row r="167" customFormat="false" ht="25.2" hidden="false" customHeight="false" outlineLevel="0" collapsed="false">
      <c r="A167" s="240" t="n">
        <v>127</v>
      </c>
      <c r="B167" s="266" t="n">
        <v>800001</v>
      </c>
      <c r="C167" s="267" t="s">
        <v>754</v>
      </c>
      <c r="D167" s="267" t="s">
        <v>755</v>
      </c>
      <c r="E167" s="268" t="n">
        <v>0.2</v>
      </c>
      <c r="F167" s="269" t="s">
        <v>621</v>
      </c>
      <c r="G167" s="270" t="n">
        <v>5179</v>
      </c>
      <c r="H167" s="270" t="n">
        <f aca="false">G167*E167/12</f>
        <v>86.3166666666667</v>
      </c>
    </row>
    <row r="168" customFormat="false" ht="25.2" hidden="false" customHeight="false" outlineLevel="0" collapsed="false">
      <c r="A168" s="240" t="n">
        <v>128</v>
      </c>
      <c r="B168" s="266" t="n">
        <v>800002</v>
      </c>
      <c r="C168" s="267" t="s">
        <v>754</v>
      </c>
      <c r="D168" s="267" t="s">
        <v>755</v>
      </c>
      <c r="E168" s="268" t="n">
        <v>0.2</v>
      </c>
      <c r="F168" s="269" t="s">
        <v>756</v>
      </c>
      <c r="G168" s="270" t="n">
        <v>3582</v>
      </c>
      <c r="H168" s="270" t="n">
        <f aca="false">G168*E168/12</f>
        <v>59.7</v>
      </c>
    </row>
    <row r="169" customFormat="false" ht="25.2" hidden="false" customHeight="false" outlineLevel="0" collapsed="false">
      <c r="A169" s="240" t="n">
        <v>129</v>
      </c>
      <c r="B169" s="266" t="n">
        <v>800003</v>
      </c>
      <c r="C169" s="267" t="s">
        <v>757</v>
      </c>
      <c r="D169" s="267" t="s">
        <v>755</v>
      </c>
      <c r="E169" s="268" t="n">
        <v>0.2</v>
      </c>
      <c r="F169" s="269" t="s">
        <v>758</v>
      </c>
      <c r="G169" s="270" t="n">
        <v>8645</v>
      </c>
      <c r="H169" s="270" t="n">
        <f aca="false">G169*E169/12</f>
        <v>144.083333333333</v>
      </c>
    </row>
    <row r="170" customFormat="false" ht="25.2" hidden="false" customHeight="false" outlineLevel="0" collapsed="false">
      <c r="A170" s="240" t="n">
        <v>130</v>
      </c>
      <c r="B170" s="266" t="n">
        <v>800004</v>
      </c>
      <c r="C170" s="267" t="s">
        <v>759</v>
      </c>
      <c r="D170" s="267" t="s">
        <v>755</v>
      </c>
      <c r="E170" s="268" t="n">
        <v>0.2</v>
      </c>
      <c r="F170" s="269" t="s">
        <v>758</v>
      </c>
      <c r="G170" s="270" t="n">
        <v>9521</v>
      </c>
      <c r="H170" s="270" t="n">
        <f aca="false">G170*E170/12</f>
        <v>158.683333333333</v>
      </c>
    </row>
    <row r="171" customFormat="false" ht="25.2" hidden="false" customHeight="false" outlineLevel="0" collapsed="false">
      <c r="A171" s="240" t="n">
        <v>131</v>
      </c>
      <c r="B171" s="266" t="n">
        <v>800005</v>
      </c>
      <c r="C171" s="267" t="s">
        <v>760</v>
      </c>
      <c r="D171" s="267" t="s">
        <v>755</v>
      </c>
      <c r="E171" s="268" t="n">
        <v>0.2</v>
      </c>
      <c r="F171" s="269" t="s">
        <v>756</v>
      </c>
      <c r="G171" s="270" t="n">
        <v>4830</v>
      </c>
      <c r="H171" s="270" t="n">
        <f aca="false">G171*E171/12</f>
        <v>80.5</v>
      </c>
    </row>
    <row r="172" customFormat="false" ht="25.2" hidden="false" customHeight="false" outlineLevel="0" collapsed="false">
      <c r="A172" s="240" t="n">
        <v>132</v>
      </c>
      <c r="B172" s="266" t="n">
        <v>800006</v>
      </c>
      <c r="C172" s="267" t="s">
        <v>761</v>
      </c>
      <c r="D172" s="267" t="s">
        <v>755</v>
      </c>
      <c r="E172" s="268" t="n">
        <v>0.2</v>
      </c>
      <c r="F172" s="269" t="s">
        <v>621</v>
      </c>
      <c r="G172" s="270" t="n">
        <v>8955</v>
      </c>
      <c r="H172" s="270" t="n">
        <f aca="false">G172*E172/12</f>
        <v>149.25</v>
      </c>
    </row>
    <row r="173" customFormat="false" ht="14.4" hidden="false" customHeight="false" outlineLevel="0" collapsed="false">
      <c r="A173" s="240" t="n">
        <v>133</v>
      </c>
      <c r="B173" s="266" t="n">
        <v>800007</v>
      </c>
      <c r="C173" s="267" t="s">
        <v>762</v>
      </c>
      <c r="D173" s="267" t="s">
        <v>755</v>
      </c>
      <c r="E173" s="268" t="n">
        <v>0.2</v>
      </c>
      <c r="F173" s="269" t="s">
        <v>763</v>
      </c>
      <c r="G173" s="270" t="n">
        <v>4808</v>
      </c>
      <c r="H173" s="270" t="n">
        <f aca="false">G173*E173/12</f>
        <v>80.1333333333333</v>
      </c>
    </row>
    <row r="174" customFormat="false" ht="25.2" hidden="false" customHeight="false" outlineLevel="0" collapsed="false">
      <c r="A174" s="240" t="n">
        <v>134</v>
      </c>
      <c r="B174" s="266" t="n">
        <v>800008</v>
      </c>
      <c r="C174" s="267" t="s">
        <v>764</v>
      </c>
      <c r="D174" s="267" t="s">
        <v>755</v>
      </c>
      <c r="E174" s="268" t="n">
        <v>0.2</v>
      </c>
      <c r="F174" s="269" t="s">
        <v>745</v>
      </c>
      <c r="G174" s="270" t="n">
        <v>3359</v>
      </c>
      <c r="H174" s="270" t="n">
        <f aca="false">G174*E174/12</f>
        <v>55.9833333333333</v>
      </c>
    </row>
    <row r="175" customFormat="false" ht="14.4" hidden="false" customHeight="false" outlineLevel="0" collapsed="false">
      <c r="A175" s="240" t="n">
        <v>135</v>
      </c>
      <c r="B175" s="266" t="n">
        <v>800009</v>
      </c>
      <c r="C175" s="267" t="s">
        <v>765</v>
      </c>
      <c r="D175" s="267" t="s">
        <v>755</v>
      </c>
      <c r="E175" s="268" t="n">
        <v>0.2</v>
      </c>
      <c r="F175" s="269" t="s">
        <v>766</v>
      </c>
      <c r="G175" s="270" t="n">
        <v>13757.19</v>
      </c>
      <c r="H175" s="270" t="n">
        <f aca="false">G175*E175/12</f>
        <v>229.2865</v>
      </c>
    </row>
    <row r="176" customFormat="false" ht="14.4" hidden="false" customHeight="false" outlineLevel="0" collapsed="false">
      <c r="A176" s="240" t="n">
        <v>136</v>
      </c>
      <c r="B176" s="266" t="n">
        <v>801001</v>
      </c>
      <c r="C176" s="267" t="s">
        <v>767</v>
      </c>
      <c r="D176" s="267" t="s">
        <v>768</v>
      </c>
      <c r="E176" s="268" t="n">
        <v>0.25</v>
      </c>
      <c r="F176" s="269" t="s">
        <v>660</v>
      </c>
      <c r="G176" s="270" t="n">
        <v>59064.95</v>
      </c>
      <c r="H176" s="270" t="n">
        <f aca="false">G176*E176/12</f>
        <v>1230.51979166667</v>
      </c>
    </row>
    <row r="177" customFormat="false" ht="14.4" hidden="false" customHeight="false" outlineLevel="0" collapsed="false">
      <c r="A177" s="240" t="n">
        <v>137</v>
      </c>
      <c r="B177" s="266" t="n">
        <v>801002</v>
      </c>
      <c r="C177" s="267" t="s">
        <v>769</v>
      </c>
      <c r="D177" s="267" t="s">
        <v>768</v>
      </c>
      <c r="E177" s="268" t="n">
        <v>0.25</v>
      </c>
      <c r="F177" s="269" t="s">
        <v>660</v>
      </c>
      <c r="G177" s="270" t="n">
        <v>25679.23</v>
      </c>
      <c r="H177" s="270" t="n">
        <f aca="false">G177*E177/12</f>
        <v>534.983958333333</v>
      </c>
    </row>
    <row r="178" customFormat="false" ht="14.4" hidden="false" customHeight="false" outlineLevel="0" collapsed="false">
      <c r="A178" s="240" t="n">
        <v>138</v>
      </c>
      <c r="B178" s="266" t="n">
        <v>801003</v>
      </c>
      <c r="C178" s="267" t="s">
        <v>770</v>
      </c>
      <c r="D178" s="267" t="s">
        <v>768</v>
      </c>
      <c r="E178" s="268" t="n">
        <v>0.25</v>
      </c>
      <c r="F178" s="269" t="s">
        <v>771</v>
      </c>
      <c r="G178" s="270" t="n">
        <v>12722.08</v>
      </c>
      <c r="H178" s="270" t="n">
        <f aca="false">G178*E178/12</f>
        <v>265.043333333333</v>
      </c>
    </row>
    <row r="179" customFormat="false" ht="14.4" hidden="false" customHeight="false" outlineLevel="0" collapsed="false">
      <c r="A179" s="240" t="n">
        <v>139</v>
      </c>
      <c r="B179" s="266" t="n">
        <v>801004</v>
      </c>
      <c r="C179" s="267" t="s">
        <v>772</v>
      </c>
      <c r="D179" s="267" t="s">
        <v>768</v>
      </c>
      <c r="E179" s="268" t="n">
        <v>0.25</v>
      </c>
      <c r="F179" s="269" t="s">
        <v>771</v>
      </c>
      <c r="G179" s="270" t="n">
        <v>8939.84</v>
      </c>
      <c r="H179" s="270" t="n">
        <f aca="false">G179*E179/12</f>
        <v>186.246666666667</v>
      </c>
    </row>
    <row r="180" customFormat="false" ht="37.2" hidden="false" customHeight="false" outlineLevel="0" collapsed="false">
      <c r="A180" s="240" t="n">
        <v>140</v>
      </c>
      <c r="B180" s="266" t="n">
        <v>801005</v>
      </c>
      <c r="C180" s="267" t="s">
        <v>773</v>
      </c>
      <c r="D180" s="267" t="s">
        <v>768</v>
      </c>
      <c r="E180" s="268" t="n">
        <v>0.25</v>
      </c>
      <c r="F180" s="269" t="s">
        <v>771</v>
      </c>
      <c r="G180" s="270" t="n">
        <v>3825.22</v>
      </c>
      <c r="H180" s="270" t="n">
        <f aca="false">G180*E180/12</f>
        <v>79.6920833333333</v>
      </c>
    </row>
    <row r="181" customFormat="false" ht="25.2" hidden="false" customHeight="false" outlineLevel="0" collapsed="false">
      <c r="A181" s="240" t="n">
        <v>141</v>
      </c>
      <c r="B181" s="266" t="n">
        <v>801006</v>
      </c>
      <c r="C181" s="267" t="s">
        <v>774</v>
      </c>
      <c r="D181" s="267" t="s">
        <v>768</v>
      </c>
      <c r="E181" s="268" t="n">
        <v>0.25</v>
      </c>
      <c r="F181" s="271" t="s">
        <v>771</v>
      </c>
      <c r="G181" s="270" t="n">
        <v>7048.72</v>
      </c>
      <c r="H181" s="270" t="n">
        <f aca="false">G181*E181/12</f>
        <v>146.848333333333</v>
      </c>
    </row>
    <row r="182" customFormat="false" ht="25.2" hidden="false" customHeight="false" outlineLevel="0" collapsed="false">
      <c r="A182" s="240" t="n">
        <v>142</v>
      </c>
      <c r="B182" s="266" t="n">
        <v>803001</v>
      </c>
      <c r="C182" s="267" t="s">
        <v>775</v>
      </c>
      <c r="D182" s="267" t="s">
        <v>776</v>
      </c>
      <c r="E182" s="268" t="n">
        <v>0.14</v>
      </c>
      <c r="F182" s="269" t="s">
        <v>777</v>
      </c>
      <c r="G182" s="270" t="n">
        <v>38607.85</v>
      </c>
      <c r="H182" s="270" t="n">
        <f aca="false">G182*E182/12</f>
        <v>450.424916666667</v>
      </c>
    </row>
    <row r="183" customFormat="false" ht="25.2" hidden="false" customHeight="false" outlineLevel="0" collapsed="false">
      <c r="A183" s="240" t="n">
        <v>143</v>
      </c>
      <c r="B183" s="266" t="n">
        <v>803002</v>
      </c>
      <c r="C183" s="267" t="s">
        <v>778</v>
      </c>
      <c r="D183" s="267" t="s">
        <v>779</v>
      </c>
      <c r="E183" s="268" t="n">
        <v>0.14</v>
      </c>
      <c r="F183" s="269" t="s">
        <v>780</v>
      </c>
      <c r="G183" s="270" t="n">
        <v>8531</v>
      </c>
      <c r="H183" s="270" t="n">
        <f aca="false">G183*E183/12</f>
        <v>99.5283333333334</v>
      </c>
    </row>
    <row r="184" customFormat="false" ht="37.2" hidden="false" customHeight="false" outlineLevel="0" collapsed="false">
      <c r="A184" s="240" t="n">
        <v>144</v>
      </c>
      <c r="B184" s="266" t="n">
        <v>803003</v>
      </c>
      <c r="C184" s="267" t="s">
        <v>781</v>
      </c>
      <c r="D184" s="267" t="s">
        <v>782</v>
      </c>
      <c r="E184" s="268" t="n">
        <v>0.14</v>
      </c>
      <c r="F184" s="269" t="s">
        <v>783</v>
      </c>
      <c r="G184" s="270" t="n">
        <f aca="false">8798+18854+1836.07+3153.27+3850+2950+2964+897.54</f>
        <v>43302.88</v>
      </c>
      <c r="H184" s="270" t="n">
        <f aca="false">G184*E184/12</f>
        <v>505.200266666667</v>
      </c>
    </row>
    <row r="185" customFormat="false" ht="25.2" hidden="false" customHeight="false" outlineLevel="0" collapsed="false">
      <c r="A185" s="240" t="n">
        <v>145</v>
      </c>
      <c r="B185" s="266" t="n">
        <v>808001</v>
      </c>
      <c r="C185" s="267" t="s">
        <v>784</v>
      </c>
      <c r="D185" s="267" t="s">
        <v>785</v>
      </c>
      <c r="E185" s="268" t="n">
        <v>0.2</v>
      </c>
      <c r="F185" s="269" t="s">
        <v>786</v>
      </c>
      <c r="G185" s="270" t="n">
        <v>4996.32</v>
      </c>
      <c r="H185" s="270" t="n">
        <f aca="false">G185*E185/12</f>
        <v>83.272</v>
      </c>
    </row>
    <row r="186" customFormat="false" ht="37.2" hidden="false" customHeight="false" outlineLevel="0" collapsed="false">
      <c r="A186" s="240" t="n">
        <v>146</v>
      </c>
      <c r="B186" s="266" t="n">
        <v>808002</v>
      </c>
      <c r="C186" s="267" t="s">
        <v>787</v>
      </c>
      <c r="D186" s="267" t="s">
        <v>788</v>
      </c>
      <c r="E186" s="268" t="n">
        <v>0.2</v>
      </c>
      <c r="F186" s="269" t="s">
        <v>789</v>
      </c>
      <c r="G186" s="270" t="n">
        <f aca="false">5704.14+2457.17</f>
        <v>8161.31</v>
      </c>
      <c r="H186" s="270" t="n">
        <f aca="false">G186*E186/12</f>
        <v>136.021833333333</v>
      </c>
    </row>
    <row r="187" customFormat="false" ht="14.4" hidden="false" customHeight="false" outlineLevel="0" collapsed="false">
      <c r="A187" s="240" t="n">
        <v>147</v>
      </c>
      <c r="B187" s="266" t="n">
        <v>808003</v>
      </c>
      <c r="C187" s="267" t="s">
        <v>790</v>
      </c>
      <c r="D187" s="267" t="s">
        <v>791</v>
      </c>
      <c r="E187" s="268" t="n">
        <v>0.14</v>
      </c>
      <c r="F187" s="269" t="s">
        <v>792</v>
      </c>
      <c r="G187" s="270" t="n">
        <v>7986.68</v>
      </c>
      <c r="H187" s="270" t="n">
        <f aca="false">G187*E187/12</f>
        <v>93.1779333333333</v>
      </c>
    </row>
    <row r="188" customFormat="false" ht="14.4" hidden="false" customHeight="false" outlineLevel="0" collapsed="false">
      <c r="A188" s="240" t="n">
        <v>148</v>
      </c>
      <c r="B188" s="266" t="n">
        <v>808004</v>
      </c>
      <c r="C188" s="267" t="s">
        <v>793</v>
      </c>
      <c r="D188" s="267" t="s">
        <v>794</v>
      </c>
      <c r="E188" s="268" t="n">
        <v>0.14</v>
      </c>
      <c r="F188" s="269" t="s">
        <v>795</v>
      </c>
      <c r="G188" s="270" t="n">
        <v>3062.5</v>
      </c>
      <c r="H188" s="270" t="n">
        <f aca="false">G188*E188/12</f>
        <v>35.7291666666667</v>
      </c>
    </row>
    <row r="189" customFormat="false" ht="37.2" hidden="false" customHeight="false" outlineLevel="0" collapsed="false">
      <c r="A189" s="240" t="n">
        <v>149</v>
      </c>
      <c r="B189" s="266" t="n">
        <v>808005</v>
      </c>
      <c r="C189" s="267" t="s">
        <v>796</v>
      </c>
      <c r="D189" s="267" t="s">
        <v>797</v>
      </c>
      <c r="E189" s="268" t="n">
        <v>0.2</v>
      </c>
      <c r="F189" s="269" t="s">
        <v>798</v>
      </c>
      <c r="G189" s="270" t="n">
        <f aca="false">29719.9+23368.68+4455.5+6750</f>
        <v>64294.08</v>
      </c>
      <c r="H189" s="270" t="n">
        <f aca="false">G189*E189/12</f>
        <v>1071.568</v>
      </c>
    </row>
    <row r="190" customFormat="false" ht="25.2" hidden="false" customHeight="false" outlineLevel="0" collapsed="false">
      <c r="A190" s="240" t="n">
        <v>150</v>
      </c>
      <c r="B190" s="266" t="n">
        <v>808006</v>
      </c>
      <c r="C190" s="267" t="s">
        <v>799</v>
      </c>
      <c r="D190" s="267" t="s">
        <v>800</v>
      </c>
      <c r="E190" s="268" t="n">
        <v>0.2</v>
      </c>
      <c r="F190" s="269" t="s">
        <v>801</v>
      </c>
      <c r="G190" s="270" t="n">
        <v>32940</v>
      </c>
      <c r="H190" s="270" t="n">
        <f aca="false">G190*E190/12</f>
        <v>549</v>
      </c>
    </row>
    <row r="191" customFormat="false" ht="37.2" hidden="false" customHeight="false" outlineLevel="0" collapsed="false">
      <c r="A191" s="240" t="n">
        <v>151</v>
      </c>
      <c r="B191" s="266" t="n">
        <v>808007</v>
      </c>
      <c r="C191" s="267" t="s">
        <v>802</v>
      </c>
      <c r="D191" s="267" t="s">
        <v>785</v>
      </c>
      <c r="E191" s="268" t="n">
        <v>0.2</v>
      </c>
      <c r="F191" s="269" t="s">
        <v>803</v>
      </c>
      <c r="G191" s="270" t="n">
        <f aca="false">72836.6+9500</f>
        <v>82336.6</v>
      </c>
      <c r="H191" s="270" t="n">
        <f aca="false">G191*E191/12</f>
        <v>1372.27666666667</v>
      </c>
    </row>
    <row r="192" customFormat="false" ht="37.2" hidden="false" customHeight="false" outlineLevel="0" collapsed="false">
      <c r="A192" s="240" t="n">
        <v>152</v>
      </c>
      <c r="B192" s="266" t="n">
        <v>808008</v>
      </c>
      <c r="C192" s="267" t="s">
        <v>804</v>
      </c>
      <c r="D192" s="267" t="s">
        <v>805</v>
      </c>
      <c r="E192" s="268" t="n">
        <v>0.2</v>
      </c>
      <c r="F192" s="269" t="s">
        <v>806</v>
      </c>
      <c r="G192" s="270" t="n">
        <f aca="false">9901+9901+9901+6413+3960+7710+7710+5283+6413</f>
        <v>67192</v>
      </c>
      <c r="H192" s="270" t="n">
        <f aca="false">G192*E192/12</f>
        <v>1119.86666666667</v>
      </c>
    </row>
    <row r="193" customFormat="false" ht="25.2" hidden="false" customHeight="false" outlineLevel="0" collapsed="false">
      <c r="A193" s="240" t="n">
        <v>153</v>
      </c>
      <c r="B193" s="266" t="n">
        <v>808009</v>
      </c>
      <c r="C193" s="267" t="s">
        <v>807</v>
      </c>
      <c r="D193" s="267" t="s">
        <v>808</v>
      </c>
      <c r="E193" s="268" t="n">
        <v>0.2</v>
      </c>
      <c r="F193" s="269" t="s">
        <v>809</v>
      </c>
      <c r="G193" s="270" t="n">
        <v>5023.2</v>
      </c>
      <c r="H193" s="270" t="n">
        <f aca="false">G193*E193/12</f>
        <v>83.72</v>
      </c>
    </row>
    <row r="194" customFormat="false" ht="25.2" hidden="false" customHeight="false" outlineLevel="0" collapsed="false">
      <c r="A194" s="240" t="n">
        <v>154</v>
      </c>
      <c r="B194" s="266" t="n">
        <v>808011</v>
      </c>
      <c r="C194" s="267" t="s">
        <v>810</v>
      </c>
      <c r="D194" s="267" t="s">
        <v>811</v>
      </c>
      <c r="E194" s="268" t="n">
        <v>0.2</v>
      </c>
      <c r="F194" s="272" t="s">
        <v>812</v>
      </c>
      <c r="G194" s="270" t="n">
        <v>13847</v>
      </c>
      <c r="H194" s="270" t="n">
        <f aca="false">G194*E194/12</f>
        <v>230.783333333333</v>
      </c>
    </row>
    <row r="195" customFormat="false" ht="25.2" hidden="false" customHeight="false" outlineLevel="0" collapsed="false">
      <c r="A195" s="240" t="n">
        <v>155</v>
      </c>
      <c r="B195" s="266" t="n">
        <v>808012</v>
      </c>
      <c r="C195" s="267" t="s">
        <v>813</v>
      </c>
      <c r="D195" s="267" t="s">
        <v>811</v>
      </c>
      <c r="E195" s="268" t="n">
        <v>0.2</v>
      </c>
      <c r="F195" s="269" t="s">
        <v>812</v>
      </c>
      <c r="G195" s="270" t="n">
        <v>9300</v>
      </c>
      <c r="H195" s="270" t="n">
        <f aca="false">G195*E195/12</f>
        <v>155</v>
      </c>
    </row>
    <row r="196" customFormat="false" ht="25.2" hidden="false" customHeight="false" outlineLevel="0" collapsed="false">
      <c r="A196" s="240" t="n">
        <v>156</v>
      </c>
      <c r="B196" s="266" t="n">
        <v>808013</v>
      </c>
      <c r="C196" s="267" t="s">
        <v>814</v>
      </c>
      <c r="D196" s="267" t="s">
        <v>811</v>
      </c>
      <c r="E196" s="268" t="n">
        <v>0.2</v>
      </c>
      <c r="F196" s="269" t="s">
        <v>812</v>
      </c>
      <c r="G196" s="270" t="n">
        <v>18740</v>
      </c>
      <c r="H196" s="270" t="n">
        <f aca="false">G196*E196/12</f>
        <v>312.333333333333</v>
      </c>
    </row>
    <row r="197" customFormat="false" ht="25.2" hidden="false" customHeight="false" outlineLevel="0" collapsed="false">
      <c r="A197" s="240" t="n">
        <v>157</v>
      </c>
      <c r="B197" s="266" t="n">
        <v>808014</v>
      </c>
      <c r="C197" s="267" t="s">
        <v>815</v>
      </c>
      <c r="D197" s="267" t="s">
        <v>811</v>
      </c>
      <c r="E197" s="268" t="n">
        <v>0.2</v>
      </c>
      <c r="F197" s="269" t="s">
        <v>816</v>
      </c>
      <c r="G197" s="270" t="n">
        <v>6920</v>
      </c>
      <c r="H197" s="270" t="n">
        <f aca="false">G197*E197/12</f>
        <v>115.333333333333</v>
      </c>
    </row>
    <row r="198" customFormat="false" ht="14.4" hidden="false" customHeight="false" outlineLevel="0" collapsed="false">
      <c r="A198" s="240" t="n">
        <v>158</v>
      </c>
      <c r="B198" s="266" t="n">
        <v>808015</v>
      </c>
      <c r="C198" s="267" t="s">
        <v>817</v>
      </c>
      <c r="D198" s="267" t="s">
        <v>818</v>
      </c>
      <c r="E198" s="268" t="n">
        <v>0.2</v>
      </c>
      <c r="F198" s="269" t="s">
        <v>819</v>
      </c>
      <c r="G198" s="270" t="n">
        <v>4740</v>
      </c>
      <c r="H198" s="270" t="n">
        <f aca="false">G198*E198/12</f>
        <v>79</v>
      </c>
    </row>
    <row r="199" customFormat="false" ht="25.2" hidden="false" customHeight="false" outlineLevel="0" collapsed="false">
      <c r="A199" s="240" t="n">
        <v>159</v>
      </c>
      <c r="B199" s="266" t="n">
        <v>808010</v>
      </c>
      <c r="C199" s="267" t="s">
        <v>820</v>
      </c>
      <c r="D199" s="267" t="s">
        <v>821</v>
      </c>
      <c r="E199" s="268" t="n">
        <v>0.2</v>
      </c>
      <c r="F199" s="269" t="s">
        <v>496</v>
      </c>
      <c r="G199" s="270" t="n">
        <v>129017.27</v>
      </c>
      <c r="H199" s="270" t="n">
        <f aca="false">G199*E199/12</f>
        <v>2150.28783333333</v>
      </c>
    </row>
    <row r="200" customFormat="false" ht="14.4" hidden="false" customHeight="false" outlineLevel="0" collapsed="false">
      <c r="A200" s="240" t="n">
        <v>160</v>
      </c>
      <c r="B200" s="266" t="n">
        <v>808016</v>
      </c>
      <c r="C200" s="267" t="s">
        <v>770</v>
      </c>
      <c r="D200" s="267" t="s">
        <v>768</v>
      </c>
      <c r="E200" s="268" t="n">
        <v>0.25</v>
      </c>
      <c r="F200" s="269" t="s">
        <v>822</v>
      </c>
      <c r="G200" s="270" t="n">
        <v>10114.94</v>
      </c>
      <c r="H200" s="270" t="n">
        <f aca="false">G200*E200/12</f>
        <v>210.727916666667</v>
      </c>
    </row>
    <row r="201" customFormat="false" ht="14.4" hidden="false" customHeight="false" outlineLevel="0" collapsed="false">
      <c r="A201" s="240" t="n">
        <v>161</v>
      </c>
      <c r="B201" s="266" t="n">
        <v>808017</v>
      </c>
      <c r="C201" s="267" t="s">
        <v>770</v>
      </c>
      <c r="D201" s="267" t="s">
        <v>768</v>
      </c>
      <c r="E201" s="268" t="n">
        <v>0.25</v>
      </c>
      <c r="F201" s="269" t="s">
        <v>822</v>
      </c>
      <c r="G201" s="270" t="n">
        <v>6596.7</v>
      </c>
      <c r="H201" s="270" t="n">
        <f aca="false">G201*E201/12</f>
        <v>137.43125</v>
      </c>
    </row>
    <row r="202" customFormat="false" ht="25.2" hidden="false" customHeight="false" outlineLevel="0" collapsed="false">
      <c r="A202" s="240" t="n">
        <v>162</v>
      </c>
      <c r="B202" s="266" t="n">
        <v>808018</v>
      </c>
      <c r="C202" s="267" t="s">
        <v>823</v>
      </c>
      <c r="D202" s="267" t="s">
        <v>768</v>
      </c>
      <c r="E202" s="268" t="n">
        <v>0.25</v>
      </c>
      <c r="F202" s="269" t="s">
        <v>822</v>
      </c>
      <c r="G202" s="270" t="n">
        <v>7960.02</v>
      </c>
      <c r="H202" s="270" t="n">
        <f aca="false">G202*E202/12</f>
        <v>165.83375</v>
      </c>
    </row>
    <row r="203" customFormat="false" ht="14.4" hidden="false" customHeight="false" outlineLevel="0" collapsed="false">
      <c r="A203" s="240" t="n">
        <v>163</v>
      </c>
      <c r="B203" s="266" t="n">
        <v>808019</v>
      </c>
      <c r="C203" s="267" t="s">
        <v>824</v>
      </c>
      <c r="D203" s="267" t="s">
        <v>825</v>
      </c>
      <c r="E203" s="268" t="n">
        <v>0.2</v>
      </c>
      <c r="F203" s="269" t="s">
        <v>826</v>
      </c>
      <c r="G203" s="270" t="n">
        <v>5563.46</v>
      </c>
      <c r="H203" s="270" t="n">
        <f aca="false">G203*E203/12</f>
        <v>92.7243333333333</v>
      </c>
    </row>
    <row r="204" customFormat="false" ht="49.2" hidden="false" customHeight="false" outlineLevel="0" collapsed="false">
      <c r="A204" s="240" t="n">
        <v>164</v>
      </c>
      <c r="B204" s="273" t="s">
        <v>827</v>
      </c>
      <c r="C204" s="247" t="s">
        <v>828</v>
      </c>
      <c r="D204" s="247" t="s">
        <v>829</v>
      </c>
      <c r="E204" s="248" t="n">
        <v>0.2</v>
      </c>
      <c r="F204" s="249" t="s">
        <v>830</v>
      </c>
      <c r="G204" s="250" t="n">
        <f aca="false">15951.94+3880.8+9993.2+14906.14+3987.78+3105.27+19879.42</f>
        <v>71704.55</v>
      </c>
      <c r="H204" s="250" t="n">
        <f aca="false">G204*E204/12</f>
        <v>1195.07583333333</v>
      </c>
    </row>
    <row r="205" customFormat="false" ht="49.2" hidden="false" customHeight="false" outlineLevel="0" collapsed="false">
      <c r="A205" s="240" t="n">
        <v>165</v>
      </c>
      <c r="B205" s="273"/>
      <c r="C205" s="247" t="s">
        <v>831</v>
      </c>
      <c r="D205" s="247" t="s">
        <v>832</v>
      </c>
      <c r="E205" s="248" t="n">
        <v>0.2</v>
      </c>
      <c r="F205" s="249" t="s">
        <v>833</v>
      </c>
      <c r="G205" s="250" t="n">
        <f aca="false">2236+3545+15703+8791.5+5970+3710</f>
        <v>39955.5</v>
      </c>
      <c r="H205" s="250" t="n">
        <f aca="false">G205*E205/12</f>
        <v>665.925</v>
      </c>
    </row>
    <row r="206" customFormat="false" ht="49.2" hidden="false" customHeight="false" outlineLevel="0" collapsed="false">
      <c r="A206" s="240" t="n">
        <v>166</v>
      </c>
      <c r="B206" s="273"/>
      <c r="C206" s="247" t="s">
        <v>834</v>
      </c>
      <c r="D206" s="247" t="s">
        <v>835</v>
      </c>
      <c r="E206" s="248" t="n">
        <v>0.2</v>
      </c>
      <c r="F206" s="249" t="s">
        <v>836</v>
      </c>
      <c r="G206" s="250" t="n">
        <f aca="false">266990.78+607.97</f>
        <v>267598.75</v>
      </c>
      <c r="H206" s="250" t="n">
        <f aca="false">G206*E206/12</f>
        <v>4459.97916666667</v>
      </c>
    </row>
    <row r="207" customFormat="false" ht="37.2" hidden="false" customHeight="false" outlineLevel="0" collapsed="false">
      <c r="A207" s="240" t="n">
        <v>167</v>
      </c>
      <c r="B207" s="273"/>
      <c r="C207" s="247" t="s">
        <v>837</v>
      </c>
      <c r="D207" s="247" t="s">
        <v>838</v>
      </c>
      <c r="E207" s="248" t="n">
        <v>0.2</v>
      </c>
      <c r="F207" s="249" t="s">
        <v>836</v>
      </c>
      <c r="G207" s="250" t="n">
        <f aca="false">581369.42+8954.07</f>
        <v>590323.49</v>
      </c>
      <c r="H207" s="250" t="n">
        <f aca="false">G207*E207/12</f>
        <v>9838.72483333333</v>
      </c>
    </row>
    <row r="208" customFormat="false" ht="13.8" hidden="false" customHeight="false" outlineLevel="0" collapsed="false">
      <c r="A208" s="274"/>
      <c r="B208" s="275"/>
      <c r="C208" s="276"/>
      <c r="D208" s="276"/>
      <c r="E208" s="234"/>
      <c r="F208" s="229"/>
      <c r="G208" s="277" t="n">
        <f aca="false">SUM(G39:G207)</f>
        <v>570509997.17</v>
      </c>
      <c r="H208" s="277" t="n">
        <f aca="false">SUM(H39:H207)</f>
        <v>2932137.9198375</v>
      </c>
    </row>
    <row r="209" customFormat="false" ht="13.8" hidden="false" customHeight="false" outlineLevel="0" collapsed="false"/>
    <row r="210" customFormat="false" ht="16.2" hidden="false" customHeight="false" outlineLevel="0" collapsed="false">
      <c r="G210" s="278" t="s">
        <v>839</v>
      </c>
      <c r="H210" s="279" t="n">
        <f aca="false">(H208*12)/G208</f>
        <v>0.0616740376375305</v>
      </c>
    </row>
  </sheetData>
  <mergeCells count="1">
    <mergeCell ref="B204:B207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93"/>
  <sheetViews>
    <sheetView showFormulas="false" showGridLines="true" showRowColHeaders="true" showZeros="true" rightToLeft="false" tabSelected="false" showOutlineSymbols="true" defaultGridColor="true" view="pageBreakPreview" topLeftCell="B65" colorId="64" zoomScale="75" zoomScaleNormal="75" zoomScalePageLayoutView="75" workbookViewId="0">
      <selection pane="topLeft" activeCell="J27" activeCellId="0" sqref="J27"/>
    </sheetView>
  </sheetViews>
  <sheetFormatPr defaultColWidth="9.0546875" defaultRowHeight="13.2" customHeight="true" zeroHeight="false" outlineLevelRow="0" outlineLevelCol="0"/>
  <cols>
    <col collapsed="false" customWidth="false" hidden="true" outlineLevel="0" max="1" min="1" style="2" width="9.06"/>
    <col collapsed="false" customWidth="true" hidden="false" outlineLevel="0" max="2" min="2" style="280" width="42.1"/>
    <col collapsed="false" customWidth="true" hidden="false" outlineLevel="0" max="3" min="3" style="2" width="10.43"/>
    <col collapsed="false" customWidth="true" hidden="false" outlineLevel="0" max="14" min="4" style="2" width="9.99"/>
    <col collapsed="false" customWidth="true" hidden="false" outlineLevel="0" max="15" min="15" style="2" width="25.43"/>
    <col collapsed="false" customWidth="true" hidden="false" outlineLevel="0" max="16" min="16" style="2" width="19.87"/>
    <col collapsed="false" customWidth="true" hidden="false" outlineLevel="0" max="30" min="30" style="2" width="33.1"/>
  </cols>
  <sheetData>
    <row r="1" customFormat="false" ht="13.2" hidden="false" customHeight="false" outlineLevel="0" collapsed="false">
      <c r="B1" s="26" t="s">
        <v>32</v>
      </c>
      <c r="P1" s="7" t="s">
        <v>131</v>
      </c>
      <c r="AD1" s="7" t="s">
        <v>132</v>
      </c>
    </row>
    <row r="2" customFormat="false" ht="18.6" hidden="false" customHeight="true" outlineLevel="0" collapsed="false">
      <c r="B2" s="147" t="s">
        <v>385</v>
      </c>
      <c r="P2" s="7"/>
      <c r="AD2" s="7"/>
    </row>
    <row r="3" customFormat="false" ht="17.4" hidden="false" customHeight="false" outlineLevel="0" collapsed="false">
      <c r="B3" s="281" t="s">
        <v>840</v>
      </c>
    </row>
    <row r="4" customFormat="false" ht="13.2" hidden="false" customHeight="false" outlineLevel="0" collapsed="false">
      <c r="B4" s="152"/>
      <c r="C4" s="206"/>
      <c r="P4" s="19"/>
      <c r="Q4" s="206" t="s">
        <v>352</v>
      </c>
      <c r="AD4" s="19"/>
      <c r="AE4" s="206" t="s">
        <v>352</v>
      </c>
    </row>
    <row r="5" customFormat="false" ht="13.2" hidden="false" customHeight="false" outlineLevel="0" collapsed="false">
      <c r="B5" s="152"/>
      <c r="C5" s="88"/>
      <c r="P5" s="19"/>
      <c r="Q5" s="88"/>
      <c r="AD5" s="19"/>
      <c r="AE5" s="88"/>
    </row>
    <row r="6" customFormat="false" ht="13.2" hidden="false" customHeight="false" outlineLevel="0" collapsed="false">
      <c r="C6" s="19"/>
      <c r="D6" s="19"/>
      <c r="E6" s="19"/>
      <c r="F6" s="19"/>
      <c r="P6" s="140" t="s">
        <v>841</v>
      </c>
      <c r="Q6" s="14" t="s">
        <v>842</v>
      </c>
      <c r="R6" s="14"/>
      <c r="S6" s="14"/>
      <c r="T6" s="14"/>
      <c r="AD6" s="140" t="s">
        <v>841</v>
      </c>
      <c r="AE6" s="14" t="s">
        <v>842</v>
      </c>
      <c r="AF6" s="14"/>
      <c r="AG6" s="14"/>
      <c r="AH6" s="14"/>
    </row>
    <row r="7" customFormat="false" ht="13.2" hidden="false" customHeight="false" outlineLevel="0" collapsed="false">
      <c r="B7" s="282" t="s">
        <v>843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Q7" s="8" t="s">
        <v>41</v>
      </c>
      <c r="R7" s="8" t="s">
        <v>42</v>
      </c>
      <c r="S7" s="8" t="s">
        <v>43</v>
      </c>
      <c r="T7" s="8" t="s">
        <v>44</v>
      </c>
      <c r="U7" s="8" t="s">
        <v>45</v>
      </c>
      <c r="V7" s="8" t="s">
        <v>46</v>
      </c>
      <c r="W7" s="8" t="s">
        <v>47</v>
      </c>
      <c r="X7" s="8" t="s">
        <v>48</v>
      </c>
      <c r="Y7" s="8" t="s">
        <v>49</v>
      </c>
      <c r="Z7" s="8" t="s">
        <v>50</v>
      </c>
      <c r="AA7" s="8" t="s">
        <v>51</v>
      </c>
      <c r="AB7" s="8" t="s">
        <v>52</v>
      </c>
      <c r="AE7" s="8" t="s">
        <v>41</v>
      </c>
      <c r="AF7" s="8" t="s">
        <v>42</v>
      </c>
      <c r="AG7" s="8" t="s">
        <v>43</v>
      </c>
      <c r="AH7" s="8" t="s">
        <v>44</v>
      </c>
      <c r="AI7" s="8" t="s">
        <v>45</v>
      </c>
      <c r="AJ7" s="8" t="s">
        <v>46</v>
      </c>
      <c r="AK7" s="8" t="s">
        <v>47</v>
      </c>
      <c r="AL7" s="8" t="s">
        <v>48</v>
      </c>
      <c r="AM7" s="8" t="s">
        <v>49</v>
      </c>
      <c r="AN7" s="8" t="s">
        <v>50</v>
      </c>
      <c r="AO7" s="8" t="s">
        <v>51</v>
      </c>
      <c r="AP7" s="8" t="s">
        <v>52</v>
      </c>
    </row>
    <row r="8" customFormat="false" ht="13.2" hidden="false" customHeight="false" outlineLevel="0" collapsed="false">
      <c r="A8" s="2" t="s">
        <v>844</v>
      </c>
      <c r="B8" s="280" t="s">
        <v>845</v>
      </c>
      <c r="C8" s="283" t="n">
        <f aca="false">6257.71*1.046</f>
        <v>6545.56466</v>
      </c>
      <c r="D8" s="112" t="n">
        <f aca="false">C8</f>
        <v>6545.56466</v>
      </c>
      <c r="E8" s="112" t="n">
        <f aca="false">D8</f>
        <v>6545.56466</v>
      </c>
      <c r="F8" s="112" t="n">
        <f aca="false">E8</f>
        <v>6545.56466</v>
      </c>
      <c r="G8" s="112" t="n">
        <f aca="false">F8</f>
        <v>6545.56466</v>
      </c>
      <c r="H8" s="112" t="n">
        <f aca="false">G8</f>
        <v>6545.56466</v>
      </c>
      <c r="I8" s="112" t="n">
        <f aca="false">H8</f>
        <v>6545.56466</v>
      </c>
      <c r="J8" s="112" t="n">
        <f aca="false">I8</f>
        <v>6545.56466</v>
      </c>
      <c r="K8" s="112" t="n">
        <f aca="false">J8</f>
        <v>6545.56466</v>
      </c>
      <c r="L8" s="112" t="n">
        <f aca="false">K8</f>
        <v>6545.56466</v>
      </c>
      <c r="M8" s="112" t="n">
        <f aca="false">L8</f>
        <v>6545.56466</v>
      </c>
      <c r="N8" s="112" t="n">
        <f aca="false">M8</f>
        <v>6545.56466</v>
      </c>
      <c r="O8" s="139"/>
      <c r="P8" s="2" t="s">
        <v>845</v>
      </c>
      <c r="Q8" s="284" t="n">
        <f aca="false">6546*1.04</f>
        <v>6807.84</v>
      </c>
      <c r="R8" s="112" t="n">
        <f aca="false">Q8</f>
        <v>6807.84</v>
      </c>
      <c r="S8" s="112" t="n">
        <f aca="false">R8</f>
        <v>6807.84</v>
      </c>
      <c r="T8" s="112" t="n">
        <f aca="false">S8</f>
        <v>6807.84</v>
      </c>
      <c r="U8" s="112" t="n">
        <f aca="false">T8</f>
        <v>6807.84</v>
      </c>
      <c r="V8" s="112" t="n">
        <f aca="false">U8</f>
        <v>6807.84</v>
      </c>
      <c r="W8" s="112" t="n">
        <f aca="false">V8</f>
        <v>6807.84</v>
      </c>
      <c r="X8" s="112" t="n">
        <f aca="false">W8</f>
        <v>6807.84</v>
      </c>
      <c r="Y8" s="112" t="n">
        <f aca="false">X8</f>
        <v>6807.84</v>
      </c>
      <c r="Z8" s="112" t="n">
        <f aca="false">Y8</f>
        <v>6807.84</v>
      </c>
      <c r="AA8" s="112" t="n">
        <f aca="false">Z8</f>
        <v>6807.84</v>
      </c>
      <c r="AB8" s="112" t="n">
        <f aca="false">AA8</f>
        <v>6807.84</v>
      </c>
      <c r="AD8" s="2" t="s">
        <v>845</v>
      </c>
      <c r="AE8" s="284" t="n">
        <f aca="false">6808.71*1.04</f>
        <v>7081.0584</v>
      </c>
      <c r="AF8" s="112" t="n">
        <f aca="false">AE8</f>
        <v>7081.0584</v>
      </c>
      <c r="AG8" s="112" t="n">
        <f aca="false">AF8</f>
        <v>7081.0584</v>
      </c>
      <c r="AH8" s="112" t="n">
        <f aca="false">AG8</f>
        <v>7081.0584</v>
      </c>
      <c r="AI8" s="112" t="n">
        <f aca="false">AH8</f>
        <v>7081.0584</v>
      </c>
      <c r="AJ8" s="112" t="n">
        <f aca="false">AI8</f>
        <v>7081.0584</v>
      </c>
      <c r="AK8" s="112" t="n">
        <f aca="false">AJ8</f>
        <v>7081.0584</v>
      </c>
      <c r="AL8" s="112" t="n">
        <f aca="false">AK8</f>
        <v>7081.0584</v>
      </c>
      <c r="AM8" s="112" t="n">
        <f aca="false">AL8</f>
        <v>7081.0584</v>
      </c>
      <c r="AN8" s="112" t="n">
        <f aca="false">AM8</f>
        <v>7081.0584</v>
      </c>
      <c r="AO8" s="112" t="n">
        <f aca="false">AN8</f>
        <v>7081.0584</v>
      </c>
      <c r="AP8" s="112" t="n">
        <f aca="false">AO8</f>
        <v>7081.0584</v>
      </c>
    </row>
    <row r="9" customFormat="false" ht="13.2" hidden="false" customHeight="false" outlineLevel="0" collapsed="false">
      <c r="A9" s="2" t="s">
        <v>846</v>
      </c>
      <c r="B9" s="280" t="s">
        <v>847</v>
      </c>
      <c r="C9" s="283" t="n">
        <f aca="false">56319.36*1.046</f>
        <v>58910.05056</v>
      </c>
      <c r="D9" s="112" t="n">
        <f aca="false">C9</f>
        <v>58910.05056</v>
      </c>
      <c r="E9" s="112" t="n">
        <f aca="false">D9</f>
        <v>58910.05056</v>
      </c>
      <c r="F9" s="112" t="n">
        <f aca="false">E9</f>
        <v>58910.05056</v>
      </c>
      <c r="G9" s="112" t="n">
        <f aca="false">F9</f>
        <v>58910.05056</v>
      </c>
      <c r="H9" s="112" t="n">
        <f aca="false">G9</f>
        <v>58910.05056</v>
      </c>
      <c r="I9" s="112" t="n">
        <f aca="false">H9</f>
        <v>58910.05056</v>
      </c>
      <c r="J9" s="112" t="n">
        <f aca="false">I9</f>
        <v>58910.05056</v>
      </c>
      <c r="K9" s="112" t="n">
        <f aca="false">J9</f>
        <v>58910.05056</v>
      </c>
      <c r="L9" s="112" t="n">
        <f aca="false">K9</f>
        <v>58910.05056</v>
      </c>
      <c r="M9" s="112" t="n">
        <f aca="false">L9</f>
        <v>58910.05056</v>
      </c>
      <c r="N9" s="112" t="n">
        <f aca="false">M9</f>
        <v>58910.05056</v>
      </c>
      <c r="O9" s="139"/>
      <c r="P9" s="2" t="s">
        <v>847</v>
      </c>
      <c r="Q9" s="284" t="n">
        <f aca="false">58910*1.04</f>
        <v>61266.4</v>
      </c>
      <c r="R9" s="112" t="n">
        <f aca="false">Q9</f>
        <v>61266.4</v>
      </c>
      <c r="S9" s="112" t="n">
        <f aca="false">R9</f>
        <v>61266.4</v>
      </c>
      <c r="T9" s="112" t="n">
        <f aca="false">S9</f>
        <v>61266.4</v>
      </c>
      <c r="U9" s="112" t="n">
        <f aca="false">T9</f>
        <v>61266.4</v>
      </c>
      <c r="V9" s="112" t="n">
        <f aca="false">U9</f>
        <v>61266.4</v>
      </c>
      <c r="W9" s="112" t="n">
        <f aca="false">V9</f>
        <v>61266.4</v>
      </c>
      <c r="X9" s="112" t="n">
        <f aca="false">W9</f>
        <v>61266.4</v>
      </c>
      <c r="Y9" s="112" t="n">
        <f aca="false">X9</f>
        <v>61266.4</v>
      </c>
      <c r="Z9" s="112" t="n">
        <f aca="false">Y9</f>
        <v>61266.4</v>
      </c>
      <c r="AA9" s="112" t="n">
        <f aca="false">Z9</f>
        <v>61266.4</v>
      </c>
      <c r="AB9" s="112" t="n">
        <f aca="false">AA9</f>
        <v>61266.4</v>
      </c>
      <c r="AD9" s="2" t="s">
        <v>847</v>
      </c>
      <c r="AE9" s="284" t="n">
        <f aca="false">61266*1.04</f>
        <v>63716.64</v>
      </c>
      <c r="AF9" s="112" t="n">
        <f aca="false">AE9</f>
        <v>63716.64</v>
      </c>
      <c r="AG9" s="112" t="n">
        <f aca="false">AF9</f>
        <v>63716.64</v>
      </c>
      <c r="AH9" s="112" t="n">
        <f aca="false">AG9</f>
        <v>63716.64</v>
      </c>
      <c r="AI9" s="112" t="n">
        <f aca="false">AH9</f>
        <v>63716.64</v>
      </c>
      <c r="AJ9" s="112" t="n">
        <f aca="false">AI9</f>
        <v>63716.64</v>
      </c>
      <c r="AK9" s="112" t="n">
        <f aca="false">AJ9</f>
        <v>63716.64</v>
      </c>
      <c r="AL9" s="112" t="n">
        <f aca="false">AK9</f>
        <v>63716.64</v>
      </c>
      <c r="AM9" s="112" t="n">
        <f aca="false">AL9</f>
        <v>63716.64</v>
      </c>
      <c r="AN9" s="112" t="n">
        <f aca="false">AM9</f>
        <v>63716.64</v>
      </c>
      <c r="AO9" s="112" t="n">
        <f aca="false">AN9</f>
        <v>63716.64</v>
      </c>
      <c r="AP9" s="112" t="n">
        <f aca="false">AO9</f>
        <v>63716.64</v>
      </c>
    </row>
    <row r="10" customFormat="false" ht="13.2" hidden="false" customHeight="false" outlineLevel="0" collapsed="false">
      <c r="A10" s="2" t="s">
        <v>848</v>
      </c>
      <c r="B10" s="280" t="s">
        <v>849</v>
      </c>
      <c r="C10" s="283" t="n">
        <v>5000</v>
      </c>
      <c r="D10" s="112" t="n">
        <f aca="false">C10</f>
        <v>5000</v>
      </c>
      <c r="E10" s="112" t="n">
        <f aca="false">D10</f>
        <v>5000</v>
      </c>
      <c r="F10" s="112" t="n">
        <f aca="false">E10</f>
        <v>5000</v>
      </c>
      <c r="G10" s="112" t="n">
        <f aca="false">F10</f>
        <v>5000</v>
      </c>
      <c r="H10" s="112" t="n">
        <f aca="false">G10</f>
        <v>5000</v>
      </c>
      <c r="I10" s="112" t="n">
        <f aca="false">H10</f>
        <v>5000</v>
      </c>
      <c r="J10" s="112" t="n">
        <f aca="false">I10</f>
        <v>5000</v>
      </c>
      <c r="K10" s="112" t="n">
        <f aca="false">J10</f>
        <v>5000</v>
      </c>
      <c r="L10" s="112" t="n">
        <f aca="false">K10</f>
        <v>5000</v>
      </c>
      <c r="M10" s="112" t="n">
        <f aca="false">L10</f>
        <v>5000</v>
      </c>
      <c r="N10" s="112" t="n">
        <f aca="false">M10</f>
        <v>5000</v>
      </c>
      <c r="O10" s="139" t="s">
        <v>850</v>
      </c>
      <c r="P10" s="2" t="s">
        <v>849</v>
      </c>
      <c r="Q10" s="284" t="n">
        <v>1000</v>
      </c>
      <c r="R10" s="112" t="n">
        <f aca="false">Q10</f>
        <v>1000</v>
      </c>
      <c r="S10" s="112" t="n">
        <f aca="false">R10</f>
        <v>1000</v>
      </c>
      <c r="T10" s="112" t="n">
        <f aca="false">S10</f>
        <v>1000</v>
      </c>
      <c r="U10" s="112" t="n">
        <f aca="false">T10</f>
        <v>1000</v>
      </c>
      <c r="V10" s="112" t="n">
        <f aca="false">U10</f>
        <v>1000</v>
      </c>
      <c r="W10" s="112" t="n">
        <f aca="false">V10</f>
        <v>1000</v>
      </c>
      <c r="X10" s="112" t="n">
        <f aca="false">W10</f>
        <v>1000</v>
      </c>
      <c r="Y10" s="112" t="n">
        <f aca="false">X10</f>
        <v>1000</v>
      </c>
      <c r="Z10" s="112" t="n">
        <f aca="false">Y10</f>
        <v>1000</v>
      </c>
      <c r="AA10" s="112" t="n">
        <f aca="false">Z10</f>
        <v>1000</v>
      </c>
      <c r="AB10" s="112" t="n">
        <f aca="false">AA10</f>
        <v>1000</v>
      </c>
      <c r="AD10" s="2" t="s">
        <v>849</v>
      </c>
      <c r="AE10" s="284" t="n">
        <v>1000</v>
      </c>
      <c r="AF10" s="112" t="n">
        <f aca="false">AE10</f>
        <v>1000</v>
      </c>
      <c r="AG10" s="112" t="n">
        <f aca="false">AF10</f>
        <v>1000</v>
      </c>
      <c r="AH10" s="112" t="n">
        <f aca="false">AG10</f>
        <v>1000</v>
      </c>
      <c r="AI10" s="112" t="n">
        <f aca="false">AH10</f>
        <v>1000</v>
      </c>
      <c r="AJ10" s="112" t="n">
        <f aca="false">AI10</f>
        <v>1000</v>
      </c>
      <c r="AK10" s="112" t="n">
        <f aca="false">AJ10</f>
        <v>1000</v>
      </c>
      <c r="AL10" s="112" t="n">
        <f aca="false">AK10</f>
        <v>1000</v>
      </c>
      <c r="AM10" s="112" t="n">
        <f aca="false">AL10</f>
        <v>1000</v>
      </c>
      <c r="AN10" s="112" t="n">
        <f aca="false">AM10</f>
        <v>1000</v>
      </c>
      <c r="AO10" s="112" t="n">
        <f aca="false">AN10</f>
        <v>1000</v>
      </c>
      <c r="AP10" s="112" t="n">
        <f aca="false">AO10</f>
        <v>1000</v>
      </c>
    </row>
    <row r="11" customFormat="false" ht="13.2" hidden="false" customHeight="false" outlineLevel="0" collapsed="false">
      <c r="A11" s="2" t="s">
        <v>851</v>
      </c>
      <c r="B11" s="280" t="s">
        <v>852</v>
      </c>
      <c r="C11" s="283" t="n">
        <v>15000</v>
      </c>
      <c r="D11" s="112" t="n">
        <f aca="false">C11</f>
        <v>15000</v>
      </c>
      <c r="E11" s="112" t="n">
        <f aca="false">D11</f>
        <v>15000</v>
      </c>
      <c r="F11" s="112" t="n">
        <f aca="false">E11</f>
        <v>15000</v>
      </c>
      <c r="G11" s="112" t="n">
        <f aca="false">F11</f>
        <v>15000</v>
      </c>
      <c r="H11" s="112" t="n">
        <f aca="false">G11</f>
        <v>15000</v>
      </c>
      <c r="I11" s="112" t="n">
        <f aca="false">H11</f>
        <v>15000</v>
      </c>
      <c r="J11" s="112" t="n">
        <f aca="false">I11</f>
        <v>15000</v>
      </c>
      <c r="K11" s="112" t="n">
        <f aca="false">J11</f>
        <v>15000</v>
      </c>
      <c r="L11" s="112" t="n">
        <f aca="false">K11</f>
        <v>15000</v>
      </c>
      <c r="M11" s="112" t="n">
        <f aca="false">L11</f>
        <v>15000</v>
      </c>
      <c r="N11" s="112" t="n">
        <f aca="false">M11</f>
        <v>15000</v>
      </c>
      <c r="O11" s="139"/>
      <c r="P11" s="2" t="s">
        <v>852</v>
      </c>
      <c r="Q11" s="284" t="n">
        <v>1000</v>
      </c>
      <c r="R11" s="112" t="n">
        <f aca="false">Q11</f>
        <v>1000</v>
      </c>
      <c r="S11" s="112" t="n">
        <f aca="false">R11</f>
        <v>1000</v>
      </c>
      <c r="T11" s="112" t="n">
        <f aca="false">S11</f>
        <v>1000</v>
      </c>
      <c r="U11" s="112" t="n">
        <f aca="false">T11</f>
        <v>1000</v>
      </c>
      <c r="V11" s="112" t="n">
        <f aca="false">U11</f>
        <v>1000</v>
      </c>
      <c r="W11" s="112" t="n">
        <f aca="false">V11</f>
        <v>1000</v>
      </c>
      <c r="X11" s="112" t="n">
        <f aca="false">W11</f>
        <v>1000</v>
      </c>
      <c r="Y11" s="112" t="n">
        <f aca="false">X11</f>
        <v>1000</v>
      </c>
      <c r="Z11" s="112" t="n">
        <f aca="false">Y11</f>
        <v>1000</v>
      </c>
      <c r="AA11" s="112" t="n">
        <f aca="false">Z11</f>
        <v>1000</v>
      </c>
      <c r="AB11" s="112" t="n">
        <f aca="false">AA11</f>
        <v>1000</v>
      </c>
      <c r="AD11" s="2" t="s">
        <v>852</v>
      </c>
      <c r="AE11" s="284" t="n">
        <v>1000</v>
      </c>
      <c r="AF11" s="112" t="n">
        <f aca="false">AE11</f>
        <v>1000</v>
      </c>
      <c r="AG11" s="112" t="n">
        <f aca="false">AF11</f>
        <v>1000</v>
      </c>
      <c r="AH11" s="112" t="n">
        <f aca="false">AG11</f>
        <v>1000</v>
      </c>
      <c r="AI11" s="112" t="n">
        <f aca="false">AH11</f>
        <v>1000</v>
      </c>
      <c r="AJ11" s="112" t="n">
        <f aca="false">AI11</f>
        <v>1000</v>
      </c>
      <c r="AK11" s="112" t="n">
        <f aca="false">AJ11</f>
        <v>1000</v>
      </c>
      <c r="AL11" s="112" t="n">
        <f aca="false">AK11</f>
        <v>1000</v>
      </c>
      <c r="AM11" s="112" t="n">
        <f aca="false">AL11</f>
        <v>1000</v>
      </c>
      <c r="AN11" s="112" t="n">
        <f aca="false">AM11</f>
        <v>1000</v>
      </c>
      <c r="AO11" s="112" t="n">
        <f aca="false">AN11</f>
        <v>1000</v>
      </c>
      <c r="AP11" s="112" t="n">
        <f aca="false">AO11</f>
        <v>1000</v>
      </c>
    </row>
    <row r="12" customFormat="false" ht="13.2" hidden="true" customHeight="false" outlineLevel="0" collapsed="false">
      <c r="B12" s="280" t="s">
        <v>469</v>
      </c>
      <c r="C12" s="283" t="n">
        <v>0</v>
      </c>
      <c r="D12" s="112" t="n">
        <f aca="false">C12</f>
        <v>0</v>
      </c>
      <c r="E12" s="112" t="n">
        <f aca="false">D12</f>
        <v>0</v>
      </c>
      <c r="F12" s="112" t="n">
        <f aca="false">E12</f>
        <v>0</v>
      </c>
      <c r="G12" s="112" t="n">
        <f aca="false">F12</f>
        <v>0</v>
      </c>
      <c r="H12" s="112" t="n">
        <f aca="false">G12</f>
        <v>0</v>
      </c>
      <c r="I12" s="112" t="n">
        <f aca="false">H12</f>
        <v>0</v>
      </c>
      <c r="J12" s="112" t="n">
        <f aca="false">I12</f>
        <v>0</v>
      </c>
      <c r="K12" s="112" t="n">
        <f aca="false">J12</f>
        <v>0</v>
      </c>
      <c r="L12" s="112" t="n">
        <f aca="false">K12</f>
        <v>0</v>
      </c>
      <c r="M12" s="112" t="n">
        <f aca="false">L12</f>
        <v>0</v>
      </c>
      <c r="N12" s="112" t="n">
        <f aca="false">M12</f>
        <v>0</v>
      </c>
      <c r="O12" s="139"/>
      <c r="P12" s="2" t="s">
        <v>469</v>
      </c>
      <c r="Q12" s="284" t="n">
        <v>0</v>
      </c>
      <c r="R12" s="112" t="n">
        <f aca="false">Q12</f>
        <v>0</v>
      </c>
      <c r="S12" s="112" t="n">
        <f aca="false">R12</f>
        <v>0</v>
      </c>
      <c r="T12" s="112" t="n">
        <f aca="false">S12</f>
        <v>0</v>
      </c>
      <c r="U12" s="112" t="n">
        <f aca="false">T12</f>
        <v>0</v>
      </c>
      <c r="V12" s="112" t="n">
        <f aca="false">U12</f>
        <v>0</v>
      </c>
      <c r="W12" s="112" t="n">
        <f aca="false">V12</f>
        <v>0</v>
      </c>
      <c r="X12" s="112" t="n">
        <f aca="false">W12</f>
        <v>0</v>
      </c>
      <c r="Y12" s="112" t="n">
        <f aca="false">X12</f>
        <v>0</v>
      </c>
      <c r="Z12" s="112" t="n">
        <f aca="false">Y12</f>
        <v>0</v>
      </c>
      <c r="AA12" s="112" t="n">
        <f aca="false">Z12</f>
        <v>0</v>
      </c>
      <c r="AB12" s="112" t="n">
        <f aca="false">AA12</f>
        <v>0</v>
      </c>
      <c r="AD12" s="2" t="s">
        <v>469</v>
      </c>
      <c r="AE12" s="284" t="n">
        <v>0</v>
      </c>
      <c r="AF12" s="112" t="n">
        <f aca="false">AE12</f>
        <v>0</v>
      </c>
      <c r="AG12" s="112" t="n">
        <f aca="false">AF12</f>
        <v>0</v>
      </c>
      <c r="AH12" s="112" t="n">
        <f aca="false">AG12</f>
        <v>0</v>
      </c>
      <c r="AI12" s="112" t="n">
        <f aca="false">AH12</f>
        <v>0</v>
      </c>
      <c r="AJ12" s="112" t="n">
        <f aca="false">AI12</f>
        <v>0</v>
      </c>
      <c r="AK12" s="112" t="n">
        <f aca="false">AJ12</f>
        <v>0</v>
      </c>
      <c r="AL12" s="112" t="n">
        <f aca="false">AK12</f>
        <v>0</v>
      </c>
      <c r="AM12" s="112" t="n">
        <f aca="false">AL12</f>
        <v>0</v>
      </c>
      <c r="AN12" s="112" t="n">
        <f aca="false">AM12</f>
        <v>0</v>
      </c>
      <c r="AO12" s="112" t="n">
        <f aca="false">AN12</f>
        <v>0</v>
      </c>
      <c r="AP12" s="112" t="n">
        <f aca="false">AO12</f>
        <v>0</v>
      </c>
    </row>
    <row r="13" customFormat="false" ht="13.2" hidden="false" customHeight="false" outlineLevel="0" collapsed="false">
      <c r="A13" s="2" t="s">
        <v>853</v>
      </c>
      <c r="B13" s="280" t="s">
        <v>854</v>
      </c>
      <c r="C13" s="283" t="n">
        <v>1000</v>
      </c>
      <c r="D13" s="112" t="n">
        <f aca="false">C13</f>
        <v>1000</v>
      </c>
      <c r="E13" s="112" t="n">
        <f aca="false">D13</f>
        <v>1000</v>
      </c>
      <c r="F13" s="112" t="n">
        <f aca="false">E13</f>
        <v>1000</v>
      </c>
      <c r="G13" s="112" t="n">
        <f aca="false">F13</f>
        <v>1000</v>
      </c>
      <c r="H13" s="112" t="n">
        <f aca="false">G13</f>
        <v>1000</v>
      </c>
      <c r="I13" s="112" t="n">
        <f aca="false">H13</f>
        <v>1000</v>
      </c>
      <c r="J13" s="112" t="n">
        <f aca="false">I13</f>
        <v>1000</v>
      </c>
      <c r="K13" s="112" t="n">
        <f aca="false">J13</f>
        <v>1000</v>
      </c>
      <c r="L13" s="112" t="n">
        <f aca="false">K13</f>
        <v>1000</v>
      </c>
      <c r="M13" s="112" t="n">
        <f aca="false">L13</f>
        <v>1000</v>
      </c>
      <c r="N13" s="112" t="n">
        <f aca="false">M13</f>
        <v>1000</v>
      </c>
      <c r="O13" s="139"/>
      <c r="P13" s="2" t="s">
        <v>854</v>
      </c>
      <c r="Q13" s="284" t="n">
        <v>500</v>
      </c>
      <c r="R13" s="112" t="n">
        <f aca="false">Q13</f>
        <v>500</v>
      </c>
      <c r="S13" s="112" t="n">
        <f aca="false">R13</f>
        <v>500</v>
      </c>
      <c r="T13" s="112" t="n">
        <f aca="false">S13</f>
        <v>500</v>
      </c>
      <c r="U13" s="112" t="n">
        <f aca="false">T13</f>
        <v>500</v>
      </c>
      <c r="V13" s="112" t="n">
        <f aca="false">U13</f>
        <v>500</v>
      </c>
      <c r="W13" s="112" t="n">
        <f aca="false">V13</f>
        <v>500</v>
      </c>
      <c r="X13" s="112" t="n">
        <f aca="false">W13</f>
        <v>500</v>
      </c>
      <c r="Y13" s="112" t="n">
        <f aca="false">X13</f>
        <v>500</v>
      </c>
      <c r="Z13" s="112" t="n">
        <f aca="false">Y13</f>
        <v>500</v>
      </c>
      <c r="AA13" s="112" t="n">
        <f aca="false">Z13</f>
        <v>500</v>
      </c>
      <c r="AB13" s="112" t="n">
        <f aca="false">AA13</f>
        <v>500</v>
      </c>
      <c r="AD13" s="2" t="s">
        <v>854</v>
      </c>
      <c r="AE13" s="284" t="n">
        <v>500</v>
      </c>
      <c r="AF13" s="112" t="n">
        <f aca="false">AE13</f>
        <v>500</v>
      </c>
      <c r="AG13" s="112" t="n">
        <f aca="false">AF13</f>
        <v>500</v>
      </c>
      <c r="AH13" s="112" t="n">
        <f aca="false">AG13</f>
        <v>500</v>
      </c>
      <c r="AI13" s="112" t="n">
        <f aca="false">AH13</f>
        <v>500</v>
      </c>
      <c r="AJ13" s="112" t="n">
        <f aca="false">AI13</f>
        <v>500</v>
      </c>
      <c r="AK13" s="112" t="n">
        <f aca="false">AJ13</f>
        <v>500</v>
      </c>
      <c r="AL13" s="112" t="n">
        <f aca="false">AK13</f>
        <v>500</v>
      </c>
      <c r="AM13" s="112" t="n">
        <f aca="false">AL13</f>
        <v>500</v>
      </c>
      <c r="AN13" s="112" t="n">
        <f aca="false">AM13</f>
        <v>500</v>
      </c>
      <c r="AO13" s="112" t="n">
        <f aca="false">AN13</f>
        <v>500</v>
      </c>
      <c r="AP13" s="112" t="n">
        <f aca="false">AO13</f>
        <v>500</v>
      </c>
    </row>
    <row r="14" customFormat="false" ht="13.2" hidden="false" customHeight="false" outlineLevel="0" collapsed="false">
      <c r="A14" s="2" t="s">
        <v>855</v>
      </c>
      <c r="B14" s="280" t="s">
        <v>856</v>
      </c>
      <c r="C14" s="283" t="n">
        <v>4000</v>
      </c>
      <c r="D14" s="112" t="n">
        <f aca="false">C14</f>
        <v>4000</v>
      </c>
      <c r="E14" s="112" t="n">
        <f aca="false">D14</f>
        <v>4000</v>
      </c>
      <c r="F14" s="112" t="n">
        <f aca="false">E14</f>
        <v>4000</v>
      </c>
      <c r="G14" s="112" t="n">
        <f aca="false">F14</f>
        <v>4000</v>
      </c>
      <c r="H14" s="112" t="n">
        <f aca="false">G14</f>
        <v>4000</v>
      </c>
      <c r="I14" s="112" t="n">
        <f aca="false">H14</f>
        <v>4000</v>
      </c>
      <c r="J14" s="112" t="n">
        <f aca="false">I14</f>
        <v>4000</v>
      </c>
      <c r="K14" s="112" t="n">
        <f aca="false">J14</f>
        <v>4000</v>
      </c>
      <c r="L14" s="112" t="n">
        <f aca="false">K14</f>
        <v>4000</v>
      </c>
      <c r="M14" s="112" t="n">
        <f aca="false">L14</f>
        <v>4000</v>
      </c>
      <c r="N14" s="112" t="n">
        <f aca="false">M14</f>
        <v>4000</v>
      </c>
      <c r="O14" s="139"/>
      <c r="P14" s="2" t="s">
        <v>856</v>
      </c>
      <c r="Q14" s="284" t="n">
        <v>4000</v>
      </c>
      <c r="R14" s="112" t="n">
        <f aca="false">Q14</f>
        <v>4000</v>
      </c>
      <c r="S14" s="112" t="n">
        <f aca="false">R14</f>
        <v>4000</v>
      </c>
      <c r="T14" s="112" t="n">
        <f aca="false">S14</f>
        <v>4000</v>
      </c>
      <c r="U14" s="112" t="n">
        <f aca="false">T14</f>
        <v>4000</v>
      </c>
      <c r="V14" s="112" t="n">
        <f aca="false">U14</f>
        <v>4000</v>
      </c>
      <c r="W14" s="112" t="n">
        <f aca="false">V14</f>
        <v>4000</v>
      </c>
      <c r="X14" s="112" t="n">
        <f aca="false">W14</f>
        <v>4000</v>
      </c>
      <c r="Y14" s="112" t="n">
        <f aca="false">X14</f>
        <v>4000</v>
      </c>
      <c r="Z14" s="112" t="n">
        <f aca="false">Y14</f>
        <v>4000</v>
      </c>
      <c r="AA14" s="112" t="n">
        <f aca="false">Z14</f>
        <v>4000</v>
      </c>
      <c r="AB14" s="112" t="n">
        <f aca="false">AA14</f>
        <v>4000</v>
      </c>
      <c r="AD14" s="2" t="s">
        <v>856</v>
      </c>
      <c r="AE14" s="284" t="n">
        <v>4000</v>
      </c>
      <c r="AF14" s="112" t="n">
        <f aca="false">AE14</f>
        <v>4000</v>
      </c>
      <c r="AG14" s="112" t="n">
        <f aca="false">AF14</f>
        <v>4000</v>
      </c>
      <c r="AH14" s="112" t="n">
        <f aca="false">AG14</f>
        <v>4000</v>
      </c>
      <c r="AI14" s="112" t="n">
        <f aca="false">AH14</f>
        <v>4000</v>
      </c>
      <c r="AJ14" s="112" t="n">
        <f aca="false">AI14</f>
        <v>4000</v>
      </c>
      <c r="AK14" s="112" t="n">
        <f aca="false">AJ14</f>
        <v>4000</v>
      </c>
      <c r="AL14" s="112" t="n">
        <f aca="false">AK14</f>
        <v>4000</v>
      </c>
      <c r="AM14" s="112" t="n">
        <f aca="false">AL14</f>
        <v>4000</v>
      </c>
      <c r="AN14" s="112" t="n">
        <f aca="false">AM14</f>
        <v>4000</v>
      </c>
      <c r="AO14" s="112" t="n">
        <f aca="false">AN14</f>
        <v>4000</v>
      </c>
      <c r="AP14" s="112" t="n">
        <f aca="false">AO14</f>
        <v>4000</v>
      </c>
    </row>
    <row r="15" customFormat="false" ht="13.2" hidden="true" customHeight="false" outlineLevel="0" collapsed="false">
      <c r="A15" s="137" t="s">
        <v>857</v>
      </c>
      <c r="B15" s="170" t="s">
        <v>858</v>
      </c>
      <c r="C15" s="283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39"/>
      <c r="P15" s="170" t="s">
        <v>858</v>
      </c>
      <c r="Q15" s="284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D15" s="170" t="s">
        <v>858</v>
      </c>
      <c r="AE15" s="284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</row>
    <row r="16" customFormat="false" ht="13.2" hidden="false" customHeight="false" outlineLevel="0" collapsed="false">
      <c r="A16" s="137"/>
      <c r="B16" s="170"/>
      <c r="C16" s="283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39"/>
      <c r="P16" s="170"/>
      <c r="Q16" s="284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D16" s="170"/>
      <c r="AE16" s="284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</row>
    <row r="17" customFormat="false" ht="13.2" hidden="false" customHeight="false" outlineLevel="0" collapsed="false">
      <c r="A17" s="137"/>
      <c r="B17" s="205" t="s">
        <v>859</v>
      </c>
      <c r="C17" s="283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39"/>
      <c r="P17" s="170"/>
      <c r="Q17" s="284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D17" s="170"/>
      <c r="AE17" s="284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</row>
    <row r="18" customFormat="false" ht="13.2" hidden="false" customHeight="false" outlineLevel="0" collapsed="false">
      <c r="A18" s="137" t="s">
        <v>860</v>
      </c>
      <c r="B18" s="170" t="str">
        <f aca="false">'O&amp;M Budget'!A36</f>
        <v>Sun system</v>
      </c>
      <c r="C18" s="283" t="n">
        <v>2850</v>
      </c>
      <c r="D18" s="112" t="n">
        <f aca="false">C18</f>
        <v>2850</v>
      </c>
      <c r="E18" s="112" t="n">
        <f aca="false">D18</f>
        <v>2850</v>
      </c>
      <c r="F18" s="112" t="n">
        <f aca="false">E18</f>
        <v>2850</v>
      </c>
      <c r="G18" s="112" t="n">
        <f aca="false">F18</f>
        <v>2850</v>
      </c>
      <c r="H18" s="112" t="n">
        <f aca="false">G18</f>
        <v>2850</v>
      </c>
      <c r="I18" s="112" t="n">
        <f aca="false">H18</f>
        <v>2850</v>
      </c>
      <c r="J18" s="112" t="n">
        <f aca="false">I18</f>
        <v>2850</v>
      </c>
      <c r="K18" s="112" t="n">
        <f aca="false">J18</f>
        <v>2850</v>
      </c>
      <c r="L18" s="112" t="n">
        <f aca="false">K18</f>
        <v>2850</v>
      </c>
      <c r="M18" s="112" t="n">
        <f aca="false">L18</f>
        <v>2850</v>
      </c>
      <c r="N18" s="112" t="n">
        <f aca="false">M18</f>
        <v>2850</v>
      </c>
      <c r="O18" s="139"/>
      <c r="P18" s="170" t="s">
        <v>861</v>
      </c>
      <c r="Q18" s="284" t="n">
        <v>2850</v>
      </c>
      <c r="R18" s="112" t="n">
        <f aca="false">Q18</f>
        <v>2850</v>
      </c>
      <c r="S18" s="112" t="n">
        <f aca="false">R18</f>
        <v>2850</v>
      </c>
      <c r="T18" s="112" t="n">
        <f aca="false">S18</f>
        <v>2850</v>
      </c>
      <c r="U18" s="112" t="n">
        <f aca="false">T18</f>
        <v>2850</v>
      </c>
      <c r="V18" s="112" t="n">
        <f aca="false">U18</f>
        <v>2850</v>
      </c>
      <c r="W18" s="112" t="n">
        <f aca="false">V18</f>
        <v>2850</v>
      </c>
      <c r="X18" s="112" t="n">
        <f aca="false">W18</f>
        <v>2850</v>
      </c>
      <c r="Y18" s="112" t="n">
        <f aca="false">X18</f>
        <v>2850</v>
      </c>
      <c r="Z18" s="112" t="n">
        <f aca="false">Y18</f>
        <v>2850</v>
      </c>
      <c r="AA18" s="112" t="n">
        <f aca="false">Z18</f>
        <v>2850</v>
      </c>
      <c r="AB18" s="112" t="n">
        <f aca="false">AA18</f>
        <v>2850</v>
      </c>
      <c r="AD18" s="170" t="s">
        <v>861</v>
      </c>
      <c r="AE18" s="284" t="n">
        <v>2850</v>
      </c>
      <c r="AF18" s="112" t="n">
        <f aca="false">AE18</f>
        <v>2850</v>
      </c>
      <c r="AG18" s="112" t="n">
        <f aca="false">AF18</f>
        <v>2850</v>
      </c>
      <c r="AH18" s="112" t="n">
        <f aca="false">AG18</f>
        <v>2850</v>
      </c>
      <c r="AI18" s="112" t="n">
        <f aca="false">AH18</f>
        <v>2850</v>
      </c>
      <c r="AJ18" s="112" t="n">
        <f aca="false">AI18</f>
        <v>2850</v>
      </c>
      <c r="AK18" s="112" t="n">
        <f aca="false">AJ18</f>
        <v>2850</v>
      </c>
      <c r="AL18" s="112" t="n">
        <f aca="false">AK18</f>
        <v>2850</v>
      </c>
      <c r="AM18" s="112" t="n">
        <f aca="false">AL18</f>
        <v>2850</v>
      </c>
      <c r="AN18" s="112" t="n">
        <f aca="false">AM18</f>
        <v>2850</v>
      </c>
      <c r="AO18" s="112" t="n">
        <f aca="false">AN18</f>
        <v>2850</v>
      </c>
      <c r="AP18" s="112" t="n">
        <f aca="false">AO18</f>
        <v>2850</v>
      </c>
    </row>
    <row r="19" customFormat="false" ht="13.2" hidden="false" customHeight="false" outlineLevel="0" collapsed="false">
      <c r="A19" s="137" t="s">
        <v>862</v>
      </c>
      <c r="B19" s="170" t="str">
        <f aca="false">'O&amp;M Budget'!A37</f>
        <v>IFS system</v>
      </c>
      <c r="C19" s="283" t="n">
        <v>2800</v>
      </c>
      <c r="D19" s="112" t="n">
        <f aca="false">C19</f>
        <v>2800</v>
      </c>
      <c r="E19" s="112" t="n">
        <f aca="false">D19</f>
        <v>2800</v>
      </c>
      <c r="F19" s="112" t="n">
        <f aca="false">E19</f>
        <v>2800</v>
      </c>
      <c r="G19" s="112" t="n">
        <f aca="false">F19</f>
        <v>2800</v>
      </c>
      <c r="H19" s="112" t="n">
        <f aca="false">G19</f>
        <v>2800</v>
      </c>
      <c r="I19" s="112" t="n">
        <f aca="false">H19</f>
        <v>2800</v>
      </c>
      <c r="J19" s="112" t="n">
        <f aca="false">I19</f>
        <v>2800</v>
      </c>
      <c r="K19" s="112" t="n">
        <f aca="false">J19</f>
        <v>2800</v>
      </c>
      <c r="L19" s="112" t="n">
        <f aca="false">K19</f>
        <v>2800</v>
      </c>
      <c r="M19" s="112" t="n">
        <f aca="false">L19</f>
        <v>2800</v>
      </c>
      <c r="N19" s="112" t="n">
        <f aca="false">M19</f>
        <v>2800</v>
      </c>
      <c r="O19" s="139"/>
      <c r="P19" s="170" t="s">
        <v>863</v>
      </c>
      <c r="Q19" s="284" t="n">
        <v>2800</v>
      </c>
      <c r="R19" s="112" t="n">
        <f aca="false">Q19</f>
        <v>2800</v>
      </c>
      <c r="S19" s="112" t="n">
        <f aca="false">R19</f>
        <v>2800</v>
      </c>
      <c r="T19" s="112" t="n">
        <f aca="false">S19</f>
        <v>2800</v>
      </c>
      <c r="U19" s="112" t="n">
        <f aca="false">T19</f>
        <v>2800</v>
      </c>
      <c r="V19" s="112" t="n">
        <f aca="false">U19</f>
        <v>2800</v>
      </c>
      <c r="W19" s="112" t="n">
        <f aca="false">V19</f>
        <v>2800</v>
      </c>
      <c r="X19" s="112" t="n">
        <f aca="false">W19</f>
        <v>2800</v>
      </c>
      <c r="Y19" s="112" t="n">
        <f aca="false">X19</f>
        <v>2800</v>
      </c>
      <c r="Z19" s="112" t="n">
        <f aca="false">Y19</f>
        <v>2800</v>
      </c>
      <c r="AA19" s="112" t="n">
        <f aca="false">Z19</f>
        <v>2800</v>
      </c>
      <c r="AB19" s="112" t="n">
        <f aca="false">AA19</f>
        <v>2800</v>
      </c>
      <c r="AD19" s="170" t="s">
        <v>863</v>
      </c>
      <c r="AE19" s="284" t="n">
        <v>2800</v>
      </c>
      <c r="AF19" s="112" t="n">
        <f aca="false">AE19</f>
        <v>2800</v>
      </c>
      <c r="AG19" s="112" t="n">
        <f aca="false">AF19</f>
        <v>2800</v>
      </c>
      <c r="AH19" s="112" t="n">
        <f aca="false">AG19</f>
        <v>2800</v>
      </c>
      <c r="AI19" s="112" t="n">
        <f aca="false">AH19</f>
        <v>2800</v>
      </c>
      <c r="AJ19" s="112" t="n">
        <f aca="false">AI19</f>
        <v>2800</v>
      </c>
      <c r="AK19" s="112" t="n">
        <f aca="false">AJ19</f>
        <v>2800</v>
      </c>
      <c r="AL19" s="112" t="n">
        <f aca="false">AK19</f>
        <v>2800</v>
      </c>
      <c r="AM19" s="112" t="n">
        <f aca="false">AL19</f>
        <v>2800</v>
      </c>
      <c r="AN19" s="112" t="n">
        <f aca="false">AM19</f>
        <v>2800</v>
      </c>
      <c r="AO19" s="112" t="n">
        <f aca="false">AN19</f>
        <v>2800</v>
      </c>
      <c r="AP19" s="112" t="n">
        <f aca="false">AO19</f>
        <v>2800</v>
      </c>
    </row>
    <row r="20" customFormat="false" ht="13.2" hidden="false" customHeight="false" outlineLevel="0" collapsed="false">
      <c r="C20" s="283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39"/>
      <c r="Q20" s="283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E20" s="283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</row>
    <row r="21" customFormat="false" ht="13.8" hidden="false" customHeight="false" outlineLevel="0" collapsed="false">
      <c r="B21" s="285" t="s">
        <v>864</v>
      </c>
      <c r="C21" s="286" t="n">
        <f aca="false">C8+C9+C10+C11+C13+C14+C18/Factors!C11+Oheads!C19/Factors!C11</f>
        <v>91768.5255980235</v>
      </c>
      <c r="D21" s="286" t="n">
        <f aca="false">D8+D9+D10+D11+D13+D14+D18/Factors!D11+Oheads!D19/Factors!D11</f>
        <v>91766.6926557327</v>
      </c>
      <c r="E21" s="286" t="n">
        <f aca="false">E8+E9+E10+E11+E13+E14+E18/Factors!E11+Oheads!E19/Factors!E11</f>
        <v>91764.864824215</v>
      </c>
      <c r="F21" s="286" t="n">
        <f aca="false">F8+F9+F10+F11+F13+F14+F18/Factors!F11+Oheads!F19/Factors!F11</f>
        <v>91763.0420821248</v>
      </c>
      <c r="G21" s="286" t="n">
        <f aca="false">G8+G9+G10+G11+G13+G14+G18/Factors!G11+Oheads!G19/Factors!G11</f>
        <v>91761.2244082351</v>
      </c>
      <c r="H21" s="286" t="n">
        <f aca="false">H8+H9+H10+H11+H13+H14+H18/Factors!H11+Oheads!H19/Factors!H11</f>
        <v>91759.4117814367</v>
      </c>
      <c r="I21" s="286" t="n">
        <f aca="false">I8+I9+I10+I11+I13+I14+I18/Factors!I11+Oheads!I19/Factors!I11</f>
        <v>91757.6041807375</v>
      </c>
      <c r="J21" s="286" t="n">
        <f aca="false">J8+J9+J10+J11+J13+J14+J18/Factors!J11+Oheads!J19/Factors!J11</f>
        <v>91755.8015852618</v>
      </c>
      <c r="K21" s="286" t="n">
        <f aca="false">K8+K9+K10+K11+K13+K14+K18/Factors!K11+Oheads!K19/Factors!K11</f>
        <v>91754.0039742492</v>
      </c>
      <c r="L21" s="286" t="n">
        <f aca="false">L8+L9+L10+L11+L13+L14+L18/Factors!L11+Oheads!L19/Factors!L11</f>
        <v>91752.211327054</v>
      </c>
      <c r="M21" s="286" t="n">
        <f aca="false">M8+M9+M10+M11+M13+M14+M18/Factors!M11+Oheads!M19/Factors!M11</f>
        <v>91750.4236231443</v>
      </c>
      <c r="N21" s="286" t="n">
        <f aca="false">N8+N9+N10+N11+N13+N14+N18/Factors!N11+Oheads!N19/Factors!N11</f>
        <v>91748.6408421014</v>
      </c>
      <c r="O21" s="139"/>
      <c r="Q21" s="283" t="n">
        <f aca="false">SUM(Q8:Q19)</f>
        <v>80224.24</v>
      </c>
      <c r="R21" s="283" t="n">
        <f aca="false">SUM(R8:R19)</f>
        <v>80224.24</v>
      </c>
      <c r="S21" s="283" t="n">
        <f aca="false">SUM(S8:S19)</f>
        <v>80224.24</v>
      </c>
      <c r="T21" s="283" t="n">
        <f aca="false">SUM(T8:T19)</f>
        <v>80224.24</v>
      </c>
      <c r="U21" s="283" t="n">
        <f aca="false">SUM(U8:U19)</f>
        <v>80224.24</v>
      </c>
      <c r="V21" s="283" t="n">
        <f aca="false">SUM(V8:V19)</f>
        <v>80224.24</v>
      </c>
      <c r="W21" s="283" t="n">
        <f aca="false">SUM(W8:W19)</f>
        <v>80224.24</v>
      </c>
      <c r="X21" s="283" t="n">
        <f aca="false">SUM(X8:X19)</f>
        <v>80224.24</v>
      </c>
      <c r="Y21" s="283" t="n">
        <f aca="false">SUM(Y8:Y19)</f>
        <v>80224.24</v>
      </c>
      <c r="Z21" s="283" t="n">
        <f aca="false">SUM(Z8:Z19)</f>
        <v>80224.24</v>
      </c>
      <c r="AA21" s="283" t="n">
        <f aca="false">SUM(AA8:AA19)</f>
        <v>80224.24</v>
      </c>
      <c r="AB21" s="283" t="n">
        <f aca="false">SUM(AB8:AB19)</f>
        <v>80224.24</v>
      </c>
      <c r="AE21" s="283" t="n">
        <f aca="false">SUM(AE8:AE19)</f>
        <v>82947.6984</v>
      </c>
      <c r="AF21" s="283" t="n">
        <f aca="false">SUM(AF8:AF19)</f>
        <v>82947.6984</v>
      </c>
      <c r="AG21" s="283" t="n">
        <f aca="false">SUM(AG8:AG19)</f>
        <v>82947.6984</v>
      </c>
      <c r="AH21" s="283" t="n">
        <f aca="false">SUM(AH8:AH19)</f>
        <v>82947.6984</v>
      </c>
      <c r="AI21" s="283" t="n">
        <f aca="false">SUM(AI8:AI19)</f>
        <v>82947.6984</v>
      </c>
      <c r="AJ21" s="283" t="n">
        <f aca="false">SUM(AJ8:AJ19)</f>
        <v>82947.6984</v>
      </c>
      <c r="AK21" s="283" t="n">
        <f aca="false">SUM(AK8:AK19)</f>
        <v>82947.6984</v>
      </c>
      <c r="AL21" s="283" t="n">
        <f aca="false">SUM(AL8:AL19)</f>
        <v>82947.6984</v>
      </c>
      <c r="AM21" s="283" t="n">
        <f aca="false">SUM(AM8:AM19)</f>
        <v>82947.6984</v>
      </c>
      <c r="AN21" s="283" t="n">
        <f aca="false">SUM(AN8:AN19)</f>
        <v>82947.6984</v>
      </c>
      <c r="AO21" s="283" t="n">
        <f aca="false">SUM(AO8:AO19)</f>
        <v>82947.6984</v>
      </c>
      <c r="AP21" s="283" t="n">
        <f aca="false">SUM(AP8:AP19)</f>
        <v>82947.6984</v>
      </c>
    </row>
    <row r="22" customFormat="false" ht="13.8" hidden="false" customHeight="false" outlineLevel="0" collapsed="false"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139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</row>
    <row r="23" customFormat="false" ht="13.8" hidden="false" customHeight="false" outlineLevel="0" collapsed="false">
      <c r="B23" s="285" t="s">
        <v>865</v>
      </c>
      <c r="C23" s="189" t="n">
        <f aca="false">C21*Factors!C11</f>
        <v>394918.174391613</v>
      </c>
      <c r="D23" s="189" t="n">
        <f aca="false">D21*Factors!D11</f>
        <v>395462.387936798</v>
      </c>
      <c r="E23" s="189" t="n">
        <f aca="false">E21*Factors!E11</f>
        <v>396006.601481983</v>
      </c>
      <c r="F23" s="189" t="n">
        <f aca="false">F21*Factors!F11</f>
        <v>396550.815027168</v>
      </c>
      <c r="G23" s="189" t="n">
        <f aca="false">G21*Factors!G11</f>
        <v>397095.028572353</v>
      </c>
      <c r="H23" s="189" t="n">
        <f aca="false">H21*Factors!H11</f>
        <v>397639.242117538</v>
      </c>
      <c r="I23" s="189" t="n">
        <f aca="false">I21*Factors!I11</f>
        <v>398183.455662723</v>
      </c>
      <c r="J23" s="189" t="n">
        <f aca="false">J21*Factors!J11</f>
        <v>398727.669207908</v>
      </c>
      <c r="K23" s="189" t="n">
        <f aca="false">K21*Factors!K11</f>
        <v>399271.882753093</v>
      </c>
      <c r="L23" s="189" t="n">
        <f aca="false">L21*Factors!L11</f>
        <v>399816.096298278</v>
      </c>
      <c r="M23" s="189" t="n">
        <f aca="false">M21*Factors!M11</f>
        <v>400360.309843463</v>
      </c>
      <c r="N23" s="189" t="n">
        <f aca="false">N21*Factors!N11</f>
        <v>400904.523388648</v>
      </c>
      <c r="P23" s="2" t="s">
        <v>866</v>
      </c>
      <c r="Q23" s="139" t="e">
        <f aca="false">#REF!*Factors!R11</f>
        <v>#REF!</v>
      </c>
      <c r="R23" s="139" t="e">
        <f aca="false">#REF!*Factors!S11</f>
        <v>#REF!</v>
      </c>
      <c r="S23" s="139" t="e">
        <f aca="false">#REF!*Factors!T11</f>
        <v>#REF!</v>
      </c>
      <c r="T23" s="139" t="e">
        <f aca="false">#REF!*Factors!U11</f>
        <v>#REF!</v>
      </c>
      <c r="U23" s="139" t="e">
        <f aca="false">#REF!*Factors!V11</f>
        <v>#REF!</v>
      </c>
      <c r="V23" s="139" t="e">
        <f aca="false">#REF!*Factors!W11</f>
        <v>#REF!</v>
      </c>
      <c r="W23" s="139" t="e">
        <f aca="false">#REF!*Factors!X11</f>
        <v>#REF!</v>
      </c>
      <c r="X23" s="139" t="e">
        <f aca="false">#REF!*Factors!Y11</f>
        <v>#REF!</v>
      </c>
      <c r="Y23" s="139" t="e">
        <f aca="false">#REF!*Factors!Z11</f>
        <v>#REF!</v>
      </c>
      <c r="Z23" s="139" t="e">
        <f aca="false">#REF!*Factors!AA11</f>
        <v>#REF!</v>
      </c>
      <c r="AA23" s="139" t="e">
        <f aca="false">#REF!*Factors!AB11</f>
        <v>#REF!</v>
      </c>
      <c r="AB23" s="139" t="e">
        <f aca="false">#REF!*Factors!AC11</f>
        <v>#REF!</v>
      </c>
      <c r="AD23" s="2" t="s">
        <v>866</v>
      </c>
      <c r="AE23" s="139" t="e">
        <f aca="false">#REF!*Factors!AF11</f>
        <v>#REF!</v>
      </c>
      <c r="AF23" s="139" t="e">
        <f aca="false">#REF!*Factors!AG11</f>
        <v>#REF!</v>
      </c>
      <c r="AG23" s="139" t="e">
        <f aca="false">#REF!*Factors!AH11</f>
        <v>#REF!</v>
      </c>
      <c r="AH23" s="139" t="e">
        <f aca="false">#REF!*Factors!AI11</f>
        <v>#REF!</v>
      </c>
      <c r="AI23" s="139" t="e">
        <f aca="false">#REF!*Factors!AJ11</f>
        <v>#REF!</v>
      </c>
      <c r="AJ23" s="139" t="e">
        <f aca="false">#REF!*Factors!AK11</f>
        <v>#REF!</v>
      </c>
      <c r="AK23" s="139" t="e">
        <f aca="false">#REF!*Factors!AL11</f>
        <v>#REF!</v>
      </c>
      <c r="AL23" s="139" t="e">
        <f aca="false">#REF!*Factors!AM11</f>
        <v>#REF!</v>
      </c>
      <c r="AM23" s="139" t="e">
        <f aca="false">#REF!*Factors!AN11</f>
        <v>#REF!</v>
      </c>
      <c r="AN23" s="139" t="e">
        <f aca="false">#REF!*Factors!AO11</f>
        <v>#REF!</v>
      </c>
      <c r="AO23" s="139" t="e">
        <f aca="false">#REF!*Factors!AP11</f>
        <v>#REF!</v>
      </c>
      <c r="AP23" s="139" t="e">
        <f aca="false">#REF!*Factors!AQ11</f>
        <v>#REF!</v>
      </c>
    </row>
    <row r="24" customFormat="false" ht="30.6" hidden="false" customHeight="true" outlineLevel="0" collapsed="false"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</row>
    <row r="25" customFormat="false" ht="13.2" hidden="false" customHeight="false" outlineLevel="0" collapsed="false">
      <c r="B25" s="26" t="s">
        <v>867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P25" s="287" t="s">
        <v>841</v>
      </c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D25" s="287" t="s">
        <v>841</v>
      </c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</row>
    <row r="26" customFormat="false" ht="13.2" hidden="false" customHeight="false" outlineLevel="0" collapsed="false">
      <c r="A26" s="137" t="s">
        <v>868</v>
      </c>
      <c r="B26" s="170" t="str">
        <f aca="false">'O&amp;M Budget'!A39</f>
        <v>Payroll</v>
      </c>
      <c r="C26" s="138" t="n">
        <f aca="false">2600*Factors!$C$16</f>
        <v>2756</v>
      </c>
      <c r="D26" s="138" t="n">
        <f aca="false">2600*Factors!$C$16</f>
        <v>2756</v>
      </c>
      <c r="E26" s="139" t="n">
        <f aca="false">D26</f>
        <v>2756</v>
      </c>
      <c r="F26" s="139" t="n">
        <f aca="false">E26</f>
        <v>2756</v>
      </c>
      <c r="G26" s="139" t="n">
        <f aca="false">F26</f>
        <v>2756</v>
      </c>
      <c r="H26" s="139" t="n">
        <f aca="false">G26</f>
        <v>2756</v>
      </c>
      <c r="I26" s="139" t="n">
        <f aca="false">H26</f>
        <v>2756</v>
      </c>
      <c r="J26" s="139" t="n">
        <f aca="false">I26</f>
        <v>2756</v>
      </c>
      <c r="K26" s="139" t="n">
        <f aca="false">J26</f>
        <v>2756</v>
      </c>
      <c r="L26" s="139" t="n">
        <f aca="false">K26</f>
        <v>2756</v>
      </c>
      <c r="M26" s="139" t="n">
        <f aca="false">L26</f>
        <v>2756</v>
      </c>
      <c r="N26" s="139" t="n">
        <f aca="false">M26</f>
        <v>2756</v>
      </c>
      <c r="P26" s="170" t="s">
        <v>869</v>
      </c>
      <c r="Q26" s="288" t="n">
        <f aca="false">N26*Factors!$R$16</f>
        <v>2866.24</v>
      </c>
      <c r="R26" s="139" t="n">
        <f aca="false">Q26</f>
        <v>2866.24</v>
      </c>
      <c r="S26" s="139" t="n">
        <f aca="false">R26</f>
        <v>2866.24</v>
      </c>
      <c r="T26" s="139" t="n">
        <f aca="false">S26</f>
        <v>2866.24</v>
      </c>
      <c r="U26" s="139" t="n">
        <f aca="false">T26</f>
        <v>2866.24</v>
      </c>
      <c r="V26" s="139" t="n">
        <f aca="false">U26</f>
        <v>2866.24</v>
      </c>
      <c r="W26" s="139" t="n">
        <f aca="false">V26</f>
        <v>2866.24</v>
      </c>
      <c r="X26" s="139" t="n">
        <f aca="false">W26</f>
        <v>2866.24</v>
      </c>
      <c r="Y26" s="139" t="n">
        <f aca="false">X26</f>
        <v>2866.24</v>
      </c>
      <c r="Z26" s="139" t="n">
        <f aca="false">Y26</f>
        <v>2866.24</v>
      </c>
      <c r="AA26" s="139" t="n">
        <f aca="false">Z26</f>
        <v>2866.24</v>
      </c>
      <c r="AB26" s="139" t="n">
        <f aca="false">AA26</f>
        <v>2866.24</v>
      </c>
      <c r="AD26" s="170" t="s">
        <v>869</v>
      </c>
      <c r="AE26" s="288" t="n">
        <f aca="false">AB26*Factors!$AG$16</f>
        <v>3038.2144</v>
      </c>
      <c r="AF26" s="139" t="n">
        <f aca="false">AE26</f>
        <v>3038.2144</v>
      </c>
      <c r="AG26" s="139" t="n">
        <f aca="false">AF26</f>
        <v>3038.2144</v>
      </c>
      <c r="AH26" s="139" t="n">
        <f aca="false">AG26</f>
        <v>3038.2144</v>
      </c>
      <c r="AI26" s="139" t="n">
        <f aca="false">AH26</f>
        <v>3038.2144</v>
      </c>
      <c r="AJ26" s="139" t="n">
        <f aca="false">AI26</f>
        <v>3038.2144</v>
      </c>
      <c r="AK26" s="139" t="n">
        <f aca="false">AJ26</f>
        <v>3038.2144</v>
      </c>
      <c r="AL26" s="139" t="n">
        <f aca="false">AK26</f>
        <v>3038.2144</v>
      </c>
      <c r="AM26" s="139" t="n">
        <f aca="false">AL26</f>
        <v>3038.2144</v>
      </c>
      <c r="AN26" s="139" t="n">
        <f aca="false">AM26</f>
        <v>3038.2144</v>
      </c>
      <c r="AO26" s="139" t="n">
        <f aca="false">AN26</f>
        <v>3038.2144</v>
      </c>
      <c r="AP26" s="139" t="n">
        <f aca="false">AO26</f>
        <v>3038.2144</v>
      </c>
    </row>
    <row r="27" customFormat="false" ht="13.2" hidden="false" customHeight="false" outlineLevel="0" collapsed="false">
      <c r="A27" s="137" t="s">
        <v>870</v>
      </c>
      <c r="B27" s="170" t="str">
        <f aca="false">'O&amp;M Budget'!A40</f>
        <v>Safety</v>
      </c>
      <c r="C27" s="138" t="n">
        <f aca="false">1520*Factors!$C$16</f>
        <v>1611.2</v>
      </c>
      <c r="D27" s="139" t="n">
        <f aca="false">C27</f>
        <v>1611.2</v>
      </c>
      <c r="E27" s="139" t="n">
        <f aca="false">D27</f>
        <v>1611.2</v>
      </c>
      <c r="F27" s="139" t="n">
        <f aca="false">E27</f>
        <v>1611.2</v>
      </c>
      <c r="G27" s="139" t="n">
        <f aca="false">F27</f>
        <v>1611.2</v>
      </c>
      <c r="H27" s="139" t="n">
        <f aca="false">G27</f>
        <v>1611.2</v>
      </c>
      <c r="I27" s="139" t="n">
        <f aca="false">H27</f>
        <v>1611.2</v>
      </c>
      <c r="J27" s="139" t="n">
        <f aca="false">I27</f>
        <v>1611.2</v>
      </c>
      <c r="K27" s="139" t="n">
        <f aca="false">J27</f>
        <v>1611.2</v>
      </c>
      <c r="L27" s="139" t="n">
        <f aca="false">K27</f>
        <v>1611.2</v>
      </c>
      <c r="M27" s="139" t="n">
        <f aca="false">L27</f>
        <v>1611.2</v>
      </c>
      <c r="N27" s="139" t="n">
        <f aca="false">M27</f>
        <v>1611.2</v>
      </c>
      <c r="P27" s="170" t="s">
        <v>871</v>
      </c>
      <c r="Q27" s="288" t="n">
        <f aca="false">N27*Factors!$R$16</f>
        <v>1675.648</v>
      </c>
      <c r="R27" s="139" t="n">
        <f aca="false">Q27</f>
        <v>1675.648</v>
      </c>
      <c r="S27" s="139" t="n">
        <f aca="false">R27</f>
        <v>1675.648</v>
      </c>
      <c r="T27" s="139" t="n">
        <f aca="false">S27</f>
        <v>1675.648</v>
      </c>
      <c r="U27" s="139" t="n">
        <f aca="false">T27</f>
        <v>1675.648</v>
      </c>
      <c r="V27" s="139" t="n">
        <f aca="false">U27</f>
        <v>1675.648</v>
      </c>
      <c r="W27" s="139" t="n">
        <f aca="false">V27</f>
        <v>1675.648</v>
      </c>
      <c r="X27" s="139" t="n">
        <f aca="false">W27</f>
        <v>1675.648</v>
      </c>
      <c r="Y27" s="139" t="n">
        <f aca="false">X27</f>
        <v>1675.648</v>
      </c>
      <c r="Z27" s="139" t="n">
        <f aca="false">Y27</f>
        <v>1675.648</v>
      </c>
      <c r="AA27" s="139" t="n">
        <f aca="false">Z27</f>
        <v>1675.648</v>
      </c>
      <c r="AB27" s="139" t="n">
        <f aca="false">AA27</f>
        <v>1675.648</v>
      </c>
      <c r="AD27" s="170" t="s">
        <v>871</v>
      </c>
      <c r="AE27" s="288" t="n">
        <f aca="false">AB27*Factors!$AG$16</f>
        <v>1776.18688</v>
      </c>
      <c r="AF27" s="139" t="n">
        <f aca="false">AE27</f>
        <v>1776.18688</v>
      </c>
      <c r="AG27" s="139" t="n">
        <f aca="false">AF27</f>
        <v>1776.18688</v>
      </c>
      <c r="AH27" s="139" t="n">
        <f aca="false">AG27</f>
        <v>1776.18688</v>
      </c>
      <c r="AI27" s="139" t="n">
        <f aca="false">AH27</f>
        <v>1776.18688</v>
      </c>
      <c r="AJ27" s="139" t="n">
        <f aca="false">AI27</f>
        <v>1776.18688</v>
      </c>
      <c r="AK27" s="139" t="n">
        <f aca="false">AJ27</f>
        <v>1776.18688</v>
      </c>
      <c r="AL27" s="139" t="n">
        <f aca="false">AK27</f>
        <v>1776.18688</v>
      </c>
      <c r="AM27" s="139" t="n">
        <f aca="false">AL27</f>
        <v>1776.18688</v>
      </c>
      <c r="AN27" s="139" t="n">
        <f aca="false">AM27</f>
        <v>1776.18688</v>
      </c>
      <c r="AO27" s="139" t="n">
        <f aca="false">AN27</f>
        <v>1776.18688</v>
      </c>
      <c r="AP27" s="139" t="n">
        <f aca="false">AO27</f>
        <v>1776.18688</v>
      </c>
    </row>
    <row r="28" customFormat="false" ht="13.2" hidden="false" customHeight="false" outlineLevel="0" collapsed="false">
      <c r="A28" s="137" t="s">
        <v>872</v>
      </c>
      <c r="B28" s="170" t="str">
        <f aca="false">'O&amp;M Budget'!A41</f>
        <v>Waste Disposal</v>
      </c>
      <c r="C28" s="138" t="n">
        <f aca="false">3100*Factors!C16</f>
        <v>3286</v>
      </c>
      <c r="D28" s="139" t="n">
        <f aca="false">C28</f>
        <v>3286</v>
      </c>
      <c r="E28" s="139" t="n">
        <f aca="false">D28</f>
        <v>3286</v>
      </c>
      <c r="F28" s="139" t="n">
        <f aca="false">E28</f>
        <v>3286</v>
      </c>
      <c r="G28" s="139" t="n">
        <f aca="false">F28</f>
        <v>3286</v>
      </c>
      <c r="H28" s="139" t="n">
        <f aca="false">G28</f>
        <v>3286</v>
      </c>
      <c r="I28" s="139" t="n">
        <f aca="false">H28</f>
        <v>3286</v>
      </c>
      <c r="J28" s="139" t="n">
        <f aca="false">I28</f>
        <v>3286</v>
      </c>
      <c r="K28" s="139" t="n">
        <f aca="false">J28</f>
        <v>3286</v>
      </c>
      <c r="L28" s="139" t="n">
        <f aca="false">K28</f>
        <v>3286</v>
      </c>
      <c r="M28" s="139" t="n">
        <f aca="false">L28</f>
        <v>3286</v>
      </c>
      <c r="N28" s="139" t="n">
        <f aca="false">M28</f>
        <v>3286</v>
      </c>
      <c r="P28" s="170" t="s">
        <v>873</v>
      </c>
      <c r="Q28" s="288" t="n">
        <f aca="false">N28*Factors!$R$16</f>
        <v>3417.44</v>
      </c>
      <c r="R28" s="139" t="n">
        <f aca="false">Q28</f>
        <v>3417.44</v>
      </c>
      <c r="S28" s="139" t="n">
        <f aca="false">R28</f>
        <v>3417.44</v>
      </c>
      <c r="T28" s="139" t="n">
        <f aca="false">S28</f>
        <v>3417.44</v>
      </c>
      <c r="U28" s="139" t="n">
        <f aca="false">T28</f>
        <v>3417.44</v>
      </c>
      <c r="V28" s="139" t="n">
        <f aca="false">U28</f>
        <v>3417.44</v>
      </c>
      <c r="W28" s="139" t="n">
        <f aca="false">V28</f>
        <v>3417.44</v>
      </c>
      <c r="X28" s="139" t="n">
        <f aca="false">W28</f>
        <v>3417.44</v>
      </c>
      <c r="Y28" s="139" t="n">
        <f aca="false">X28</f>
        <v>3417.44</v>
      </c>
      <c r="Z28" s="139" t="n">
        <f aca="false">Y28</f>
        <v>3417.44</v>
      </c>
      <c r="AA28" s="139" t="n">
        <f aca="false">Z28</f>
        <v>3417.44</v>
      </c>
      <c r="AB28" s="139" t="n">
        <f aca="false">AA28</f>
        <v>3417.44</v>
      </c>
      <c r="AD28" s="170" t="s">
        <v>873</v>
      </c>
      <c r="AE28" s="288" t="n">
        <f aca="false">AB28*Factors!$AG$16</f>
        <v>3622.4864</v>
      </c>
      <c r="AF28" s="139" t="n">
        <f aca="false">AE28</f>
        <v>3622.4864</v>
      </c>
      <c r="AG28" s="139" t="n">
        <f aca="false">AF28</f>
        <v>3622.4864</v>
      </c>
      <c r="AH28" s="139" t="n">
        <f aca="false">AG28</f>
        <v>3622.4864</v>
      </c>
      <c r="AI28" s="139" t="n">
        <f aca="false">AH28</f>
        <v>3622.4864</v>
      </c>
      <c r="AJ28" s="139" t="n">
        <f aca="false">AI28</f>
        <v>3622.4864</v>
      </c>
      <c r="AK28" s="139" t="n">
        <f aca="false">AJ28</f>
        <v>3622.4864</v>
      </c>
      <c r="AL28" s="139" t="n">
        <f aca="false">AK28</f>
        <v>3622.4864</v>
      </c>
      <c r="AM28" s="139" t="n">
        <f aca="false">AL28</f>
        <v>3622.4864</v>
      </c>
      <c r="AN28" s="139" t="n">
        <f aca="false">AM28</f>
        <v>3622.4864</v>
      </c>
      <c r="AO28" s="139" t="n">
        <f aca="false">AN28</f>
        <v>3622.4864</v>
      </c>
      <c r="AP28" s="139" t="n">
        <f aca="false">AO28</f>
        <v>3622.4864</v>
      </c>
    </row>
    <row r="29" customFormat="false" ht="13.2" hidden="false" customHeight="false" outlineLevel="0" collapsed="false">
      <c r="A29" s="137" t="s">
        <v>874</v>
      </c>
      <c r="B29" s="170" t="str">
        <f aca="false">'O&amp;M Budget'!A42</f>
        <v>Technical services</v>
      </c>
      <c r="C29" s="138" t="n">
        <v>1000</v>
      </c>
      <c r="D29" s="139" t="n">
        <f aca="false">C29</f>
        <v>1000</v>
      </c>
      <c r="E29" s="139" t="n">
        <f aca="false">D29</f>
        <v>1000</v>
      </c>
      <c r="F29" s="139" t="n">
        <f aca="false">E29</f>
        <v>1000</v>
      </c>
      <c r="G29" s="139" t="n">
        <f aca="false">F29</f>
        <v>1000</v>
      </c>
      <c r="H29" s="139" t="n">
        <f aca="false">G29</f>
        <v>1000</v>
      </c>
      <c r="I29" s="139" t="n">
        <f aca="false">H29</f>
        <v>1000</v>
      </c>
      <c r="J29" s="139" t="n">
        <f aca="false">I29</f>
        <v>1000</v>
      </c>
      <c r="K29" s="139" t="n">
        <f aca="false">J29</f>
        <v>1000</v>
      </c>
      <c r="L29" s="139" t="n">
        <f aca="false">K29</f>
        <v>1000</v>
      </c>
      <c r="M29" s="139" t="n">
        <f aca="false">L29</f>
        <v>1000</v>
      </c>
      <c r="N29" s="139" t="n">
        <f aca="false">M29</f>
        <v>1000</v>
      </c>
      <c r="P29" s="170" t="s">
        <v>875</v>
      </c>
      <c r="Q29" s="288" t="n">
        <f aca="false">N29*Factors!$R$16</f>
        <v>1040</v>
      </c>
      <c r="R29" s="139" t="n">
        <f aca="false">Q29</f>
        <v>1040</v>
      </c>
      <c r="S29" s="139" t="n">
        <f aca="false">R29</f>
        <v>1040</v>
      </c>
      <c r="T29" s="139" t="n">
        <f aca="false">S29</f>
        <v>1040</v>
      </c>
      <c r="U29" s="139" t="n">
        <f aca="false">T29</f>
        <v>1040</v>
      </c>
      <c r="V29" s="139" t="n">
        <f aca="false">U29</f>
        <v>1040</v>
      </c>
      <c r="W29" s="139" t="n">
        <f aca="false">V29</f>
        <v>1040</v>
      </c>
      <c r="X29" s="139" t="n">
        <f aca="false">W29</f>
        <v>1040</v>
      </c>
      <c r="Y29" s="139" t="n">
        <f aca="false">X29</f>
        <v>1040</v>
      </c>
      <c r="Z29" s="139" t="n">
        <f aca="false">Y29</f>
        <v>1040</v>
      </c>
      <c r="AA29" s="139" t="n">
        <f aca="false">Z29</f>
        <v>1040</v>
      </c>
      <c r="AB29" s="139" t="n">
        <f aca="false">AA29</f>
        <v>1040</v>
      </c>
      <c r="AD29" s="170" t="s">
        <v>875</v>
      </c>
      <c r="AE29" s="288" t="n">
        <f aca="false">AB29*Factors!$AG$16</f>
        <v>1102.4</v>
      </c>
      <c r="AF29" s="139" t="n">
        <f aca="false">AE29</f>
        <v>1102.4</v>
      </c>
      <c r="AG29" s="139" t="n">
        <f aca="false">AF29</f>
        <v>1102.4</v>
      </c>
      <c r="AH29" s="139" t="n">
        <f aca="false">AG29</f>
        <v>1102.4</v>
      </c>
      <c r="AI29" s="139" t="n">
        <f aca="false">AH29</f>
        <v>1102.4</v>
      </c>
      <c r="AJ29" s="139" t="n">
        <f aca="false">AI29</f>
        <v>1102.4</v>
      </c>
      <c r="AK29" s="139" t="n">
        <f aca="false">AJ29</f>
        <v>1102.4</v>
      </c>
      <c r="AL29" s="139" t="n">
        <f aca="false">AK29</f>
        <v>1102.4</v>
      </c>
      <c r="AM29" s="139" t="n">
        <f aca="false">AL29</f>
        <v>1102.4</v>
      </c>
      <c r="AN29" s="139" t="n">
        <f aca="false">AM29</f>
        <v>1102.4</v>
      </c>
      <c r="AO29" s="139" t="n">
        <f aca="false">AN29</f>
        <v>1102.4</v>
      </c>
      <c r="AP29" s="139" t="n">
        <f aca="false">AO29</f>
        <v>1102.4</v>
      </c>
    </row>
    <row r="30" customFormat="false" ht="13.2" hidden="false" customHeight="false" outlineLevel="0" collapsed="false">
      <c r="A30" s="137" t="s">
        <v>876</v>
      </c>
      <c r="B30" s="170" t="str">
        <f aca="false">'O&amp;M Budget'!A43</f>
        <v>Cleaning Services</v>
      </c>
      <c r="C30" s="138" t="n">
        <f aca="false">17250*Factors!C16</f>
        <v>18285</v>
      </c>
      <c r="D30" s="139" t="n">
        <f aca="false">C30</f>
        <v>18285</v>
      </c>
      <c r="E30" s="139" t="n">
        <f aca="false">D30</f>
        <v>18285</v>
      </c>
      <c r="F30" s="139" t="n">
        <f aca="false">E30</f>
        <v>18285</v>
      </c>
      <c r="G30" s="139" t="n">
        <f aca="false">F30</f>
        <v>18285</v>
      </c>
      <c r="H30" s="139" t="n">
        <f aca="false">G30</f>
        <v>18285</v>
      </c>
      <c r="I30" s="139" t="n">
        <f aca="false">H30</f>
        <v>18285</v>
      </c>
      <c r="J30" s="139" t="n">
        <f aca="false">I30</f>
        <v>18285</v>
      </c>
      <c r="K30" s="139" t="n">
        <f aca="false">J30</f>
        <v>18285</v>
      </c>
      <c r="L30" s="139" t="n">
        <f aca="false">K30</f>
        <v>18285</v>
      </c>
      <c r="M30" s="139" t="n">
        <f aca="false">L30</f>
        <v>18285</v>
      </c>
      <c r="N30" s="139" t="n">
        <f aca="false">M30</f>
        <v>18285</v>
      </c>
      <c r="P30" s="170" t="s">
        <v>877</v>
      </c>
      <c r="Q30" s="288" t="n">
        <f aca="false">N30*Factors!$R$16</f>
        <v>19016.4</v>
      </c>
      <c r="R30" s="139" t="n">
        <f aca="false">Q30</f>
        <v>19016.4</v>
      </c>
      <c r="S30" s="139" t="n">
        <f aca="false">R30</f>
        <v>19016.4</v>
      </c>
      <c r="T30" s="139" t="n">
        <f aca="false">S30</f>
        <v>19016.4</v>
      </c>
      <c r="U30" s="139" t="n">
        <f aca="false">T30</f>
        <v>19016.4</v>
      </c>
      <c r="V30" s="139" t="n">
        <f aca="false">U30</f>
        <v>19016.4</v>
      </c>
      <c r="W30" s="139" t="n">
        <f aca="false">V30</f>
        <v>19016.4</v>
      </c>
      <c r="X30" s="139" t="n">
        <f aca="false">W30</f>
        <v>19016.4</v>
      </c>
      <c r="Y30" s="139" t="n">
        <f aca="false">X30</f>
        <v>19016.4</v>
      </c>
      <c r="Z30" s="139" t="n">
        <f aca="false">Y30</f>
        <v>19016.4</v>
      </c>
      <c r="AA30" s="139" t="n">
        <f aca="false">Z30</f>
        <v>19016.4</v>
      </c>
      <c r="AB30" s="139" t="n">
        <f aca="false">AA30</f>
        <v>19016.4</v>
      </c>
      <c r="AD30" s="170" t="s">
        <v>877</v>
      </c>
      <c r="AE30" s="288" t="n">
        <f aca="false">AB30*Factors!$AG$16</f>
        <v>20157.384</v>
      </c>
      <c r="AF30" s="139" t="n">
        <f aca="false">AE30</f>
        <v>20157.384</v>
      </c>
      <c r="AG30" s="139" t="n">
        <f aca="false">AF30</f>
        <v>20157.384</v>
      </c>
      <c r="AH30" s="139" t="n">
        <f aca="false">AG30</f>
        <v>20157.384</v>
      </c>
      <c r="AI30" s="139" t="n">
        <f aca="false">AH30</f>
        <v>20157.384</v>
      </c>
      <c r="AJ30" s="139" t="n">
        <f aca="false">AI30</f>
        <v>20157.384</v>
      </c>
      <c r="AK30" s="139" t="n">
        <f aca="false">AJ30</f>
        <v>20157.384</v>
      </c>
      <c r="AL30" s="139" t="n">
        <f aca="false">AK30</f>
        <v>20157.384</v>
      </c>
      <c r="AM30" s="139" t="n">
        <f aca="false">AL30</f>
        <v>20157.384</v>
      </c>
      <c r="AN30" s="139" t="n">
        <f aca="false">AM30</f>
        <v>20157.384</v>
      </c>
      <c r="AO30" s="139" t="n">
        <f aca="false">AN30</f>
        <v>20157.384</v>
      </c>
      <c r="AP30" s="139" t="n">
        <f aca="false">AO30</f>
        <v>20157.384</v>
      </c>
    </row>
    <row r="31" customFormat="false" ht="13.2" hidden="false" customHeight="false" outlineLevel="0" collapsed="false">
      <c r="A31" s="137" t="s">
        <v>878</v>
      </c>
      <c r="B31" s="170" t="str">
        <f aca="false">'O&amp;M Budget'!A44</f>
        <v>Computer/IT Services</v>
      </c>
      <c r="C31" s="138" t="n">
        <f aca="false">470+2000</f>
        <v>2470</v>
      </c>
      <c r="D31" s="139" t="n">
        <f aca="false">C31</f>
        <v>2470</v>
      </c>
      <c r="E31" s="139" t="n">
        <f aca="false">D31</f>
        <v>2470</v>
      </c>
      <c r="F31" s="139" t="n">
        <f aca="false">E31</f>
        <v>2470</v>
      </c>
      <c r="G31" s="139" t="n">
        <f aca="false">F31</f>
        <v>2470</v>
      </c>
      <c r="H31" s="139" t="n">
        <f aca="false">G31</f>
        <v>2470</v>
      </c>
      <c r="I31" s="139" t="n">
        <f aca="false">H31</f>
        <v>2470</v>
      </c>
      <c r="J31" s="139" t="n">
        <f aca="false">I31</f>
        <v>2470</v>
      </c>
      <c r="K31" s="139" t="n">
        <f aca="false">J31</f>
        <v>2470</v>
      </c>
      <c r="L31" s="139" t="n">
        <f aca="false">K31</f>
        <v>2470</v>
      </c>
      <c r="M31" s="139" t="n">
        <f aca="false">L31</f>
        <v>2470</v>
      </c>
      <c r="N31" s="139" t="n">
        <f aca="false">M31</f>
        <v>2470</v>
      </c>
      <c r="P31" s="170" t="s">
        <v>879</v>
      </c>
      <c r="Q31" s="288" t="n">
        <f aca="false">N31*Factors!$R$16</f>
        <v>2568.8</v>
      </c>
      <c r="R31" s="139" t="n">
        <f aca="false">Q31</f>
        <v>2568.8</v>
      </c>
      <c r="S31" s="139" t="n">
        <f aca="false">R31</f>
        <v>2568.8</v>
      </c>
      <c r="T31" s="139" t="n">
        <f aca="false">S31</f>
        <v>2568.8</v>
      </c>
      <c r="U31" s="139" t="n">
        <f aca="false">T31</f>
        <v>2568.8</v>
      </c>
      <c r="V31" s="139" t="n">
        <f aca="false">U31</f>
        <v>2568.8</v>
      </c>
      <c r="W31" s="139" t="n">
        <f aca="false">V31</f>
        <v>2568.8</v>
      </c>
      <c r="X31" s="139" t="n">
        <f aca="false">W31</f>
        <v>2568.8</v>
      </c>
      <c r="Y31" s="139" t="n">
        <f aca="false">X31</f>
        <v>2568.8</v>
      </c>
      <c r="Z31" s="139" t="n">
        <f aca="false">Y31</f>
        <v>2568.8</v>
      </c>
      <c r="AA31" s="139" t="n">
        <f aca="false">Z31</f>
        <v>2568.8</v>
      </c>
      <c r="AB31" s="139" t="n">
        <f aca="false">AA31</f>
        <v>2568.8</v>
      </c>
      <c r="AD31" s="170" t="s">
        <v>879</v>
      </c>
      <c r="AE31" s="288" t="n">
        <f aca="false">AB31*Factors!$AG$16</f>
        <v>2722.928</v>
      </c>
      <c r="AF31" s="139" t="n">
        <f aca="false">AE31</f>
        <v>2722.928</v>
      </c>
      <c r="AG31" s="139" t="n">
        <f aca="false">AF31</f>
        <v>2722.928</v>
      </c>
      <c r="AH31" s="139" t="n">
        <f aca="false">AG31</f>
        <v>2722.928</v>
      </c>
      <c r="AI31" s="139" t="n">
        <f aca="false">AH31</f>
        <v>2722.928</v>
      </c>
      <c r="AJ31" s="139" t="n">
        <f aca="false">AI31</f>
        <v>2722.928</v>
      </c>
      <c r="AK31" s="139" t="n">
        <f aca="false">AJ31</f>
        <v>2722.928</v>
      </c>
      <c r="AL31" s="139" t="n">
        <f aca="false">AK31</f>
        <v>2722.928</v>
      </c>
      <c r="AM31" s="139" t="n">
        <f aca="false">AL31</f>
        <v>2722.928</v>
      </c>
      <c r="AN31" s="139" t="n">
        <f aca="false">AM31</f>
        <v>2722.928</v>
      </c>
      <c r="AO31" s="139" t="n">
        <f aca="false">AN31</f>
        <v>2722.928</v>
      </c>
      <c r="AP31" s="139" t="n">
        <f aca="false">AO31</f>
        <v>2722.928</v>
      </c>
    </row>
    <row r="32" customFormat="false" ht="13.2" hidden="false" customHeight="false" outlineLevel="0" collapsed="false">
      <c r="A32" s="137" t="s">
        <v>880</v>
      </c>
      <c r="B32" s="170" t="str">
        <f aca="false">'O&amp;M Budget'!A45</f>
        <v>Office Equipment Maintenance</v>
      </c>
      <c r="C32" s="138" t="n">
        <v>300</v>
      </c>
      <c r="D32" s="139" t="n">
        <f aca="false">C32</f>
        <v>300</v>
      </c>
      <c r="E32" s="139" t="n">
        <f aca="false">D32</f>
        <v>300</v>
      </c>
      <c r="F32" s="139" t="n">
        <f aca="false">E32</f>
        <v>300</v>
      </c>
      <c r="G32" s="139" t="n">
        <f aca="false">F32</f>
        <v>300</v>
      </c>
      <c r="H32" s="139" t="n">
        <f aca="false">G32</f>
        <v>300</v>
      </c>
      <c r="I32" s="139" t="n">
        <f aca="false">H32</f>
        <v>300</v>
      </c>
      <c r="J32" s="139" t="n">
        <f aca="false">I32</f>
        <v>300</v>
      </c>
      <c r="K32" s="139" t="n">
        <f aca="false">J32</f>
        <v>300</v>
      </c>
      <c r="L32" s="139" t="n">
        <f aca="false">K32</f>
        <v>300</v>
      </c>
      <c r="M32" s="139" t="n">
        <f aca="false">L32</f>
        <v>300</v>
      </c>
      <c r="N32" s="139" t="n">
        <f aca="false">M32</f>
        <v>300</v>
      </c>
      <c r="P32" s="170" t="s">
        <v>881</v>
      </c>
      <c r="Q32" s="288" t="n">
        <f aca="false">N32*Factors!$R$16</f>
        <v>312</v>
      </c>
      <c r="R32" s="139" t="n">
        <f aca="false">Q32</f>
        <v>312</v>
      </c>
      <c r="S32" s="139" t="n">
        <f aca="false">R32</f>
        <v>312</v>
      </c>
      <c r="T32" s="139" t="n">
        <f aca="false">S32</f>
        <v>312</v>
      </c>
      <c r="U32" s="139" t="n">
        <f aca="false">T32</f>
        <v>312</v>
      </c>
      <c r="V32" s="139" t="n">
        <f aca="false">U32</f>
        <v>312</v>
      </c>
      <c r="W32" s="139" t="n">
        <f aca="false">V32</f>
        <v>312</v>
      </c>
      <c r="X32" s="139" t="n">
        <f aca="false">W32</f>
        <v>312</v>
      </c>
      <c r="Y32" s="139" t="n">
        <f aca="false">X32</f>
        <v>312</v>
      </c>
      <c r="Z32" s="139" t="n">
        <f aca="false">Y32</f>
        <v>312</v>
      </c>
      <c r="AA32" s="139" t="n">
        <f aca="false">Z32</f>
        <v>312</v>
      </c>
      <c r="AB32" s="139" t="n">
        <f aca="false">AA32</f>
        <v>312</v>
      </c>
      <c r="AD32" s="170" t="s">
        <v>881</v>
      </c>
      <c r="AE32" s="288" t="n">
        <f aca="false">AB32*Factors!$AG$16</f>
        <v>330.72</v>
      </c>
      <c r="AF32" s="139" t="n">
        <f aca="false">AE32</f>
        <v>330.72</v>
      </c>
      <c r="AG32" s="139" t="n">
        <f aca="false">AF32</f>
        <v>330.72</v>
      </c>
      <c r="AH32" s="139" t="n">
        <f aca="false">AG32</f>
        <v>330.72</v>
      </c>
      <c r="AI32" s="139" t="n">
        <f aca="false">AH32</f>
        <v>330.72</v>
      </c>
      <c r="AJ32" s="139" t="n">
        <f aca="false">AI32</f>
        <v>330.72</v>
      </c>
      <c r="AK32" s="139" t="n">
        <f aca="false">AJ32</f>
        <v>330.72</v>
      </c>
      <c r="AL32" s="139" t="n">
        <f aca="false">AK32</f>
        <v>330.72</v>
      </c>
      <c r="AM32" s="139" t="n">
        <f aca="false">AL32</f>
        <v>330.72</v>
      </c>
      <c r="AN32" s="139" t="n">
        <f aca="false">AM32</f>
        <v>330.72</v>
      </c>
      <c r="AO32" s="139" t="n">
        <f aca="false">AN32</f>
        <v>330.72</v>
      </c>
      <c r="AP32" s="139" t="n">
        <f aca="false">AO32</f>
        <v>330.72</v>
      </c>
    </row>
    <row r="33" customFormat="false" ht="13.2" hidden="true" customHeight="false" outlineLevel="0" collapsed="false">
      <c r="A33" s="137" t="s">
        <v>882</v>
      </c>
      <c r="B33" s="170" t="s">
        <v>883</v>
      </c>
      <c r="C33" s="138"/>
      <c r="D33" s="139" t="n">
        <f aca="false">C33</f>
        <v>0</v>
      </c>
      <c r="E33" s="139" t="n">
        <f aca="false">D33</f>
        <v>0</v>
      </c>
      <c r="F33" s="139" t="n">
        <f aca="false">E33</f>
        <v>0</v>
      </c>
      <c r="G33" s="139" t="n">
        <f aca="false">F33</f>
        <v>0</v>
      </c>
      <c r="H33" s="139" t="n">
        <f aca="false">G33</f>
        <v>0</v>
      </c>
      <c r="I33" s="139" t="n">
        <f aca="false">H33</f>
        <v>0</v>
      </c>
      <c r="J33" s="139" t="n">
        <f aca="false">I33</f>
        <v>0</v>
      </c>
      <c r="K33" s="139" t="n">
        <f aca="false">J33</f>
        <v>0</v>
      </c>
      <c r="L33" s="139" t="n">
        <f aca="false">K33</f>
        <v>0</v>
      </c>
      <c r="M33" s="139" t="n">
        <f aca="false">L33</f>
        <v>0</v>
      </c>
      <c r="N33" s="139" t="n">
        <f aca="false">M33</f>
        <v>0</v>
      </c>
      <c r="P33" s="170" t="s">
        <v>883</v>
      </c>
      <c r="Q33" s="288" t="n">
        <f aca="false">N33*Factors!$R$16</f>
        <v>0</v>
      </c>
      <c r="R33" s="139" t="n">
        <f aca="false">Q33</f>
        <v>0</v>
      </c>
      <c r="S33" s="139" t="n">
        <f aca="false">R33</f>
        <v>0</v>
      </c>
      <c r="T33" s="139" t="n">
        <f aca="false">S33</f>
        <v>0</v>
      </c>
      <c r="U33" s="139" t="n">
        <f aca="false">T33</f>
        <v>0</v>
      </c>
      <c r="V33" s="139" t="n">
        <f aca="false">U33</f>
        <v>0</v>
      </c>
      <c r="W33" s="139" t="n">
        <f aca="false">V33</f>
        <v>0</v>
      </c>
      <c r="X33" s="139" t="n">
        <f aca="false">W33</f>
        <v>0</v>
      </c>
      <c r="Y33" s="139" t="n">
        <f aca="false">X33</f>
        <v>0</v>
      </c>
      <c r="Z33" s="139" t="n">
        <f aca="false">Y33</f>
        <v>0</v>
      </c>
      <c r="AA33" s="139" t="n">
        <f aca="false">Z33</f>
        <v>0</v>
      </c>
      <c r="AB33" s="139" t="n">
        <f aca="false">AA33</f>
        <v>0</v>
      </c>
      <c r="AD33" s="170" t="s">
        <v>883</v>
      </c>
      <c r="AE33" s="288" t="n">
        <f aca="false">AB33*Factors!$AG$16</f>
        <v>0</v>
      </c>
      <c r="AF33" s="139" t="n">
        <f aca="false">AE33</f>
        <v>0</v>
      </c>
      <c r="AG33" s="139" t="n">
        <f aca="false">AF33</f>
        <v>0</v>
      </c>
      <c r="AH33" s="139" t="n">
        <f aca="false">AG33</f>
        <v>0</v>
      </c>
      <c r="AI33" s="139" t="n">
        <f aca="false">AH33</f>
        <v>0</v>
      </c>
      <c r="AJ33" s="139" t="n">
        <f aca="false">AI33</f>
        <v>0</v>
      </c>
      <c r="AK33" s="139" t="n">
        <f aca="false">AJ33</f>
        <v>0</v>
      </c>
      <c r="AL33" s="139" t="n">
        <f aca="false">AK33</f>
        <v>0</v>
      </c>
      <c r="AM33" s="139" t="n">
        <f aca="false">AL33</f>
        <v>0</v>
      </c>
      <c r="AN33" s="139" t="n">
        <f aca="false">AM33</f>
        <v>0</v>
      </c>
      <c r="AO33" s="139" t="n">
        <f aca="false">AN33</f>
        <v>0</v>
      </c>
      <c r="AP33" s="139" t="n">
        <f aca="false">AO33</f>
        <v>0</v>
      </c>
    </row>
    <row r="34" customFormat="false" ht="13.2" hidden="true" customHeight="false" outlineLevel="0" collapsed="false">
      <c r="A34" s="137" t="s">
        <v>884</v>
      </c>
      <c r="B34" s="170" t="s">
        <v>885</v>
      </c>
      <c r="C34" s="138"/>
      <c r="D34" s="139" t="n">
        <f aca="false">C34</f>
        <v>0</v>
      </c>
      <c r="E34" s="139" t="n">
        <f aca="false">D34</f>
        <v>0</v>
      </c>
      <c r="F34" s="139" t="n">
        <f aca="false">E34</f>
        <v>0</v>
      </c>
      <c r="G34" s="139" t="n">
        <f aca="false">F34</f>
        <v>0</v>
      </c>
      <c r="H34" s="139" t="n">
        <f aca="false">G34</f>
        <v>0</v>
      </c>
      <c r="I34" s="139" t="n">
        <f aca="false">H34</f>
        <v>0</v>
      </c>
      <c r="J34" s="139" t="n">
        <f aca="false">I34</f>
        <v>0</v>
      </c>
      <c r="K34" s="139" t="n">
        <f aca="false">J34</f>
        <v>0</v>
      </c>
      <c r="L34" s="139" t="n">
        <f aca="false">K34</f>
        <v>0</v>
      </c>
      <c r="M34" s="139" t="n">
        <f aca="false">L34</f>
        <v>0</v>
      </c>
      <c r="N34" s="139" t="n">
        <f aca="false">M34</f>
        <v>0</v>
      </c>
      <c r="P34" s="170" t="s">
        <v>885</v>
      </c>
      <c r="Q34" s="288" t="n">
        <f aca="false">N34*Factors!$R$16</f>
        <v>0</v>
      </c>
      <c r="R34" s="139" t="n">
        <f aca="false">Q34</f>
        <v>0</v>
      </c>
      <c r="S34" s="139" t="n">
        <f aca="false">R34</f>
        <v>0</v>
      </c>
      <c r="T34" s="139" t="n">
        <f aca="false">S34</f>
        <v>0</v>
      </c>
      <c r="U34" s="139" t="n">
        <f aca="false">T34</f>
        <v>0</v>
      </c>
      <c r="V34" s="139" t="n">
        <f aca="false">U34</f>
        <v>0</v>
      </c>
      <c r="W34" s="139" t="n">
        <f aca="false">V34</f>
        <v>0</v>
      </c>
      <c r="X34" s="139" t="n">
        <f aca="false">W34</f>
        <v>0</v>
      </c>
      <c r="Y34" s="139" t="n">
        <f aca="false">X34</f>
        <v>0</v>
      </c>
      <c r="Z34" s="139" t="n">
        <f aca="false">Y34</f>
        <v>0</v>
      </c>
      <c r="AA34" s="139" t="n">
        <f aca="false">Z34</f>
        <v>0</v>
      </c>
      <c r="AB34" s="139" t="n">
        <f aca="false">AA34</f>
        <v>0</v>
      </c>
      <c r="AD34" s="170" t="s">
        <v>885</v>
      </c>
      <c r="AE34" s="288" t="n">
        <f aca="false">AB34*Factors!$AG$16</f>
        <v>0</v>
      </c>
      <c r="AF34" s="139" t="n">
        <f aca="false">AE34</f>
        <v>0</v>
      </c>
      <c r="AG34" s="139" t="n">
        <f aca="false">AF34</f>
        <v>0</v>
      </c>
      <c r="AH34" s="139" t="n">
        <f aca="false">AG34</f>
        <v>0</v>
      </c>
      <c r="AI34" s="139" t="n">
        <f aca="false">AH34</f>
        <v>0</v>
      </c>
      <c r="AJ34" s="139" t="n">
        <f aca="false">AI34</f>
        <v>0</v>
      </c>
      <c r="AK34" s="139" t="n">
        <f aca="false">AJ34</f>
        <v>0</v>
      </c>
      <c r="AL34" s="139" t="n">
        <f aca="false">AK34</f>
        <v>0</v>
      </c>
      <c r="AM34" s="139" t="n">
        <f aca="false">AL34</f>
        <v>0</v>
      </c>
      <c r="AN34" s="139" t="n">
        <f aca="false">AM34</f>
        <v>0</v>
      </c>
      <c r="AO34" s="139" t="n">
        <f aca="false">AN34</f>
        <v>0</v>
      </c>
      <c r="AP34" s="139" t="n">
        <f aca="false">AO34</f>
        <v>0</v>
      </c>
    </row>
    <row r="35" customFormat="false" ht="13.2" hidden="false" customHeight="false" outlineLevel="0" collapsed="false">
      <c r="A35" s="137" t="s">
        <v>886</v>
      </c>
      <c r="B35" s="170" t="str">
        <f aca="false">'O&amp;M Budget'!A46</f>
        <v>Postage &amp; Courier</v>
      </c>
      <c r="C35" s="138" t="n">
        <f aca="false">1980*Factors!C16</f>
        <v>2098.8</v>
      </c>
      <c r="D35" s="139" t="n">
        <f aca="false">C35</f>
        <v>2098.8</v>
      </c>
      <c r="E35" s="139" t="n">
        <f aca="false">D35</f>
        <v>2098.8</v>
      </c>
      <c r="F35" s="139" t="n">
        <f aca="false">E35</f>
        <v>2098.8</v>
      </c>
      <c r="G35" s="139" t="n">
        <f aca="false">F35</f>
        <v>2098.8</v>
      </c>
      <c r="H35" s="139" t="n">
        <f aca="false">G35</f>
        <v>2098.8</v>
      </c>
      <c r="I35" s="139" t="n">
        <f aca="false">H35</f>
        <v>2098.8</v>
      </c>
      <c r="J35" s="139" t="n">
        <f aca="false">I35</f>
        <v>2098.8</v>
      </c>
      <c r="K35" s="139" t="n">
        <f aca="false">J35</f>
        <v>2098.8</v>
      </c>
      <c r="L35" s="139" t="n">
        <f aca="false">K35</f>
        <v>2098.8</v>
      </c>
      <c r="M35" s="139" t="n">
        <f aca="false">L35</f>
        <v>2098.8</v>
      </c>
      <c r="N35" s="139" t="n">
        <f aca="false">M35</f>
        <v>2098.8</v>
      </c>
      <c r="P35" s="170" t="s">
        <v>887</v>
      </c>
      <c r="Q35" s="288" t="n">
        <f aca="false">N35*Factors!$R$16</f>
        <v>2182.752</v>
      </c>
      <c r="R35" s="139" t="n">
        <f aca="false">Q35</f>
        <v>2182.752</v>
      </c>
      <c r="S35" s="139" t="n">
        <f aca="false">R35</f>
        <v>2182.752</v>
      </c>
      <c r="T35" s="139" t="n">
        <f aca="false">S35</f>
        <v>2182.752</v>
      </c>
      <c r="U35" s="139" t="n">
        <f aca="false">T35</f>
        <v>2182.752</v>
      </c>
      <c r="V35" s="139" t="n">
        <f aca="false">U35</f>
        <v>2182.752</v>
      </c>
      <c r="W35" s="139" t="n">
        <f aca="false">V35</f>
        <v>2182.752</v>
      </c>
      <c r="X35" s="139" t="n">
        <f aca="false">W35</f>
        <v>2182.752</v>
      </c>
      <c r="Y35" s="139" t="n">
        <f aca="false">X35</f>
        <v>2182.752</v>
      </c>
      <c r="Z35" s="139" t="n">
        <f aca="false">Y35</f>
        <v>2182.752</v>
      </c>
      <c r="AA35" s="139" t="n">
        <f aca="false">Z35</f>
        <v>2182.752</v>
      </c>
      <c r="AB35" s="139" t="n">
        <f aca="false">AA35</f>
        <v>2182.752</v>
      </c>
      <c r="AD35" s="170" t="s">
        <v>887</v>
      </c>
      <c r="AE35" s="288" t="n">
        <f aca="false">AB35*Factors!$AG$16</f>
        <v>2313.71712</v>
      </c>
      <c r="AF35" s="139" t="n">
        <f aca="false">AE35</f>
        <v>2313.71712</v>
      </c>
      <c r="AG35" s="139" t="n">
        <f aca="false">AF35</f>
        <v>2313.71712</v>
      </c>
      <c r="AH35" s="139" t="n">
        <f aca="false">AG35</f>
        <v>2313.71712</v>
      </c>
      <c r="AI35" s="139" t="n">
        <f aca="false">AH35</f>
        <v>2313.71712</v>
      </c>
      <c r="AJ35" s="139" t="n">
        <f aca="false">AI35</f>
        <v>2313.71712</v>
      </c>
      <c r="AK35" s="139" t="n">
        <f aca="false">AJ35</f>
        <v>2313.71712</v>
      </c>
      <c r="AL35" s="139" t="n">
        <f aca="false">AK35</f>
        <v>2313.71712</v>
      </c>
      <c r="AM35" s="139" t="n">
        <f aca="false">AL35</f>
        <v>2313.71712</v>
      </c>
      <c r="AN35" s="139" t="n">
        <f aca="false">AM35</f>
        <v>2313.71712</v>
      </c>
      <c r="AO35" s="139" t="n">
        <f aca="false">AN35</f>
        <v>2313.71712</v>
      </c>
      <c r="AP35" s="139" t="n">
        <f aca="false">AO35</f>
        <v>2313.71712</v>
      </c>
    </row>
    <row r="36" customFormat="false" ht="13.2" hidden="false" customHeight="false" outlineLevel="0" collapsed="false">
      <c r="A36" s="137" t="s">
        <v>888</v>
      </c>
      <c r="B36" s="170" t="str">
        <f aca="false">'O&amp;M Budget'!A47</f>
        <v>Main Telephone Services</v>
      </c>
      <c r="C36" s="138" t="n">
        <f aca="false">9300*Factors!C16</f>
        <v>9858</v>
      </c>
      <c r="D36" s="139" t="n">
        <f aca="false">C36</f>
        <v>9858</v>
      </c>
      <c r="E36" s="139" t="n">
        <f aca="false">D36</f>
        <v>9858</v>
      </c>
      <c r="F36" s="139" t="n">
        <f aca="false">E36</f>
        <v>9858</v>
      </c>
      <c r="G36" s="139" t="n">
        <f aca="false">F36</f>
        <v>9858</v>
      </c>
      <c r="H36" s="139" t="n">
        <f aca="false">G36</f>
        <v>9858</v>
      </c>
      <c r="I36" s="139" t="n">
        <f aca="false">H36</f>
        <v>9858</v>
      </c>
      <c r="J36" s="139" t="n">
        <f aca="false">I36</f>
        <v>9858</v>
      </c>
      <c r="K36" s="139" t="n">
        <f aca="false">J36</f>
        <v>9858</v>
      </c>
      <c r="L36" s="139" t="n">
        <f aca="false">K36</f>
        <v>9858</v>
      </c>
      <c r="M36" s="139" t="n">
        <f aca="false">L36</f>
        <v>9858</v>
      </c>
      <c r="N36" s="139" t="n">
        <f aca="false">M36</f>
        <v>9858</v>
      </c>
      <c r="P36" s="170" t="s">
        <v>889</v>
      </c>
      <c r="Q36" s="288" t="n">
        <f aca="false">N36*Factors!$R$16</f>
        <v>10252.32</v>
      </c>
      <c r="R36" s="139" t="n">
        <f aca="false">Q36</f>
        <v>10252.32</v>
      </c>
      <c r="S36" s="139" t="n">
        <f aca="false">R36</f>
        <v>10252.32</v>
      </c>
      <c r="T36" s="139" t="n">
        <f aca="false">S36</f>
        <v>10252.32</v>
      </c>
      <c r="U36" s="139" t="n">
        <f aca="false">T36</f>
        <v>10252.32</v>
      </c>
      <c r="V36" s="139" t="n">
        <f aca="false">U36</f>
        <v>10252.32</v>
      </c>
      <c r="W36" s="139" t="n">
        <f aca="false">V36</f>
        <v>10252.32</v>
      </c>
      <c r="X36" s="139" t="n">
        <f aca="false">W36</f>
        <v>10252.32</v>
      </c>
      <c r="Y36" s="139" t="n">
        <f aca="false">X36</f>
        <v>10252.32</v>
      </c>
      <c r="Z36" s="139" t="n">
        <f aca="false">Y36</f>
        <v>10252.32</v>
      </c>
      <c r="AA36" s="139" t="n">
        <f aca="false">Z36</f>
        <v>10252.32</v>
      </c>
      <c r="AB36" s="139" t="n">
        <f aca="false">AA36</f>
        <v>10252.32</v>
      </c>
      <c r="AD36" s="170" t="s">
        <v>889</v>
      </c>
      <c r="AE36" s="288" t="n">
        <f aca="false">AB36*Factors!$AG$16</f>
        <v>10867.4592</v>
      </c>
      <c r="AF36" s="139" t="n">
        <f aca="false">AE36</f>
        <v>10867.4592</v>
      </c>
      <c r="AG36" s="139" t="n">
        <f aca="false">AF36</f>
        <v>10867.4592</v>
      </c>
      <c r="AH36" s="139" t="n">
        <f aca="false">AG36</f>
        <v>10867.4592</v>
      </c>
      <c r="AI36" s="139" t="n">
        <f aca="false">AH36</f>
        <v>10867.4592</v>
      </c>
      <c r="AJ36" s="139" t="n">
        <f aca="false">AI36</f>
        <v>10867.4592</v>
      </c>
      <c r="AK36" s="139" t="n">
        <f aca="false">AJ36</f>
        <v>10867.4592</v>
      </c>
      <c r="AL36" s="139" t="n">
        <f aca="false">AK36</f>
        <v>10867.4592</v>
      </c>
      <c r="AM36" s="139" t="n">
        <f aca="false">AL36</f>
        <v>10867.4592</v>
      </c>
      <c r="AN36" s="139" t="n">
        <f aca="false">AM36</f>
        <v>10867.4592</v>
      </c>
      <c r="AO36" s="139" t="n">
        <f aca="false">AN36</f>
        <v>10867.4592</v>
      </c>
      <c r="AP36" s="139" t="n">
        <f aca="false">AO36</f>
        <v>10867.4592</v>
      </c>
    </row>
    <row r="37" customFormat="false" ht="13.2" hidden="false" customHeight="false" outlineLevel="0" collapsed="false">
      <c r="A37" s="137" t="s">
        <v>890</v>
      </c>
      <c r="B37" s="170" t="str">
        <f aca="false">'O&amp;M Budget'!A48</f>
        <v>Mobile Phone Services</v>
      </c>
      <c r="C37" s="138" t="n">
        <f aca="false">4600*Factors!C16</f>
        <v>4876</v>
      </c>
      <c r="D37" s="139" t="n">
        <f aca="false">C37</f>
        <v>4876</v>
      </c>
      <c r="E37" s="139" t="n">
        <f aca="false">D37</f>
        <v>4876</v>
      </c>
      <c r="F37" s="139" t="n">
        <f aca="false">E37</f>
        <v>4876</v>
      </c>
      <c r="G37" s="139" t="n">
        <f aca="false">F37</f>
        <v>4876</v>
      </c>
      <c r="H37" s="139" t="n">
        <f aca="false">G37</f>
        <v>4876</v>
      </c>
      <c r="I37" s="139" t="n">
        <f aca="false">H37</f>
        <v>4876</v>
      </c>
      <c r="J37" s="139" t="n">
        <f aca="false">I37</f>
        <v>4876</v>
      </c>
      <c r="K37" s="139" t="n">
        <f aca="false">J37</f>
        <v>4876</v>
      </c>
      <c r="L37" s="139" t="n">
        <f aca="false">K37</f>
        <v>4876</v>
      </c>
      <c r="M37" s="139" t="n">
        <f aca="false">L37</f>
        <v>4876</v>
      </c>
      <c r="N37" s="139" t="n">
        <f aca="false">M37</f>
        <v>4876</v>
      </c>
      <c r="P37" s="170" t="s">
        <v>891</v>
      </c>
      <c r="Q37" s="288" t="n">
        <f aca="false">N37*Factors!$R$16</f>
        <v>5071.04</v>
      </c>
      <c r="R37" s="139" t="n">
        <f aca="false">Q37</f>
        <v>5071.04</v>
      </c>
      <c r="S37" s="139" t="n">
        <f aca="false">R37</f>
        <v>5071.04</v>
      </c>
      <c r="T37" s="139" t="n">
        <f aca="false">S37</f>
        <v>5071.04</v>
      </c>
      <c r="U37" s="139" t="n">
        <f aca="false">T37</f>
        <v>5071.04</v>
      </c>
      <c r="V37" s="139" t="n">
        <f aca="false">U37</f>
        <v>5071.04</v>
      </c>
      <c r="W37" s="139" t="n">
        <f aca="false">V37</f>
        <v>5071.04</v>
      </c>
      <c r="X37" s="139" t="n">
        <f aca="false">W37</f>
        <v>5071.04</v>
      </c>
      <c r="Y37" s="139" t="n">
        <f aca="false">X37</f>
        <v>5071.04</v>
      </c>
      <c r="Z37" s="139" t="n">
        <f aca="false">Y37</f>
        <v>5071.04</v>
      </c>
      <c r="AA37" s="139" t="n">
        <f aca="false">Z37</f>
        <v>5071.04</v>
      </c>
      <c r="AB37" s="139" t="n">
        <f aca="false">AA37</f>
        <v>5071.04</v>
      </c>
      <c r="AD37" s="170" t="s">
        <v>891</v>
      </c>
      <c r="AE37" s="288" t="n">
        <f aca="false">AB37*Factors!$AG$16</f>
        <v>5375.3024</v>
      </c>
      <c r="AF37" s="139" t="n">
        <f aca="false">AE37</f>
        <v>5375.3024</v>
      </c>
      <c r="AG37" s="139" t="n">
        <f aca="false">AF37</f>
        <v>5375.3024</v>
      </c>
      <c r="AH37" s="139" t="n">
        <f aca="false">AG37</f>
        <v>5375.3024</v>
      </c>
      <c r="AI37" s="139" t="n">
        <f aca="false">AH37</f>
        <v>5375.3024</v>
      </c>
      <c r="AJ37" s="139" t="n">
        <f aca="false">AI37</f>
        <v>5375.3024</v>
      </c>
      <c r="AK37" s="139" t="n">
        <f aca="false">AJ37</f>
        <v>5375.3024</v>
      </c>
      <c r="AL37" s="139" t="n">
        <f aca="false">AK37</f>
        <v>5375.3024</v>
      </c>
      <c r="AM37" s="139" t="n">
        <f aca="false">AL37</f>
        <v>5375.3024</v>
      </c>
      <c r="AN37" s="139" t="n">
        <f aca="false">AM37</f>
        <v>5375.3024</v>
      </c>
      <c r="AO37" s="139" t="n">
        <f aca="false">AN37</f>
        <v>5375.3024</v>
      </c>
      <c r="AP37" s="139" t="n">
        <f aca="false">AO37</f>
        <v>5375.3024</v>
      </c>
    </row>
    <row r="38" customFormat="false" ht="13.2" hidden="false" customHeight="false" outlineLevel="0" collapsed="false">
      <c r="A38" s="137" t="s">
        <v>892</v>
      </c>
      <c r="B38" s="170" t="s">
        <v>893</v>
      </c>
      <c r="C38" s="138" t="n">
        <f aca="false">4750*Factors!C16</f>
        <v>5035</v>
      </c>
      <c r="D38" s="139" t="n">
        <f aca="false">C38</f>
        <v>5035</v>
      </c>
      <c r="E38" s="139" t="n">
        <f aca="false">D38</f>
        <v>5035</v>
      </c>
      <c r="F38" s="139" t="n">
        <f aca="false">E38</f>
        <v>5035</v>
      </c>
      <c r="G38" s="139" t="n">
        <f aca="false">F38</f>
        <v>5035</v>
      </c>
      <c r="H38" s="139" t="n">
        <f aca="false">G38</f>
        <v>5035</v>
      </c>
      <c r="I38" s="139" t="n">
        <f aca="false">H38</f>
        <v>5035</v>
      </c>
      <c r="J38" s="139" t="n">
        <f aca="false">I38</f>
        <v>5035</v>
      </c>
      <c r="K38" s="139" t="n">
        <f aca="false">J38</f>
        <v>5035</v>
      </c>
      <c r="L38" s="139" t="n">
        <f aca="false">K38</f>
        <v>5035</v>
      </c>
      <c r="M38" s="139" t="n">
        <f aca="false">L38</f>
        <v>5035</v>
      </c>
      <c r="N38" s="139" t="n">
        <f aca="false">M38</f>
        <v>5035</v>
      </c>
      <c r="P38" s="170" t="s">
        <v>894</v>
      </c>
      <c r="Q38" s="288" t="n">
        <f aca="false">N38*Factors!$R$16</f>
        <v>5236.4</v>
      </c>
      <c r="R38" s="139" t="n">
        <f aca="false">Q38</f>
        <v>5236.4</v>
      </c>
      <c r="S38" s="139" t="n">
        <f aca="false">R38</f>
        <v>5236.4</v>
      </c>
      <c r="T38" s="139" t="n">
        <f aca="false">S38</f>
        <v>5236.4</v>
      </c>
      <c r="U38" s="139" t="n">
        <f aca="false">T38</f>
        <v>5236.4</v>
      </c>
      <c r="V38" s="139" t="n">
        <f aca="false">U38</f>
        <v>5236.4</v>
      </c>
      <c r="W38" s="139" t="n">
        <f aca="false">V38</f>
        <v>5236.4</v>
      </c>
      <c r="X38" s="139" t="n">
        <f aca="false">W38</f>
        <v>5236.4</v>
      </c>
      <c r="Y38" s="139" t="n">
        <f aca="false">X38</f>
        <v>5236.4</v>
      </c>
      <c r="Z38" s="139" t="n">
        <f aca="false">Y38</f>
        <v>5236.4</v>
      </c>
      <c r="AA38" s="139" t="n">
        <f aca="false">Z38</f>
        <v>5236.4</v>
      </c>
      <c r="AB38" s="139" t="n">
        <f aca="false">AA38</f>
        <v>5236.4</v>
      </c>
      <c r="AD38" s="170" t="s">
        <v>894</v>
      </c>
      <c r="AE38" s="288" t="n">
        <f aca="false">AB38*Factors!$AG$16</f>
        <v>5550.584</v>
      </c>
      <c r="AF38" s="139" t="n">
        <f aca="false">AE38</f>
        <v>5550.584</v>
      </c>
      <c r="AG38" s="139" t="n">
        <f aca="false">AF38</f>
        <v>5550.584</v>
      </c>
      <c r="AH38" s="139" t="n">
        <f aca="false">AG38</f>
        <v>5550.584</v>
      </c>
      <c r="AI38" s="139" t="n">
        <f aca="false">AH38</f>
        <v>5550.584</v>
      </c>
      <c r="AJ38" s="139" t="n">
        <f aca="false">AI38</f>
        <v>5550.584</v>
      </c>
      <c r="AK38" s="139" t="n">
        <f aca="false">AJ38</f>
        <v>5550.584</v>
      </c>
      <c r="AL38" s="139" t="n">
        <f aca="false">AK38</f>
        <v>5550.584</v>
      </c>
      <c r="AM38" s="139" t="n">
        <f aca="false">AL38</f>
        <v>5550.584</v>
      </c>
      <c r="AN38" s="139" t="n">
        <f aca="false">AM38</f>
        <v>5550.584</v>
      </c>
      <c r="AO38" s="139" t="n">
        <f aca="false">AN38</f>
        <v>5550.584</v>
      </c>
      <c r="AP38" s="139" t="n">
        <f aca="false">AO38</f>
        <v>5550.584</v>
      </c>
    </row>
    <row r="39" customFormat="false" ht="13.2" hidden="false" customHeight="false" outlineLevel="0" collapsed="false">
      <c r="A39" s="137" t="s">
        <v>895</v>
      </c>
      <c r="B39" s="170" t="str">
        <f aca="false">'O&amp;M Budget'!A50</f>
        <v>Site Security</v>
      </c>
      <c r="C39" s="138" t="n">
        <f aca="false">16000*Factors!C16</f>
        <v>16960</v>
      </c>
      <c r="D39" s="139" t="n">
        <f aca="false">C39</f>
        <v>16960</v>
      </c>
      <c r="E39" s="139" t="n">
        <f aca="false">D39</f>
        <v>16960</v>
      </c>
      <c r="F39" s="139" t="n">
        <f aca="false">E39</f>
        <v>16960</v>
      </c>
      <c r="G39" s="139" t="n">
        <f aca="false">F39</f>
        <v>16960</v>
      </c>
      <c r="H39" s="139" t="n">
        <f aca="false">G39</f>
        <v>16960</v>
      </c>
      <c r="I39" s="139" t="n">
        <f aca="false">H39</f>
        <v>16960</v>
      </c>
      <c r="J39" s="139" t="n">
        <f aca="false">I39</f>
        <v>16960</v>
      </c>
      <c r="K39" s="139" t="n">
        <f aca="false">J39</f>
        <v>16960</v>
      </c>
      <c r="L39" s="139" t="n">
        <f aca="false">K39</f>
        <v>16960</v>
      </c>
      <c r="M39" s="139" t="n">
        <f aca="false">L39</f>
        <v>16960</v>
      </c>
      <c r="N39" s="139" t="n">
        <f aca="false">M39</f>
        <v>16960</v>
      </c>
      <c r="P39" s="170" t="s">
        <v>896</v>
      </c>
      <c r="Q39" s="288" t="n">
        <f aca="false">N39*Factors!$R$16</f>
        <v>17638.4</v>
      </c>
      <c r="R39" s="139" t="n">
        <f aca="false">Q39</f>
        <v>17638.4</v>
      </c>
      <c r="S39" s="139" t="n">
        <f aca="false">R39</f>
        <v>17638.4</v>
      </c>
      <c r="T39" s="139" t="n">
        <f aca="false">S39</f>
        <v>17638.4</v>
      </c>
      <c r="U39" s="139" t="n">
        <f aca="false">T39</f>
        <v>17638.4</v>
      </c>
      <c r="V39" s="139" t="n">
        <f aca="false">U39</f>
        <v>17638.4</v>
      </c>
      <c r="W39" s="139" t="n">
        <f aca="false">V39</f>
        <v>17638.4</v>
      </c>
      <c r="X39" s="139" t="n">
        <f aca="false">W39</f>
        <v>17638.4</v>
      </c>
      <c r="Y39" s="139" t="n">
        <f aca="false">X39</f>
        <v>17638.4</v>
      </c>
      <c r="Z39" s="139" t="n">
        <f aca="false">Y39</f>
        <v>17638.4</v>
      </c>
      <c r="AA39" s="139" t="n">
        <f aca="false">Z39</f>
        <v>17638.4</v>
      </c>
      <c r="AB39" s="139" t="n">
        <f aca="false">AA39</f>
        <v>17638.4</v>
      </c>
      <c r="AD39" s="170" t="s">
        <v>896</v>
      </c>
      <c r="AE39" s="288" t="n">
        <f aca="false">AB39*Factors!$AG$16</f>
        <v>18696.704</v>
      </c>
      <c r="AF39" s="139" t="n">
        <f aca="false">AE39</f>
        <v>18696.704</v>
      </c>
      <c r="AG39" s="139" t="n">
        <f aca="false">AF39</f>
        <v>18696.704</v>
      </c>
      <c r="AH39" s="139" t="n">
        <f aca="false">AG39</f>
        <v>18696.704</v>
      </c>
      <c r="AI39" s="139" t="n">
        <f aca="false">AH39</f>
        <v>18696.704</v>
      </c>
      <c r="AJ39" s="139" t="n">
        <f aca="false">AI39</f>
        <v>18696.704</v>
      </c>
      <c r="AK39" s="139" t="n">
        <f aca="false">AJ39</f>
        <v>18696.704</v>
      </c>
      <c r="AL39" s="139" t="n">
        <f aca="false">AK39</f>
        <v>18696.704</v>
      </c>
      <c r="AM39" s="139" t="n">
        <f aca="false">AL39</f>
        <v>18696.704</v>
      </c>
      <c r="AN39" s="139" t="n">
        <f aca="false">AM39</f>
        <v>18696.704</v>
      </c>
      <c r="AO39" s="139" t="n">
        <f aca="false">AN39</f>
        <v>18696.704</v>
      </c>
      <c r="AP39" s="139" t="n">
        <f aca="false">AO39</f>
        <v>18696.704</v>
      </c>
    </row>
    <row r="40" customFormat="false" ht="13.2" hidden="false" customHeight="false" outlineLevel="0" collapsed="false">
      <c r="A40" s="137" t="s">
        <v>897</v>
      </c>
      <c r="B40" s="170" t="str">
        <f aca="false">'O&amp;M Budget'!A51</f>
        <v>Landscape Maintenance</v>
      </c>
      <c r="C40" s="138" t="n">
        <f aca="false">10000*Factors!C16</f>
        <v>10600</v>
      </c>
      <c r="D40" s="139" t="n">
        <f aca="false">C40</f>
        <v>10600</v>
      </c>
      <c r="E40" s="139" t="n">
        <f aca="false">D40</f>
        <v>10600</v>
      </c>
      <c r="F40" s="139" t="n">
        <f aca="false">E40</f>
        <v>10600</v>
      </c>
      <c r="G40" s="139" t="n">
        <f aca="false">F40</f>
        <v>10600</v>
      </c>
      <c r="H40" s="139" t="n">
        <f aca="false">G40</f>
        <v>10600</v>
      </c>
      <c r="I40" s="139" t="n">
        <f aca="false">H40</f>
        <v>10600</v>
      </c>
      <c r="J40" s="139" t="n">
        <f aca="false">I40</f>
        <v>10600</v>
      </c>
      <c r="K40" s="139" t="n">
        <f aca="false">J40</f>
        <v>10600</v>
      </c>
      <c r="L40" s="139" t="n">
        <f aca="false">K40</f>
        <v>10600</v>
      </c>
      <c r="M40" s="139" t="n">
        <f aca="false">L40</f>
        <v>10600</v>
      </c>
      <c r="N40" s="139" t="n">
        <f aca="false">M40</f>
        <v>10600</v>
      </c>
      <c r="P40" s="170" t="s">
        <v>898</v>
      </c>
      <c r="Q40" s="288" t="n">
        <f aca="false">N40*Factors!$R$16</f>
        <v>11024</v>
      </c>
      <c r="R40" s="139" t="n">
        <f aca="false">Q40</f>
        <v>11024</v>
      </c>
      <c r="S40" s="139" t="n">
        <f aca="false">R40</f>
        <v>11024</v>
      </c>
      <c r="T40" s="139" t="n">
        <f aca="false">S40</f>
        <v>11024</v>
      </c>
      <c r="U40" s="139" t="n">
        <f aca="false">T40</f>
        <v>11024</v>
      </c>
      <c r="V40" s="139" t="n">
        <f aca="false">U40</f>
        <v>11024</v>
      </c>
      <c r="W40" s="139" t="n">
        <f aca="false">V40</f>
        <v>11024</v>
      </c>
      <c r="X40" s="139" t="n">
        <f aca="false">W40</f>
        <v>11024</v>
      </c>
      <c r="Y40" s="139" t="n">
        <f aca="false">X40</f>
        <v>11024</v>
      </c>
      <c r="Z40" s="139" t="n">
        <f aca="false">Y40</f>
        <v>11024</v>
      </c>
      <c r="AA40" s="139" t="n">
        <f aca="false">Z40</f>
        <v>11024</v>
      </c>
      <c r="AB40" s="139" t="n">
        <f aca="false">AA40</f>
        <v>11024</v>
      </c>
      <c r="AD40" s="170" t="s">
        <v>898</v>
      </c>
      <c r="AE40" s="288" t="n">
        <f aca="false">AB40*Factors!$AG$16</f>
        <v>11685.44</v>
      </c>
      <c r="AF40" s="139" t="n">
        <f aca="false">AE40</f>
        <v>11685.44</v>
      </c>
      <c r="AG40" s="139" t="n">
        <f aca="false">AF40</f>
        <v>11685.44</v>
      </c>
      <c r="AH40" s="139" t="n">
        <f aca="false">AG40</f>
        <v>11685.44</v>
      </c>
      <c r="AI40" s="139" t="n">
        <f aca="false">AH40</f>
        <v>11685.44</v>
      </c>
      <c r="AJ40" s="139" t="n">
        <f aca="false">AI40</f>
        <v>11685.44</v>
      </c>
      <c r="AK40" s="139" t="n">
        <f aca="false">AJ40</f>
        <v>11685.44</v>
      </c>
      <c r="AL40" s="139" t="n">
        <f aca="false">AK40</f>
        <v>11685.44</v>
      </c>
      <c r="AM40" s="139" t="n">
        <f aca="false">AL40</f>
        <v>11685.44</v>
      </c>
      <c r="AN40" s="139" t="n">
        <f aca="false">AM40</f>
        <v>11685.44</v>
      </c>
      <c r="AO40" s="139" t="n">
        <f aca="false">AN40</f>
        <v>11685.44</v>
      </c>
      <c r="AP40" s="139" t="n">
        <f aca="false">AO40</f>
        <v>11685.44</v>
      </c>
    </row>
    <row r="41" customFormat="false" ht="13.2" hidden="false" customHeight="false" outlineLevel="0" collapsed="false">
      <c r="A41" s="137" t="s">
        <v>899</v>
      </c>
      <c r="B41" s="170" t="str">
        <f aca="false">'O&amp;M Budget'!A52</f>
        <v>Weather Services</v>
      </c>
      <c r="C41" s="138" t="n">
        <f aca="false">1600*Factors!C16</f>
        <v>1696</v>
      </c>
      <c r="D41" s="139" t="n">
        <f aca="false">C41</f>
        <v>1696</v>
      </c>
      <c r="E41" s="139" t="n">
        <f aca="false">D41</f>
        <v>1696</v>
      </c>
      <c r="F41" s="139" t="n">
        <f aca="false">E41</f>
        <v>1696</v>
      </c>
      <c r="G41" s="139" t="n">
        <f aca="false">F41</f>
        <v>1696</v>
      </c>
      <c r="H41" s="139" t="n">
        <f aca="false">G41</f>
        <v>1696</v>
      </c>
      <c r="I41" s="139" t="n">
        <f aca="false">H41</f>
        <v>1696</v>
      </c>
      <c r="J41" s="139" t="n">
        <f aca="false">I41</f>
        <v>1696</v>
      </c>
      <c r="K41" s="139" t="n">
        <f aca="false">J41</f>
        <v>1696</v>
      </c>
      <c r="L41" s="139" t="n">
        <f aca="false">K41</f>
        <v>1696</v>
      </c>
      <c r="M41" s="139" t="n">
        <f aca="false">L41</f>
        <v>1696</v>
      </c>
      <c r="N41" s="139" t="n">
        <f aca="false">M41</f>
        <v>1696</v>
      </c>
      <c r="P41" s="170" t="s">
        <v>900</v>
      </c>
      <c r="Q41" s="288" t="n">
        <f aca="false">N41*Factors!$R$16</f>
        <v>1763.84</v>
      </c>
      <c r="R41" s="139" t="n">
        <f aca="false">Q41</f>
        <v>1763.84</v>
      </c>
      <c r="S41" s="139" t="n">
        <f aca="false">R41</f>
        <v>1763.84</v>
      </c>
      <c r="T41" s="139" t="n">
        <f aca="false">S41</f>
        <v>1763.84</v>
      </c>
      <c r="U41" s="139" t="n">
        <f aca="false">T41</f>
        <v>1763.84</v>
      </c>
      <c r="V41" s="139" t="n">
        <f aca="false">U41</f>
        <v>1763.84</v>
      </c>
      <c r="W41" s="139" t="n">
        <f aca="false">V41</f>
        <v>1763.84</v>
      </c>
      <c r="X41" s="139" t="n">
        <f aca="false">W41</f>
        <v>1763.84</v>
      </c>
      <c r="Y41" s="139" t="n">
        <f aca="false">X41</f>
        <v>1763.84</v>
      </c>
      <c r="Z41" s="139" t="n">
        <f aca="false">Y41</f>
        <v>1763.84</v>
      </c>
      <c r="AA41" s="139" t="n">
        <f aca="false">Z41</f>
        <v>1763.84</v>
      </c>
      <c r="AB41" s="139" t="n">
        <f aca="false">AA41</f>
        <v>1763.84</v>
      </c>
      <c r="AD41" s="170" t="s">
        <v>900</v>
      </c>
      <c r="AE41" s="288" t="n">
        <f aca="false">AB41*Factors!$AG$16</f>
        <v>1869.6704</v>
      </c>
      <c r="AF41" s="139" t="n">
        <f aca="false">AE41</f>
        <v>1869.6704</v>
      </c>
      <c r="AG41" s="139" t="n">
        <f aca="false">AF41</f>
        <v>1869.6704</v>
      </c>
      <c r="AH41" s="139" t="n">
        <f aca="false">AG41</f>
        <v>1869.6704</v>
      </c>
      <c r="AI41" s="139" t="n">
        <f aca="false">AH41</f>
        <v>1869.6704</v>
      </c>
      <c r="AJ41" s="139" t="n">
        <f aca="false">AI41</f>
        <v>1869.6704</v>
      </c>
      <c r="AK41" s="139" t="n">
        <f aca="false">AJ41</f>
        <v>1869.6704</v>
      </c>
      <c r="AL41" s="139" t="n">
        <f aca="false">AK41</f>
        <v>1869.6704</v>
      </c>
      <c r="AM41" s="139" t="n">
        <f aca="false">AL41</f>
        <v>1869.6704</v>
      </c>
      <c r="AN41" s="139" t="n">
        <f aca="false">AM41</f>
        <v>1869.6704</v>
      </c>
      <c r="AO41" s="139" t="n">
        <f aca="false">AN41</f>
        <v>1869.6704</v>
      </c>
      <c r="AP41" s="139" t="n">
        <f aca="false">AO41</f>
        <v>1869.6704</v>
      </c>
    </row>
    <row r="42" customFormat="false" ht="13.2" hidden="false" customHeight="false" outlineLevel="0" collapsed="false">
      <c r="A42" s="137" t="s">
        <v>901</v>
      </c>
      <c r="B42" s="170" t="str">
        <f aca="false">'O&amp;M Budget'!A53</f>
        <v>Other Services</v>
      </c>
      <c r="C42" s="138" t="n">
        <v>2000</v>
      </c>
      <c r="D42" s="139" t="n">
        <f aca="false">C42</f>
        <v>2000</v>
      </c>
      <c r="E42" s="139" t="n">
        <f aca="false">D42</f>
        <v>2000</v>
      </c>
      <c r="F42" s="139" t="n">
        <f aca="false">E42</f>
        <v>2000</v>
      </c>
      <c r="G42" s="139" t="n">
        <f aca="false">F42</f>
        <v>2000</v>
      </c>
      <c r="H42" s="139" t="n">
        <f aca="false">G42</f>
        <v>2000</v>
      </c>
      <c r="I42" s="139" t="n">
        <f aca="false">H42</f>
        <v>2000</v>
      </c>
      <c r="J42" s="139" t="n">
        <f aca="false">I42</f>
        <v>2000</v>
      </c>
      <c r="K42" s="139" t="n">
        <f aca="false">J42</f>
        <v>2000</v>
      </c>
      <c r="L42" s="139" t="n">
        <f aca="false">K42</f>
        <v>2000</v>
      </c>
      <c r="M42" s="139" t="n">
        <f aca="false">L42</f>
        <v>2000</v>
      </c>
      <c r="N42" s="139" t="n">
        <f aca="false">M42</f>
        <v>2000</v>
      </c>
      <c r="P42" s="170" t="s">
        <v>902</v>
      </c>
      <c r="Q42" s="288" t="n">
        <f aca="false">N42*Factors!$R$16</f>
        <v>2080</v>
      </c>
      <c r="R42" s="139" t="n">
        <f aca="false">Q42</f>
        <v>2080</v>
      </c>
      <c r="S42" s="139" t="n">
        <f aca="false">R42</f>
        <v>2080</v>
      </c>
      <c r="T42" s="139" t="n">
        <f aca="false">S42</f>
        <v>2080</v>
      </c>
      <c r="U42" s="139" t="n">
        <f aca="false">T42</f>
        <v>2080</v>
      </c>
      <c r="V42" s="139" t="n">
        <f aca="false">U42</f>
        <v>2080</v>
      </c>
      <c r="W42" s="139" t="n">
        <f aca="false">V42</f>
        <v>2080</v>
      </c>
      <c r="X42" s="139" t="n">
        <f aca="false">W42</f>
        <v>2080</v>
      </c>
      <c r="Y42" s="139" t="n">
        <f aca="false">X42</f>
        <v>2080</v>
      </c>
      <c r="Z42" s="139" t="n">
        <f aca="false">Y42</f>
        <v>2080</v>
      </c>
      <c r="AA42" s="139" t="n">
        <f aca="false">Z42</f>
        <v>2080</v>
      </c>
      <c r="AB42" s="139" t="n">
        <f aca="false">AA42</f>
        <v>2080</v>
      </c>
      <c r="AD42" s="170" t="s">
        <v>902</v>
      </c>
      <c r="AE42" s="288" t="n">
        <f aca="false">AB42*Factors!$AG$16</f>
        <v>2204.8</v>
      </c>
      <c r="AF42" s="139" t="n">
        <f aca="false">AE42</f>
        <v>2204.8</v>
      </c>
      <c r="AG42" s="139" t="n">
        <f aca="false">AF42</f>
        <v>2204.8</v>
      </c>
      <c r="AH42" s="139" t="n">
        <f aca="false">AG42</f>
        <v>2204.8</v>
      </c>
      <c r="AI42" s="139" t="n">
        <f aca="false">AH42</f>
        <v>2204.8</v>
      </c>
      <c r="AJ42" s="139" t="n">
        <f aca="false">AI42</f>
        <v>2204.8</v>
      </c>
      <c r="AK42" s="139" t="n">
        <f aca="false">AJ42</f>
        <v>2204.8</v>
      </c>
      <c r="AL42" s="139" t="n">
        <f aca="false">AK42</f>
        <v>2204.8</v>
      </c>
      <c r="AM42" s="139" t="n">
        <f aca="false">AL42</f>
        <v>2204.8</v>
      </c>
      <c r="AN42" s="139" t="n">
        <f aca="false">AM42</f>
        <v>2204.8</v>
      </c>
      <c r="AO42" s="139" t="n">
        <f aca="false">AN42</f>
        <v>2204.8</v>
      </c>
      <c r="AP42" s="139" t="n">
        <f aca="false">AO42</f>
        <v>2204.8</v>
      </c>
    </row>
    <row r="43" customFormat="false" ht="13.8" hidden="false" customHeight="false" outlineLevel="0" collapsed="false">
      <c r="A43" s="7"/>
      <c r="B43" s="285" t="s">
        <v>66</v>
      </c>
      <c r="C43" s="39" t="n">
        <f aca="false">SUM(C26:C42)</f>
        <v>82832</v>
      </c>
      <c r="D43" s="39" t="n">
        <f aca="false">SUM(D26:D42)</f>
        <v>82832</v>
      </c>
      <c r="E43" s="39" t="n">
        <f aca="false">SUM(E26:E42)</f>
        <v>82832</v>
      </c>
      <c r="F43" s="39" t="n">
        <f aca="false">SUM(F26:F42)</f>
        <v>82832</v>
      </c>
      <c r="G43" s="39" t="n">
        <f aca="false">SUM(G26:G42)</f>
        <v>82832</v>
      </c>
      <c r="H43" s="39" t="n">
        <f aca="false">SUM(H26:H42)</f>
        <v>82832</v>
      </c>
      <c r="I43" s="39" t="n">
        <f aca="false">SUM(I26:I42)</f>
        <v>82832</v>
      </c>
      <c r="J43" s="39" t="n">
        <f aca="false">SUM(J26:J42)</f>
        <v>82832</v>
      </c>
      <c r="K43" s="39" t="n">
        <f aca="false">SUM(K26:K42)</f>
        <v>82832</v>
      </c>
      <c r="L43" s="39" t="n">
        <f aca="false">SUM(L26:L42)</f>
        <v>82832</v>
      </c>
      <c r="M43" s="39" t="n">
        <f aca="false">SUM(M26:M42)</f>
        <v>82832</v>
      </c>
      <c r="N43" s="39" t="n">
        <f aca="false">SUM(N26:N42)</f>
        <v>82832</v>
      </c>
      <c r="O43" s="7"/>
      <c r="P43" s="7"/>
      <c r="Q43" s="39" t="n">
        <f aca="false">SUM(Q26:Q42)</f>
        <v>86145.28</v>
      </c>
      <c r="R43" s="39" t="n">
        <f aca="false">SUM(R26:R42)</f>
        <v>86145.28</v>
      </c>
      <c r="S43" s="39" t="n">
        <f aca="false">SUM(S26:S42)</f>
        <v>86145.28</v>
      </c>
      <c r="T43" s="39" t="n">
        <f aca="false">SUM(T26:T42)</f>
        <v>86145.28</v>
      </c>
      <c r="U43" s="39" t="n">
        <f aca="false">SUM(U26:U42)</f>
        <v>86145.28</v>
      </c>
      <c r="V43" s="39" t="n">
        <f aca="false">SUM(V26:V42)</f>
        <v>86145.28</v>
      </c>
      <c r="W43" s="39" t="n">
        <f aca="false">SUM(W26:W42)</f>
        <v>86145.28</v>
      </c>
      <c r="X43" s="39" t="n">
        <f aca="false">SUM(X26:X42)</f>
        <v>86145.28</v>
      </c>
      <c r="Y43" s="39" t="n">
        <f aca="false">SUM(Y26:Y42)</f>
        <v>86145.28</v>
      </c>
      <c r="Z43" s="39" t="n">
        <f aca="false">SUM(Z26:Z42)</f>
        <v>86145.28</v>
      </c>
      <c r="AA43" s="39" t="n">
        <f aca="false">SUM(AA26:AA42)</f>
        <v>86145.28</v>
      </c>
      <c r="AB43" s="39" t="n">
        <f aca="false">SUM(AB26:AB42)</f>
        <v>86145.28</v>
      </c>
      <c r="AC43" s="7"/>
      <c r="AD43" s="7"/>
      <c r="AE43" s="39" t="n">
        <f aca="false">SUM(AE26:AE42)</f>
        <v>91313.9968</v>
      </c>
      <c r="AF43" s="39" t="n">
        <f aca="false">SUM(AF26:AF42)</f>
        <v>91313.9968</v>
      </c>
      <c r="AG43" s="39" t="n">
        <f aca="false">SUM(AG26:AG42)</f>
        <v>91313.9968</v>
      </c>
      <c r="AH43" s="39" t="n">
        <f aca="false">SUM(AH26:AH42)</f>
        <v>91313.9968</v>
      </c>
      <c r="AI43" s="39" t="n">
        <f aca="false">SUM(AI26:AI42)</f>
        <v>91313.9968</v>
      </c>
      <c r="AJ43" s="39" t="n">
        <f aca="false">SUM(AJ26:AJ42)</f>
        <v>91313.9968</v>
      </c>
      <c r="AK43" s="39" t="n">
        <f aca="false">SUM(AK26:AK42)</f>
        <v>91313.9968</v>
      </c>
      <c r="AL43" s="39" t="n">
        <f aca="false">SUM(AL26:AL42)</f>
        <v>91313.9968</v>
      </c>
      <c r="AM43" s="39" t="n">
        <f aca="false">SUM(AM26:AM42)</f>
        <v>91313.9968</v>
      </c>
      <c r="AN43" s="39" t="n">
        <f aca="false">SUM(AN26:AN42)</f>
        <v>91313.9968</v>
      </c>
      <c r="AO43" s="39" t="n">
        <f aca="false">SUM(AO26:AO42)</f>
        <v>91313.9968</v>
      </c>
      <c r="AP43" s="39" t="n">
        <f aca="false">SUM(AP26:AP42)</f>
        <v>91313.9968</v>
      </c>
    </row>
    <row r="44" customFormat="false" ht="13.8" hidden="false" customHeight="false" outlineLevel="0" collapsed="false"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</row>
    <row r="45" customFormat="false" ht="13.2" hidden="false" customHeight="false" outlineLevel="0" collapsed="false">
      <c r="A45" s="141" t="s">
        <v>903</v>
      </c>
      <c r="B45" s="205" t="str">
        <f aca="false">'O&amp;M Budget'!A56</f>
        <v>TAXES AND FEES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P45" s="205" t="s">
        <v>904</v>
      </c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D45" s="205" t="s">
        <v>904</v>
      </c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</row>
    <row r="46" customFormat="false" ht="13.2" hidden="false" customHeight="false" outlineLevel="0" collapsed="false">
      <c r="A46" s="137" t="s">
        <v>905</v>
      </c>
      <c r="B46" s="170" t="str">
        <f aca="false">'O&amp;M Budget'!A57</f>
        <v>Environment Fees</v>
      </c>
      <c r="C46" s="138" t="n">
        <v>8715</v>
      </c>
      <c r="D46" s="139" t="n">
        <f aca="false">C46</f>
        <v>8715</v>
      </c>
      <c r="E46" s="139" t="n">
        <f aca="false">D46</f>
        <v>8715</v>
      </c>
      <c r="F46" s="139" t="n">
        <f aca="false">E46</f>
        <v>8715</v>
      </c>
      <c r="G46" s="139" t="n">
        <f aca="false">F46</f>
        <v>8715</v>
      </c>
      <c r="H46" s="139" t="n">
        <f aca="false">G46</f>
        <v>8715</v>
      </c>
      <c r="I46" s="139" t="n">
        <f aca="false">H46</f>
        <v>8715</v>
      </c>
      <c r="J46" s="139" t="n">
        <f aca="false">I46</f>
        <v>8715</v>
      </c>
      <c r="K46" s="139" t="n">
        <f aca="false">J46</f>
        <v>8715</v>
      </c>
      <c r="L46" s="139" t="n">
        <f aca="false">K46</f>
        <v>8715</v>
      </c>
      <c r="M46" s="139" t="n">
        <f aca="false">L46</f>
        <v>8715</v>
      </c>
      <c r="N46" s="139" t="n">
        <f aca="false">M46</f>
        <v>8715</v>
      </c>
      <c r="P46" s="170" t="s">
        <v>906</v>
      </c>
      <c r="Q46" s="288" t="n">
        <f aca="false">N46*Factors!$R$16</f>
        <v>9063.6</v>
      </c>
      <c r="R46" s="139" t="n">
        <f aca="false">Q46</f>
        <v>9063.6</v>
      </c>
      <c r="S46" s="139" t="n">
        <f aca="false">R46</f>
        <v>9063.6</v>
      </c>
      <c r="T46" s="139" t="n">
        <f aca="false">S46</f>
        <v>9063.6</v>
      </c>
      <c r="U46" s="139" t="n">
        <f aca="false">T46</f>
        <v>9063.6</v>
      </c>
      <c r="V46" s="139" t="n">
        <f aca="false">U46</f>
        <v>9063.6</v>
      </c>
      <c r="W46" s="139" t="n">
        <f aca="false">V46</f>
        <v>9063.6</v>
      </c>
      <c r="X46" s="139" t="n">
        <f aca="false">W46</f>
        <v>9063.6</v>
      </c>
      <c r="Y46" s="139" t="n">
        <f aca="false">X46</f>
        <v>9063.6</v>
      </c>
      <c r="Z46" s="139" t="n">
        <f aca="false">Y46</f>
        <v>9063.6</v>
      </c>
      <c r="AA46" s="139" t="n">
        <f aca="false">Z46</f>
        <v>9063.6</v>
      </c>
      <c r="AB46" s="139" t="n">
        <f aca="false">AA46</f>
        <v>9063.6</v>
      </c>
      <c r="AD46" s="170" t="s">
        <v>906</v>
      </c>
      <c r="AE46" s="288" t="n">
        <f aca="false">AB46*Factors!$AG$16</f>
        <v>9607.416</v>
      </c>
      <c r="AF46" s="139" t="n">
        <f aca="false">AE46</f>
        <v>9607.416</v>
      </c>
      <c r="AG46" s="139" t="n">
        <f aca="false">AF46</f>
        <v>9607.416</v>
      </c>
      <c r="AH46" s="139" t="n">
        <f aca="false">AG46</f>
        <v>9607.416</v>
      </c>
      <c r="AI46" s="139" t="n">
        <f aca="false">AH46</f>
        <v>9607.416</v>
      </c>
      <c r="AJ46" s="139" t="n">
        <f aca="false">AI46</f>
        <v>9607.416</v>
      </c>
      <c r="AK46" s="139" t="n">
        <f aca="false">AJ46</f>
        <v>9607.416</v>
      </c>
      <c r="AL46" s="139" t="n">
        <f aca="false">AK46</f>
        <v>9607.416</v>
      </c>
      <c r="AM46" s="139" t="n">
        <f aca="false">AL46</f>
        <v>9607.416</v>
      </c>
      <c r="AN46" s="139" t="n">
        <f aca="false">AM46</f>
        <v>9607.416</v>
      </c>
      <c r="AO46" s="139" t="n">
        <f aca="false">AN46</f>
        <v>9607.416</v>
      </c>
      <c r="AP46" s="139" t="n">
        <f aca="false">AO46</f>
        <v>9607.416</v>
      </c>
    </row>
    <row r="47" customFormat="false" ht="13.2" hidden="false" customHeight="false" outlineLevel="0" collapsed="false">
      <c r="A47" s="137" t="s">
        <v>907</v>
      </c>
      <c r="B47" s="45" t="str">
        <f aca="false">'O&amp;M Budget'!A58</f>
        <v>Ground Rent</v>
      </c>
      <c r="C47" s="138" t="n">
        <v>85444</v>
      </c>
      <c r="D47" s="139" t="n">
        <f aca="false">C47</f>
        <v>85444</v>
      </c>
      <c r="E47" s="139" t="n">
        <f aca="false">D47</f>
        <v>85444</v>
      </c>
      <c r="F47" s="139" t="n">
        <f aca="false">E47</f>
        <v>85444</v>
      </c>
      <c r="G47" s="139" t="n">
        <f aca="false">F47</f>
        <v>85444</v>
      </c>
      <c r="H47" s="139" t="n">
        <f aca="false">G47</f>
        <v>85444</v>
      </c>
      <c r="I47" s="139" t="n">
        <f aca="false">H47</f>
        <v>85444</v>
      </c>
      <c r="J47" s="139" t="n">
        <f aca="false">I47</f>
        <v>85444</v>
      </c>
      <c r="K47" s="139" t="n">
        <f aca="false">J47</f>
        <v>85444</v>
      </c>
      <c r="L47" s="139" t="n">
        <f aca="false">K47</f>
        <v>85444</v>
      </c>
      <c r="M47" s="139" t="n">
        <f aca="false">L47</f>
        <v>85444</v>
      </c>
      <c r="N47" s="139" t="n">
        <f aca="false">M47</f>
        <v>85444</v>
      </c>
      <c r="P47" s="45" t="s">
        <v>908</v>
      </c>
      <c r="Q47" s="288" t="n">
        <f aca="false">N47*Factors!$R$16</f>
        <v>88861.76</v>
      </c>
      <c r="R47" s="139" t="n">
        <f aca="false">Q47</f>
        <v>88861.76</v>
      </c>
      <c r="S47" s="139" t="n">
        <f aca="false">R47</f>
        <v>88861.76</v>
      </c>
      <c r="T47" s="139" t="n">
        <f aca="false">S47</f>
        <v>88861.76</v>
      </c>
      <c r="U47" s="139" t="n">
        <f aca="false">T47</f>
        <v>88861.76</v>
      </c>
      <c r="V47" s="139" t="n">
        <f aca="false">U47</f>
        <v>88861.76</v>
      </c>
      <c r="W47" s="139" t="n">
        <f aca="false">V47</f>
        <v>88861.76</v>
      </c>
      <c r="X47" s="139" t="n">
        <f aca="false">W47</f>
        <v>88861.76</v>
      </c>
      <c r="Y47" s="139" t="n">
        <f aca="false">X47</f>
        <v>88861.76</v>
      </c>
      <c r="Z47" s="139" t="n">
        <f aca="false">Y47</f>
        <v>88861.76</v>
      </c>
      <c r="AA47" s="139" t="n">
        <f aca="false">Z47</f>
        <v>88861.76</v>
      </c>
      <c r="AB47" s="139" t="n">
        <f aca="false">AA47</f>
        <v>88861.76</v>
      </c>
      <c r="AD47" s="45" t="s">
        <v>908</v>
      </c>
      <c r="AE47" s="288" t="n">
        <f aca="false">AB47*Factors!$AG$16</f>
        <v>94193.4656</v>
      </c>
      <c r="AF47" s="139" t="n">
        <f aca="false">AE47</f>
        <v>94193.4656</v>
      </c>
      <c r="AG47" s="139" t="n">
        <f aca="false">AF47</f>
        <v>94193.4656</v>
      </c>
      <c r="AH47" s="139" t="n">
        <f aca="false">AG47</f>
        <v>94193.4656</v>
      </c>
      <c r="AI47" s="139" t="n">
        <f aca="false">AH47</f>
        <v>94193.4656</v>
      </c>
      <c r="AJ47" s="139" t="n">
        <f aca="false">AI47</f>
        <v>94193.4656</v>
      </c>
      <c r="AK47" s="139" t="n">
        <f aca="false">AJ47</f>
        <v>94193.4656</v>
      </c>
      <c r="AL47" s="139" t="n">
        <f aca="false">AK47</f>
        <v>94193.4656</v>
      </c>
      <c r="AM47" s="139" t="n">
        <f aca="false">AL47</f>
        <v>94193.4656</v>
      </c>
      <c r="AN47" s="139" t="n">
        <f aca="false">AM47</f>
        <v>94193.4656</v>
      </c>
      <c r="AO47" s="139" t="n">
        <f aca="false">AN47</f>
        <v>94193.4656</v>
      </c>
      <c r="AP47" s="139" t="n">
        <f aca="false">AO47</f>
        <v>94193.4656</v>
      </c>
    </row>
    <row r="48" customFormat="false" ht="13.2" hidden="false" customHeight="false" outlineLevel="0" collapsed="false">
      <c r="A48" s="137" t="s">
        <v>909</v>
      </c>
      <c r="B48" s="45" t="s">
        <v>910</v>
      </c>
      <c r="C48" s="138" t="n">
        <v>2500</v>
      </c>
      <c r="D48" s="139" t="n">
        <f aca="false">C48</f>
        <v>2500</v>
      </c>
      <c r="E48" s="139" t="n">
        <f aca="false">D48</f>
        <v>2500</v>
      </c>
      <c r="F48" s="139" t="n">
        <f aca="false">E48</f>
        <v>2500</v>
      </c>
      <c r="G48" s="139" t="n">
        <f aca="false">F48</f>
        <v>2500</v>
      </c>
      <c r="H48" s="139" t="n">
        <f aca="false">G48</f>
        <v>2500</v>
      </c>
      <c r="I48" s="139" t="n">
        <f aca="false">H48</f>
        <v>2500</v>
      </c>
      <c r="J48" s="139" t="n">
        <f aca="false">I48</f>
        <v>2500</v>
      </c>
      <c r="K48" s="139" t="n">
        <f aca="false">J48</f>
        <v>2500</v>
      </c>
      <c r="L48" s="139" t="n">
        <f aca="false">K48</f>
        <v>2500</v>
      </c>
      <c r="M48" s="139" t="n">
        <f aca="false">L48</f>
        <v>2500</v>
      </c>
      <c r="N48" s="139" t="n">
        <f aca="false">M48</f>
        <v>2500</v>
      </c>
      <c r="P48" s="45" t="s">
        <v>910</v>
      </c>
      <c r="Q48" s="288" t="n">
        <f aca="false">N48*Factors!$R$16</f>
        <v>2600</v>
      </c>
      <c r="R48" s="139" t="n">
        <f aca="false">Q48</f>
        <v>2600</v>
      </c>
      <c r="S48" s="139" t="n">
        <f aca="false">R48</f>
        <v>2600</v>
      </c>
      <c r="T48" s="139" t="n">
        <f aca="false">S48</f>
        <v>2600</v>
      </c>
      <c r="U48" s="139" t="n">
        <f aca="false">T48</f>
        <v>2600</v>
      </c>
      <c r="V48" s="139" t="n">
        <f aca="false">U48</f>
        <v>2600</v>
      </c>
      <c r="W48" s="139" t="n">
        <f aca="false">V48</f>
        <v>2600</v>
      </c>
      <c r="X48" s="139" t="n">
        <f aca="false">W48</f>
        <v>2600</v>
      </c>
      <c r="Y48" s="139" t="n">
        <f aca="false">X48</f>
        <v>2600</v>
      </c>
      <c r="Z48" s="139" t="n">
        <f aca="false">Y48</f>
        <v>2600</v>
      </c>
      <c r="AA48" s="139" t="n">
        <f aca="false">Z48</f>
        <v>2600</v>
      </c>
      <c r="AB48" s="139" t="n">
        <f aca="false">AA48</f>
        <v>2600</v>
      </c>
      <c r="AD48" s="45" t="s">
        <v>910</v>
      </c>
      <c r="AE48" s="288" t="n">
        <f aca="false">AB48*Factors!$AG$16</f>
        <v>2756</v>
      </c>
      <c r="AF48" s="139" t="n">
        <f aca="false">AE48</f>
        <v>2756</v>
      </c>
      <c r="AG48" s="139" t="n">
        <f aca="false">AF48</f>
        <v>2756</v>
      </c>
      <c r="AH48" s="139" t="n">
        <f aca="false">AG48</f>
        <v>2756</v>
      </c>
      <c r="AI48" s="139" t="n">
        <f aca="false">AH48</f>
        <v>2756</v>
      </c>
      <c r="AJ48" s="139" t="n">
        <f aca="false">AI48</f>
        <v>2756</v>
      </c>
      <c r="AK48" s="139" t="n">
        <f aca="false">AJ48</f>
        <v>2756</v>
      </c>
      <c r="AL48" s="139" t="n">
        <f aca="false">AK48</f>
        <v>2756</v>
      </c>
      <c r="AM48" s="139" t="n">
        <f aca="false">AL48</f>
        <v>2756</v>
      </c>
      <c r="AN48" s="139" t="n">
        <f aca="false">AM48</f>
        <v>2756</v>
      </c>
      <c r="AO48" s="139" t="n">
        <f aca="false">AN48</f>
        <v>2756</v>
      </c>
      <c r="AP48" s="139" t="n">
        <f aca="false">AO48</f>
        <v>2756</v>
      </c>
    </row>
    <row r="49" customFormat="false" ht="13.2" hidden="true" customHeight="false" outlineLevel="0" collapsed="false">
      <c r="A49" s="137" t="s">
        <v>911</v>
      </c>
      <c r="B49" s="45" t="s">
        <v>912</v>
      </c>
      <c r="C49" s="138" t="n">
        <v>0</v>
      </c>
      <c r="D49" s="139" t="n">
        <f aca="false">C49</f>
        <v>0</v>
      </c>
      <c r="E49" s="139" t="n">
        <f aca="false">D49</f>
        <v>0</v>
      </c>
      <c r="F49" s="139" t="n">
        <f aca="false">E49</f>
        <v>0</v>
      </c>
      <c r="G49" s="139" t="n">
        <f aca="false">F49</f>
        <v>0</v>
      </c>
      <c r="H49" s="139" t="n">
        <f aca="false">G49</f>
        <v>0</v>
      </c>
      <c r="I49" s="139" t="n">
        <f aca="false">H49</f>
        <v>0</v>
      </c>
      <c r="J49" s="139" t="n">
        <f aca="false">I49</f>
        <v>0</v>
      </c>
      <c r="K49" s="139" t="n">
        <f aca="false">J49</f>
        <v>0</v>
      </c>
      <c r="L49" s="139" t="n">
        <f aca="false">K49</f>
        <v>0</v>
      </c>
      <c r="M49" s="139" t="n">
        <f aca="false">L49</f>
        <v>0</v>
      </c>
      <c r="N49" s="139" t="n">
        <f aca="false">M49</f>
        <v>0</v>
      </c>
      <c r="P49" s="45" t="s">
        <v>912</v>
      </c>
      <c r="Q49" s="288" t="n">
        <f aca="false">N49*Factors!$R$16</f>
        <v>0</v>
      </c>
      <c r="R49" s="139" t="n">
        <f aca="false">Q49</f>
        <v>0</v>
      </c>
      <c r="S49" s="139" t="n">
        <f aca="false">R49</f>
        <v>0</v>
      </c>
      <c r="T49" s="139" t="n">
        <f aca="false">S49</f>
        <v>0</v>
      </c>
      <c r="U49" s="139" t="n">
        <f aca="false">T49</f>
        <v>0</v>
      </c>
      <c r="V49" s="139" t="n">
        <f aca="false">U49</f>
        <v>0</v>
      </c>
      <c r="W49" s="139" t="n">
        <f aca="false">V49</f>
        <v>0</v>
      </c>
      <c r="X49" s="139" t="n">
        <f aca="false">W49</f>
        <v>0</v>
      </c>
      <c r="Y49" s="139" t="n">
        <f aca="false">X49</f>
        <v>0</v>
      </c>
      <c r="Z49" s="139" t="n">
        <f aca="false">Y49</f>
        <v>0</v>
      </c>
      <c r="AA49" s="139" t="n">
        <f aca="false">Z49</f>
        <v>0</v>
      </c>
      <c r="AB49" s="139" t="n">
        <f aca="false">AA49</f>
        <v>0</v>
      </c>
      <c r="AD49" s="45" t="s">
        <v>912</v>
      </c>
      <c r="AE49" s="288" t="n">
        <f aca="false">AB49*Factors!$AG$16</f>
        <v>0</v>
      </c>
      <c r="AF49" s="139" t="n">
        <f aca="false">AE49</f>
        <v>0</v>
      </c>
      <c r="AG49" s="139" t="n">
        <f aca="false">AF49</f>
        <v>0</v>
      </c>
      <c r="AH49" s="139" t="n">
        <f aca="false">AG49</f>
        <v>0</v>
      </c>
      <c r="AI49" s="139" t="n">
        <f aca="false">AH49</f>
        <v>0</v>
      </c>
      <c r="AJ49" s="139" t="n">
        <f aca="false">AI49</f>
        <v>0</v>
      </c>
      <c r="AK49" s="139" t="n">
        <f aca="false">AJ49</f>
        <v>0</v>
      </c>
      <c r="AL49" s="139" t="n">
        <f aca="false">AK49</f>
        <v>0</v>
      </c>
      <c r="AM49" s="139" t="n">
        <f aca="false">AL49</f>
        <v>0</v>
      </c>
      <c r="AN49" s="139" t="n">
        <f aca="false">AM49</f>
        <v>0</v>
      </c>
      <c r="AO49" s="139" t="n">
        <f aca="false">AN49</f>
        <v>0</v>
      </c>
      <c r="AP49" s="139" t="n">
        <f aca="false">AO49</f>
        <v>0</v>
      </c>
    </row>
    <row r="50" customFormat="false" ht="13.2" hidden="false" customHeight="false" outlineLevel="0" collapsed="false">
      <c r="A50" s="137" t="s">
        <v>913</v>
      </c>
      <c r="B50" s="45" t="str">
        <f aca="false">'O&amp;M Budget'!A60</f>
        <v>URE Fees</v>
      </c>
      <c r="C50" s="138" t="n">
        <v>10850</v>
      </c>
      <c r="D50" s="139" t="n">
        <f aca="false">C50</f>
        <v>10850</v>
      </c>
      <c r="E50" s="139" t="n">
        <f aca="false">D50</f>
        <v>10850</v>
      </c>
      <c r="F50" s="139" t="n">
        <f aca="false">E50</f>
        <v>10850</v>
      </c>
      <c r="G50" s="139" t="n">
        <f aca="false">F50</f>
        <v>10850</v>
      </c>
      <c r="H50" s="139" t="n">
        <f aca="false">G50</f>
        <v>10850</v>
      </c>
      <c r="I50" s="139" t="n">
        <f aca="false">H50</f>
        <v>10850</v>
      </c>
      <c r="J50" s="139" t="n">
        <f aca="false">I50</f>
        <v>10850</v>
      </c>
      <c r="K50" s="139" t="n">
        <f aca="false">J50</f>
        <v>10850</v>
      </c>
      <c r="L50" s="139" t="n">
        <f aca="false">K50</f>
        <v>10850</v>
      </c>
      <c r="M50" s="139" t="n">
        <f aca="false">L50</f>
        <v>10850</v>
      </c>
      <c r="N50" s="139" t="n">
        <f aca="false">M50</f>
        <v>10850</v>
      </c>
      <c r="P50" s="45" t="s">
        <v>914</v>
      </c>
      <c r="Q50" s="288" t="n">
        <f aca="false">N50*Factors!$R$16</f>
        <v>11284</v>
      </c>
      <c r="R50" s="139" t="n">
        <f aca="false">Q50</f>
        <v>11284</v>
      </c>
      <c r="S50" s="139" t="n">
        <f aca="false">R50</f>
        <v>11284</v>
      </c>
      <c r="T50" s="139" t="n">
        <f aca="false">S50</f>
        <v>11284</v>
      </c>
      <c r="U50" s="139" t="n">
        <f aca="false">T50</f>
        <v>11284</v>
      </c>
      <c r="V50" s="139" t="n">
        <f aca="false">U50</f>
        <v>11284</v>
      </c>
      <c r="W50" s="139" t="n">
        <f aca="false">V50</f>
        <v>11284</v>
      </c>
      <c r="X50" s="139" t="n">
        <f aca="false">W50</f>
        <v>11284</v>
      </c>
      <c r="Y50" s="139" t="n">
        <f aca="false">X50</f>
        <v>11284</v>
      </c>
      <c r="Z50" s="139" t="n">
        <f aca="false">Y50</f>
        <v>11284</v>
      </c>
      <c r="AA50" s="139" t="n">
        <f aca="false">Z50</f>
        <v>11284</v>
      </c>
      <c r="AB50" s="139" t="n">
        <f aca="false">AA50</f>
        <v>11284</v>
      </c>
      <c r="AD50" s="45" t="s">
        <v>914</v>
      </c>
      <c r="AE50" s="288" t="n">
        <f aca="false">AB50*Factors!$AG$16</f>
        <v>11961.04</v>
      </c>
      <c r="AF50" s="139" t="n">
        <f aca="false">AE50</f>
        <v>11961.04</v>
      </c>
      <c r="AG50" s="139" t="n">
        <f aca="false">AF50</f>
        <v>11961.04</v>
      </c>
      <c r="AH50" s="139" t="n">
        <f aca="false">AG50</f>
        <v>11961.04</v>
      </c>
      <c r="AI50" s="139" t="n">
        <f aca="false">AH50</f>
        <v>11961.04</v>
      </c>
      <c r="AJ50" s="139" t="n">
        <f aca="false">AI50</f>
        <v>11961.04</v>
      </c>
      <c r="AK50" s="139" t="n">
        <f aca="false">AJ50</f>
        <v>11961.04</v>
      </c>
      <c r="AL50" s="139" t="n">
        <f aca="false">AK50</f>
        <v>11961.04</v>
      </c>
      <c r="AM50" s="139" t="n">
        <f aca="false">AL50</f>
        <v>11961.04</v>
      </c>
      <c r="AN50" s="139" t="n">
        <f aca="false">AM50</f>
        <v>11961.04</v>
      </c>
      <c r="AO50" s="139" t="n">
        <f aca="false">AN50</f>
        <v>11961.04</v>
      </c>
      <c r="AP50" s="139" t="n">
        <f aca="false">AO50</f>
        <v>11961.04</v>
      </c>
    </row>
    <row r="51" customFormat="false" ht="13.2" hidden="false" customHeight="false" outlineLevel="0" collapsed="false">
      <c r="A51" s="137" t="s">
        <v>915</v>
      </c>
      <c r="B51" s="45" t="str">
        <f aca="false">'O&amp;M Budget'!A61</f>
        <v>Notarial/Court Fees</v>
      </c>
      <c r="C51" s="138" t="n">
        <v>950</v>
      </c>
      <c r="D51" s="139" t="n">
        <f aca="false">C51</f>
        <v>950</v>
      </c>
      <c r="E51" s="139" t="n">
        <f aca="false">D51</f>
        <v>950</v>
      </c>
      <c r="F51" s="139" t="n">
        <f aca="false">E51</f>
        <v>950</v>
      </c>
      <c r="G51" s="139" t="n">
        <f aca="false">F51</f>
        <v>950</v>
      </c>
      <c r="H51" s="139" t="n">
        <f aca="false">G51</f>
        <v>950</v>
      </c>
      <c r="I51" s="139" t="n">
        <f aca="false">H51</f>
        <v>950</v>
      </c>
      <c r="J51" s="139" t="n">
        <f aca="false">I51</f>
        <v>950</v>
      </c>
      <c r="K51" s="139" t="n">
        <f aca="false">J51</f>
        <v>950</v>
      </c>
      <c r="L51" s="139" t="n">
        <f aca="false">K51</f>
        <v>950</v>
      </c>
      <c r="M51" s="139" t="n">
        <f aca="false">L51</f>
        <v>950</v>
      </c>
      <c r="N51" s="139" t="n">
        <f aca="false">M51</f>
        <v>950</v>
      </c>
      <c r="P51" s="45" t="s">
        <v>916</v>
      </c>
      <c r="Q51" s="288" t="n">
        <f aca="false">N51*Factors!$R$16</f>
        <v>988</v>
      </c>
      <c r="R51" s="139" t="n">
        <f aca="false">Q51</f>
        <v>988</v>
      </c>
      <c r="S51" s="139" t="n">
        <f aca="false">R51</f>
        <v>988</v>
      </c>
      <c r="T51" s="139" t="n">
        <f aca="false">S51</f>
        <v>988</v>
      </c>
      <c r="U51" s="139" t="n">
        <f aca="false">T51</f>
        <v>988</v>
      </c>
      <c r="V51" s="139" t="n">
        <f aca="false">U51</f>
        <v>988</v>
      </c>
      <c r="W51" s="139" t="n">
        <f aca="false">V51</f>
        <v>988</v>
      </c>
      <c r="X51" s="139" t="n">
        <f aca="false">W51</f>
        <v>988</v>
      </c>
      <c r="Y51" s="139" t="n">
        <f aca="false">X51</f>
        <v>988</v>
      </c>
      <c r="Z51" s="139" t="n">
        <f aca="false">Y51</f>
        <v>988</v>
      </c>
      <c r="AA51" s="139" t="n">
        <f aca="false">Z51</f>
        <v>988</v>
      </c>
      <c r="AB51" s="139" t="n">
        <f aca="false">AA51</f>
        <v>988</v>
      </c>
      <c r="AD51" s="45" t="s">
        <v>916</v>
      </c>
      <c r="AE51" s="288" t="n">
        <f aca="false">AB51*Factors!$AG$16</f>
        <v>1047.28</v>
      </c>
      <c r="AF51" s="139" t="n">
        <f aca="false">AE51</f>
        <v>1047.28</v>
      </c>
      <c r="AG51" s="139" t="n">
        <f aca="false">AF51</f>
        <v>1047.28</v>
      </c>
      <c r="AH51" s="139" t="n">
        <f aca="false">AG51</f>
        <v>1047.28</v>
      </c>
      <c r="AI51" s="139" t="n">
        <f aca="false">AH51</f>
        <v>1047.28</v>
      </c>
      <c r="AJ51" s="139" t="n">
        <f aca="false">AI51</f>
        <v>1047.28</v>
      </c>
      <c r="AK51" s="139" t="n">
        <f aca="false">AJ51</f>
        <v>1047.28</v>
      </c>
      <c r="AL51" s="139" t="n">
        <f aca="false">AK51</f>
        <v>1047.28</v>
      </c>
      <c r="AM51" s="139" t="n">
        <f aca="false">AL51</f>
        <v>1047.28</v>
      </c>
      <c r="AN51" s="139" t="n">
        <f aca="false">AM51</f>
        <v>1047.28</v>
      </c>
      <c r="AO51" s="139" t="n">
        <f aca="false">AN51</f>
        <v>1047.28</v>
      </c>
      <c r="AP51" s="139" t="n">
        <f aca="false">AO51</f>
        <v>1047.28</v>
      </c>
    </row>
    <row r="52" customFormat="false" ht="13.2" hidden="false" customHeight="false" outlineLevel="0" collapsed="false">
      <c r="A52" s="137" t="s">
        <v>917</v>
      </c>
      <c r="B52" s="45" t="str">
        <f aca="false">'O&amp;M Budget'!A62</f>
        <v>usufruct</v>
      </c>
      <c r="C52" s="138" t="n">
        <v>1602</v>
      </c>
      <c r="D52" s="139" t="n">
        <f aca="false">C52</f>
        <v>1602</v>
      </c>
      <c r="E52" s="139" t="n">
        <f aca="false">D52</f>
        <v>1602</v>
      </c>
      <c r="F52" s="139" t="n">
        <f aca="false">E52</f>
        <v>1602</v>
      </c>
      <c r="G52" s="139" t="n">
        <f aca="false">F52</f>
        <v>1602</v>
      </c>
      <c r="H52" s="139" t="n">
        <f aca="false">G52</f>
        <v>1602</v>
      </c>
      <c r="I52" s="139" t="n">
        <f aca="false">H52</f>
        <v>1602</v>
      </c>
      <c r="J52" s="139" t="n">
        <f aca="false">I52</f>
        <v>1602</v>
      </c>
      <c r="K52" s="139" t="n">
        <f aca="false">J52</f>
        <v>1602</v>
      </c>
      <c r="L52" s="139" t="n">
        <f aca="false">K52</f>
        <v>1602</v>
      </c>
      <c r="M52" s="139" t="n">
        <f aca="false">L52</f>
        <v>1602</v>
      </c>
      <c r="N52" s="139" t="n">
        <f aca="false">M52</f>
        <v>1602</v>
      </c>
      <c r="P52" s="45" t="s">
        <v>918</v>
      </c>
      <c r="Q52" s="288" t="n">
        <f aca="false">N52*Factors!$R$16</f>
        <v>1666.08</v>
      </c>
      <c r="R52" s="139" t="n">
        <f aca="false">Q52</f>
        <v>1666.08</v>
      </c>
      <c r="S52" s="139" t="n">
        <f aca="false">R52</f>
        <v>1666.08</v>
      </c>
      <c r="T52" s="139" t="n">
        <f aca="false">S52</f>
        <v>1666.08</v>
      </c>
      <c r="U52" s="139" t="n">
        <f aca="false">T52</f>
        <v>1666.08</v>
      </c>
      <c r="V52" s="139" t="n">
        <f aca="false">U52</f>
        <v>1666.08</v>
      </c>
      <c r="W52" s="139" t="n">
        <f aca="false">V52</f>
        <v>1666.08</v>
      </c>
      <c r="X52" s="139" t="n">
        <f aca="false">W52</f>
        <v>1666.08</v>
      </c>
      <c r="Y52" s="139" t="n">
        <f aca="false">X52</f>
        <v>1666.08</v>
      </c>
      <c r="Z52" s="139" t="n">
        <f aca="false">Y52</f>
        <v>1666.08</v>
      </c>
      <c r="AA52" s="139" t="n">
        <f aca="false">Z52</f>
        <v>1666.08</v>
      </c>
      <c r="AB52" s="139" t="n">
        <f aca="false">AA52</f>
        <v>1666.08</v>
      </c>
      <c r="AD52" s="45" t="s">
        <v>918</v>
      </c>
      <c r="AE52" s="288" t="n">
        <f aca="false">AB52*Factors!$AG$16</f>
        <v>1766.0448</v>
      </c>
      <c r="AF52" s="139" t="n">
        <f aca="false">AE52</f>
        <v>1766.0448</v>
      </c>
      <c r="AG52" s="139" t="n">
        <f aca="false">AF52</f>
        <v>1766.0448</v>
      </c>
      <c r="AH52" s="139" t="n">
        <f aca="false">AG52</f>
        <v>1766.0448</v>
      </c>
      <c r="AI52" s="139" t="n">
        <f aca="false">AH52</f>
        <v>1766.0448</v>
      </c>
      <c r="AJ52" s="139" t="n">
        <f aca="false">AI52</f>
        <v>1766.0448</v>
      </c>
      <c r="AK52" s="139" t="n">
        <f aca="false">AJ52</f>
        <v>1766.0448</v>
      </c>
      <c r="AL52" s="139" t="n">
        <f aca="false">AK52</f>
        <v>1766.0448</v>
      </c>
      <c r="AM52" s="139" t="n">
        <f aca="false">AL52</f>
        <v>1766.0448</v>
      </c>
      <c r="AN52" s="139" t="n">
        <f aca="false">AM52</f>
        <v>1766.0448</v>
      </c>
      <c r="AO52" s="139" t="n">
        <f aca="false">AN52</f>
        <v>1766.0448</v>
      </c>
      <c r="AP52" s="139" t="n">
        <f aca="false">AO52</f>
        <v>1766.0448</v>
      </c>
    </row>
    <row r="53" customFormat="false" ht="13.2" hidden="false" customHeight="false" outlineLevel="0" collapsed="false">
      <c r="A53" s="137" t="s">
        <v>919</v>
      </c>
      <c r="B53" s="45" t="str">
        <f aca="false">'O&amp;M Budget'!A63</f>
        <v>Customs Expenses</v>
      </c>
      <c r="C53" s="138" t="n">
        <v>1100</v>
      </c>
      <c r="D53" s="139" t="n">
        <f aca="false">C53</f>
        <v>1100</v>
      </c>
      <c r="E53" s="139" t="n">
        <f aca="false">D53</f>
        <v>1100</v>
      </c>
      <c r="F53" s="139" t="n">
        <f aca="false">E53</f>
        <v>1100</v>
      </c>
      <c r="G53" s="139" t="n">
        <f aca="false">F53</f>
        <v>1100</v>
      </c>
      <c r="H53" s="139" t="n">
        <f aca="false">G53</f>
        <v>1100</v>
      </c>
      <c r="I53" s="139" t="n">
        <f aca="false">H53</f>
        <v>1100</v>
      </c>
      <c r="J53" s="139" t="n">
        <f aca="false">I53</f>
        <v>1100</v>
      </c>
      <c r="K53" s="139" t="n">
        <f aca="false">J53</f>
        <v>1100</v>
      </c>
      <c r="L53" s="139" t="n">
        <f aca="false">K53</f>
        <v>1100</v>
      </c>
      <c r="M53" s="139" t="n">
        <f aca="false">L53</f>
        <v>1100</v>
      </c>
      <c r="N53" s="139" t="n">
        <f aca="false">M53</f>
        <v>1100</v>
      </c>
      <c r="P53" s="45" t="s">
        <v>920</v>
      </c>
      <c r="Q53" s="288" t="n">
        <f aca="false">N53*Factors!$R$16</f>
        <v>1144</v>
      </c>
      <c r="R53" s="139" t="n">
        <f aca="false">Q53</f>
        <v>1144</v>
      </c>
      <c r="S53" s="139" t="n">
        <f aca="false">R53</f>
        <v>1144</v>
      </c>
      <c r="T53" s="139" t="n">
        <f aca="false">S53</f>
        <v>1144</v>
      </c>
      <c r="U53" s="139" t="n">
        <f aca="false">T53</f>
        <v>1144</v>
      </c>
      <c r="V53" s="139" t="n">
        <f aca="false">U53</f>
        <v>1144</v>
      </c>
      <c r="W53" s="139" t="n">
        <f aca="false">V53</f>
        <v>1144</v>
      </c>
      <c r="X53" s="139" t="n">
        <f aca="false">W53</f>
        <v>1144</v>
      </c>
      <c r="Y53" s="139" t="n">
        <f aca="false">X53</f>
        <v>1144</v>
      </c>
      <c r="Z53" s="139" t="n">
        <f aca="false">Y53</f>
        <v>1144</v>
      </c>
      <c r="AA53" s="139" t="n">
        <f aca="false">Z53</f>
        <v>1144</v>
      </c>
      <c r="AB53" s="139" t="n">
        <f aca="false">AA53</f>
        <v>1144</v>
      </c>
      <c r="AD53" s="45" t="s">
        <v>920</v>
      </c>
      <c r="AE53" s="288" t="n">
        <f aca="false">AB53*Factors!$AG$16</f>
        <v>1212.64</v>
      </c>
      <c r="AF53" s="139" t="n">
        <f aca="false">AE53</f>
        <v>1212.64</v>
      </c>
      <c r="AG53" s="139" t="n">
        <f aca="false">AF53</f>
        <v>1212.64</v>
      </c>
      <c r="AH53" s="139" t="n">
        <f aca="false">AG53</f>
        <v>1212.64</v>
      </c>
      <c r="AI53" s="139" t="n">
        <f aca="false">AH53</f>
        <v>1212.64</v>
      </c>
      <c r="AJ53" s="139" t="n">
        <f aca="false">AI53</f>
        <v>1212.64</v>
      </c>
      <c r="AK53" s="139" t="n">
        <f aca="false">AJ53</f>
        <v>1212.64</v>
      </c>
      <c r="AL53" s="139" t="n">
        <f aca="false">AK53</f>
        <v>1212.64</v>
      </c>
      <c r="AM53" s="139" t="n">
        <f aca="false">AL53</f>
        <v>1212.64</v>
      </c>
      <c r="AN53" s="139" t="n">
        <f aca="false">AM53</f>
        <v>1212.64</v>
      </c>
      <c r="AO53" s="139" t="n">
        <f aca="false">AN53</f>
        <v>1212.64</v>
      </c>
      <c r="AP53" s="139" t="n">
        <f aca="false">AO53</f>
        <v>1212.64</v>
      </c>
    </row>
    <row r="54" customFormat="false" ht="13.2" hidden="false" customHeight="false" outlineLevel="0" collapsed="false">
      <c r="A54" s="137" t="s">
        <v>921</v>
      </c>
      <c r="B54" s="45" t="str">
        <f aca="false">'O&amp;M Budget'!A64</f>
        <v>Customs Agency Charges</v>
      </c>
      <c r="C54" s="138" t="n">
        <v>20</v>
      </c>
      <c r="D54" s="139" t="n">
        <f aca="false">C54</f>
        <v>20</v>
      </c>
      <c r="E54" s="139" t="n">
        <f aca="false">D54</f>
        <v>20</v>
      </c>
      <c r="F54" s="139" t="n">
        <f aca="false">E54</f>
        <v>20</v>
      </c>
      <c r="G54" s="139" t="n">
        <f aca="false">F54</f>
        <v>20</v>
      </c>
      <c r="H54" s="139" t="n">
        <f aca="false">G54</f>
        <v>20</v>
      </c>
      <c r="I54" s="139" t="n">
        <f aca="false">H54</f>
        <v>20</v>
      </c>
      <c r="J54" s="139" t="n">
        <f aca="false">I54</f>
        <v>20</v>
      </c>
      <c r="K54" s="139" t="n">
        <f aca="false">J54</f>
        <v>20</v>
      </c>
      <c r="L54" s="139" t="n">
        <f aca="false">K54</f>
        <v>20</v>
      </c>
      <c r="M54" s="139" t="n">
        <f aca="false">L54</f>
        <v>20</v>
      </c>
      <c r="N54" s="139" t="n">
        <f aca="false">M54</f>
        <v>20</v>
      </c>
      <c r="P54" s="45" t="s">
        <v>922</v>
      </c>
      <c r="Q54" s="288" t="n">
        <f aca="false">N54*Factors!$R$16</f>
        <v>20.8</v>
      </c>
      <c r="R54" s="139" t="n">
        <f aca="false">Q54</f>
        <v>20.8</v>
      </c>
      <c r="S54" s="139" t="n">
        <f aca="false">R54</f>
        <v>20.8</v>
      </c>
      <c r="T54" s="139" t="n">
        <f aca="false">S54</f>
        <v>20.8</v>
      </c>
      <c r="U54" s="139" t="n">
        <f aca="false">T54</f>
        <v>20.8</v>
      </c>
      <c r="V54" s="139" t="n">
        <f aca="false">U54</f>
        <v>20.8</v>
      </c>
      <c r="W54" s="139" t="n">
        <f aca="false">V54</f>
        <v>20.8</v>
      </c>
      <c r="X54" s="139" t="n">
        <f aca="false">W54</f>
        <v>20.8</v>
      </c>
      <c r="Y54" s="139" t="n">
        <f aca="false">X54</f>
        <v>20.8</v>
      </c>
      <c r="Z54" s="139" t="n">
        <f aca="false">Y54</f>
        <v>20.8</v>
      </c>
      <c r="AA54" s="139" t="n">
        <f aca="false">Z54</f>
        <v>20.8</v>
      </c>
      <c r="AB54" s="139" t="n">
        <f aca="false">AA54</f>
        <v>20.8</v>
      </c>
      <c r="AD54" s="45" t="s">
        <v>922</v>
      </c>
      <c r="AE54" s="288" t="n">
        <f aca="false">AB54*Factors!$AG$16</f>
        <v>22.048</v>
      </c>
      <c r="AF54" s="139" t="n">
        <f aca="false">AE54</f>
        <v>22.048</v>
      </c>
      <c r="AG54" s="139" t="n">
        <f aca="false">AF54</f>
        <v>22.048</v>
      </c>
      <c r="AH54" s="139" t="n">
        <f aca="false">AG54</f>
        <v>22.048</v>
      </c>
      <c r="AI54" s="139" t="n">
        <f aca="false">AH54</f>
        <v>22.048</v>
      </c>
      <c r="AJ54" s="139" t="n">
        <f aca="false">AI54</f>
        <v>22.048</v>
      </c>
      <c r="AK54" s="139" t="n">
        <f aca="false">AJ54</f>
        <v>22.048</v>
      </c>
      <c r="AL54" s="139" t="n">
        <f aca="false">AK54</f>
        <v>22.048</v>
      </c>
      <c r="AM54" s="139" t="n">
        <f aca="false">AL54</f>
        <v>22.048</v>
      </c>
      <c r="AN54" s="139" t="n">
        <f aca="false">AM54</f>
        <v>22.048</v>
      </c>
      <c r="AO54" s="139" t="n">
        <f aca="false">AN54</f>
        <v>22.048</v>
      </c>
      <c r="AP54" s="139" t="n">
        <f aca="false">AO54</f>
        <v>22.048</v>
      </c>
    </row>
    <row r="55" customFormat="false" ht="13.2" hidden="false" customHeight="false" outlineLevel="0" collapsed="false">
      <c r="A55" s="137" t="s">
        <v>923</v>
      </c>
      <c r="B55" s="45" t="str">
        <f aca="false">'O&amp;M Budget'!A65</f>
        <v>Unrecoverable Vat</v>
      </c>
      <c r="C55" s="138" t="n">
        <v>100</v>
      </c>
      <c r="D55" s="139" t="n">
        <f aca="false">C55</f>
        <v>100</v>
      </c>
      <c r="E55" s="139" t="n">
        <f aca="false">D55</f>
        <v>100</v>
      </c>
      <c r="F55" s="139" t="n">
        <f aca="false">E55</f>
        <v>100</v>
      </c>
      <c r="G55" s="139" t="n">
        <f aca="false">F55</f>
        <v>100</v>
      </c>
      <c r="H55" s="139" t="n">
        <f aca="false">G55</f>
        <v>100</v>
      </c>
      <c r="I55" s="139" t="n">
        <f aca="false">H55</f>
        <v>100</v>
      </c>
      <c r="J55" s="139" t="n">
        <f aca="false">I55</f>
        <v>100</v>
      </c>
      <c r="K55" s="139" t="n">
        <f aca="false">J55</f>
        <v>100</v>
      </c>
      <c r="L55" s="139" t="n">
        <f aca="false">K55</f>
        <v>100</v>
      </c>
      <c r="M55" s="139" t="n">
        <f aca="false">L55</f>
        <v>100</v>
      </c>
      <c r="N55" s="139" t="n">
        <f aca="false">M55</f>
        <v>100</v>
      </c>
      <c r="P55" s="45" t="s">
        <v>924</v>
      </c>
      <c r="Q55" s="288" t="n">
        <f aca="false">N55*Factors!$R$16</f>
        <v>104</v>
      </c>
      <c r="R55" s="139" t="n">
        <f aca="false">Q55</f>
        <v>104</v>
      </c>
      <c r="S55" s="139" t="n">
        <f aca="false">R55</f>
        <v>104</v>
      </c>
      <c r="T55" s="139" t="n">
        <f aca="false">S55</f>
        <v>104</v>
      </c>
      <c r="U55" s="139" t="n">
        <f aca="false">T55</f>
        <v>104</v>
      </c>
      <c r="V55" s="139" t="n">
        <f aca="false">U55</f>
        <v>104</v>
      </c>
      <c r="W55" s="139" t="n">
        <f aca="false">V55</f>
        <v>104</v>
      </c>
      <c r="X55" s="139" t="n">
        <f aca="false">W55</f>
        <v>104</v>
      </c>
      <c r="Y55" s="139" t="n">
        <f aca="false">X55</f>
        <v>104</v>
      </c>
      <c r="Z55" s="139" t="n">
        <f aca="false">Y55</f>
        <v>104</v>
      </c>
      <c r="AA55" s="139" t="n">
        <f aca="false">Z55</f>
        <v>104</v>
      </c>
      <c r="AB55" s="139" t="n">
        <f aca="false">AA55</f>
        <v>104</v>
      </c>
      <c r="AD55" s="45" t="s">
        <v>924</v>
      </c>
      <c r="AE55" s="288" t="n">
        <f aca="false">AB55*Factors!$AG$16</f>
        <v>110.24</v>
      </c>
      <c r="AF55" s="139" t="n">
        <f aca="false">AE55</f>
        <v>110.24</v>
      </c>
      <c r="AG55" s="139" t="n">
        <f aca="false">AF55</f>
        <v>110.24</v>
      </c>
      <c r="AH55" s="139" t="n">
        <f aca="false">AG55</f>
        <v>110.24</v>
      </c>
      <c r="AI55" s="139" t="n">
        <f aca="false">AH55</f>
        <v>110.24</v>
      </c>
      <c r="AJ55" s="139" t="n">
        <f aca="false">AI55</f>
        <v>110.24</v>
      </c>
      <c r="AK55" s="139" t="n">
        <f aca="false">AJ55</f>
        <v>110.24</v>
      </c>
      <c r="AL55" s="139" t="n">
        <f aca="false">AK55</f>
        <v>110.24</v>
      </c>
      <c r="AM55" s="139" t="n">
        <f aca="false">AL55</f>
        <v>110.24</v>
      </c>
      <c r="AN55" s="139" t="n">
        <f aca="false">AM55</f>
        <v>110.24</v>
      </c>
      <c r="AO55" s="139" t="n">
        <f aca="false">AN55</f>
        <v>110.24</v>
      </c>
      <c r="AP55" s="139" t="n">
        <f aca="false">AO55</f>
        <v>110.24</v>
      </c>
    </row>
    <row r="56" customFormat="false" ht="13.2" hidden="false" customHeight="false" outlineLevel="0" collapsed="false">
      <c r="A56" s="137" t="s">
        <v>925</v>
      </c>
      <c r="B56" s="45" t="str">
        <f aca="false">'O&amp;M Budget'!A66</f>
        <v>VAT on Imported Services</v>
      </c>
      <c r="C56" s="138" t="n">
        <v>750</v>
      </c>
      <c r="D56" s="139" t="n">
        <f aca="false">C56</f>
        <v>750</v>
      </c>
      <c r="E56" s="139" t="n">
        <f aca="false">D56</f>
        <v>750</v>
      </c>
      <c r="F56" s="139" t="n">
        <f aca="false">E56</f>
        <v>750</v>
      </c>
      <c r="G56" s="139" t="n">
        <f aca="false">F56</f>
        <v>750</v>
      </c>
      <c r="H56" s="139" t="n">
        <f aca="false">G56</f>
        <v>750</v>
      </c>
      <c r="I56" s="139" t="n">
        <f aca="false">H56</f>
        <v>750</v>
      </c>
      <c r="J56" s="139" t="n">
        <f aca="false">I56</f>
        <v>750</v>
      </c>
      <c r="K56" s="139" t="n">
        <f aca="false">J56</f>
        <v>750</v>
      </c>
      <c r="L56" s="139" t="n">
        <f aca="false">K56</f>
        <v>750</v>
      </c>
      <c r="M56" s="139" t="n">
        <f aca="false">L56</f>
        <v>750</v>
      </c>
      <c r="N56" s="139" t="n">
        <f aca="false">M56</f>
        <v>750</v>
      </c>
      <c r="P56" s="45" t="s">
        <v>926</v>
      </c>
      <c r="Q56" s="288" t="n">
        <f aca="false">N56*Factors!$R$16</f>
        <v>780</v>
      </c>
      <c r="R56" s="139" t="n">
        <f aca="false">Q56</f>
        <v>780</v>
      </c>
      <c r="S56" s="139" t="n">
        <f aca="false">R56</f>
        <v>780</v>
      </c>
      <c r="T56" s="139" t="n">
        <f aca="false">S56</f>
        <v>780</v>
      </c>
      <c r="U56" s="139" t="n">
        <f aca="false">T56</f>
        <v>780</v>
      </c>
      <c r="V56" s="139" t="n">
        <f aca="false">U56</f>
        <v>780</v>
      </c>
      <c r="W56" s="139" t="n">
        <f aca="false">V56</f>
        <v>780</v>
      </c>
      <c r="X56" s="139" t="n">
        <f aca="false">W56</f>
        <v>780</v>
      </c>
      <c r="Y56" s="139" t="n">
        <f aca="false">X56</f>
        <v>780</v>
      </c>
      <c r="Z56" s="139" t="n">
        <f aca="false">Y56</f>
        <v>780</v>
      </c>
      <c r="AA56" s="139" t="n">
        <f aca="false">Z56</f>
        <v>780</v>
      </c>
      <c r="AB56" s="139" t="n">
        <f aca="false">AA56</f>
        <v>780</v>
      </c>
      <c r="AD56" s="45" t="s">
        <v>926</v>
      </c>
      <c r="AE56" s="288" t="n">
        <f aca="false">AB56*Factors!$AG$16</f>
        <v>826.8</v>
      </c>
      <c r="AF56" s="139" t="n">
        <f aca="false">AE56</f>
        <v>826.8</v>
      </c>
      <c r="AG56" s="139" t="n">
        <f aca="false">AF56</f>
        <v>826.8</v>
      </c>
      <c r="AH56" s="139" t="n">
        <f aca="false">AG56</f>
        <v>826.8</v>
      </c>
      <c r="AI56" s="139" t="n">
        <f aca="false">AH56</f>
        <v>826.8</v>
      </c>
      <c r="AJ56" s="139" t="n">
        <f aca="false">AI56</f>
        <v>826.8</v>
      </c>
      <c r="AK56" s="139" t="n">
        <f aca="false">AJ56</f>
        <v>826.8</v>
      </c>
      <c r="AL56" s="139" t="n">
        <f aca="false">AK56</f>
        <v>826.8</v>
      </c>
      <c r="AM56" s="139" t="n">
        <f aca="false">AL56</f>
        <v>826.8</v>
      </c>
      <c r="AN56" s="139" t="n">
        <f aca="false">AM56</f>
        <v>826.8</v>
      </c>
      <c r="AO56" s="139" t="n">
        <f aca="false">AN56</f>
        <v>826.8</v>
      </c>
      <c r="AP56" s="139" t="n">
        <f aca="false">AO56</f>
        <v>826.8</v>
      </c>
    </row>
    <row r="57" customFormat="false" ht="13.2" hidden="false" customHeight="false" outlineLevel="0" collapsed="false">
      <c r="A57" s="137" t="s">
        <v>927</v>
      </c>
      <c r="B57" s="45" t="str">
        <f aca="false">'O&amp;M Budget'!A67</f>
        <v>VAT on representation</v>
      </c>
      <c r="C57" s="138" t="n">
        <v>900</v>
      </c>
      <c r="D57" s="139" t="n">
        <f aca="false">C57</f>
        <v>900</v>
      </c>
      <c r="E57" s="139" t="n">
        <f aca="false">D57</f>
        <v>900</v>
      </c>
      <c r="F57" s="139" t="n">
        <f aca="false">E57</f>
        <v>900</v>
      </c>
      <c r="G57" s="139" t="n">
        <f aca="false">F57</f>
        <v>900</v>
      </c>
      <c r="H57" s="139" t="n">
        <f aca="false">G57</f>
        <v>900</v>
      </c>
      <c r="I57" s="139" t="n">
        <f aca="false">H57</f>
        <v>900</v>
      </c>
      <c r="J57" s="139" t="n">
        <f aca="false">I57</f>
        <v>900</v>
      </c>
      <c r="K57" s="139" t="n">
        <f aca="false">J57</f>
        <v>900</v>
      </c>
      <c r="L57" s="139" t="n">
        <f aca="false">K57</f>
        <v>900</v>
      </c>
      <c r="M57" s="139" t="n">
        <f aca="false">L57</f>
        <v>900</v>
      </c>
      <c r="N57" s="139" t="n">
        <f aca="false">M57</f>
        <v>900</v>
      </c>
      <c r="P57" s="45" t="s">
        <v>928</v>
      </c>
      <c r="Q57" s="288" t="n">
        <f aca="false">N57*Factors!$R$16</f>
        <v>936</v>
      </c>
      <c r="R57" s="139" t="n">
        <f aca="false">Q57</f>
        <v>936</v>
      </c>
      <c r="S57" s="139" t="n">
        <f aca="false">R57</f>
        <v>936</v>
      </c>
      <c r="T57" s="139" t="n">
        <f aca="false">S57</f>
        <v>936</v>
      </c>
      <c r="U57" s="139" t="n">
        <f aca="false">T57</f>
        <v>936</v>
      </c>
      <c r="V57" s="139" t="n">
        <f aca="false">U57</f>
        <v>936</v>
      </c>
      <c r="W57" s="139" t="n">
        <f aca="false">V57</f>
        <v>936</v>
      </c>
      <c r="X57" s="139" t="n">
        <f aca="false">W57</f>
        <v>936</v>
      </c>
      <c r="Y57" s="139" t="n">
        <f aca="false">X57</f>
        <v>936</v>
      </c>
      <c r="Z57" s="139" t="n">
        <f aca="false">Y57</f>
        <v>936</v>
      </c>
      <c r="AA57" s="139" t="n">
        <f aca="false">Z57</f>
        <v>936</v>
      </c>
      <c r="AB57" s="139" t="n">
        <f aca="false">AA57</f>
        <v>936</v>
      </c>
      <c r="AD57" s="45" t="s">
        <v>928</v>
      </c>
      <c r="AE57" s="288" t="n">
        <f aca="false">AB57*Factors!$AG$16</f>
        <v>992.16</v>
      </c>
      <c r="AF57" s="139" t="n">
        <f aca="false">AE57</f>
        <v>992.16</v>
      </c>
      <c r="AG57" s="139" t="n">
        <f aca="false">AF57</f>
        <v>992.16</v>
      </c>
      <c r="AH57" s="139" t="n">
        <f aca="false">AG57</f>
        <v>992.16</v>
      </c>
      <c r="AI57" s="139" t="n">
        <f aca="false">AH57</f>
        <v>992.16</v>
      </c>
      <c r="AJ57" s="139" t="n">
        <f aca="false">AI57</f>
        <v>992.16</v>
      </c>
      <c r="AK57" s="139" t="n">
        <f aca="false">AJ57</f>
        <v>992.16</v>
      </c>
      <c r="AL57" s="139" t="n">
        <f aca="false">AK57</f>
        <v>992.16</v>
      </c>
      <c r="AM57" s="139" t="n">
        <f aca="false">AL57</f>
        <v>992.16</v>
      </c>
      <c r="AN57" s="139" t="n">
        <f aca="false">AM57</f>
        <v>992.16</v>
      </c>
      <c r="AO57" s="139" t="n">
        <f aca="false">AN57</f>
        <v>992.16</v>
      </c>
      <c r="AP57" s="139" t="n">
        <f aca="false">AO57</f>
        <v>992.16</v>
      </c>
    </row>
    <row r="58" customFormat="false" ht="13.2" hidden="true" customHeight="false" outlineLevel="0" collapsed="false">
      <c r="A58" s="137" t="s">
        <v>929</v>
      </c>
      <c r="B58" s="45" t="s">
        <v>930</v>
      </c>
      <c r="C58" s="138" t="n">
        <v>0</v>
      </c>
      <c r="D58" s="139" t="n">
        <f aca="false">C58</f>
        <v>0</v>
      </c>
      <c r="E58" s="139" t="n">
        <f aca="false">D58</f>
        <v>0</v>
      </c>
      <c r="F58" s="139" t="n">
        <f aca="false">E58</f>
        <v>0</v>
      </c>
      <c r="G58" s="139" t="n">
        <f aca="false">F58</f>
        <v>0</v>
      </c>
      <c r="H58" s="139" t="n">
        <f aca="false">G58</f>
        <v>0</v>
      </c>
      <c r="I58" s="139" t="n">
        <f aca="false">H58</f>
        <v>0</v>
      </c>
      <c r="J58" s="139" t="n">
        <f aca="false">I58</f>
        <v>0</v>
      </c>
      <c r="K58" s="139" t="n">
        <f aca="false">J58</f>
        <v>0</v>
      </c>
      <c r="L58" s="139" t="n">
        <f aca="false">K58</f>
        <v>0</v>
      </c>
      <c r="M58" s="139" t="n">
        <f aca="false">L58</f>
        <v>0</v>
      </c>
      <c r="N58" s="139" t="n">
        <f aca="false">M58</f>
        <v>0</v>
      </c>
      <c r="P58" s="45" t="s">
        <v>930</v>
      </c>
      <c r="Q58" s="288" t="n">
        <f aca="false">N58*Factors!$R$16</f>
        <v>0</v>
      </c>
      <c r="R58" s="139" t="n">
        <f aca="false">Q58</f>
        <v>0</v>
      </c>
      <c r="S58" s="139" t="n">
        <f aca="false">R58</f>
        <v>0</v>
      </c>
      <c r="T58" s="139" t="n">
        <f aca="false">S58</f>
        <v>0</v>
      </c>
      <c r="U58" s="139" t="n">
        <f aca="false">T58</f>
        <v>0</v>
      </c>
      <c r="V58" s="139" t="n">
        <f aca="false">U58</f>
        <v>0</v>
      </c>
      <c r="W58" s="139" t="n">
        <f aca="false">V58</f>
        <v>0</v>
      </c>
      <c r="X58" s="139" t="n">
        <f aca="false">W58</f>
        <v>0</v>
      </c>
      <c r="Y58" s="139" t="n">
        <f aca="false">X58</f>
        <v>0</v>
      </c>
      <c r="Z58" s="139" t="n">
        <f aca="false">Y58</f>
        <v>0</v>
      </c>
      <c r="AA58" s="139" t="n">
        <f aca="false">Z58</f>
        <v>0</v>
      </c>
      <c r="AB58" s="139" t="n">
        <f aca="false">AA58</f>
        <v>0</v>
      </c>
      <c r="AD58" s="45" t="s">
        <v>930</v>
      </c>
      <c r="AE58" s="288" t="n">
        <f aca="false">AB58*Factors!$AG$16</f>
        <v>0</v>
      </c>
      <c r="AF58" s="139" t="n">
        <f aca="false">AE58</f>
        <v>0</v>
      </c>
      <c r="AG58" s="139" t="n">
        <f aca="false">AF58</f>
        <v>0</v>
      </c>
      <c r="AH58" s="139" t="n">
        <f aca="false">AG58</f>
        <v>0</v>
      </c>
      <c r="AI58" s="139" t="n">
        <f aca="false">AH58</f>
        <v>0</v>
      </c>
      <c r="AJ58" s="139" t="n">
        <f aca="false">AI58</f>
        <v>0</v>
      </c>
      <c r="AK58" s="139" t="n">
        <f aca="false">AJ58</f>
        <v>0</v>
      </c>
      <c r="AL58" s="139" t="n">
        <f aca="false">AK58</f>
        <v>0</v>
      </c>
      <c r="AM58" s="139" t="n">
        <f aca="false">AL58</f>
        <v>0</v>
      </c>
      <c r="AN58" s="139" t="n">
        <f aca="false">AM58</f>
        <v>0</v>
      </c>
      <c r="AO58" s="139" t="n">
        <f aca="false">AN58</f>
        <v>0</v>
      </c>
      <c r="AP58" s="139" t="n">
        <f aca="false">AO58</f>
        <v>0</v>
      </c>
    </row>
    <row r="59" customFormat="false" ht="13.2" hidden="false" customHeight="false" outlineLevel="0" collapsed="false">
      <c r="A59" s="137" t="s">
        <v>931</v>
      </c>
      <c r="B59" s="45" t="str">
        <f aca="false">'O&amp;M Budget'!A68</f>
        <v>Other Taxes &amp; Fees</v>
      </c>
      <c r="C59" s="138" t="n">
        <v>1250</v>
      </c>
      <c r="D59" s="139" t="n">
        <f aca="false">C59</f>
        <v>1250</v>
      </c>
      <c r="E59" s="139" t="n">
        <f aca="false">D59</f>
        <v>1250</v>
      </c>
      <c r="F59" s="139" t="n">
        <f aca="false">E59</f>
        <v>1250</v>
      </c>
      <c r="G59" s="139" t="n">
        <f aca="false">F59</f>
        <v>1250</v>
      </c>
      <c r="H59" s="139" t="n">
        <f aca="false">G59</f>
        <v>1250</v>
      </c>
      <c r="I59" s="139" t="n">
        <f aca="false">H59</f>
        <v>1250</v>
      </c>
      <c r="J59" s="139" t="n">
        <f aca="false">I59</f>
        <v>1250</v>
      </c>
      <c r="K59" s="139" t="n">
        <f aca="false">J59</f>
        <v>1250</v>
      </c>
      <c r="L59" s="139" t="n">
        <f aca="false">K59</f>
        <v>1250</v>
      </c>
      <c r="M59" s="139" t="n">
        <f aca="false">L59</f>
        <v>1250</v>
      </c>
      <c r="N59" s="139" t="n">
        <f aca="false">M59</f>
        <v>1250</v>
      </c>
      <c r="P59" s="45" t="s">
        <v>932</v>
      </c>
      <c r="Q59" s="288" t="n">
        <f aca="false">N59*Factors!$R$16</f>
        <v>1300</v>
      </c>
      <c r="R59" s="139" t="n">
        <f aca="false">Q59</f>
        <v>1300</v>
      </c>
      <c r="S59" s="139" t="n">
        <f aca="false">R59</f>
        <v>1300</v>
      </c>
      <c r="T59" s="139" t="n">
        <f aca="false">S59</f>
        <v>1300</v>
      </c>
      <c r="U59" s="139" t="n">
        <f aca="false">T59</f>
        <v>1300</v>
      </c>
      <c r="V59" s="139" t="n">
        <f aca="false">U59</f>
        <v>1300</v>
      </c>
      <c r="W59" s="139" t="n">
        <f aca="false">V59</f>
        <v>1300</v>
      </c>
      <c r="X59" s="139" t="n">
        <f aca="false">W59</f>
        <v>1300</v>
      </c>
      <c r="Y59" s="139" t="n">
        <f aca="false">X59</f>
        <v>1300</v>
      </c>
      <c r="Z59" s="139" t="n">
        <f aca="false">Y59</f>
        <v>1300</v>
      </c>
      <c r="AA59" s="139" t="n">
        <f aca="false">Z59</f>
        <v>1300</v>
      </c>
      <c r="AB59" s="139" t="n">
        <f aca="false">AA59</f>
        <v>1300</v>
      </c>
      <c r="AD59" s="45" t="s">
        <v>932</v>
      </c>
      <c r="AE59" s="288" t="n">
        <f aca="false">AB59*Factors!$AG$16</f>
        <v>1378</v>
      </c>
      <c r="AF59" s="139" t="n">
        <f aca="false">AE59</f>
        <v>1378</v>
      </c>
      <c r="AG59" s="139" t="n">
        <f aca="false">AF59</f>
        <v>1378</v>
      </c>
      <c r="AH59" s="139" t="n">
        <f aca="false">AG59</f>
        <v>1378</v>
      </c>
      <c r="AI59" s="139" t="n">
        <f aca="false">AH59</f>
        <v>1378</v>
      </c>
      <c r="AJ59" s="139" t="n">
        <f aca="false">AI59</f>
        <v>1378</v>
      </c>
      <c r="AK59" s="139" t="n">
        <f aca="false">AJ59</f>
        <v>1378</v>
      </c>
      <c r="AL59" s="139" t="n">
        <f aca="false">AK59</f>
        <v>1378</v>
      </c>
      <c r="AM59" s="139" t="n">
        <f aca="false">AL59</f>
        <v>1378</v>
      </c>
      <c r="AN59" s="139" t="n">
        <f aca="false">AM59</f>
        <v>1378</v>
      </c>
      <c r="AO59" s="139" t="n">
        <f aca="false">AN59</f>
        <v>1378</v>
      </c>
      <c r="AP59" s="139" t="n">
        <f aca="false">AO59</f>
        <v>1378</v>
      </c>
    </row>
    <row r="60" customFormat="false" ht="13.8" hidden="false" customHeight="false" outlineLevel="0" collapsed="false">
      <c r="A60" s="141"/>
      <c r="B60" s="285" t="s">
        <v>66</v>
      </c>
      <c r="C60" s="143" t="n">
        <f aca="false">SUM(C46:C59)</f>
        <v>114181</v>
      </c>
      <c r="D60" s="143" t="n">
        <f aca="false">SUM(D46:D59)</f>
        <v>114181</v>
      </c>
      <c r="E60" s="143" t="n">
        <f aca="false">SUM(E46:E59)</f>
        <v>114181</v>
      </c>
      <c r="F60" s="143" t="n">
        <f aca="false">SUM(F46:F59)</f>
        <v>114181</v>
      </c>
      <c r="G60" s="143" t="n">
        <f aca="false">SUM(G46:G59)</f>
        <v>114181</v>
      </c>
      <c r="H60" s="143" t="n">
        <f aca="false">SUM(H46:H59)</f>
        <v>114181</v>
      </c>
      <c r="I60" s="143" t="n">
        <f aca="false">SUM(I46:I59)</f>
        <v>114181</v>
      </c>
      <c r="J60" s="143" t="n">
        <f aca="false">SUM(J46:J59)</f>
        <v>114181</v>
      </c>
      <c r="K60" s="143" t="n">
        <f aca="false">SUM(K46:K59)</f>
        <v>114181</v>
      </c>
      <c r="L60" s="143" t="n">
        <f aca="false">SUM(L46:L59)</f>
        <v>114181</v>
      </c>
      <c r="M60" s="143" t="n">
        <f aca="false">SUM(M46:M59)</f>
        <v>114181</v>
      </c>
      <c r="N60" s="143" t="n">
        <f aca="false">SUM(N46:N59)</f>
        <v>114181</v>
      </c>
      <c r="O60" s="289"/>
      <c r="P60" s="144"/>
      <c r="Q60" s="143" t="n">
        <f aca="false">SUM(Q46:Q59)</f>
        <v>118748.24</v>
      </c>
      <c r="R60" s="143" t="n">
        <f aca="false">SUM(R46:R59)</f>
        <v>118748.24</v>
      </c>
      <c r="S60" s="143" t="n">
        <f aca="false">SUM(S46:S59)</f>
        <v>118748.24</v>
      </c>
      <c r="T60" s="143" t="n">
        <f aca="false">SUM(T46:T59)</f>
        <v>118748.24</v>
      </c>
      <c r="U60" s="143" t="n">
        <f aca="false">SUM(U46:U59)</f>
        <v>118748.24</v>
      </c>
      <c r="V60" s="143" t="n">
        <f aca="false">SUM(V46:V59)</f>
        <v>118748.24</v>
      </c>
      <c r="W60" s="143" t="n">
        <f aca="false">SUM(W46:W59)</f>
        <v>118748.24</v>
      </c>
      <c r="X60" s="143" t="n">
        <f aca="false">SUM(X46:X59)</f>
        <v>118748.24</v>
      </c>
      <c r="Y60" s="143" t="n">
        <f aca="false">SUM(Y46:Y59)</f>
        <v>118748.24</v>
      </c>
      <c r="Z60" s="143" t="n">
        <f aca="false">SUM(Z46:Z59)</f>
        <v>118748.24</v>
      </c>
      <c r="AA60" s="143" t="n">
        <f aca="false">SUM(AA46:AA59)</f>
        <v>118748.24</v>
      </c>
      <c r="AB60" s="143" t="n">
        <f aca="false">SUM(AB46:AB59)</f>
        <v>118748.24</v>
      </c>
      <c r="AC60" s="289"/>
      <c r="AD60" s="144"/>
      <c r="AE60" s="143" t="n">
        <f aca="false">SUM(AE46:AE59)</f>
        <v>125873.1344</v>
      </c>
      <c r="AF60" s="143" t="n">
        <f aca="false">SUM(AF46:AF59)</f>
        <v>125873.1344</v>
      </c>
      <c r="AG60" s="143" t="n">
        <f aca="false">SUM(AG46:AG59)</f>
        <v>125873.1344</v>
      </c>
      <c r="AH60" s="143" t="n">
        <f aca="false">SUM(AH46:AH59)</f>
        <v>125873.1344</v>
      </c>
      <c r="AI60" s="143" t="n">
        <f aca="false">SUM(AI46:AI59)</f>
        <v>125873.1344</v>
      </c>
      <c r="AJ60" s="143" t="n">
        <f aca="false">SUM(AJ46:AJ59)</f>
        <v>125873.1344</v>
      </c>
      <c r="AK60" s="143" t="n">
        <f aca="false">SUM(AK46:AK59)</f>
        <v>125873.1344</v>
      </c>
      <c r="AL60" s="143" t="n">
        <f aca="false">SUM(AL46:AL59)</f>
        <v>125873.1344</v>
      </c>
      <c r="AM60" s="143" t="n">
        <f aca="false">SUM(AM46:AM59)</f>
        <v>125873.1344</v>
      </c>
      <c r="AN60" s="143" t="n">
        <f aca="false">SUM(AN46:AN59)</f>
        <v>125873.1344</v>
      </c>
      <c r="AO60" s="143" t="n">
        <f aca="false">SUM(AO46:AO59)</f>
        <v>125873.1344</v>
      </c>
      <c r="AP60" s="143" t="n">
        <f aca="false">SUM(AP46:AP59)</f>
        <v>125873.1344</v>
      </c>
    </row>
    <row r="61" customFormat="false" ht="13.8" hidden="false" customHeight="false" outlineLevel="0" collapsed="false">
      <c r="A61" s="137"/>
      <c r="B61" s="45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P61" s="45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D61" s="45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</row>
    <row r="62" customFormat="false" ht="13.2" hidden="false" customHeight="false" outlineLevel="0" collapsed="false">
      <c r="A62" s="137"/>
      <c r="B62" s="45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P62" s="45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D62" s="45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</row>
    <row r="63" customFormat="false" ht="13.2" hidden="false" customHeight="false" outlineLevel="0" collapsed="false">
      <c r="B63" s="144" t="s">
        <v>933</v>
      </c>
      <c r="C63" s="8" t="s">
        <v>41</v>
      </c>
      <c r="D63" s="8" t="s">
        <v>42</v>
      </c>
      <c r="E63" s="8" t="s">
        <v>43</v>
      </c>
      <c r="F63" s="8" t="s">
        <v>44</v>
      </c>
      <c r="G63" s="8" t="s">
        <v>45</v>
      </c>
      <c r="H63" s="8" t="s">
        <v>46</v>
      </c>
      <c r="I63" s="8" t="s">
        <v>47</v>
      </c>
      <c r="J63" s="8" t="s">
        <v>48</v>
      </c>
      <c r="K63" s="8" t="s">
        <v>49</v>
      </c>
      <c r="L63" s="8" t="s">
        <v>50</v>
      </c>
      <c r="M63" s="8" t="s">
        <v>51</v>
      </c>
      <c r="N63" s="8" t="s">
        <v>52</v>
      </c>
      <c r="Q63" s="8" t="s">
        <v>41</v>
      </c>
      <c r="R63" s="8" t="s">
        <v>42</v>
      </c>
      <c r="S63" s="8" t="s">
        <v>43</v>
      </c>
      <c r="T63" s="8" t="s">
        <v>44</v>
      </c>
      <c r="U63" s="8" t="s">
        <v>45</v>
      </c>
      <c r="V63" s="8" t="s">
        <v>46</v>
      </c>
      <c r="W63" s="8" t="s">
        <v>47</v>
      </c>
      <c r="X63" s="8" t="s">
        <v>48</v>
      </c>
      <c r="Y63" s="8" t="s">
        <v>49</v>
      </c>
      <c r="Z63" s="8" t="s">
        <v>50</v>
      </c>
      <c r="AA63" s="8" t="s">
        <v>51</v>
      </c>
      <c r="AB63" s="8" t="s">
        <v>52</v>
      </c>
      <c r="AE63" s="8" t="s">
        <v>41</v>
      </c>
      <c r="AF63" s="8" t="s">
        <v>42</v>
      </c>
      <c r="AG63" s="8" t="s">
        <v>43</v>
      </c>
      <c r="AH63" s="8" t="s">
        <v>44</v>
      </c>
      <c r="AI63" s="8" t="s">
        <v>45</v>
      </c>
      <c r="AJ63" s="8" t="s">
        <v>46</v>
      </c>
      <c r="AK63" s="8" t="s">
        <v>47</v>
      </c>
      <c r="AL63" s="8" t="s">
        <v>48</v>
      </c>
      <c r="AM63" s="8" t="s">
        <v>49</v>
      </c>
      <c r="AN63" s="8" t="s">
        <v>50</v>
      </c>
      <c r="AO63" s="8" t="s">
        <v>51</v>
      </c>
      <c r="AP63" s="8" t="s">
        <v>52</v>
      </c>
    </row>
    <row r="64" customFormat="false" ht="13.2" hidden="false" customHeight="false" outlineLevel="0" collapsed="false">
      <c r="A64" s="2" t="s">
        <v>934</v>
      </c>
      <c r="B64" s="45" t="s">
        <v>935</v>
      </c>
      <c r="C64" s="138" t="n">
        <f aca="false">11600+4600</f>
        <v>16200</v>
      </c>
      <c r="D64" s="139" t="n">
        <f aca="false">C64</f>
        <v>16200</v>
      </c>
      <c r="E64" s="139" t="n">
        <f aca="false">D64</f>
        <v>16200</v>
      </c>
      <c r="F64" s="139" t="n">
        <f aca="false">E64</f>
        <v>16200</v>
      </c>
      <c r="G64" s="139" t="n">
        <f aca="false">F64</f>
        <v>16200</v>
      </c>
      <c r="H64" s="139" t="n">
        <f aca="false">G64</f>
        <v>16200</v>
      </c>
      <c r="I64" s="139" t="n">
        <f aca="false">H64</f>
        <v>16200</v>
      </c>
      <c r="J64" s="139" t="n">
        <f aca="false">I64</f>
        <v>16200</v>
      </c>
      <c r="K64" s="139" t="n">
        <f aca="false">J64</f>
        <v>16200</v>
      </c>
      <c r="L64" s="139" t="n">
        <f aca="false">K64</f>
        <v>16200</v>
      </c>
      <c r="M64" s="139" t="n">
        <f aca="false">L64</f>
        <v>16200</v>
      </c>
      <c r="N64" s="139" t="n">
        <f aca="false">M64</f>
        <v>16200</v>
      </c>
      <c r="P64" s="181" t="s">
        <v>936</v>
      </c>
      <c r="Q64" s="288" t="n">
        <f aca="false">N64*Factors!$R$16</f>
        <v>16848</v>
      </c>
      <c r="R64" s="139" t="n">
        <f aca="false">Q64</f>
        <v>16848</v>
      </c>
      <c r="S64" s="139" t="n">
        <f aca="false">R64</f>
        <v>16848</v>
      </c>
      <c r="T64" s="139" t="n">
        <f aca="false">S64</f>
        <v>16848</v>
      </c>
      <c r="U64" s="139" t="n">
        <f aca="false">T64</f>
        <v>16848</v>
      </c>
      <c r="V64" s="139" t="n">
        <f aca="false">U64</f>
        <v>16848</v>
      </c>
      <c r="W64" s="139" t="n">
        <f aca="false">V64</f>
        <v>16848</v>
      </c>
      <c r="X64" s="139" t="n">
        <f aca="false">W64</f>
        <v>16848</v>
      </c>
      <c r="Y64" s="139" t="n">
        <f aca="false">X64</f>
        <v>16848</v>
      </c>
      <c r="Z64" s="139" t="n">
        <f aca="false">Y64</f>
        <v>16848</v>
      </c>
      <c r="AA64" s="139" t="n">
        <f aca="false">Z64</f>
        <v>16848</v>
      </c>
      <c r="AB64" s="139" t="n">
        <f aca="false">AA64</f>
        <v>16848</v>
      </c>
      <c r="AD64" s="181" t="s">
        <v>936</v>
      </c>
      <c r="AE64" s="288" t="n">
        <f aca="false">AB64*Factors!$AG$16</f>
        <v>17858.88</v>
      </c>
      <c r="AF64" s="139" t="n">
        <f aca="false">AE64</f>
        <v>17858.88</v>
      </c>
      <c r="AG64" s="139" t="n">
        <f aca="false">AF64</f>
        <v>17858.88</v>
      </c>
      <c r="AH64" s="139" t="n">
        <f aca="false">AG64</f>
        <v>17858.88</v>
      </c>
      <c r="AI64" s="139" t="n">
        <f aca="false">AH64</f>
        <v>17858.88</v>
      </c>
      <c r="AJ64" s="139" t="n">
        <f aca="false">AI64</f>
        <v>17858.88</v>
      </c>
      <c r="AK64" s="139" t="n">
        <f aca="false">AJ64</f>
        <v>17858.88</v>
      </c>
      <c r="AL64" s="139" t="n">
        <f aca="false">AK64</f>
        <v>17858.88</v>
      </c>
      <c r="AM64" s="139" t="n">
        <f aca="false">AL64</f>
        <v>17858.88</v>
      </c>
      <c r="AN64" s="139" t="n">
        <f aca="false">AM64</f>
        <v>17858.88</v>
      </c>
      <c r="AO64" s="139" t="n">
        <f aca="false">AN64</f>
        <v>17858.88</v>
      </c>
      <c r="AP64" s="139" t="n">
        <f aca="false">AO64</f>
        <v>17858.88</v>
      </c>
    </row>
    <row r="65" customFormat="false" ht="13.2" hidden="false" customHeight="false" outlineLevel="0" collapsed="false">
      <c r="A65" s="2" t="s">
        <v>886</v>
      </c>
      <c r="B65" s="290" t="s">
        <v>937</v>
      </c>
      <c r="C65" s="138" t="n">
        <v>2050</v>
      </c>
      <c r="D65" s="139" t="n">
        <f aca="false">C65</f>
        <v>2050</v>
      </c>
      <c r="E65" s="139" t="n">
        <f aca="false">D65</f>
        <v>2050</v>
      </c>
      <c r="F65" s="139" t="n">
        <f aca="false">E65</f>
        <v>2050</v>
      </c>
      <c r="G65" s="139" t="n">
        <f aca="false">F65</f>
        <v>2050</v>
      </c>
      <c r="H65" s="139" t="n">
        <f aca="false">G65</f>
        <v>2050</v>
      </c>
      <c r="I65" s="139" t="n">
        <f aca="false">H65</f>
        <v>2050</v>
      </c>
      <c r="J65" s="139" t="n">
        <f aca="false">I65</f>
        <v>2050</v>
      </c>
      <c r="K65" s="139" t="n">
        <f aca="false">J65</f>
        <v>2050</v>
      </c>
      <c r="L65" s="139" t="n">
        <f aca="false">K65</f>
        <v>2050</v>
      </c>
      <c r="M65" s="139" t="n">
        <f aca="false">L65</f>
        <v>2050</v>
      </c>
      <c r="N65" s="139" t="n">
        <f aca="false">M65</f>
        <v>2050</v>
      </c>
      <c r="P65" s="181" t="s">
        <v>937</v>
      </c>
      <c r="Q65" s="288" t="n">
        <v>2050</v>
      </c>
      <c r="R65" s="139" t="n">
        <f aca="false">Q65</f>
        <v>2050</v>
      </c>
      <c r="S65" s="139" t="n">
        <f aca="false">R65</f>
        <v>2050</v>
      </c>
      <c r="T65" s="139" t="n">
        <f aca="false">S65</f>
        <v>2050</v>
      </c>
      <c r="U65" s="139" t="n">
        <f aca="false">T65</f>
        <v>2050</v>
      </c>
      <c r="V65" s="139" t="n">
        <f aca="false">U65</f>
        <v>2050</v>
      </c>
      <c r="W65" s="139" t="n">
        <f aca="false">V65</f>
        <v>2050</v>
      </c>
      <c r="X65" s="139" t="n">
        <f aca="false">W65</f>
        <v>2050</v>
      </c>
      <c r="Y65" s="139" t="n">
        <f aca="false">X65</f>
        <v>2050</v>
      </c>
      <c r="Z65" s="139" t="n">
        <f aca="false">Y65</f>
        <v>2050</v>
      </c>
      <c r="AA65" s="139" t="n">
        <f aca="false">Z65</f>
        <v>2050</v>
      </c>
      <c r="AB65" s="139" t="n">
        <f aca="false">AA65</f>
        <v>2050</v>
      </c>
      <c r="AD65" s="181" t="s">
        <v>937</v>
      </c>
      <c r="AE65" s="288" t="n">
        <v>2050</v>
      </c>
      <c r="AF65" s="139" t="n">
        <f aca="false">AE65</f>
        <v>2050</v>
      </c>
      <c r="AG65" s="139" t="n">
        <f aca="false">AF65</f>
        <v>2050</v>
      </c>
      <c r="AH65" s="139" t="n">
        <f aca="false">AG65</f>
        <v>2050</v>
      </c>
      <c r="AI65" s="139" t="n">
        <f aca="false">AH65</f>
        <v>2050</v>
      </c>
      <c r="AJ65" s="139" t="n">
        <f aca="false">AI65</f>
        <v>2050</v>
      </c>
      <c r="AK65" s="139" t="n">
        <f aca="false">AJ65</f>
        <v>2050</v>
      </c>
      <c r="AL65" s="139" t="n">
        <f aca="false">AK65</f>
        <v>2050</v>
      </c>
      <c r="AM65" s="139" t="n">
        <f aca="false">AL65</f>
        <v>2050</v>
      </c>
      <c r="AN65" s="139" t="n">
        <f aca="false">AM65</f>
        <v>2050</v>
      </c>
      <c r="AO65" s="139" t="n">
        <f aca="false">AN65</f>
        <v>2050</v>
      </c>
      <c r="AP65" s="139" t="n">
        <f aca="false">AO65</f>
        <v>2050</v>
      </c>
    </row>
    <row r="66" customFormat="false" ht="13.2" hidden="false" customHeight="false" outlineLevel="0" collapsed="false">
      <c r="A66" s="2" t="s">
        <v>938</v>
      </c>
      <c r="B66" s="290" t="s">
        <v>939</v>
      </c>
      <c r="C66" s="138" t="n">
        <v>14000</v>
      </c>
      <c r="D66" s="139" t="n">
        <v>14000</v>
      </c>
      <c r="E66" s="139" t="n">
        <v>14000</v>
      </c>
      <c r="F66" s="139" t="n">
        <v>14000</v>
      </c>
      <c r="G66" s="139" t="n">
        <v>14000</v>
      </c>
      <c r="H66" s="139" t="n">
        <v>14000</v>
      </c>
      <c r="I66" s="139" t="n">
        <v>14000</v>
      </c>
      <c r="J66" s="139" t="n">
        <v>14000</v>
      </c>
      <c r="K66" s="139" t="n">
        <v>14000</v>
      </c>
      <c r="L66" s="139" t="n">
        <v>14000</v>
      </c>
      <c r="M66" s="139" t="n">
        <v>14000</v>
      </c>
      <c r="N66" s="139" t="n">
        <v>14000</v>
      </c>
      <c r="P66" s="181" t="s">
        <v>939</v>
      </c>
      <c r="Q66" s="288" t="n">
        <v>14000</v>
      </c>
      <c r="R66" s="139" t="n">
        <v>14000</v>
      </c>
      <c r="S66" s="139" t="n">
        <v>14000</v>
      </c>
      <c r="T66" s="139" t="n">
        <v>14000</v>
      </c>
      <c r="U66" s="139" t="n">
        <v>14000</v>
      </c>
      <c r="V66" s="139" t="n">
        <v>14000</v>
      </c>
      <c r="W66" s="139" t="n">
        <v>14000</v>
      </c>
      <c r="X66" s="139" t="n">
        <v>14000</v>
      </c>
      <c r="Y66" s="139" t="n">
        <v>14000</v>
      </c>
      <c r="Z66" s="139" t="n">
        <v>14000</v>
      </c>
      <c r="AA66" s="139" t="n">
        <v>14000</v>
      </c>
      <c r="AB66" s="139" t="n">
        <v>14000</v>
      </c>
      <c r="AD66" s="181" t="s">
        <v>939</v>
      </c>
      <c r="AE66" s="288" t="n">
        <v>14000</v>
      </c>
      <c r="AF66" s="139" t="n">
        <v>14000</v>
      </c>
      <c r="AG66" s="139" t="n">
        <v>14000</v>
      </c>
      <c r="AH66" s="139" t="n">
        <v>14000</v>
      </c>
      <c r="AI66" s="139" t="n">
        <v>14000</v>
      </c>
      <c r="AJ66" s="139" t="n">
        <v>14000</v>
      </c>
      <c r="AK66" s="139" t="n">
        <v>14000</v>
      </c>
      <c r="AL66" s="139" t="n">
        <v>14000</v>
      </c>
      <c r="AM66" s="139" t="n">
        <v>14000</v>
      </c>
      <c r="AN66" s="139" t="n">
        <v>14000</v>
      </c>
      <c r="AO66" s="139" t="n">
        <v>14000</v>
      </c>
      <c r="AP66" s="139" t="n">
        <v>14000</v>
      </c>
    </row>
    <row r="67" customFormat="false" ht="13.2" hidden="false" customHeight="false" outlineLevel="0" collapsed="false">
      <c r="B67" s="290" t="s">
        <v>940</v>
      </c>
      <c r="C67" s="138" t="n">
        <v>3400</v>
      </c>
      <c r="D67" s="139" t="n">
        <v>3400</v>
      </c>
      <c r="E67" s="139" t="n">
        <v>3400</v>
      </c>
      <c r="F67" s="139" t="n">
        <v>3400</v>
      </c>
      <c r="G67" s="139" t="n">
        <v>3400</v>
      </c>
      <c r="H67" s="139" t="n">
        <v>3400</v>
      </c>
      <c r="I67" s="139" t="n">
        <v>3400</v>
      </c>
      <c r="J67" s="139" t="n">
        <v>3400</v>
      </c>
      <c r="K67" s="139" t="n">
        <v>3400</v>
      </c>
      <c r="L67" s="139" t="n">
        <v>3400</v>
      </c>
      <c r="M67" s="139" t="n">
        <v>3400</v>
      </c>
      <c r="N67" s="139" t="n">
        <v>3400</v>
      </c>
      <c r="P67" s="181" t="s">
        <v>940</v>
      </c>
      <c r="Q67" s="288" t="n">
        <v>3400</v>
      </c>
      <c r="R67" s="139" t="n">
        <v>3400</v>
      </c>
      <c r="S67" s="139" t="n">
        <v>3400</v>
      </c>
      <c r="T67" s="139" t="n">
        <v>3400</v>
      </c>
      <c r="U67" s="139" t="n">
        <v>3400</v>
      </c>
      <c r="V67" s="139" t="n">
        <v>3400</v>
      </c>
      <c r="W67" s="139" t="n">
        <v>3400</v>
      </c>
      <c r="X67" s="139" t="n">
        <v>3400</v>
      </c>
      <c r="Y67" s="139" t="n">
        <v>3400</v>
      </c>
      <c r="Z67" s="139" t="n">
        <v>3400</v>
      </c>
      <c r="AA67" s="139" t="n">
        <v>3400</v>
      </c>
      <c r="AB67" s="139" t="n">
        <v>3400</v>
      </c>
      <c r="AD67" s="181" t="s">
        <v>940</v>
      </c>
      <c r="AE67" s="288" t="n">
        <v>3400</v>
      </c>
      <c r="AF67" s="139" t="n">
        <v>3400</v>
      </c>
      <c r="AG67" s="139" t="n">
        <v>3400</v>
      </c>
      <c r="AH67" s="139" t="n">
        <v>3400</v>
      </c>
      <c r="AI67" s="139" t="n">
        <v>3400</v>
      </c>
      <c r="AJ67" s="139" t="n">
        <v>3400</v>
      </c>
      <c r="AK67" s="139" t="n">
        <v>3400</v>
      </c>
      <c r="AL67" s="139" t="n">
        <v>3400</v>
      </c>
      <c r="AM67" s="139" t="n">
        <v>3400</v>
      </c>
      <c r="AN67" s="139" t="n">
        <v>3400</v>
      </c>
      <c r="AO67" s="139" t="n">
        <v>3400</v>
      </c>
      <c r="AP67" s="139" t="n">
        <v>3400</v>
      </c>
    </row>
    <row r="68" customFormat="false" ht="13.8" hidden="false" customHeight="false" outlineLevel="0" collapsed="false">
      <c r="A68" s="7"/>
      <c r="B68" s="285" t="s">
        <v>66</v>
      </c>
      <c r="C68" s="39" t="n">
        <f aca="false">SUM(C64:C67)</f>
        <v>35650</v>
      </c>
      <c r="D68" s="189" t="n">
        <f aca="false">SUM(D64:D67)</f>
        <v>35650</v>
      </c>
      <c r="E68" s="189" t="n">
        <f aca="false">SUM(E64:E67)</f>
        <v>35650</v>
      </c>
      <c r="F68" s="189" t="n">
        <f aca="false">SUM(F64:F67)</f>
        <v>35650</v>
      </c>
      <c r="G68" s="189" t="n">
        <f aca="false">SUM(G64:G67)</f>
        <v>35650</v>
      </c>
      <c r="H68" s="189" t="n">
        <f aca="false">SUM(H64:H67)</f>
        <v>35650</v>
      </c>
      <c r="I68" s="189" t="n">
        <f aca="false">SUM(I64:I67)</f>
        <v>35650</v>
      </c>
      <c r="J68" s="189" t="n">
        <f aca="false">SUM(J64:J67)</f>
        <v>35650</v>
      </c>
      <c r="K68" s="189" t="n">
        <f aca="false">SUM(K64:K67)</f>
        <v>35650</v>
      </c>
      <c r="L68" s="189" t="n">
        <f aca="false">SUM(L64:L67)</f>
        <v>35650</v>
      </c>
      <c r="M68" s="189" t="n">
        <f aca="false">SUM(M64:M67)</f>
        <v>35650</v>
      </c>
      <c r="N68" s="189" t="n">
        <f aca="false">SUM(N64:N67)</f>
        <v>35650</v>
      </c>
      <c r="O68" s="7"/>
      <c r="P68" s="7"/>
      <c r="Q68" s="187" t="n">
        <f aca="false">SUM(Q64:Q67)</f>
        <v>36298</v>
      </c>
      <c r="R68" s="176" t="n">
        <f aca="false">SUM(R64:R67)</f>
        <v>36298</v>
      </c>
      <c r="S68" s="176" t="n">
        <f aca="false">SUM(S64:S67)</f>
        <v>36298</v>
      </c>
      <c r="T68" s="176" t="n">
        <f aca="false">SUM(T64:T67)</f>
        <v>36298</v>
      </c>
      <c r="U68" s="176" t="n">
        <f aca="false">SUM(U64:U67)</f>
        <v>36298</v>
      </c>
      <c r="V68" s="176" t="n">
        <f aca="false">SUM(V64:V67)</f>
        <v>36298</v>
      </c>
      <c r="W68" s="176" t="n">
        <f aca="false">SUM(W64:W67)</f>
        <v>36298</v>
      </c>
      <c r="X68" s="176" t="n">
        <f aca="false">SUM(X64:X67)</f>
        <v>36298</v>
      </c>
      <c r="Y68" s="176" t="n">
        <f aca="false">SUM(Y64:Y67)</f>
        <v>36298</v>
      </c>
      <c r="Z68" s="176" t="n">
        <f aca="false">SUM(Z64:Z67)</f>
        <v>36298</v>
      </c>
      <c r="AA68" s="176" t="n">
        <f aca="false">SUM(AA64:AA67)</f>
        <v>36298</v>
      </c>
      <c r="AB68" s="176" t="n">
        <f aca="false">SUM(AB64:AB67)</f>
        <v>36298</v>
      </c>
      <c r="AC68" s="7"/>
      <c r="AD68" s="7"/>
      <c r="AE68" s="187" t="n">
        <f aca="false">SUM(AE64:AE67)</f>
        <v>37308.88</v>
      </c>
      <c r="AF68" s="176" t="n">
        <f aca="false">SUM(AF64:AF67)</f>
        <v>37308.88</v>
      </c>
      <c r="AG68" s="176" t="n">
        <f aca="false">SUM(AG64:AG67)</f>
        <v>37308.88</v>
      </c>
      <c r="AH68" s="176" t="n">
        <f aca="false">SUM(AH64:AH67)</f>
        <v>37308.88</v>
      </c>
      <c r="AI68" s="176" t="n">
        <f aca="false">SUM(AI64:AI67)</f>
        <v>37308.88</v>
      </c>
      <c r="AJ68" s="176" t="n">
        <f aca="false">SUM(AJ64:AJ67)</f>
        <v>37308.88</v>
      </c>
      <c r="AK68" s="176" t="n">
        <f aca="false">SUM(AK64:AK67)</f>
        <v>37308.88</v>
      </c>
      <c r="AL68" s="176" t="n">
        <f aca="false">SUM(AL64:AL67)</f>
        <v>37308.88</v>
      </c>
      <c r="AM68" s="176" t="n">
        <f aca="false">SUM(AM64:AM67)</f>
        <v>37308.88</v>
      </c>
      <c r="AN68" s="176" t="n">
        <f aca="false">SUM(AN64:AN67)</f>
        <v>37308.88</v>
      </c>
      <c r="AO68" s="176" t="n">
        <f aca="false">SUM(AO64:AO67)</f>
        <v>37308.88</v>
      </c>
      <c r="AP68" s="176" t="n">
        <f aca="false">SUM(AP64:AP67)</f>
        <v>37308.88</v>
      </c>
    </row>
    <row r="69" customFormat="false" ht="13.8" hidden="false" customHeight="false" outlineLevel="0" collapsed="false">
      <c r="C69" s="138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Q69" s="138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E69" s="138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</row>
    <row r="70" customFormat="false" ht="13.2" hidden="false" customHeight="false" outlineLevel="0" collapsed="false">
      <c r="A70" s="141" t="s">
        <v>941</v>
      </c>
      <c r="B70" s="26" t="s">
        <v>942</v>
      </c>
      <c r="C70" s="8" t="s">
        <v>41</v>
      </c>
      <c r="D70" s="8" t="s">
        <v>42</v>
      </c>
      <c r="E70" s="8" t="s">
        <v>43</v>
      </c>
      <c r="F70" s="8" t="s">
        <v>44</v>
      </c>
      <c r="G70" s="8" t="s">
        <v>45</v>
      </c>
      <c r="H70" s="8" t="s">
        <v>46</v>
      </c>
      <c r="I70" s="8" t="s">
        <v>47</v>
      </c>
      <c r="J70" s="8" t="s">
        <v>48</v>
      </c>
      <c r="K70" s="8" t="s">
        <v>49</v>
      </c>
      <c r="L70" s="8" t="s">
        <v>50</v>
      </c>
      <c r="M70" s="8" t="s">
        <v>51</v>
      </c>
      <c r="N70" s="8" t="s">
        <v>52</v>
      </c>
      <c r="P70" s="144" t="s">
        <v>458</v>
      </c>
      <c r="Q70" s="138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D70" s="144" t="s">
        <v>458</v>
      </c>
      <c r="AE70" s="138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</row>
    <row r="71" customFormat="false" ht="13.2" hidden="false" customHeight="false" outlineLevel="0" collapsed="false">
      <c r="A71" s="137" t="s">
        <v>943</v>
      </c>
      <c r="B71" s="45" t="s">
        <v>944</v>
      </c>
      <c r="C71" s="138" t="n">
        <v>181140</v>
      </c>
      <c r="D71" s="138" t="n">
        <f aca="false">C71</f>
        <v>181140</v>
      </c>
      <c r="E71" s="138" t="n">
        <f aca="false">D71</f>
        <v>181140</v>
      </c>
      <c r="F71" s="138" t="n">
        <f aca="false">E71</f>
        <v>181140</v>
      </c>
      <c r="G71" s="138" t="n">
        <f aca="false">F71</f>
        <v>181140</v>
      </c>
      <c r="H71" s="138" t="n">
        <f aca="false">G71</f>
        <v>181140</v>
      </c>
      <c r="I71" s="139" t="n">
        <f aca="false">H71*1.1</f>
        <v>199254</v>
      </c>
      <c r="J71" s="139" t="n">
        <f aca="false">I71</f>
        <v>199254</v>
      </c>
      <c r="K71" s="139" t="n">
        <f aca="false">J71</f>
        <v>199254</v>
      </c>
      <c r="L71" s="139" t="n">
        <f aca="false">K71</f>
        <v>199254</v>
      </c>
      <c r="M71" s="139" t="n">
        <f aca="false">L71</f>
        <v>199254</v>
      </c>
      <c r="N71" s="139" t="n">
        <f aca="false">M71</f>
        <v>199254</v>
      </c>
      <c r="P71" s="45" t="s">
        <v>945</v>
      </c>
      <c r="Q71" s="288" t="n">
        <f aca="false">480000*4.3/12</f>
        <v>172000</v>
      </c>
      <c r="R71" s="288" t="n">
        <f aca="false">480000*4.3/12</f>
        <v>172000</v>
      </c>
      <c r="S71" s="288" t="n">
        <f aca="false">480000*4.3/12</f>
        <v>172000</v>
      </c>
      <c r="T71" s="288" t="n">
        <f aca="false">480000*4.3/12</f>
        <v>172000</v>
      </c>
      <c r="U71" s="288" t="n">
        <f aca="false">480000*4.3/12</f>
        <v>172000</v>
      </c>
      <c r="V71" s="288" t="n">
        <f aca="false">480000*4.3/12</f>
        <v>172000</v>
      </c>
      <c r="W71" s="139" t="n">
        <f aca="false">V71*1.1</f>
        <v>189200</v>
      </c>
      <c r="X71" s="139" t="n">
        <f aca="false">W71</f>
        <v>189200</v>
      </c>
      <c r="Y71" s="139" t="n">
        <f aca="false">X71</f>
        <v>189200</v>
      </c>
      <c r="Z71" s="139" t="n">
        <f aca="false">Y71</f>
        <v>189200</v>
      </c>
      <c r="AA71" s="139" t="n">
        <f aca="false">Z71</f>
        <v>189200</v>
      </c>
      <c r="AB71" s="139" t="n">
        <f aca="false">AA71</f>
        <v>189200</v>
      </c>
      <c r="AD71" s="45" t="s">
        <v>945</v>
      </c>
      <c r="AE71" s="288" t="n">
        <f aca="false">480000*4.3/12</f>
        <v>172000</v>
      </c>
      <c r="AF71" s="288" t="n">
        <f aca="false">480000*4.3/12</f>
        <v>172000</v>
      </c>
      <c r="AG71" s="288" t="n">
        <f aca="false">480000*4.3/12</f>
        <v>172000</v>
      </c>
      <c r="AH71" s="288" t="n">
        <f aca="false">480000*4.3/12</f>
        <v>172000</v>
      </c>
      <c r="AI71" s="288" t="n">
        <f aca="false">480000*4.3/12</f>
        <v>172000</v>
      </c>
      <c r="AJ71" s="288" t="n">
        <f aca="false">480000*4.3/12</f>
        <v>172000</v>
      </c>
      <c r="AK71" s="139" t="n">
        <f aca="false">AJ71*1.1</f>
        <v>189200</v>
      </c>
      <c r="AL71" s="139" t="n">
        <f aca="false">AK71</f>
        <v>189200</v>
      </c>
      <c r="AM71" s="139" t="n">
        <f aca="false">AL71</f>
        <v>189200</v>
      </c>
      <c r="AN71" s="139" t="n">
        <f aca="false">AM71</f>
        <v>189200</v>
      </c>
      <c r="AO71" s="139" t="n">
        <f aca="false">AN71</f>
        <v>189200</v>
      </c>
      <c r="AP71" s="139" t="n">
        <f aca="false">AO71</f>
        <v>189200</v>
      </c>
    </row>
    <row r="72" customFormat="false" ht="13.2" hidden="false" customHeight="false" outlineLevel="0" collapsed="false">
      <c r="B72" s="45" t="s">
        <v>946</v>
      </c>
      <c r="C72" s="138" t="n">
        <v>43854</v>
      </c>
      <c r="D72" s="139" t="n">
        <f aca="false">C72</f>
        <v>43854</v>
      </c>
      <c r="E72" s="139" t="n">
        <f aca="false">D72</f>
        <v>43854</v>
      </c>
      <c r="F72" s="139" t="n">
        <f aca="false">E72</f>
        <v>43854</v>
      </c>
      <c r="G72" s="139" t="n">
        <f aca="false">F72</f>
        <v>43854</v>
      </c>
      <c r="H72" s="139" t="n">
        <f aca="false">G72</f>
        <v>43854</v>
      </c>
      <c r="I72" s="139" t="n">
        <f aca="false">H72*1.1</f>
        <v>48239.4</v>
      </c>
      <c r="J72" s="139" t="n">
        <f aca="false">I72</f>
        <v>48239.4</v>
      </c>
      <c r="K72" s="139" t="n">
        <f aca="false">J72</f>
        <v>48239.4</v>
      </c>
      <c r="L72" s="139" t="n">
        <f aca="false">K72</f>
        <v>48239.4</v>
      </c>
      <c r="M72" s="139" t="n">
        <f aca="false">L72</f>
        <v>48239.4</v>
      </c>
      <c r="N72" s="139" t="n">
        <f aca="false">M72</f>
        <v>48239.4</v>
      </c>
      <c r="P72" s="45" t="s">
        <v>945</v>
      </c>
      <c r="Q72" s="288" t="n">
        <v>40000</v>
      </c>
      <c r="R72" s="139" t="n">
        <f aca="false">Q72</f>
        <v>40000</v>
      </c>
      <c r="S72" s="139" t="n">
        <f aca="false">R72</f>
        <v>40000</v>
      </c>
      <c r="T72" s="139" t="n">
        <f aca="false">S72</f>
        <v>40000</v>
      </c>
      <c r="U72" s="139" t="n">
        <f aca="false">T72</f>
        <v>40000</v>
      </c>
      <c r="V72" s="139" t="n">
        <f aca="false">U72</f>
        <v>40000</v>
      </c>
      <c r="W72" s="139" t="n">
        <f aca="false">V72*1.1</f>
        <v>44000</v>
      </c>
      <c r="X72" s="139" t="n">
        <f aca="false">W72</f>
        <v>44000</v>
      </c>
      <c r="Y72" s="139" t="n">
        <f aca="false">X72</f>
        <v>44000</v>
      </c>
      <c r="Z72" s="139" t="n">
        <f aca="false">Y72</f>
        <v>44000</v>
      </c>
      <c r="AA72" s="139" t="n">
        <f aca="false">Z72</f>
        <v>44000</v>
      </c>
      <c r="AB72" s="139" t="n">
        <f aca="false">AA72</f>
        <v>44000</v>
      </c>
      <c r="AD72" s="45" t="s">
        <v>945</v>
      </c>
      <c r="AE72" s="288" t="n">
        <v>40000</v>
      </c>
      <c r="AF72" s="139" t="n">
        <f aca="false">AE72</f>
        <v>40000</v>
      </c>
      <c r="AG72" s="139" t="n">
        <f aca="false">AF72</f>
        <v>40000</v>
      </c>
      <c r="AH72" s="139" t="n">
        <f aca="false">AG72</f>
        <v>40000</v>
      </c>
      <c r="AI72" s="139" t="n">
        <f aca="false">AH72</f>
        <v>40000</v>
      </c>
      <c r="AJ72" s="139" t="n">
        <f aca="false">AI72</f>
        <v>40000</v>
      </c>
      <c r="AK72" s="139" t="n">
        <f aca="false">AJ72*1.1</f>
        <v>44000</v>
      </c>
      <c r="AL72" s="139" t="n">
        <f aca="false">AK72</f>
        <v>44000</v>
      </c>
      <c r="AM72" s="139" t="n">
        <f aca="false">AL72</f>
        <v>44000</v>
      </c>
      <c r="AN72" s="139" t="n">
        <f aca="false">AM72</f>
        <v>44000</v>
      </c>
      <c r="AO72" s="139" t="n">
        <f aca="false">AN72</f>
        <v>44000</v>
      </c>
      <c r="AP72" s="139" t="n">
        <f aca="false">AO72</f>
        <v>44000</v>
      </c>
    </row>
    <row r="73" customFormat="false" ht="13.2" hidden="false" customHeight="false" outlineLevel="0" collapsed="false">
      <c r="A73" s="137" t="s">
        <v>947</v>
      </c>
      <c r="B73" s="45" t="s">
        <v>948</v>
      </c>
      <c r="C73" s="138" t="n">
        <v>1700</v>
      </c>
      <c r="D73" s="139" t="n">
        <f aca="false">C73</f>
        <v>1700</v>
      </c>
      <c r="E73" s="139" t="n">
        <f aca="false">D73</f>
        <v>1700</v>
      </c>
      <c r="F73" s="139" t="n">
        <f aca="false">E73</f>
        <v>1700</v>
      </c>
      <c r="G73" s="139" t="n">
        <f aca="false">F73</f>
        <v>1700</v>
      </c>
      <c r="H73" s="139" t="n">
        <f aca="false">G73</f>
        <v>1700</v>
      </c>
      <c r="I73" s="139" t="n">
        <f aca="false">H73*1.1</f>
        <v>1870</v>
      </c>
      <c r="J73" s="139" t="n">
        <f aca="false">I73</f>
        <v>1870</v>
      </c>
      <c r="K73" s="139" t="n">
        <f aca="false">J73</f>
        <v>1870</v>
      </c>
      <c r="L73" s="139" t="n">
        <f aca="false">K73</f>
        <v>1870</v>
      </c>
      <c r="M73" s="139" t="n">
        <f aca="false">L73</f>
        <v>1870</v>
      </c>
      <c r="N73" s="139" t="n">
        <f aca="false">M73</f>
        <v>1870</v>
      </c>
      <c r="P73" s="45" t="s">
        <v>949</v>
      </c>
      <c r="Q73" s="288" t="n">
        <v>1700</v>
      </c>
      <c r="R73" s="139" t="n">
        <f aca="false">Q73</f>
        <v>1700</v>
      </c>
      <c r="S73" s="139" t="n">
        <f aca="false">R73</f>
        <v>1700</v>
      </c>
      <c r="T73" s="139" t="n">
        <f aca="false">S73</f>
        <v>1700</v>
      </c>
      <c r="U73" s="139" t="n">
        <f aca="false">T73</f>
        <v>1700</v>
      </c>
      <c r="V73" s="139" t="n">
        <f aca="false">U73</f>
        <v>1700</v>
      </c>
      <c r="W73" s="139" t="n">
        <f aca="false">V73*1.1</f>
        <v>1870</v>
      </c>
      <c r="X73" s="139" t="n">
        <f aca="false">W73</f>
        <v>1870</v>
      </c>
      <c r="Y73" s="139" t="n">
        <f aca="false">X73</f>
        <v>1870</v>
      </c>
      <c r="Z73" s="139" t="n">
        <f aca="false">Y73</f>
        <v>1870</v>
      </c>
      <c r="AA73" s="139" t="n">
        <f aca="false">Z73</f>
        <v>1870</v>
      </c>
      <c r="AB73" s="139" t="n">
        <f aca="false">AA73</f>
        <v>1870</v>
      </c>
      <c r="AD73" s="45" t="s">
        <v>949</v>
      </c>
      <c r="AE73" s="288" t="n">
        <v>1700</v>
      </c>
      <c r="AF73" s="139" t="n">
        <f aca="false">AE73</f>
        <v>1700</v>
      </c>
      <c r="AG73" s="139" t="n">
        <f aca="false">AF73</f>
        <v>1700</v>
      </c>
      <c r="AH73" s="139" t="n">
        <f aca="false">AG73</f>
        <v>1700</v>
      </c>
      <c r="AI73" s="139" t="n">
        <f aca="false">AH73</f>
        <v>1700</v>
      </c>
      <c r="AJ73" s="139" t="n">
        <f aca="false">AI73</f>
        <v>1700</v>
      </c>
      <c r="AK73" s="139" t="n">
        <f aca="false">AJ73*1.1</f>
        <v>1870</v>
      </c>
      <c r="AL73" s="139" t="n">
        <f aca="false">AK73</f>
        <v>1870</v>
      </c>
      <c r="AM73" s="139" t="n">
        <f aca="false">AL73</f>
        <v>1870</v>
      </c>
      <c r="AN73" s="139" t="n">
        <f aca="false">AM73</f>
        <v>1870</v>
      </c>
      <c r="AO73" s="139" t="n">
        <f aca="false">AN73</f>
        <v>1870</v>
      </c>
      <c r="AP73" s="139" t="n">
        <f aca="false">AO73</f>
        <v>1870</v>
      </c>
    </row>
    <row r="74" customFormat="false" ht="13.2" hidden="true" customHeight="false" outlineLevel="0" collapsed="false">
      <c r="A74" s="137" t="s">
        <v>950</v>
      </c>
      <c r="B74" s="45" t="s">
        <v>951</v>
      </c>
      <c r="C74" s="138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P74" s="45" t="s">
        <v>951</v>
      </c>
      <c r="Q74" s="288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D74" s="45" t="s">
        <v>951</v>
      </c>
      <c r="AE74" s="288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</row>
    <row r="75" customFormat="false" ht="13.8" hidden="false" customHeight="false" outlineLevel="0" collapsed="false">
      <c r="A75" s="7"/>
      <c r="B75" s="285" t="s">
        <v>66</v>
      </c>
      <c r="C75" s="189" t="n">
        <f aca="false">C71+C73</f>
        <v>182840</v>
      </c>
      <c r="D75" s="189" t="n">
        <f aca="false">D71+D73</f>
        <v>182840</v>
      </c>
      <c r="E75" s="189" t="n">
        <f aca="false">E71+E73</f>
        <v>182840</v>
      </c>
      <c r="F75" s="189" t="n">
        <f aca="false">F71+F73</f>
        <v>182840</v>
      </c>
      <c r="G75" s="189" t="n">
        <f aca="false">G71+G73</f>
        <v>182840</v>
      </c>
      <c r="H75" s="189" t="n">
        <f aca="false">H71+H73</f>
        <v>182840</v>
      </c>
      <c r="I75" s="189" t="n">
        <f aca="false">I71+I73</f>
        <v>201124</v>
      </c>
      <c r="J75" s="189" t="n">
        <f aca="false">J71+J73</f>
        <v>201124</v>
      </c>
      <c r="K75" s="189" t="n">
        <f aca="false">K71+K73</f>
        <v>201124</v>
      </c>
      <c r="L75" s="189" t="n">
        <f aca="false">L71+L73</f>
        <v>201124</v>
      </c>
      <c r="M75" s="189" t="n">
        <f aca="false">M71+M73</f>
        <v>201124</v>
      </c>
      <c r="N75" s="189" t="n">
        <f aca="false">N71+N73</f>
        <v>201124</v>
      </c>
      <c r="O75" s="7"/>
      <c r="P75" s="7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7"/>
      <c r="AD75" s="7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</row>
    <row r="76" customFormat="false" ht="13.8" hidden="false" customHeight="false" outlineLevel="0" collapsed="false"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</row>
    <row r="77" customFormat="false" ht="13.2" hidden="false" customHeight="false" outlineLevel="0" collapsed="false">
      <c r="B77" s="291" t="s">
        <v>952</v>
      </c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</row>
    <row r="78" customFormat="false" ht="13.2" hidden="false" customHeight="false" outlineLevel="0" collapsed="false">
      <c r="A78" s="137" t="s">
        <v>953</v>
      </c>
      <c r="B78" s="280" t="s">
        <v>954</v>
      </c>
      <c r="C78" s="138" t="n">
        <v>8500</v>
      </c>
      <c r="D78" s="139" t="n">
        <f aca="false">C78</f>
        <v>8500</v>
      </c>
      <c r="E78" s="139" t="n">
        <f aca="false">D78</f>
        <v>8500</v>
      </c>
      <c r="F78" s="139" t="n">
        <f aca="false">E78</f>
        <v>8500</v>
      </c>
      <c r="G78" s="139" t="n">
        <f aca="false">F78</f>
        <v>8500</v>
      </c>
      <c r="H78" s="139" t="n">
        <f aca="false">G78</f>
        <v>8500</v>
      </c>
      <c r="I78" s="139" t="n">
        <f aca="false">H78</f>
        <v>8500</v>
      </c>
      <c r="J78" s="139" t="n">
        <f aca="false">I78</f>
        <v>8500</v>
      </c>
      <c r="K78" s="139" t="n">
        <f aca="false">J78</f>
        <v>8500</v>
      </c>
      <c r="L78" s="139" t="n">
        <f aca="false">K78</f>
        <v>8500</v>
      </c>
      <c r="M78" s="139" t="n">
        <f aca="false">L78</f>
        <v>8500</v>
      </c>
      <c r="N78" s="139" t="n">
        <f aca="false">M78</f>
        <v>8500</v>
      </c>
      <c r="P78" s="45" t="s">
        <v>955</v>
      </c>
      <c r="Q78" s="288" t="n">
        <v>8500</v>
      </c>
      <c r="R78" s="139" t="n">
        <f aca="false">Q78</f>
        <v>8500</v>
      </c>
      <c r="S78" s="139" t="n">
        <f aca="false">R78</f>
        <v>8500</v>
      </c>
      <c r="T78" s="139" t="n">
        <f aca="false">S78</f>
        <v>8500</v>
      </c>
      <c r="U78" s="139" t="n">
        <f aca="false">T78</f>
        <v>8500</v>
      </c>
      <c r="V78" s="139" t="n">
        <f aca="false">U78</f>
        <v>8500</v>
      </c>
      <c r="W78" s="139" t="n">
        <f aca="false">V78</f>
        <v>8500</v>
      </c>
      <c r="X78" s="139" t="n">
        <f aca="false">W78</f>
        <v>8500</v>
      </c>
      <c r="Y78" s="139" t="n">
        <f aca="false">X78</f>
        <v>8500</v>
      </c>
      <c r="Z78" s="139" t="n">
        <f aca="false">Y78</f>
        <v>8500</v>
      </c>
      <c r="AA78" s="139" t="n">
        <f aca="false">Z78</f>
        <v>8500</v>
      </c>
      <c r="AB78" s="139" t="n">
        <f aca="false">AA78</f>
        <v>8500</v>
      </c>
      <c r="AD78" s="45" t="s">
        <v>955</v>
      </c>
      <c r="AE78" s="288" t="n">
        <v>8500</v>
      </c>
      <c r="AF78" s="139" t="n">
        <f aca="false">AE78</f>
        <v>8500</v>
      </c>
      <c r="AG78" s="139" t="n">
        <f aca="false">AF78</f>
        <v>8500</v>
      </c>
      <c r="AH78" s="139" t="n">
        <f aca="false">AG78</f>
        <v>8500</v>
      </c>
      <c r="AI78" s="139" t="n">
        <f aca="false">AH78</f>
        <v>8500</v>
      </c>
      <c r="AJ78" s="139" t="n">
        <f aca="false">AI78</f>
        <v>8500</v>
      </c>
      <c r="AK78" s="139" t="n">
        <f aca="false">AJ78</f>
        <v>8500</v>
      </c>
      <c r="AL78" s="139" t="n">
        <f aca="false">AK78</f>
        <v>8500</v>
      </c>
      <c r="AM78" s="139" t="n">
        <f aca="false">AL78</f>
        <v>8500</v>
      </c>
      <c r="AN78" s="139" t="n">
        <f aca="false">AM78</f>
        <v>8500</v>
      </c>
      <c r="AO78" s="139" t="n">
        <f aca="false">AN78</f>
        <v>8500</v>
      </c>
      <c r="AP78" s="139" t="n">
        <f aca="false">AO78</f>
        <v>8500</v>
      </c>
    </row>
    <row r="79" customFormat="false" ht="13.2" hidden="false" customHeight="false" outlineLevel="0" collapsed="false">
      <c r="A79" s="137" t="s">
        <v>956</v>
      </c>
      <c r="B79" s="280" t="s">
        <v>957</v>
      </c>
      <c r="C79" s="138" t="n">
        <v>5200</v>
      </c>
      <c r="D79" s="139" t="n">
        <f aca="false">C79</f>
        <v>5200</v>
      </c>
      <c r="E79" s="139" t="n">
        <f aca="false">D79</f>
        <v>5200</v>
      </c>
      <c r="F79" s="139" t="n">
        <f aca="false">E79</f>
        <v>5200</v>
      </c>
      <c r="G79" s="139" t="n">
        <f aca="false">F79</f>
        <v>5200</v>
      </c>
      <c r="H79" s="139" t="n">
        <f aca="false">G79</f>
        <v>5200</v>
      </c>
      <c r="I79" s="139" t="n">
        <f aca="false">H79</f>
        <v>5200</v>
      </c>
      <c r="J79" s="139" t="n">
        <f aca="false">I79</f>
        <v>5200</v>
      </c>
      <c r="K79" s="139" t="n">
        <f aca="false">J79</f>
        <v>5200</v>
      </c>
      <c r="L79" s="139" t="n">
        <f aca="false">K79</f>
        <v>5200</v>
      </c>
      <c r="M79" s="139" t="n">
        <f aca="false">L79</f>
        <v>5200</v>
      </c>
      <c r="N79" s="139" t="n">
        <f aca="false">M79</f>
        <v>5200</v>
      </c>
      <c r="P79" s="45" t="s">
        <v>958</v>
      </c>
      <c r="Q79" s="288" t="n">
        <v>5200</v>
      </c>
      <c r="R79" s="139" t="n">
        <f aca="false">Q79</f>
        <v>5200</v>
      </c>
      <c r="S79" s="139" t="n">
        <f aca="false">R79</f>
        <v>5200</v>
      </c>
      <c r="T79" s="139" t="n">
        <f aca="false">S79</f>
        <v>5200</v>
      </c>
      <c r="U79" s="139" t="n">
        <f aca="false">T79</f>
        <v>5200</v>
      </c>
      <c r="V79" s="139" t="n">
        <f aca="false">U79</f>
        <v>5200</v>
      </c>
      <c r="W79" s="139" t="n">
        <f aca="false">V79</f>
        <v>5200</v>
      </c>
      <c r="X79" s="139" t="n">
        <f aca="false">W79</f>
        <v>5200</v>
      </c>
      <c r="Y79" s="139" t="n">
        <f aca="false">X79</f>
        <v>5200</v>
      </c>
      <c r="Z79" s="139" t="n">
        <f aca="false">Y79</f>
        <v>5200</v>
      </c>
      <c r="AA79" s="139" t="n">
        <f aca="false">Z79</f>
        <v>5200</v>
      </c>
      <c r="AB79" s="139" t="n">
        <f aca="false">AA79</f>
        <v>5200</v>
      </c>
      <c r="AD79" s="45" t="s">
        <v>958</v>
      </c>
      <c r="AE79" s="288" t="n">
        <v>5200</v>
      </c>
      <c r="AF79" s="139" t="n">
        <f aca="false">AE79</f>
        <v>5200</v>
      </c>
      <c r="AG79" s="139" t="n">
        <f aca="false">AF79</f>
        <v>5200</v>
      </c>
      <c r="AH79" s="139" t="n">
        <f aca="false">AG79</f>
        <v>5200</v>
      </c>
      <c r="AI79" s="139" t="n">
        <f aca="false">AH79</f>
        <v>5200</v>
      </c>
      <c r="AJ79" s="139" t="n">
        <f aca="false">AI79</f>
        <v>5200</v>
      </c>
      <c r="AK79" s="139" t="n">
        <f aca="false">AJ79</f>
        <v>5200</v>
      </c>
      <c r="AL79" s="139" t="n">
        <f aca="false">AK79</f>
        <v>5200</v>
      </c>
      <c r="AM79" s="139" t="n">
        <f aca="false">AL79</f>
        <v>5200</v>
      </c>
      <c r="AN79" s="139" t="n">
        <f aca="false">AM79</f>
        <v>5200</v>
      </c>
      <c r="AO79" s="139" t="n">
        <f aca="false">AN79</f>
        <v>5200</v>
      </c>
      <c r="AP79" s="139" t="n">
        <f aca="false">AO79</f>
        <v>5200</v>
      </c>
    </row>
    <row r="80" customFormat="false" ht="13.8" hidden="false" customHeight="false" outlineLevel="0" collapsed="false">
      <c r="A80" s="289"/>
      <c r="B80" s="285" t="s">
        <v>66</v>
      </c>
      <c r="C80" s="143" t="n">
        <f aca="false">SUM(C78:C79)</f>
        <v>13700</v>
      </c>
      <c r="D80" s="143" t="n">
        <f aca="false">SUM(D78:D79)</f>
        <v>13700</v>
      </c>
      <c r="E80" s="143" t="n">
        <f aca="false">SUM(E78:E79)</f>
        <v>13700</v>
      </c>
      <c r="F80" s="143" t="n">
        <f aca="false">SUM(F78:F79)</f>
        <v>13700</v>
      </c>
      <c r="G80" s="143" t="n">
        <f aca="false">SUM(G78:G79)</f>
        <v>13700</v>
      </c>
      <c r="H80" s="143" t="n">
        <f aca="false">SUM(H78:H79)</f>
        <v>13700</v>
      </c>
      <c r="I80" s="143" t="n">
        <f aca="false">SUM(I78:I79)</f>
        <v>13700</v>
      </c>
      <c r="J80" s="143" t="n">
        <f aca="false">SUM(J78:J79)</f>
        <v>13700</v>
      </c>
      <c r="K80" s="143" t="n">
        <f aca="false">SUM(K78:K79)</f>
        <v>13700</v>
      </c>
      <c r="L80" s="143" t="n">
        <f aca="false">SUM(L78:L79)</f>
        <v>13700</v>
      </c>
      <c r="M80" s="143" t="n">
        <f aca="false">SUM(M78:M79)</f>
        <v>13700</v>
      </c>
      <c r="N80" s="143" t="n">
        <f aca="false">SUM(N78:N79)</f>
        <v>13700</v>
      </c>
      <c r="O80" s="289"/>
      <c r="P80" s="289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89"/>
      <c r="AD80" s="289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</row>
    <row r="81" customFormat="false" ht="13.8" hidden="false" customHeight="false" outlineLevel="0" collapsed="false"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</row>
    <row r="82" customFormat="false" ht="13.2" hidden="false" customHeight="false" outlineLevel="0" collapsed="false">
      <c r="A82" s="141" t="s">
        <v>959</v>
      </c>
      <c r="B82" s="291" t="s">
        <v>960</v>
      </c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P82" s="144" t="s">
        <v>961</v>
      </c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D82" s="144" t="s">
        <v>961</v>
      </c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</row>
    <row r="83" customFormat="false" ht="13.2" hidden="false" customHeight="false" outlineLevel="0" collapsed="false">
      <c r="A83" s="137" t="s">
        <v>962</v>
      </c>
      <c r="B83" s="45" t="s">
        <v>963</v>
      </c>
      <c r="C83" s="138" t="n">
        <v>5800</v>
      </c>
      <c r="D83" s="139" t="n">
        <f aca="false">C83</f>
        <v>5800</v>
      </c>
      <c r="E83" s="139" t="n">
        <f aca="false">D83</f>
        <v>5800</v>
      </c>
      <c r="F83" s="139" t="n">
        <f aca="false">E83</f>
        <v>5800</v>
      </c>
      <c r="G83" s="139" t="n">
        <f aca="false">F83</f>
        <v>5800</v>
      </c>
      <c r="H83" s="139" t="n">
        <f aca="false">G83</f>
        <v>5800</v>
      </c>
      <c r="I83" s="139" t="n">
        <f aca="false">H83</f>
        <v>5800</v>
      </c>
      <c r="J83" s="139" t="n">
        <f aca="false">I83</f>
        <v>5800</v>
      </c>
      <c r="K83" s="139" t="n">
        <f aca="false">J83</f>
        <v>5800</v>
      </c>
      <c r="L83" s="139" t="n">
        <f aca="false">K83</f>
        <v>5800</v>
      </c>
      <c r="M83" s="139" t="n">
        <f aca="false">L83</f>
        <v>5800</v>
      </c>
      <c r="N83" s="139" t="n">
        <f aca="false">M83</f>
        <v>5800</v>
      </c>
      <c r="P83" s="293" t="s">
        <v>964</v>
      </c>
      <c r="Q83" s="288" t="n">
        <v>5800</v>
      </c>
      <c r="R83" s="139" t="n">
        <f aca="false">Q83</f>
        <v>5800</v>
      </c>
      <c r="S83" s="139" t="n">
        <f aca="false">R83</f>
        <v>5800</v>
      </c>
      <c r="T83" s="139" t="n">
        <f aca="false">S83</f>
        <v>5800</v>
      </c>
      <c r="U83" s="139" t="n">
        <f aca="false">T83</f>
        <v>5800</v>
      </c>
      <c r="V83" s="139" t="n">
        <f aca="false">U83</f>
        <v>5800</v>
      </c>
      <c r="W83" s="139" t="n">
        <f aca="false">V83</f>
        <v>5800</v>
      </c>
      <c r="X83" s="139" t="n">
        <f aca="false">W83</f>
        <v>5800</v>
      </c>
      <c r="Y83" s="139" t="n">
        <f aca="false">X83</f>
        <v>5800</v>
      </c>
      <c r="Z83" s="139" t="n">
        <f aca="false">Y83</f>
        <v>5800</v>
      </c>
      <c r="AA83" s="139" t="n">
        <f aca="false">Z83</f>
        <v>5800</v>
      </c>
      <c r="AB83" s="139" t="n">
        <f aca="false">AA83</f>
        <v>5800</v>
      </c>
      <c r="AD83" s="293" t="s">
        <v>964</v>
      </c>
      <c r="AE83" s="288" t="n">
        <v>5800</v>
      </c>
      <c r="AF83" s="139" t="n">
        <f aca="false">AE83</f>
        <v>5800</v>
      </c>
      <c r="AG83" s="139" t="n">
        <f aca="false">AF83</f>
        <v>5800</v>
      </c>
      <c r="AH83" s="139" t="n">
        <f aca="false">AG83</f>
        <v>5800</v>
      </c>
      <c r="AI83" s="139" t="n">
        <f aca="false">AH83</f>
        <v>5800</v>
      </c>
      <c r="AJ83" s="139" t="n">
        <f aca="false">AI83</f>
        <v>5800</v>
      </c>
      <c r="AK83" s="139" t="n">
        <f aca="false">AJ83</f>
        <v>5800</v>
      </c>
      <c r="AL83" s="139" t="n">
        <f aca="false">AK83</f>
        <v>5800</v>
      </c>
      <c r="AM83" s="139" t="n">
        <f aca="false">AL83</f>
        <v>5800</v>
      </c>
      <c r="AN83" s="139" t="n">
        <f aca="false">AM83</f>
        <v>5800</v>
      </c>
      <c r="AO83" s="139" t="n">
        <f aca="false">AN83</f>
        <v>5800</v>
      </c>
      <c r="AP83" s="139" t="n">
        <f aca="false">AO83</f>
        <v>5800</v>
      </c>
    </row>
    <row r="84" customFormat="false" ht="13.2" hidden="false" customHeight="false" outlineLevel="0" collapsed="false">
      <c r="A84" s="137" t="s">
        <v>965</v>
      </c>
      <c r="B84" s="45" t="s">
        <v>966</v>
      </c>
      <c r="C84" s="138" t="n">
        <v>2100</v>
      </c>
      <c r="D84" s="139" t="n">
        <f aca="false">C84</f>
        <v>2100</v>
      </c>
      <c r="E84" s="139" t="n">
        <f aca="false">D84</f>
        <v>2100</v>
      </c>
      <c r="F84" s="139" t="n">
        <f aca="false">E84</f>
        <v>2100</v>
      </c>
      <c r="G84" s="139" t="n">
        <f aca="false">F84</f>
        <v>2100</v>
      </c>
      <c r="H84" s="139" t="n">
        <f aca="false">G84</f>
        <v>2100</v>
      </c>
      <c r="I84" s="139" t="n">
        <f aca="false">H84</f>
        <v>2100</v>
      </c>
      <c r="J84" s="139" t="n">
        <f aca="false">I84</f>
        <v>2100</v>
      </c>
      <c r="K84" s="139" t="n">
        <f aca="false">J84</f>
        <v>2100</v>
      </c>
      <c r="L84" s="139" t="n">
        <f aca="false">K84</f>
        <v>2100</v>
      </c>
      <c r="M84" s="139" t="n">
        <f aca="false">L84</f>
        <v>2100</v>
      </c>
      <c r="N84" s="139" t="n">
        <f aca="false">M84</f>
        <v>2100</v>
      </c>
      <c r="P84" s="293" t="s">
        <v>967</v>
      </c>
      <c r="Q84" s="288" t="n">
        <v>2100</v>
      </c>
      <c r="R84" s="139" t="n">
        <f aca="false">Q84</f>
        <v>2100</v>
      </c>
      <c r="S84" s="139" t="n">
        <f aca="false">R84</f>
        <v>2100</v>
      </c>
      <c r="T84" s="139" t="n">
        <f aca="false">S84</f>
        <v>2100</v>
      </c>
      <c r="U84" s="139" t="n">
        <f aca="false">T84</f>
        <v>2100</v>
      </c>
      <c r="V84" s="139" t="n">
        <f aca="false">U84</f>
        <v>2100</v>
      </c>
      <c r="W84" s="139" t="n">
        <f aca="false">V84</f>
        <v>2100</v>
      </c>
      <c r="X84" s="139" t="n">
        <f aca="false">W84</f>
        <v>2100</v>
      </c>
      <c r="Y84" s="139" t="n">
        <f aca="false">X84</f>
        <v>2100</v>
      </c>
      <c r="Z84" s="139" t="n">
        <f aca="false">Y84</f>
        <v>2100</v>
      </c>
      <c r="AA84" s="139" t="n">
        <f aca="false">Z84</f>
        <v>2100</v>
      </c>
      <c r="AB84" s="139" t="n">
        <f aca="false">AA84</f>
        <v>2100</v>
      </c>
      <c r="AD84" s="293" t="s">
        <v>967</v>
      </c>
      <c r="AE84" s="288" t="n">
        <v>2100</v>
      </c>
      <c r="AF84" s="139" t="n">
        <f aca="false">AE84</f>
        <v>2100</v>
      </c>
      <c r="AG84" s="139" t="n">
        <f aca="false">AF84</f>
        <v>2100</v>
      </c>
      <c r="AH84" s="139" t="n">
        <f aca="false">AG84</f>
        <v>2100</v>
      </c>
      <c r="AI84" s="139" t="n">
        <f aca="false">AH84</f>
        <v>2100</v>
      </c>
      <c r="AJ84" s="139" t="n">
        <f aca="false">AI84</f>
        <v>2100</v>
      </c>
      <c r="AK84" s="139" t="n">
        <f aca="false">AJ84</f>
        <v>2100</v>
      </c>
      <c r="AL84" s="139" t="n">
        <f aca="false">AK84</f>
        <v>2100</v>
      </c>
      <c r="AM84" s="139" t="n">
        <f aca="false">AL84</f>
        <v>2100</v>
      </c>
      <c r="AN84" s="139" t="n">
        <f aca="false">AM84</f>
        <v>2100</v>
      </c>
      <c r="AO84" s="139" t="n">
        <f aca="false">AN84</f>
        <v>2100</v>
      </c>
      <c r="AP84" s="139" t="n">
        <f aca="false">AO84</f>
        <v>2100</v>
      </c>
    </row>
    <row r="85" customFormat="false" ht="13.8" hidden="false" customHeight="false" outlineLevel="0" collapsed="false">
      <c r="A85" s="141"/>
      <c r="B85" s="285" t="s">
        <v>66</v>
      </c>
      <c r="C85" s="142" t="n">
        <f aca="false">SUM(C83:C84)</f>
        <v>7900</v>
      </c>
      <c r="D85" s="142" t="n">
        <f aca="false">SUM(D83:D84)</f>
        <v>7900</v>
      </c>
      <c r="E85" s="142" t="n">
        <f aca="false">SUM(E83:E84)</f>
        <v>7900</v>
      </c>
      <c r="F85" s="142" t="n">
        <f aca="false">SUM(F83:F84)</f>
        <v>7900</v>
      </c>
      <c r="G85" s="142" t="n">
        <f aca="false">SUM(G83:G84)</f>
        <v>7900</v>
      </c>
      <c r="H85" s="142" t="n">
        <f aca="false">SUM(H83:H84)</f>
        <v>7900</v>
      </c>
      <c r="I85" s="142" t="n">
        <f aca="false">SUM(I83:I84)</f>
        <v>7900</v>
      </c>
      <c r="J85" s="142" t="n">
        <f aca="false">SUM(J83:J84)</f>
        <v>7900</v>
      </c>
      <c r="K85" s="142" t="n">
        <f aca="false">SUM(K83:K84)</f>
        <v>7900</v>
      </c>
      <c r="L85" s="142" t="n">
        <f aca="false">SUM(L83:L84)</f>
        <v>7900</v>
      </c>
      <c r="M85" s="142" t="n">
        <f aca="false">SUM(M83:M84)</f>
        <v>7900</v>
      </c>
      <c r="N85" s="142" t="n">
        <f aca="false">SUM(N83:N84)</f>
        <v>7900</v>
      </c>
      <c r="O85" s="289"/>
      <c r="P85" s="294"/>
      <c r="Q85" s="295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89"/>
      <c r="AD85" s="294"/>
      <c r="AE85" s="295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</row>
    <row r="86" customFormat="false" ht="13.8" hidden="false" customHeight="false" outlineLevel="0" collapsed="false"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</row>
    <row r="87" customFormat="false" ht="13.2" hidden="false" customHeight="false" outlineLevel="0" collapsed="false">
      <c r="B87" s="26" t="s">
        <v>968</v>
      </c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</row>
    <row r="88" customFormat="false" ht="13.8" hidden="false" customHeight="false" outlineLevel="0" collapsed="false">
      <c r="A88" s="141" t="s">
        <v>969</v>
      </c>
      <c r="B88" s="296" t="s">
        <v>970</v>
      </c>
      <c r="C88" s="143" t="n">
        <v>9000</v>
      </c>
      <c r="D88" s="143" t="n">
        <f aca="false">C88</f>
        <v>9000</v>
      </c>
      <c r="E88" s="143" t="n">
        <f aca="false">D88</f>
        <v>9000</v>
      </c>
      <c r="F88" s="143" t="n">
        <f aca="false">E88</f>
        <v>9000</v>
      </c>
      <c r="G88" s="143" t="n">
        <f aca="false">F88</f>
        <v>9000</v>
      </c>
      <c r="H88" s="143" t="n">
        <f aca="false">G88</f>
        <v>9000</v>
      </c>
      <c r="I88" s="143" t="n">
        <f aca="false">H88</f>
        <v>9000</v>
      </c>
      <c r="J88" s="143" t="n">
        <f aca="false">I88</f>
        <v>9000</v>
      </c>
      <c r="K88" s="143" t="n">
        <f aca="false">J88</f>
        <v>9000</v>
      </c>
      <c r="L88" s="143" t="n">
        <f aca="false">K88</f>
        <v>9000</v>
      </c>
      <c r="M88" s="143" t="n">
        <f aca="false">L88</f>
        <v>9000</v>
      </c>
      <c r="N88" s="143" t="n">
        <f aca="false">M88</f>
        <v>9000</v>
      </c>
      <c r="O88" s="289"/>
      <c r="P88" s="144" t="s">
        <v>971</v>
      </c>
      <c r="Q88" s="292" t="n">
        <v>9000</v>
      </c>
      <c r="R88" s="292" t="n">
        <f aca="false">Q88</f>
        <v>9000</v>
      </c>
      <c r="S88" s="292" t="n">
        <f aca="false">R88</f>
        <v>9000</v>
      </c>
      <c r="T88" s="292" t="n">
        <f aca="false">S88</f>
        <v>9000</v>
      </c>
      <c r="U88" s="292" t="n">
        <f aca="false">T88</f>
        <v>9000</v>
      </c>
      <c r="V88" s="292" t="n">
        <f aca="false">U88</f>
        <v>9000</v>
      </c>
      <c r="W88" s="292" t="n">
        <f aca="false">V88</f>
        <v>9000</v>
      </c>
      <c r="X88" s="292" t="n">
        <f aca="false">W88</f>
        <v>9000</v>
      </c>
      <c r="Y88" s="292" t="n">
        <f aca="false">X88</f>
        <v>9000</v>
      </c>
      <c r="Z88" s="292" t="n">
        <f aca="false">Y88</f>
        <v>9000</v>
      </c>
      <c r="AA88" s="292" t="n">
        <f aca="false">Z88</f>
        <v>9000</v>
      </c>
      <c r="AB88" s="292" t="n">
        <f aca="false">AA88</f>
        <v>9000</v>
      </c>
      <c r="AC88" s="289"/>
      <c r="AD88" s="144" t="s">
        <v>971</v>
      </c>
      <c r="AE88" s="292" t="n">
        <v>9000</v>
      </c>
      <c r="AF88" s="292" t="n">
        <f aca="false">AE88</f>
        <v>9000</v>
      </c>
      <c r="AG88" s="292" t="n">
        <f aca="false">AF88</f>
        <v>9000</v>
      </c>
      <c r="AH88" s="292" t="n">
        <f aca="false">AG88</f>
        <v>9000</v>
      </c>
      <c r="AI88" s="292" t="n">
        <f aca="false">AH88</f>
        <v>9000</v>
      </c>
      <c r="AJ88" s="292" t="n">
        <f aca="false">AI88</f>
        <v>9000</v>
      </c>
      <c r="AK88" s="292" t="n">
        <f aca="false">AJ88</f>
        <v>9000</v>
      </c>
      <c r="AL88" s="292" t="n">
        <f aca="false">AK88</f>
        <v>9000</v>
      </c>
      <c r="AM88" s="292" t="n">
        <f aca="false">AL88</f>
        <v>9000</v>
      </c>
      <c r="AN88" s="292" t="n">
        <f aca="false">AM88</f>
        <v>9000</v>
      </c>
      <c r="AO88" s="292" t="n">
        <f aca="false">AN88</f>
        <v>9000</v>
      </c>
      <c r="AP88" s="292" t="n">
        <f aca="false">AO88</f>
        <v>9000</v>
      </c>
    </row>
    <row r="89" customFormat="false" ht="13.8" hidden="false" customHeight="false" outlineLevel="0" collapsed="false"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</row>
    <row r="90" customFormat="false" ht="13.2" hidden="false" customHeight="false" outlineLevel="0" collapsed="false"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</row>
    <row r="91" customFormat="false" ht="13.2" hidden="false" customHeight="false" outlineLevel="0" collapsed="false"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</row>
    <row r="92" customFormat="false" ht="13.2" hidden="false" customHeight="false" outlineLevel="0" collapsed="false"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</row>
    <row r="93" customFormat="false" ht="13.2" hidden="false" customHeight="false" outlineLevel="0" collapsed="false"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pageBreakPreview" topLeftCell="B6" colorId="64" zoomScale="75" zoomScaleNormal="100" zoomScalePageLayoutView="75" workbookViewId="0">
      <selection pane="topLeft" activeCell="B27" activeCellId="0" sqref="B27"/>
    </sheetView>
  </sheetViews>
  <sheetFormatPr defaultColWidth="8.875" defaultRowHeight="13.2" customHeight="true" zeroHeight="false" outlineLevelRow="0" outlineLevelCol="0"/>
  <cols>
    <col collapsed="false" customWidth="false" hidden="false" outlineLevel="0" max="1" min="1" style="19" width="8.87"/>
    <col collapsed="false" customWidth="true" hidden="false" outlineLevel="0" max="2" min="2" style="19" width="39.87"/>
    <col collapsed="false" customWidth="true" hidden="false" outlineLevel="0" max="3" min="3" style="19" width="11.32"/>
    <col collapsed="false" customWidth="true" hidden="false" outlineLevel="0" max="4" min="4" style="19" width="10.32"/>
    <col collapsed="false" customWidth="true" hidden="false" outlineLevel="0" max="6" min="5" style="19" width="9.43"/>
    <col collapsed="false" customWidth="true" hidden="false" outlineLevel="0" max="7" min="7" style="19" width="12.99"/>
    <col collapsed="false" customWidth="true" hidden="false" outlineLevel="0" max="8" min="8" style="19" width="15.32"/>
    <col collapsed="false" customWidth="false" hidden="false" outlineLevel="0" max="257" min="9" style="19" width="8.87"/>
  </cols>
  <sheetData>
    <row r="1" customFormat="false" ht="13.2" hidden="false" customHeight="false" outlineLevel="0" collapsed="false">
      <c r="A1" s="21" t="s">
        <v>32</v>
      </c>
    </row>
    <row r="2" customFormat="false" ht="21" hidden="false" customHeight="false" outlineLevel="0" collapsed="false">
      <c r="A2" s="198" t="s">
        <v>972</v>
      </c>
    </row>
    <row r="3" customFormat="false" ht="21" hidden="false" customHeight="false" outlineLevel="0" collapsed="false">
      <c r="A3" s="198"/>
    </row>
    <row r="4" customFormat="false" ht="22.95" hidden="false" customHeight="true" outlineLevel="0" collapsed="false"/>
    <row r="5" customFormat="false" ht="13.2" hidden="false" customHeight="false" outlineLevel="0" collapsed="false">
      <c r="A5" s="297" t="s">
        <v>973</v>
      </c>
      <c r="B5" s="298" t="s">
        <v>974</v>
      </c>
      <c r="C5" s="299" t="s">
        <v>975</v>
      </c>
      <c r="D5" s="299"/>
      <c r="E5" s="300" t="s">
        <v>976</v>
      </c>
      <c r="F5" s="300"/>
      <c r="G5" s="301" t="s">
        <v>977</v>
      </c>
      <c r="H5" s="301"/>
      <c r="I5" s="299" t="s">
        <v>978</v>
      </c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  <c r="IW5" s="204"/>
    </row>
    <row r="6" customFormat="false" ht="13.8" hidden="false" customHeight="false" outlineLevel="0" collapsed="false">
      <c r="A6" s="297"/>
      <c r="B6" s="298"/>
      <c r="C6" s="299"/>
      <c r="D6" s="299"/>
      <c r="E6" s="302" t="s">
        <v>441</v>
      </c>
      <c r="F6" s="303" t="s">
        <v>170</v>
      </c>
      <c r="G6" s="302" t="s">
        <v>441</v>
      </c>
      <c r="H6" s="304" t="s">
        <v>170</v>
      </c>
      <c r="I6" s="299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  <c r="IW6" s="204"/>
    </row>
    <row r="7" customFormat="false" ht="13.2" hidden="false" customHeight="false" outlineLevel="0" collapsed="false">
      <c r="A7" s="305" t="s">
        <v>391</v>
      </c>
      <c r="B7" s="306" t="s">
        <v>979</v>
      </c>
      <c r="C7" s="307"/>
      <c r="D7" s="308"/>
      <c r="E7" s="309"/>
      <c r="F7" s="310"/>
      <c r="G7" s="311" t="n">
        <f aca="false">SUM(G8)</f>
        <v>17920</v>
      </c>
      <c r="H7" s="312" t="n">
        <f aca="false">SUM(H8)</f>
        <v>16000</v>
      </c>
      <c r="I7" s="313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  <c r="IW7" s="204"/>
    </row>
    <row r="8" customFormat="false" ht="13.2" hidden="false" customHeight="false" outlineLevel="0" collapsed="false">
      <c r="A8" s="314" t="s">
        <v>980</v>
      </c>
      <c r="B8" s="315" t="s">
        <v>981</v>
      </c>
      <c r="C8" s="316" t="n">
        <v>1</v>
      </c>
      <c r="D8" s="317" t="s">
        <v>982</v>
      </c>
      <c r="E8" s="318"/>
      <c r="F8" s="319" t="n">
        <v>16000</v>
      </c>
      <c r="G8" s="318" t="n">
        <f aca="false">H8/$G$24</f>
        <v>17920</v>
      </c>
      <c r="H8" s="320" t="n">
        <f aca="false">C8*F8</f>
        <v>16000</v>
      </c>
      <c r="I8" s="321" t="s">
        <v>983</v>
      </c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  <c r="IW8" s="204"/>
    </row>
    <row r="9" customFormat="false" ht="13.2" hidden="false" customHeight="false" outlineLevel="0" collapsed="false">
      <c r="A9" s="305" t="s">
        <v>984</v>
      </c>
      <c r="B9" s="306" t="s">
        <v>985</v>
      </c>
      <c r="C9" s="322"/>
      <c r="D9" s="323"/>
      <c r="E9" s="318"/>
      <c r="F9" s="319"/>
      <c r="G9" s="324" t="n">
        <f aca="false">SUM(G10:G11)</f>
        <v>28560</v>
      </c>
      <c r="H9" s="325" t="n">
        <f aca="false">SUM(H10:H11)</f>
        <v>25500</v>
      </c>
      <c r="I9" s="321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  <c r="IW9" s="204"/>
    </row>
    <row r="10" customFormat="false" ht="13.2" hidden="false" customHeight="false" outlineLevel="0" collapsed="false">
      <c r="A10" s="326" t="s">
        <v>980</v>
      </c>
      <c r="B10" s="327" t="s">
        <v>986</v>
      </c>
      <c r="C10" s="328" t="n">
        <v>1</v>
      </c>
      <c r="D10" s="323" t="s">
        <v>982</v>
      </c>
      <c r="E10" s="318"/>
      <c r="F10" s="319" t="n">
        <v>20500</v>
      </c>
      <c r="G10" s="318" t="n">
        <f aca="false">H10/$G$24</f>
        <v>22960</v>
      </c>
      <c r="H10" s="320" t="n">
        <f aca="false">F10</f>
        <v>20500</v>
      </c>
      <c r="I10" s="321" t="s">
        <v>987</v>
      </c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  <c r="IW10" s="204"/>
    </row>
    <row r="11" customFormat="false" ht="13.2" hidden="false" customHeight="false" outlineLevel="0" collapsed="false">
      <c r="A11" s="326" t="s">
        <v>988</v>
      </c>
      <c r="B11" s="327" t="s">
        <v>989</v>
      </c>
      <c r="C11" s="328" t="n">
        <v>1</v>
      </c>
      <c r="D11" s="323" t="s">
        <v>982</v>
      </c>
      <c r="E11" s="318"/>
      <c r="F11" s="319" t="n">
        <v>5000</v>
      </c>
      <c r="G11" s="318" t="n">
        <f aca="false">H11/$G$24</f>
        <v>5600</v>
      </c>
      <c r="H11" s="320" t="n">
        <f aca="false">F11</f>
        <v>5000</v>
      </c>
      <c r="I11" s="321" t="s">
        <v>987</v>
      </c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  <c r="IW11" s="204"/>
    </row>
    <row r="12" customFormat="false" ht="13.2" hidden="false" customHeight="false" outlineLevel="0" collapsed="false">
      <c r="A12" s="305" t="s">
        <v>990</v>
      </c>
      <c r="B12" s="306" t="s">
        <v>991</v>
      </c>
      <c r="C12" s="329"/>
      <c r="D12" s="330"/>
      <c r="E12" s="318"/>
      <c r="F12" s="319"/>
      <c r="G12" s="324" t="n">
        <f aca="false">SUM(G13,G14)</f>
        <v>55000</v>
      </c>
      <c r="H12" s="325" t="n">
        <f aca="false">SUM(H13,H14)</f>
        <v>49107.1428571429</v>
      </c>
      <c r="I12" s="321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  <c r="IW12" s="204"/>
    </row>
    <row r="13" customFormat="false" ht="13.2" hidden="false" customHeight="false" outlineLevel="0" collapsed="false">
      <c r="A13" s="331" t="s">
        <v>980</v>
      </c>
      <c r="B13" s="332" t="s">
        <v>992</v>
      </c>
      <c r="C13" s="328" t="n">
        <v>1</v>
      </c>
      <c r="D13" s="323" t="s">
        <v>982</v>
      </c>
      <c r="E13" s="318" t="n">
        <v>5000</v>
      </c>
      <c r="F13" s="319"/>
      <c r="G13" s="318" t="n">
        <f aca="false">E13*C13</f>
        <v>5000</v>
      </c>
      <c r="H13" s="320" t="n">
        <f aca="false">G13*$G$24</f>
        <v>4464.28571428571</v>
      </c>
      <c r="I13" s="321" t="s">
        <v>987</v>
      </c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  <c r="IW13" s="204"/>
    </row>
    <row r="14" customFormat="false" ht="13.2" hidden="false" customHeight="false" outlineLevel="0" collapsed="false">
      <c r="A14" s="331" t="s">
        <v>988</v>
      </c>
      <c r="B14" s="332" t="s">
        <v>993</v>
      </c>
      <c r="C14" s="328" t="n">
        <v>1</v>
      </c>
      <c r="D14" s="323" t="s">
        <v>982</v>
      </c>
      <c r="E14" s="318" t="n">
        <v>50000</v>
      </c>
      <c r="F14" s="319"/>
      <c r="G14" s="318" t="n">
        <f aca="false">E14*C14</f>
        <v>50000</v>
      </c>
      <c r="H14" s="320" t="n">
        <f aca="false">G14*$G$24</f>
        <v>44642.8571428571</v>
      </c>
      <c r="I14" s="321" t="s">
        <v>983</v>
      </c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  <c r="IW14" s="204"/>
    </row>
    <row r="15" customFormat="false" ht="13.2" hidden="false" customHeight="false" outlineLevel="0" collapsed="false">
      <c r="A15" s="333" t="s">
        <v>994</v>
      </c>
      <c r="B15" s="334" t="s">
        <v>995</v>
      </c>
      <c r="C15" s="329"/>
      <c r="D15" s="330"/>
      <c r="E15" s="318"/>
      <c r="F15" s="319"/>
      <c r="G15" s="324" t="n">
        <f aca="false">SUM(G16:G18)</f>
        <v>153156.64</v>
      </c>
      <c r="H15" s="325" t="n">
        <f aca="false">SUM(H16:H18)</f>
        <v>136747</v>
      </c>
      <c r="I15" s="321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  <c r="IW15" s="204"/>
    </row>
    <row r="16" customFormat="false" ht="13.2" hidden="false" customHeight="false" outlineLevel="0" collapsed="false">
      <c r="A16" s="331" t="s">
        <v>980</v>
      </c>
      <c r="B16" s="335" t="s">
        <v>996</v>
      </c>
      <c r="C16" s="328" t="n">
        <v>5</v>
      </c>
      <c r="D16" s="323" t="s">
        <v>997</v>
      </c>
      <c r="E16" s="336"/>
      <c r="F16" s="337"/>
      <c r="G16" s="318" t="n">
        <f aca="false">H16/$G$24</f>
        <v>42095.2</v>
      </c>
      <c r="H16" s="338" t="n">
        <v>37585</v>
      </c>
      <c r="I16" s="321" t="s">
        <v>998</v>
      </c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  <c r="IW16" s="204"/>
    </row>
    <row r="17" customFormat="false" ht="13.2" hidden="false" customHeight="false" outlineLevel="0" collapsed="false">
      <c r="A17" s="331" t="s">
        <v>988</v>
      </c>
      <c r="B17" s="335" t="s">
        <v>999</v>
      </c>
      <c r="C17" s="328" t="n">
        <v>8</v>
      </c>
      <c r="D17" s="323" t="s">
        <v>997</v>
      </c>
      <c r="E17" s="336"/>
      <c r="F17" s="337"/>
      <c r="G17" s="318" t="n">
        <f aca="false">H17/$G$24</f>
        <v>99861.44</v>
      </c>
      <c r="H17" s="338" t="n">
        <v>89162</v>
      </c>
      <c r="I17" s="321" t="s">
        <v>998</v>
      </c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  <c r="IW17" s="204"/>
    </row>
    <row r="18" customFormat="false" ht="13.2" hidden="false" customHeight="false" outlineLevel="0" collapsed="false">
      <c r="A18" s="331" t="s">
        <v>1000</v>
      </c>
      <c r="B18" s="335" t="s">
        <v>1001</v>
      </c>
      <c r="C18" s="316"/>
      <c r="D18" s="317"/>
      <c r="E18" s="336"/>
      <c r="F18" s="337"/>
      <c r="G18" s="318" t="n">
        <f aca="false">H18/$G$24</f>
        <v>11200</v>
      </c>
      <c r="H18" s="320" t="n">
        <v>10000</v>
      </c>
      <c r="I18" s="321" t="s">
        <v>998</v>
      </c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  <c r="IW18" s="204"/>
    </row>
    <row r="19" customFormat="false" ht="13.2" hidden="false" customHeight="false" outlineLevel="0" collapsed="false">
      <c r="A19" s="339" t="s">
        <v>398</v>
      </c>
      <c r="B19" s="340" t="s">
        <v>1002</v>
      </c>
      <c r="C19" s="328"/>
      <c r="D19" s="323"/>
      <c r="E19" s="318"/>
      <c r="F19" s="319"/>
      <c r="G19" s="341" t="n">
        <f aca="false">SUM(G20)</f>
        <v>5600</v>
      </c>
      <c r="H19" s="342" t="n">
        <f aca="false">SUM(H20)</f>
        <v>5000</v>
      </c>
      <c r="I19" s="343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  <c r="IW19" s="204"/>
    </row>
    <row r="20" customFormat="false" ht="13.8" hidden="false" customHeight="false" outlineLevel="0" collapsed="false">
      <c r="A20" s="331" t="s">
        <v>980</v>
      </c>
      <c r="B20" s="335" t="s">
        <v>1003</v>
      </c>
      <c r="C20" s="316" t="n">
        <v>1</v>
      </c>
      <c r="D20" s="317" t="s">
        <v>1004</v>
      </c>
      <c r="E20" s="336"/>
      <c r="F20" s="337" t="n">
        <v>5000</v>
      </c>
      <c r="G20" s="336" t="n">
        <f aca="false">H20/$G$24</f>
        <v>5600</v>
      </c>
      <c r="H20" s="338" t="n">
        <f aca="false">C20*F20</f>
        <v>5000</v>
      </c>
      <c r="I20" s="344" t="s">
        <v>987</v>
      </c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  <c r="IW20" s="204"/>
    </row>
    <row r="21" customFormat="false" ht="13.8" hidden="false" customHeight="false" outlineLevel="0" collapsed="false">
      <c r="A21" s="345"/>
      <c r="B21" s="346" t="s">
        <v>138</v>
      </c>
      <c r="C21" s="346"/>
      <c r="D21" s="346"/>
      <c r="E21" s="346"/>
      <c r="F21" s="346"/>
      <c r="G21" s="347" t="n">
        <f aca="false">G7+G9+G12+G15+G19</f>
        <v>260236.64</v>
      </c>
      <c r="H21" s="347" t="n">
        <f aca="false">H7+H9+H12+H15+H19</f>
        <v>232354.142857143</v>
      </c>
      <c r="I21" s="348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  <c r="IW21" s="204"/>
    </row>
    <row r="22" customFormat="false" ht="13.2" hidden="false" customHeight="false" outlineLevel="0" collapsed="false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  <c r="IW22" s="204"/>
    </row>
    <row r="23" customFormat="false" ht="13.2" hidden="true" customHeight="false" outlineLevel="0" collapsed="false">
      <c r="A23" s="204"/>
      <c r="B23" s="204"/>
      <c r="C23" s="204"/>
      <c r="D23" s="204"/>
      <c r="E23" s="204"/>
      <c r="F23" s="349" t="s">
        <v>1005</v>
      </c>
      <c r="G23" s="350" t="n">
        <v>4.2</v>
      </c>
      <c r="H23" s="204" t="s">
        <v>1006</v>
      </c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  <c r="IW23" s="204"/>
    </row>
    <row r="24" customFormat="false" ht="13.2" hidden="true" customHeight="false" outlineLevel="0" collapsed="false">
      <c r="A24" s="204"/>
      <c r="B24" s="204"/>
      <c r="C24" s="204"/>
      <c r="D24" s="204"/>
      <c r="E24" s="204"/>
      <c r="F24" s="204"/>
      <c r="G24" s="350" t="n">
        <f aca="false">3.75/G23</f>
        <v>0.892857142857143</v>
      </c>
      <c r="H24" s="204" t="s">
        <v>1007</v>
      </c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  <c r="IW24" s="204"/>
    </row>
    <row r="25" customFormat="false" ht="13.2" hidden="true" customHeight="false" outlineLevel="0" collapsed="false">
      <c r="A25" s="204"/>
      <c r="B25" s="204"/>
      <c r="C25" s="204"/>
      <c r="D25" s="204"/>
      <c r="E25" s="204"/>
      <c r="F25" s="204"/>
      <c r="G25" s="350" t="n">
        <f aca="false">5.9/G23</f>
        <v>1.4047619047619</v>
      </c>
      <c r="H25" s="204" t="s">
        <v>1008</v>
      </c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  <c r="IW25" s="204"/>
    </row>
    <row r="29" customFormat="false" ht="13.2" hidden="false" customHeight="false" outlineLevel="0" collapsed="false">
      <c r="B29" s="37" t="s">
        <v>41</v>
      </c>
      <c r="C29" s="37" t="s">
        <v>42</v>
      </c>
      <c r="D29" s="37" t="s">
        <v>43</v>
      </c>
      <c r="E29" s="37" t="s">
        <v>44</v>
      </c>
      <c r="F29" s="37" t="s">
        <v>45</v>
      </c>
      <c r="G29" s="37" t="s">
        <v>46</v>
      </c>
      <c r="H29" s="37" t="s">
        <v>47</v>
      </c>
      <c r="I29" s="37" t="s">
        <v>48</v>
      </c>
      <c r="J29" s="37" t="s">
        <v>49</v>
      </c>
      <c r="K29" s="37" t="s">
        <v>50</v>
      </c>
      <c r="L29" s="37" t="s">
        <v>51</v>
      </c>
      <c r="M29" s="37" t="s">
        <v>52</v>
      </c>
    </row>
    <row r="30" customFormat="false" ht="13.8" hidden="false" customHeight="false" outlineLevel="0" collapsed="false">
      <c r="A30" s="351" t="s">
        <v>138</v>
      </c>
      <c r="B30" s="351" t="n">
        <f aca="false">H16+H17+H18</f>
        <v>136747</v>
      </c>
      <c r="C30" s="351" t="n">
        <v>0</v>
      </c>
      <c r="D30" s="351" t="n">
        <f aca="false">H10+H11+H20+H13</f>
        <v>34964.2857142857</v>
      </c>
      <c r="E30" s="351" t="n">
        <v>0</v>
      </c>
      <c r="F30" s="351" t="n">
        <v>0</v>
      </c>
      <c r="G30" s="351" t="n">
        <f aca="false">H8+H14</f>
        <v>60642.8571428571</v>
      </c>
      <c r="H30" s="351" t="n">
        <v>0</v>
      </c>
      <c r="I30" s="351" t="n">
        <v>0</v>
      </c>
      <c r="J30" s="351" t="n">
        <v>0</v>
      </c>
      <c r="K30" s="351" t="n">
        <v>0</v>
      </c>
      <c r="L30" s="351" t="n">
        <v>0</v>
      </c>
      <c r="M30" s="351" t="n">
        <v>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</row>
    <row r="31" customFormat="false" ht="13.8" hidden="false" customHeight="false" outlineLevel="0" collapsed="false"/>
  </sheetData>
  <mergeCells count="6">
    <mergeCell ref="A5:A6"/>
    <mergeCell ref="B5:B6"/>
    <mergeCell ref="C5:D6"/>
    <mergeCell ref="E5:F5"/>
    <mergeCell ref="G5:H5"/>
    <mergeCell ref="I5:I6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P7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I22" activeCellId="0" sqref="I2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2" width="9.33"/>
    <col collapsed="false" customWidth="true" hidden="false" outlineLevel="0" max="2" min="2" style="2" width="10.32"/>
    <col collapsed="false" customWidth="true" hidden="false" outlineLevel="0" max="15" min="15" style="2" width="24.66"/>
  </cols>
  <sheetData>
    <row r="1" customFormat="false" ht="13.2" hidden="false" customHeight="false" outlineLevel="0" collapsed="false">
      <c r="B1" s="7" t="s">
        <v>32</v>
      </c>
    </row>
    <row r="2" customFormat="false" ht="21" hidden="false" customHeight="false" outlineLevel="0" collapsed="false">
      <c r="B2" s="6" t="s">
        <v>1009</v>
      </c>
    </row>
    <row r="4" customFormat="false" ht="51.6" hidden="false" customHeight="true" outlineLevel="0" collapsed="false"/>
    <row r="5" customFormat="false" ht="13.2" hidden="false" customHeight="false" outlineLevel="0" collapsed="false"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</row>
    <row r="6" customFormat="false" ht="13.8" hidden="false" customHeight="false" outlineLevel="0" collapsed="false">
      <c r="B6" s="144" t="s">
        <v>1010</v>
      </c>
      <c r="C6" s="352" t="n">
        <v>4500</v>
      </c>
      <c r="D6" s="353" t="n">
        <f aca="false">C6</f>
        <v>4500</v>
      </c>
      <c r="E6" s="353" t="n">
        <f aca="false">D6</f>
        <v>4500</v>
      </c>
      <c r="F6" s="353" t="n">
        <f aca="false">E6</f>
        <v>4500</v>
      </c>
      <c r="G6" s="353" t="n">
        <f aca="false">F6</f>
        <v>4500</v>
      </c>
      <c r="H6" s="353" t="n">
        <f aca="false">G6</f>
        <v>4500</v>
      </c>
      <c r="I6" s="353" t="n">
        <f aca="false">H6</f>
        <v>4500</v>
      </c>
      <c r="J6" s="353" t="n">
        <f aca="false">I6</f>
        <v>4500</v>
      </c>
      <c r="K6" s="353" t="n">
        <f aca="false">J6</f>
        <v>4500</v>
      </c>
      <c r="L6" s="353" t="n">
        <f aca="false">K6</f>
        <v>4500</v>
      </c>
      <c r="M6" s="353" t="n">
        <f aca="false">L6</f>
        <v>4500</v>
      </c>
      <c r="N6" s="353" t="n">
        <f aca="false">M6</f>
        <v>4500</v>
      </c>
      <c r="P6" s="45" t="s">
        <v>1011</v>
      </c>
      <c r="Q6" s="288" t="n">
        <v>4500</v>
      </c>
      <c r="R6" s="139" t="n">
        <f aca="false">Q6</f>
        <v>4500</v>
      </c>
      <c r="S6" s="139" t="n">
        <f aca="false">R6</f>
        <v>4500</v>
      </c>
      <c r="T6" s="139" t="n">
        <f aca="false">S6</f>
        <v>4500</v>
      </c>
      <c r="U6" s="139" t="n">
        <f aca="false">T6</f>
        <v>4500</v>
      </c>
      <c r="V6" s="139" t="n">
        <f aca="false">U6</f>
        <v>4500</v>
      </c>
      <c r="W6" s="139" t="n">
        <f aca="false">V6</f>
        <v>4500</v>
      </c>
      <c r="X6" s="139" t="n">
        <f aca="false">W6</f>
        <v>4500</v>
      </c>
      <c r="Y6" s="139" t="n">
        <f aca="false">X6</f>
        <v>4500</v>
      </c>
      <c r="Z6" s="139" t="n">
        <f aca="false">Y6</f>
        <v>4500</v>
      </c>
      <c r="AA6" s="139" t="n">
        <f aca="false">Z6</f>
        <v>4500</v>
      </c>
      <c r="AB6" s="139" t="n">
        <f aca="false">AA6</f>
        <v>4500</v>
      </c>
      <c r="AD6" s="45" t="s">
        <v>1011</v>
      </c>
      <c r="AE6" s="288" t="n">
        <v>4500</v>
      </c>
      <c r="AF6" s="139" t="n">
        <f aca="false">AE6</f>
        <v>4500</v>
      </c>
      <c r="AG6" s="139" t="n">
        <f aca="false">AF6</f>
        <v>4500</v>
      </c>
      <c r="AH6" s="139" t="n">
        <f aca="false">AG6</f>
        <v>4500</v>
      </c>
      <c r="AI6" s="139" t="n">
        <f aca="false">AH6</f>
        <v>4500</v>
      </c>
      <c r="AJ6" s="139" t="n">
        <f aca="false">AI6</f>
        <v>4500</v>
      </c>
      <c r="AK6" s="139" t="n">
        <f aca="false">AJ6</f>
        <v>4500</v>
      </c>
      <c r="AL6" s="139" t="n">
        <f aca="false">AK6</f>
        <v>4500</v>
      </c>
      <c r="AM6" s="139" t="n">
        <f aca="false">AL6</f>
        <v>4500</v>
      </c>
      <c r="AN6" s="139" t="n">
        <f aca="false">AM6</f>
        <v>4500</v>
      </c>
      <c r="AO6" s="139" t="n">
        <f aca="false">AN6</f>
        <v>4500</v>
      </c>
      <c r="AP6" s="139" t="n">
        <f aca="false">AO6</f>
        <v>4500</v>
      </c>
    </row>
    <row r="7" customFormat="false" ht="13.8" hidden="false" customHeight="false" outlineLevel="0" collapsed="false"/>
  </sheetData>
  <printOptions headings="false" gridLines="false" gridLinesSet="true" horizontalCentered="false" verticalCentered="false"/>
  <pageMargins left="0.590277777777778" right="0.39375" top="0.39375" bottom="0.393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655"/>
  <sheetViews>
    <sheetView showFormulas="false" showGridLines="true" showRowColHeaders="true" showZeros="true" rightToLeft="false" tabSelected="true" showOutlineSymbols="true" defaultGridColor="true" view="pageBreakPreview" topLeftCell="G32" colorId="64" zoomScale="75" zoomScaleNormal="75" zoomScalePageLayoutView="75" workbookViewId="0">
      <selection pane="topLeft" activeCell="P50" activeCellId="0" sqref="P50"/>
    </sheetView>
  </sheetViews>
  <sheetFormatPr defaultColWidth="9.0546875" defaultRowHeight="13.2" customHeight="true" zeroHeight="false" outlineLevelRow="0" outlineLevelCol="0"/>
  <cols>
    <col collapsed="false" customWidth="true" hidden="true" outlineLevel="0" max="1" min="1" style="2" width="8.43"/>
    <col collapsed="false" customWidth="true" hidden="false" outlineLevel="0" max="2" min="2" style="280" width="37.55"/>
    <col collapsed="false" customWidth="true" hidden="false" outlineLevel="0" max="3" min="3" style="2" width="11.66"/>
    <col collapsed="false" customWidth="true" hidden="false" outlineLevel="0" max="5" min="4" style="2" width="11.55"/>
    <col collapsed="false" customWidth="true" hidden="false" outlineLevel="0" max="6" min="6" style="2" width="12.32"/>
    <col collapsed="false" customWidth="true" hidden="false" outlineLevel="0" max="7" min="7" style="2" width="12.88"/>
    <col collapsed="false" customWidth="true" hidden="false" outlineLevel="0" max="9" min="8" style="2" width="12.66"/>
    <col collapsed="false" customWidth="true" hidden="false" outlineLevel="0" max="14" min="10" style="2" width="12.55"/>
    <col collapsed="false" customWidth="true" hidden="false" outlineLevel="0" max="15" min="15" style="2" width="13.87"/>
    <col collapsed="false" customWidth="true" hidden="false" outlineLevel="0" max="16" min="16" style="2" width="44.66"/>
    <col collapsed="false" customWidth="true" hidden="false" outlineLevel="0" max="17" min="17" style="2" width="2.88"/>
    <col collapsed="false" customWidth="true" hidden="false" outlineLevel="0" max="18" min="18" style="2" width="14.55"/>
    <col collapsed="false" customWidth="true" hidden="false" outlineLevel="0" max="29" min="19" style="2" width="11.55"/>
    <col collapsed="false" customWidth="true" hidden="false" outlineLevel="0" max="30" min="30" style="2" width="12.66"/>
    <col collapsed="false" customWidth="true" hidden="false" outlineLevel="0" max="32" min="32" style="2" width="3.43"/>
    <col collapsed="false" customWidth="true" hidden="false" outlineLevel="0" max="44" min="33" style="2" width="11.55"/>
    <col collapsed="false" customWidth="true" hidden="false" outlineLevel="0" max="45" min="45" style="2" width="12.66"/>
  </cols>
  <sheetData>
    <row r="1" customFormat="false" ht="17.4" hidden="false" customHeight="true" outlineLevel="0" collapsed="false">
      <c r="B1" s="26" t="s">
        <v>32</v>
      </c>
    </row>
    <row r="2" customFormat="false" ht="19.2" hidden="false" customHeight="true" outlineLevel="0" collapsed="false">
      <c r="B2" s="147" t="s">
        <v>1012</v>
      </c>
    </row>
    <row r="4" customFormat="false" ht="17.4" hidden="false" customHeight="false" outlineLevel="0" collapsed="false">
      <c r="B4" s="281" t="str">
        <f aca="false">'P&amp;L$'!B5</f>
        <v>SALES</v>
      </c>
      <c r="R4" s="287" t="s">
        <v>1013</v>
      </c>
      <c r="AG4" s="287" t="s">
        <v>1014</v>
      </c>
    </row>
    <row r="5" customFormat="false" ht="13.2" hidden="false" customHeight="false" outlineLevel="0" collapsed="false"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206" t="s">
        <v>66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50</v>
      </c>
      <c r="AB5" s="8" t="s">
        <v>51</v>
      </c>
      <c r="AC5" s="8" t="s">
        <v>52</v>
      </c>
      <c r="AD5" s="206" t="s">
        <v>66</v>
      </c>
      <c r="AG5" s="8" t="s">
        <v>41</v>
      </c>
      <c r="AH5" s="8" t="s">
        <v>42</v>
      </c>
      <c r="AI5" s="8" t="s">
        <v>43</v>
      </c>
      <c r="AJ5" s="8" t="s">
        <v>44</v>
      </c>
      <c r="AK5" s="8" t="s">
        <v>45</v>
      </c>
      <c r="AL5" s="8" t="s">
        <v>46</v>
      </c>
      <c r="AM5" s="8" t="s">
        <v>47</v>
      </c>
      <c r="AN5" s="8" t="s">
        <v>48</v>
      </c>
      <c r="AO5" s="8" t="s">
        <v>49</v>
      </c>
      <c r="AP5" s="8" t="s">
        <v>50</v>
      </c>
      <c r="AQ5" s="8" t="s">
        <v>51</v>
      </c>
      <c r="AR5" s="8" t="s">
        <v>52</v>
      </c>
      <c r="AS5" s="206" t="s">
        <v>66</v>
      </c>
    </row>
    <row r="6" customFormat="false" ht="13.2" hidden="false" customHeight="false" outlineLevel="0" collapsed="false">
      <c r="A6" s="137" t="s">
        <v>1015</v>
      </c>
      <c r="B6" s="280" t="s">
        <v>1016</v>
      </c>
      <c r="C6" s="139" t="n">
        <f aca="false">Sales!B12</f>
        <v>13639555.3408333</v>
      </c>
      <c r="D6" s="139" t="n">
        <f aca="false">Sales!C12</f>
        <v>12909225.7408333</v>
      </c>
      <c r="E6" s="139" t="n">
        <f aca="false">Sales!D12</f>
        <v>13488547.3408333</v>
      </c>
      <c r="F6" s="139" t="n">
        <f aca="false">Sales!E12</f>
        <v>12826857.7408333</v>
      </c>
      <c r="G6" s="139" t="n">
        <f aca="false">Sales!F12</f>
        <v>12843331.3408333</v>
      </c>
      <c r="H6" s="139" t="n">
        <f aca="false">Sales!G12</f>
        <v>12700560.1408333</v>
      </c>
      <c r="I6" s="139" t="n">
        <f aca="false">Sales!H12</f>
        <v>16138271.9508333</v>
      </c>
      <c r="J6" s="139" t="n">
        <f aca="false">Sales!I12</f>
        <v>15835643.4708333</v>
      </c>
      <c r="K6" s="139" t="n">
        <f aca="false">Sales!J12</f>
        <v>15664592.5908333</v>
      </c>
      <c r="L6" s="139" t="n">
        <f aca="false">Sales!K12</f>
        <v>16819186.0308333</v>
      </c>
      <c r="M6" s="139" t="n">
        <f aca="false">Sales!L12</f>
        <v>15924458.3508333</v>
      </c>
      <c r="N6" s="139" t="n">
        <f aca="false">Sales!M12</f>
        <v>16095509.2308333</v>
      </c>
      <c r="O6" s="139" t="n">
        <f aca="false">SUM(C6:N6)</f>
        <v>174885739.27</v>
      </c>
      <c r="R6" s="139" t="n">
        <f aca="false">Sales!Q12</f>
        <v>14624872.8504667</v>
      </c>
      <c r="S6" s="139" t="n">
        <f aca="false">Sales!R12</f>
        <v>13825354.1304667</v>
      </c>
      <c r="T6" s="139" t="n">
        <f aca="false">Sales!S12</f>
        <v>14447836.5624667</v>
      </c>
      <c r="U6" s="139" t="n">
        <f aca="false">Sales!T12</f>
        <v>13459859.8584667</v>
      </c>
      <c r="V6" s="139" t="n">
        <f aca="false">Sales!U12</f>
        <v>13608341.9064667</v>
      </c>
      <c r="W6" s="139" t="n">
        <f aca="false">Sales!V12</f>
        <v>11358267.7944667</v>
      </c>
      <c r="X6" s="139" t="n">
        <f aca="false">Sales!W12</f>
        <v>16941169.6384667</v>
      </c>
      <c r="Y6" s="139" t="n">
        <f aca="false">Sales!X12</f>
        <v>16448543.1040667</v>
      </c>
      <c r="Z6" s="139" t="n">
        <f aca="false">Sales!Y12</f>
        <v>14956979.4304667</v>
      </c>
      <c r="AA6" s="139" t="n">
        <f aca="false">Sales!Z12</f>
        <v>18042737.3056667</v>
      </c>
      <c r="AB6" s="139" t="n">
        <f aca="false">Sales!AA12</f>
        <v>17016432.0256667</v>
      </c>
      <c r="AC6" s="139" t="n">
        <f aca="false">Sales!AB12</f>
        <v>17618531.1232667</v>
      </c>
      <c r="AD6" s="139" t="n">
        <f aca="false">SUM(R6:AC6)</f>
        <v>182348925.7304</v>
      </c>
      <c r="AG6" s="139" t="n">
        <f aca="false">Sales!AF12</f>
        <v>14933336.3267747</v>
      </c>
      <c r="AH6" s="139" t="n">
        <f aca="false">Sales!AG12</f>
        <v>14449056.4163747</v>
      </c>
      <c r="AI6" s="139" t="n">
        <f aca="false">Sales!AH12</f>
        <v>15272332.2640547</v>
      </c>
      <c r="AJ6" s="139" t="n">
        <f aca="false">Sales!AI12</f>
        <v>14140327.9734947</v>
      </c>
      <c r="AK6" s="139" t="n">
        <f aca="false">Sales!AJ12</f>
        <v>13547085.0832547</v>
      </c>
      <c r="AL6" s="139" t="n">
        <f aca="false">Sales!AK12</f>
        <v>13843706.5283747</v>
      </c>
      <c r="AM6" s="139" t="n">
        <f aca="false">Sales!AL12</f>
        <v>17624022.1804227</v>
      </c>
      <c r="AN6" s="139" t="n">
        <f aca="false">Sales!AM12</f>
        <v>17624022.1804227</v>
      </c>
      <c r="AO6" s="139" t="n">
        <f aca="false">Sales!AN12</f>
        <v>17435455.6903107</v>
      </c>
      <c r="AP6" s="139" t="n">
        <f aca="false">Sales!AO12</f>
        <v>18218731.8800067</v>
      </c>
      <c r="AQ6" s="139" t="n">
        <f aca="false">Sales!AP12</f>
        <v>17827093.7851587</v>
      </c>
      <c r="AR6" s="139" t="n">
        <f aca="false">Sales!AQ12</f>
        <v>18624875.0894787</v>
      </c>
      <c r="AS6" s="139" t="n">
        <f aca="false">SUM(AG6:AR6)</f>
        <v>193540045.398128</v>
      </c>
    </row>
    <row r="7" customFormat="false" ht="13.2" hidden="false" customHeight="false" outlineLevel="0" collapsed="false">
      <c r="A7" s="137" t="s">
        <v>1017</v>
      </c>
      <c r="B7" s="280" t="s">
        <v>1018</v>
      </c>
      <c r="C7" s="139" t="n">
        <f aca="false">Sales!B59</f>
        <v>1994890.48288502</v>
      </c>
      <c r="D7" s="139" t="n">
        <f aca="false">Sales!C59</f>
        <v>1835089.61364705</v>
      </c>
      <c r="E7" s="139" t="n">
        <f aca="false">Sales!D59</f>
        <v>1775228.81047083</v>
      </c>
      <c r="F7" s="139" t="n">
        <f aca="false">Sales!E59</f>
        <v>1574835.95499467</v>
      </c>
      <c r="G7" s="139" t="n">
        <f aca="false">Sales!F59</f>
        <v>1149913.78318157</v>
      </c>
      <c r="H7" s="139" t="n">
        <f aca="false">Sales!G59</f>
        <v>1117174.36309237</v>
      </c>
      <c r="I7" s="139" t="n">
        <f aca="false">Sales!H59</f>
        <v>1160823.5861838</v>
      </c>
      <c r="J7" s="139" t="n">
        <f aca="false">Sales!I59</f>
        <v>1164649.0380978</v>
      </c>
      <c r="K7" s="139" t="n">
        <f aca="false">Sales!J59</f>
        <v>1293266.69805534</v>
      </c>
      <c r="L7" s="139" t="n">
        <f aca="false">Sales!K59</f>
        <v>1604115.24543738</v>
      </c>
      <c r="M7" s="139" t="n">
        <f aca="false">Sales!L59</f>
        <v>1757705.57807879</v>
      </c>
      <c r="N7" s="139" t="n">
        <f aca="false">Sales!M59</f>
        <v>1935222.06809276</v>
      </c>
      <c r="O7" s="139" t="n">
        <f aca="false">SUM(C7:N7)</f>
        <v>18362915.2222174</v>
      </c>
      <c r="R7" s="139" t="n">
        <f aca="false">Sales!Q59</f>
        <v>2067199.46257857</v>
      </c>
      <c r="S7" s="139" t="n">
        <f aca="false">Sales!R59</f>
        <v>1906640.25781707</v>
      </c>
      <c r="T7" s="139" t="n">
        <f aca="false">Sales!S59</f>
        <v>1849419.07165759</v>
      </c>
      <c r="U7" s="139" t="n">
        <f aca="false">Sales!T59</f>
        <v>1636599.00096245</v>
      </c>
      <c r="V7" s="139" t="n">
        <f aca="false">Sales!U59</f>
        <v>1199802.61325756</v>
      </c>
      <c r="W7" s="139" t="n">
        <f aca="false">Sales!V59</f>
        <v>1168948.43521677</v>
      </c>
      <c r="X7" s="139" t="n">
        <f aca="false">Sales!W59</f>
        <v>1221212.79780153</v>
      </c>
      <c r="Y7" s="139" t="n">
        <f aca="false">Sales!X59</f>
        <v>1228452.44849843</v>
      </c>
      <c r="Z7" s="139" t="n">
        <f aca="false">Sales!Y59</f>
        <v>1366291.89076712</v>
      </c>
      <c r="AA7" s="139" t="n">
        <f aca="false">Sales!Z59</f>
        <v>1696238.32919015</v>
      </c>
      <c r="AB7" s="139" t="n">
        <f aca="false">Sales!AA59</f>
        <v>1862369.76452623</v>
      </c>
      <c r="AC7" s="139" t="n">
        <f aca="false">Sales!AB59</f>
        <v>2054583.02516658</v>
      </c>
      <c r="AD7" s="139" t="n">
        <f aca="false">SUM(R7:AC7)</f>
        <v>19257757.09744</v>
      </c>
      <c r="AG7" s="139" t="n">
        <f aca="false">Sales!AF59</f>
        <v>2170559.43570749</v>
      </c>
      <c r="AH7" s="139" t="n">
        <f aca="false">Sales!AG59</f>
        <v>2001972.27070793</v>
      </c>
      <c r="AI7" s="139" t="n">
        <f aca="false">Sales!AH59</f>
        <v>1941890.02524047</v>
      </c>
      <c r="AJ7" s="139" t="n">
        <f aca="false">Sales!AI59</f>
        <v>1718428.95101057</v>
      </c>
      <c r="AK7" s="139" t="n">
        <f aca="false">Sales!AJ59</f>
        <v>1259792.74392044</v>
      </c>
      <c r="AL7" s="139" t="n">
        <f aca="false">Sales!AK59</f>
        <v>1227395.85697761</v>
      </c>
      <c r="AM7" s="139" t="n">
        <f aca="false">Sales!AL59</f>
        <v>1282273.43769161</v>
      </c>
      <c r="AN7" s="139" t="n">
        <f aca="false">Sales!AM59</f>
        <v>1289875.07092335</v>
      </c>
      <c r="AO7" s="139" t="n">
        <f aca="false">Sales!AN59</f>
        <v>1434606.48530547</v>
      </c>
      <c r="AP7" s="139" t="n">
        <f aca="false">Sales!AO59</f>
        <v>1781050.24564965</v>
      </c>
      <c r="AQ7" s="139" t="n">
        <f aca="false">Sales!AP59</f>
        <v>1955488.25275255</v>
      </c>
      <c r="AR7" s="139" t="n">
        <f aca="false">Sales!AQ59</f>
        <v>2157312.17642491</v>
      </c>
      <c r="AS7" s="139" t="n">
        <f aca="false">SUM(AG7:AR7)</f>
        <v>20220644.952312</v>
      </c>
    </row>
    <row r="8" customFormat="false" ht="13.2" hidden="false" customHeight="false" outlineLevel="0" collapsed="false">
      <c r="A8" s="137" t="s">
        <v>1019</v>
      </c>
      <c r="B8" s="280" t="s">
        <v>1020</v>
      </c>
      <c r="C8" s="139" t="n">
        <f aca="false">Sales!B73</f>
        <v>290134.52</v>
      </c>
      <c r="D8" s="139" t="n">
        <f aca="false">Sales!C73</f>
        <v>264785</v>
      </c>
      <c r="E8" s="139" t="n">
        <f aca="false">Sales!D73</f>
        <v>247341.8</v>
      </c>
      <c r="F8" s="139" t="n">
        <f aca="false">Sales!E73</f>
        <v>178175.72</v>
      </c>
      <c r="G8" s="139" t="n">
        <f aca="false">Sales!F73</f>
        <v>80550.68</v>
      </c>
      <c r="H8" s="139" t="n">
        <f aca="false">Sales!G73</f>
        <v>79090.76</v>
      </c>
      <c r="I8" s="139" t="n">
        <f aca="false">Sales!H73</f>
        <v>77517.08</v>
      </c>
      <c r="J8" s="139" t="n">
        <f aca="false">Sales!I73</f>
        <v>77611.88</v>
      </c>
      <c r="K8" s="139" t="n">
        <f aca="false">Sales!J73</f>
        <v>94050.2</v>
      </c>
      <c r="L8" s="139" t="n">
        <f aca="false">Sales!K73</f>
        <v>169890.2</v>
      </c>
      <c r="M8" s="139" t="n">
        <f aca="false">Sales!L73</f>
        <v>198330.2</v>
      </c>
      <c r="N8" s="139" t="n">
        <f aca="false">Sales!M73</f>
        <v>226770.2</v>
      </c>
      <c r="O8" s="139" t="n">
        <f aca="false">SUM(C8:N8)</f>
        <v>1984248.24</v>
      </c>
      <c r="R8" s="139" t="n">
        <f aca="false">Sales!Q73</f>
        <v>290134.52</v>
      </c>
      <c r="S8" s="139" t="n">
        <f aca="false">Sales!R73</f>
        <v>264785</v>
      </c>
      <c r="T8" s="139" t="n">
        <f aca="false">Sales!S73</f>
        <v>247341.8</v>
      </c>
      <c r="U8" s="139" t="n">
        <f aca="false">Sales!T73</f>
        <v>178175.72</v>
      </c>
      <c r="V8" s="139" t="n">
        <f aca="false">Sales!U73</f>
        <v>80550.68</v>
      </c>
      <c r="W8" s="139" t="n">
        <f aca="false">Sales!V73</f>
        <v>79090.76</v>
      </c>
      <c r="X8" s="139" t="n">
        <f aca="false">Sales!W73</f>
        <v>77517.08</v>
      </c>
      <c r="Y8" s="139" t="n">
        <f aca="false">Sales!X73</f>
        <v>77611.88</v>
      </c>
      <c r="Z8" s="139" t="n">
        <f aca="false">Sales!Y73</f>
        <v>150930.2</v>
      </c>
      <c r="AA8" s="139" t="n">
        <f aca="false">Sales!Z73</f>
        <v>247341.8</v>
      </c>
      <c r="AB8" s="139" t="n">
        <f aca="false">Sales!AA73</f>
        <v>264785</v>
      </c>
      <c r="AC8" s="139" t="n">
        <f aca="false">Sales!AB73</f>
        <v>290134.52</v>
      </c>
      <c r="AD8" s="139" t="n">
        <f aca="false">SUM(R8:AC8)</f>
        <v>2248398.96</v>
      </c>
      <c r="AG8" s="139" t="n">
        <f aca="false">Sales!AF73</f>
        <v>290134.52</v>
      </c>
      <c r="AH8" s="139" t="n">
        <f aca="false">Sales!AG73</f>
        <v>264785</v>
      </c>
      <c r="AI8" s="139" t="n">
        <f aca="false">Sales!AH73</f>
        <v>247341.8</v>
      </c>
      <c r="AJ8" s="139" t="n">
        <f aca="false">Sales!AI73</f>
        <v>178175.72</v>
      </c>
      <c r="AK8" s="139" t="n">
        <f aca="false">Sales!AJ73</f>
        <v>80550.68</v>
      </c>
      <c r="AL8" s="139" t="n">
        <f aca="false">Sales!AK73</f>
        <v>79090.76</v>
      </c>
      <c r="AM8" s="139" t="n">
        <f aca="false">Sales!AL73</f>
        <v>77517.08</v>
      </c>
      <c r="AN8" s="139" t="n">
        <f aca="false">Sales!AM73</f>
        <v>77611.88</v>
      </c>
      <c r="AO8" s="139" t="n">
        <f aca="false">Sales!AN73</f>
        <v>150930.2</v>
      </c>
      <c r="AP8" s="139" t="n">
        <f aca="false">Sales!AO73</f>
        <v>247341.8</v>
      </c>
      <c r="AQ8" s="139" t="n">
        <f aca="false">Sales!AP73</f>
        <v>264785</v>
      </c>
      <c r="AR8" s="139" t="n">
        <f aca="false">Sales!AQ73</f>
        <v>290134.52</v>
      </c>
      <c r="AS8" s="139" t="n">
        <f aca="false">SUM(AG8:AR8)</f>
        <v>2248398.96</v>
      </c>
    </row>
    <row r="9" customFormat="false" ht="13.2" hidden="true" customHeight="false" outlineLevel="0" collapsed="false">
      <c r="B9" s="280" t="s">
        <v>1021</v>
      </c>
      <c r="C9" s="139" t="n">
        <f aca="false">Sales!B36</f>
        <v>0</v>
      </c>
      <c r="D9" s="139" t="n">
        <f aca="false">Sales!C36</f>
        <v>0</v>
      </c>
      <c r="E9" s="139" t="n">
        <f aca="false">Sales!D36</f>
        <v>0</v>
      </c>
      <c r="F9" s="139" t="n">
        <f aca="false">Sales!E36</f>
        <v>0</v>
      </c>
      <c r="G9" s="139" t="n">
        <f aca="false">Sales!F36</f>
        <v>0</v>
      </c>
      <c r="H9" s="139" t="n">
        <f aca="false">Sales!G36</f>
        <v>0</v>
      </c>
      <c r="I9" s="139" t="n">
        <f aca="false">Sales!H36</f>
        <v>0</v>
      </c>
      <c r="J9" s="139" t="n">
        <f aca="false">Sales!I36</f>
        <v>0</v>
      </c>
      <c r="K9" s="139" t="n">
        <f aca="false">Sales!J36</f>
        <v>0</v>
      </c>
      <c r="L9" s="139" t="n">
        <f aca="false">Sales!K36</f>
        <v>0</v>
      </c>
      <c r="M9" s="139" t="n">
        <f aca="false">Sales!L36</f>
        <v>0</v>
      </c>
      <c r="N9" s="139" t="n">
        <f aca="false">Sales!M36</f>
        <v>0</v>
      </c>
      <c r="O9" s="139" t="n">
        <f aca="false">SUM(C9:N9)</f>
        <v>0</v>
      </c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</row>
    <row r="10" customFormat="false" ht="13.2" hidden="false" customHeight="false" outlineLevel="0" collapsed="false"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</row>
    <row r="11" customFormat="false" ht="13.2" hidden="false" customHeight="false" outlineLevel="0" collapsed="false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</row>
    <row r="12" customFormat="false" ht="13.8" hidden="false" customHeight="false" outlineLevel="0" collapsed="false">
      <c r="B12" s="285" t="s">
        <v>66</v>
      </c>
      <c r="C12" s="189" t="n">
        <f aca="false">SUM(C6:C9)</f>
        <v>15924580.3437184</v>
      </c>
      <c r="D12" s="189" t="n">
        <f aca="false">SUM(D6:D9)</f>
        <v>15009100.3544804</v>
      </c>
      <c r="E12" s="189" t="n">
        <f aca="false">SUM(E6:E9)</f>
        <v>15511117.9513042</v>
      </c>
      <c r="F12" s="189" t="n">
        <f aca="false">SUM(F6:F9)</f>
        <v>14579869.415828</v>
      </c>
      <c r="G12" s="189" t="n">
        <f aca="false">SUM(G6:G9)</f>
        <v>14073795.8040149</v>
      </c>
      <c r="H12" s="189" t="n">
        <f aca="false">SUM(H6:H9)</f>
        <v>13896825.2639257</v>
      </c>
      <c r="I12" s="189" t="n">
        <f aca="false">SUM(I6:I9)</f>
        <v>17376612.6170171</v>
      </c>
      <c r="J12" s="189" t="n">
        <f aca="false">SUM(J6:J9)</f>
        <v>17077904.3889311</v>
      </c>
      <c r="K12" s="189" t="n">
        <f aca="false">SUM(K6:K9)</f>
        <v>17051909.4888887</v>
      </c>
      <c r="L12" s="189" t="n">
        <f aca="false">SUM(L6:L9)</f>
        <v>18593191.4762707</v>
      </c>
      <c r="M12" s="189" t="n">
        <f aca="false">SUM(M6:M9)</f>
        <v>17880494.1289121</v>
      </c>
      <c r="N12" s="189" t="n">
        <f aca="false">SUM(N6:N9)</f>
        <v>18257501.4989261</v>
      </c>
      <c r="O12" s="189" t="n">
        <f aca="false">SUM(O6:O9)</f>
        <v>195232902.732217</v>
      </c>
      <c r="R12" s="189" t="n">
        <f aca="false">SUM(R6:R9)</f>
        <v>16982206.8330452</v>
      </c>
      <c r="S12" s="189" t="n">
        <f aca="false">SUM(S6:S9)</f>
        <v>15996779.3882837</v>
      </c>
      <c r="T12" s="189" t="n">
        <f aca="false">SUM(T6:T9)</f>
        <v>16544597.4341243</v>
      </c>
      <c r="U12" s="189" t="n">
        <f aca="false">SUM(U6:U9)</f>
        <v>15274634.5794291</v>
      </c>
      <c r="V12" s="189" t="n">
        <f aca="false">SUM(V6:V9)</f>
        <v>14888695.1997242</v>
      </c>
      <c r="W12" s="189" t="n">
        <f aca="false">SUM(W6:W9)</f>
        <v>12606306.9896834</v>
      </c>
      <c r="X12" s="189" t="n">
        <f aca="false">SUM(X6:X9)</f>
        <v>18239899.5162682</v>
      </c>
      <c r="Y12" s="189" t="n">
        <f aca="false">SUM(Y6:Y9)</f>
        <v>17754607.4325651</v>
      </c>
      <c r="Z12" s="189" t="n">
        <f aca="false">SUM(Z6:Z9)</f>
        <v>16474201.5212338</v>
      </c>
      <c r="AA12" s="189" t="n">
        <f aca="false">SUM(AA6:AA9)</f>
        <v>19986317.4348568</v>
      </c>
      <c r="AB12" s="189" t="n">
        <f aca="false">SUM(AB6:AB9)</f>
        <v>19143586.7901929</v>
      </c>
      <c r="AC12" s="189" t="n">
        <f aca="false">SUM(AC6:AC9)</f>
        <v>19963248.6684333</v>
      </c>
      <c r="AD12" s="189" t="n">
        <f aca="false">SUM(AD6:AD9)</f>
        <v>203855081.78784</v>
      </c>
      <c r="AG12" s="189" t="n">
        <f aca="false">SUM(AG6:AG9)</f>
        <v>17394030.2824822</v>
      </c>
      <c r="AH12" s="189" t="n">
        <f aca="false">SUM(AH6:AH9)</f>
        <v>16715813.6870826</v>
      </c>
      <c r="AI12" s="189" t="n">
        <f aca="false">SUM(AI6:AI9)</f>
        <v>17461564.0892951</v>
      </c>
      <c r="AJ12" s="189" t="n">
        <f aca="false">SUM(AJ6:AJ9)</f>
        <v>16036932.6445052</v>
      </c>
      <c r="AK12" s="189" t="n">
        <f aca="false">SUM(AK6:AK9)</f>
        <v>14887428.5071751</v>
      </c>
      <c r="AL12" s="189" t="n">
        <f aca="false">SUM(AL6:AL9)</f>
        <v>15150193.1453523</v>
      </c>
      <c r="AM12" s="189" t="n">
        <f aca="false">SUM(AM6:AM9)</f>
        <v>18983812.6981143</v>
      </c>
      <c r="AN12" s="189" t="n">
        <f aca="false">SUM(AN6:AN9)</f>
        <v>18991509.131346</v>
      </c>
      <c r="AO12" s="189" t="n">
        <f aca="false">SUM(AO6:AO9)</f>
        <v>19020992.3756161</v>
      </c>
      <c r="AP12" s="189" t="n">
        <f aca="false">SUM(AP6:AP9)</f>
        <v>20247123.9256563</v>
      </c>
      <c r="AQ12" s="189" t="n">
        <f aca="false">SUM(AQ6:AQ9)</f>
        <v>20047367.0379112</v>
      </c>
      <c r="AR12" s="189" t="n">
        <f aca="false">SUM(AR6:AR9)</f>
        <v>21072321.7859036</v>
      </c>
      <c r="AS12" s="189" t="n">
        <f aca="false">SUM(AS6:AS9)</f>
        <v>216009089.31044</v>
      </c>
    </row>
    <row r="13" customFormat="false" ht="13.8" hidden="false" customHeight="false" outlineLevel="0" collapsed="false"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</row>
    <row r="14" customFormat="false" ht="13.2" hidden="false" customHeight="false" outlineLevel="0" collapsed="false"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</row>
    <row r="15" customFormat="false" ht="17.4" hidden="false" customHeight="false" outlineLevel="0" collapsed="false">
      <c r="B15" s="281" t="str">
        <f aca="false">'P&amp;L$'!B17</f>
        <v>COSTS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Q15" s="287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F15" s="287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</row>
    <row r="16" customFormat="false" ht="13.2" hidden="false" customHeight="false" outlineLevel="0" collapsed="false">
      <c r="B16" s="354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Q16" s="287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F16" s="287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</row>
    <row r="17" customFormat="false" ht="13.2" hidden="false" customHeight="false" outlineLevel="0" collapsed="false">
      <c r="C17" s="8" t="s">
        <v>41</v>
      </c>
      <c r="D17" s="8" t="s">
        <v>42</v>
      </c>
      <c r="E17" s="8" t="s">
        <v>43</v>
      </c>
      <c r="F17" s="8" t="s">
        <v>44</v>
      </c>
      <c r="G17" s="8" t="s">
        <v>45</v>
      </c>
      <c r="H17" s="8" t="s">
        <v>46</v>
      </c>
      <c r="I17" s="8" t="s">
        <v>47</v>
      </c>
      <c r="J17" s="8" t="s">
        <v>48</v>
      </c>
      <c r="K17" s="8" t="s">
        <v>49</v>
      </c>
      <c r="L17" s="8" t="s">
        <v>50</v>
      </c>
      <c r="M17" s="8" t="s">
        <v>51</v>
      </c>
      <c r="N17" s="8" t="s">
        <v>52</v>
      </c>
      <c r="O17" s="206" t="s">
        <v>66</v>
      </c>
      <c r="R17" s="8" t="s">
        <v>41</v>
      </c>
      <c r="S17" s="8" t="s">
        <v>42</v>
      </c>
      <c r="T17" s="8" t="s">
        <v>43</v>
      </c>
      <c r="U17" s="8" t="s">
        <v>44</v>
      </c>
      <c r="V17" s="8" t="s">
        <v>45</v>
      </c>
      <c r="W17" s="8" t="s">
        <v>46</v>
      </c>
      <c r="X17" s="8" t="s">
        <v>47</v>
      </c>
      <c r="Y17" s="8" t="s">
        <v>48</v>
      </c>
      <c r="Z17" s="8" t="s">
        <v>49</v>
      </c>
      <c r="AA17" s="8" t="s">
        <v>50</v>
      </c>
      <c r="AB17" s="8" t="s">
        <v>51</v>
      </c>
      <c r="AC17" s="8" t="s">
        <v>52</v>
      </c>
      <c r="AD17" s="206" t="s">
        <v>66</v>
      </c>
      <c r="AG17" s="8" t="s">
        <v>41</v>
      </c>
      <c r="AH17" s="8" t="s">
        <v>42</v>
      </c>
      <c r="AI17" s="8" t="s">
        <v>43</v>
      </c>
      <c r="AJ17" s="8" t="s">
        <v>44</v>
      </c>
      <c r="AK17" s="8" t="s">
        <v>45</v>
      </c>
      <c r="AL17" s="8" t="s">
        <v>46</v>
      </c>
      <c r="AM17" s="8" t="s">
        <v>47</v>
      </c>
      <c r="AN17" s="8" t="s">
        <v>48</v>
      </c>
      <c r="AO17" s="8" t="s">
        <v>49</v>
      </c>
      <c r="AP17" s="8" t="s">
        <v>50</v>
      </c>
      <c r="AQ17" s="8" t="s">
        <v>51</v>
      </c>
      <c r="AR17" s="8" t="s">
        <v>52</v>
      </c>
      <c r="AS17" s="206" t="s">
        <v>66</v>
      </c>
    </row>
    <row r="18" customFormat="false" ht="13.2" hidden="false" customHeight="false" outlineLevel="0" collapsed="false">
      <c r="A18" s="141" t="s">
        <v>1022</v>
      </c>
      <c r="B18" s="144" t="str">
        <f aca="false">'P&amp;L$'!B19</f>
        <v>MATERIALS AND ENERGY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Q18" s="144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F18" s="144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</row>
    <row r="19" customFormat="false" ht="13.2" hidden="false" customHeight="false" outlineLevel="0" collapsed="false">
      <c r="A19" s="137" t="s">
        <v>1023</v>
      </c>
      <c r="B19" s="45" t="str">
        <f aca="false">'P&amp;L$'!B20</f>
        <v>Gas</v>
      </c>
      <c r="C19" s="139" t="n">
        <f aca="false">Gas!B13</f>
        <v>10736384.6137806</v>
      </c>
      <c r="D19" s="139" t="n">
        <f aca="false">Gas!C13</f>
        <v>9735387.76091495</v>
      </c>
      <c r="E19" s="139" t="n">
        <f aca="false">Gas!D13</f>
        <v>10576645.1576866</v>
      </c>
      <c r="F19" s="139" t="n">
        <f aca="false">Gas!E13</f>
        <v>9660836.24321878</v>
      </c>
      <c r="G19" s="139" t="n">
        <f aca="false">Gas!F13</f>
        <v>9726206.8759744</v>
      </c>
      <c r="H19" s="139" t="n">
        <f aca="false">Gas!G13</f>
        <v>9528364.41253156</v>
      </c>
      <c r="I19" s="139" t="n">
        <f aca="false">Gas!H13</f>
        <v>10521995.9133315</v>
      </c>
      <c r="J19" s="139" t="n">
        <f aca="false">Gas!I13</f>
        <v>10206371.1330038</v>
      </c>
      <c r="K19" s="139" t="n">
        <f aca="false">Gas!J13</f>
        <v>10002809.200296</v>
      </c>
      <c r="L19" s="139" t="n">
        <f aca="false">Gas!K13</f>
        <v>11376971.6734702</v>
      </c>
      <c r="M19" s="139" t="n">
        <f aca="false">Gas!L13</f>
        <v>10379328.5389707</v>
      </c>
      <c r="N19" s="139" t="n">
        <f aca="false">Gas!M13</f>
        <v>10614375.3481992</v>
      </c>
      <c r="O19" s="139" t="n">
        <f aca="false">SUM(C19:N19)</f>
        <v>123065676.871378</v>
      </c>
      <c r="Q19" s="45"/>
      <c r="R19" s="139" t="n">
        <f aca="false">Gas!Q13</f>
        <v>11259077.3876376</v>
      </c>
      <c r="S19" s="139" t="n">
        <f aca="false">Gas!R13</f>
        <v>10238701.3025691</v>
      </c>
      <c r="T19" s="139" t="n">
        <f aca="false">Gas!S13</f>
        <v>11147096.7866044</v>
      </c>
      <c r="U19" s="139" t="n">
        <f aca="false">Gas!T13</f>
        <v>10308547.5791611</v>
      </c>
      <c r="V19" s="139" t="n">
        <f aca="false">Gas!U13</f>
        <v>10409284.9987581</v>
      </c>
      <c r="W19" s="139" t="n">
        <f aca="false">Gas!V13</f>
        <v>10227568.3396302</v>
      </c>
      <c r="X19" s="139" t="n">
        <f aca="false">Gas!W13</f>
        <v>10995242.9656418</v>
      </c>
      <c r="Y19" s="139" t="n">
        <f aca="false">Gas!X13</f>
        <v>10692770.7291241</v>
      </c>
      <c r="Z19" s="139" t="n">
        <f aca="false">Gas!Y13</f>
        <v>10502815.0482968</v>
      </c>
      <c r="AA19" s="139" t="n">
        <f aca="false">Gas!Z13</f>
        <v>12065649.923294</v>
      </c>
      <c r="AB19" s="139" t="n">
        <f aca="false">Gas!AA13</f>
        <v>11241895.950474</v>
      </c>
      <c r="AC19" s="139" t="n">
        <f aca="false">Gas!AB13</f>
        <v>11524811.8085021</v>
      </c>
      <c r="AD19" s="139" t="n">
        <f aca="false">SUM(R19:AC19)</f>
        <v>130613462.819693</v>
      </c>
      <c r="AF19" s="45"/>
      <c r="AG19" s="139" t="n">
        <f aca="false">Gas!AF13</f>
        <v>11822031.2570195</v>
      </c>
      <c r="AH19" s="139" t="n">
        <f aca="false">Gas!AG13</f>
        <v>10750636.3676975</v>
      </c>
      <c r="AI19" s="139" t="n">
        <f aca="false">Gas!AH13</f>
        <v>11704451.6259347</v>
      </c>
      <c r="AJ19" s="139" t="n">
        <f aca="false">Gas!AI13</f>
        <v>10823974.9581191</v>
      </c>
      <c r="AK19" s="139" t="n">
        <f aca="false">Gas!AJ13</f>
        <v>10929749.248696</v>
      </c>
      <c r="AL19" s="139" t="n">
        <f aca="false">Gas!AK13</f>
        <v>10738946.7566118</v>
      </c>
      <c r="AM19" s="139" t="n">
        <f aca="false">Gas!AL13</f>
        <v>11545005.1139238</v>
      </c>
      <c r="AN19" s="139" t="n">
        <f aca="false">Gas!AM13</f>
        <v>11227409.2655803</v>
      </c>
      <c r="AO19" s="139" t="n">
        <f aca="false">Gas!AN13</f>
        <v>11027955.8007117</v>
      </c>
      <c r="AP19" s="139" t="n">
        <f aca="false">Gas!AO13</f>
        <v>12668932.4194587</v>
      </c>
      <c r="AQ19" s="139" t="n">
        <f aca="false">Gas!AP13</f>
        <v>11803990.7479977</v>
      </c>
      <c r="AR19" s="139" t="n">
        <f aca="false">Gas!AQ13</f>
        <v>12101052.3989272</v>
      </c>
      <c r="AS19" s="139" t="n">
        <f aca="false">SUM(AG19:AR19)</f>
        <v>137144135.960678</v>
      </c>
    </row>
    <row r="20" customFormat="false" ht="13.2" hidden="false" customHeight="false" outlineLevel="0" collapsed="false">
      <c r="A20" s="137" t="s">
        <v>172</v>
      </c>
      <c r="B20" s="45" t="str">
        <f aca="false">'P&amp;L$'!B21</f>
        <v>Fuel Oil</v>
      </c>
      <c r="C20" s="139" t="n">
        <f aca="false">Materials!C7</f>
        <v>29358</v>
      </c>
      <c r="D20" s="139" t="n">
        <f aca="false">Materials!D7</f>
        <v>29358</v>
      </c>
      <c r="E20" s="139" t="n">
        <f aca="false">Materials!E7</f>
        <v>29358</v>
      </c>
      <c r="F20" s="139" t="n">
        <f aca="false">Materials!F7</f>
        <v>29358</v>
      </c>
      <c r="G20" s="139" t="n">
        <f aca="false">Materials!G7</f>
        <v>29358</v>
      </c>
      <c r="H20" s="139" t="n">
        <f aca="false">Materials!H7</f>
        <v>29358</v>
      </c>
      <c r="I20" s="139" t="n">
        <f aca="false">Materials!I7</f>
        <v>29358</v>
      </c>
      <c r="J20" s="139" t="n">
        <f aca="false">Materials!J7</f>
        <v>29358</v>
      </c>
      <c r="K20" s="139" t="n">
        <f aca="false">Materials!K7</f>
        <v>29358</v>
      </c>
      <c r="L20" s="139" t="n">
        <f aca="false">Materials!L7</f>
        <v>29358</v>
      </c>
      <c r="M20" s="139" t="n">
        <f aca="false">Materials!M7</f>
        <v>29358</v>
      </c>
      <c r="N20" s="139" t="n">
        <f aca="false">Materials!N7</f>
        <v>29358</v>
      </c>
      <c r="O20" s="139" t="n">
        <f aca="false">SUM(C20:N20)</f>
        <v>352296</v>
      </c>
      <c r="Q20" s="45"/>
      <c r="R20" s="139" t="n">
        <f aca="false">Materials!R7</f>
        <v>36442</v>
      </c>
      <c r="S20" s="139" t="n">
        <f aca="false">Materials!S7</f>
        <v>36442</v>
      </c>
      <c r="T20" s="139" t="n">
        <f aca="false">Materials!T7</f>
        <v>36442</v>
      </c>
      <c r="U20" s="139" t="n">
        <f aca="false">Materials!U7</f>
        <v>36442</v>
      </c>
      <c r="V20" s="139" t="n">
        <f aca="false">Materials!V7</f>
        <v>36442</v>
      </c>
      <c r="W20" s="139" t="n">
        <f aca="false">Materials!W7</f>
        <v>36442</v>
      </c>
      <c r="X20" s="139" t="n">
        <f aca="false">Materials!X7</f>
        <v>36442</v>
      </c>
      <c r="Y20" s="139" t="n">
        <f aca="false">Materials!Y7</f>
        <v>36442</v>
      </c>
      <c r="Z20" s="139" t="n">
        <f aca="false">Materials!Z7</f>
        <v>36442</v>
      </c>
      <c r="AA20" s="139" t="n">
        <f aca="false">Materials!AA7</f>
        <v>36442</v>
      </c>
      <c r="AB20" s="139" t="n">
        <f aca="false">Materials!AB7</f>
        <v>36442</v>
      </c>
      <c r="AC20" s="139" t="n">
        <f aca="false">Materials!AC7</f>
        <v>36442</v>
      </c>
      <c r="AD20" s="139" t="n">
        <f aca="false">SUM(R20:AC20)</f>
        <v>437304</v>
      </c>
      <c r="AF20" s="45"/>
      <c r="AG20" s="139" t="n">
        <f aca="false">Materials!AG7</f>
        <v>36442</v>
      </c>
      <c r="AH20" s="139" t="n">
        <f aca="false">Materials!AH7</f>
        <v>36442</v>
      </c>
      <c r="AI20" s="139" t="n">
        <f aca="false">Materials!AI7</f>
        <v>36442</v>
      </c>
      <c r="AJ20" s="139" t="n">
        <f aca="false">Materials!AJ7</f>
        <v>36442</v>
      </c>
      <c r="AK20" s="139" t="n">
        <f aca="false">Materials!AK7</f>
        <v>36442</v>
      </c>
      <c r="AL20" s="139" t="n">
        <f aca="false">Materials!AL7</f>
        <v>36442</v>
      </c>
      <c r="AM20" s="139" t="n">
        <f aca="false">Materials!AM7</f>
        <v>36442</v>
      </c>
      <c r="AN20" s="139" t="n">
        <f aca="false">Materials!AN7</f>
        <v>36442</v>
      </c>
      <c r="AO20" s="139" t="n">
        <f aca="false">Materials!AO7</f>
        <v>36442</v>
      </c>
      <c r="AP20" s="139" t="n">
        <f aca="false">Materials!AP7</f>
        <v>36442</v>
      </c>
      <c r="AQ20" s="139" t="n">
        <f aca="false">Materials!AQ7</f>
        <v>36442</v>
      </c>
      <c r="AR20" s="139" t="n">
        <f aca="false">Materials!AR7</f>
        <v>36442</v>
      </c>
      <c r="AS20" s="139" t="n">
        <f aca="false">SUM(AG20:AR20)</f>
        <v>437304</v>
      </c>
    </row>
    <row r="21" customFormat="false" ht="13.2" hidden="false" customHeight="false" outlineLevel="0" collapsed="false">
      <c r="A21" s="137" t="s">
        <v>190</v>
      </c>
      <c r="B21" s="45" t="str">
        <f aca="false">'P&amp;L$'!B22</f>
        <v>Electricity</v>
      </c>
      <c r="C21" s="139" t="n">
        <f aca="false">Materials!C13</f>
        <v>36443.45</v>
      </c>
      <c r="D21" s="139" t="n">
        <f aca="false">Materials!D13</f>
        <v>36443.45</v>
      </c>
      <c r="E21" s="139" t="n">
        <f aca="false">Materials!E13</f>
        <v>36443.45</v>
      </c>
      <c r="F21" s="139" t="n">
        <f aca="false">Materials!F13</f>
        <v>36443.45</v>
      </c>
      <c r="G21" s="139" t="n">
        <f aca="false">Materials!G13</f>
        <v>36443.45</v>
      </c>
      <c r="H21" s="139" t="n">
        <f aca="false">Materials!H13</f>
        <v>36443.45</v>
      </c>
      <c r="I21" s="139" t="n">
        <f aca="false">Materials!I13</f>
        <v>36443.45</v>
      </c>
      <c r="J21" s="139" t="n">
        <f aca="false">Materials!J13</f>
        <v>36443.45</v>
      </c>
      <c r="K21" s="139" t="n">
        <f aca="false">Materials!K13</f>
        <v>36443.45</v>
      </c>
      <c r="L21" s="139" t="n">
        <f aca="false">Materials!L13</f>
        <v>36443.45</v>
      </c>
      <c r="M21" s="139" t="n">
        <f aca="false">Materials!M13</f>
        <v>36443.45</v>
      </c>
      <c r="N21" s="139" t="n">
        <f aca="false">Materials!N13</f>
        <v>36443.45</v>
      </c>
      <c r="O21" s="139" t="n">
        <f aca="false">SUM(C21:N21)</f>
        <v>437321.4</v>
      </c>
      <c r="Q21" s="45"/>
      <c r="R21" s="139" t="n">
        <f aca="false">Materials!R13</f>
        <v>36443.45</v>
      </c>
      <c r="S21" s="139" t="n">
        <f aca="false">Materials!S13</f>
        <v>36443.45</v>
      </c>
      <c r="T21" s="139" t="n">
        <f aca="false">Materials!T13</f>
        <v>36443.45</v>
      </c>
      <c r="U21" s="139" t="n">
        <f aca="false">Materials!U13</f>
        <v>36443.45</v>
      </c>
      <c r="V21" s="139" t="n">
        <f aca="false">Materials!V13</f>
        <v>36443.45</v>
      </c>
      <c r="W21" s="139" t="n">
        <f aca="false">Materials!W13</f>
        <v>36443.45</v>
      </c>
      <c r="X21" s="139" t="n">
        <f aca="false">Materials!X13</f>
        <v>36443.45</v>
      </c>
      <c r="Y21" s="139" t="n">
        <f aca="false">Materials!Y13</f>
        <v>36443.45</v>
      </c>
      <c r="Z21" s="139" t="n">
        <f aca="false">Materials!Z13</f>
        <v>36443.45</v>
      </c>
      <c r="AA21" s="139" t="n">
        <f aca="false">Materials!AA13</f>
        <v>36443.45</v>
      </c>
      <c r="AB21" s="139" t="n">
        <f aca="false">Materials!AB13</f>
        <v>36443.45</v>
      </c>
      <c r="AC21" s="139" t="n">
        <f aca="false">Materials!AC13</f>
        <v>36443.45</v>
      </c>
      <c r="AD21" s="139" t="n">
        <f aca="false">SUM(R21:AC21)</f>
        <v>437321.4</v>
      </c>
      <c r="AF21" s="45"/>
      <c r="AG21" s="139" t="n">
        <f aca="false">Materials!AG13</f>
        <v>36443.45</v>
      </c>
      <c r="AH21" s="139" t="n">
        <f aca="false">Materials!AH13</f>
        <v>36443.45</v>
      </c>
      <c r="AI21" s="139" t="n">
        <f aca="false">Materials!AI13</f>
        <v>36443.45</v>
      </c>
      <c r="AJ21" s="139" t="n">
        <f aca="false">Materials!AJ13</f>
        <v>36443.45</v>
      </c>
      <c r="AK21" s="139" t="n">
        <f aca="false">Materials!AK13</f>
        <v>36443.45</v>
      </c>
      <c r="AL21" s="139" t="n">
        <f aca="false">Materials!AL13</f>
        <v>36443.45</v>
      </c>
      <c r="AM21" s="139" t="n">
        <f aca="false">Materials!AM13</f>
        <v>36443.45</v>
      </c>
      <c r="AN21" s="139" t="n">
        <f aca="false">Materials!AN13</f>
        <v>36443.45</v>
      </c>
      <c r="AO21" s="139" t="n">
        <f aca="false">Materials!AO13</f>
        <v>36443.45</v>
      </c>
      <c r="AP21" s="139" t="n">
        <f aca="false">Materials!AP13</f>
        <v>36443.45</v>
      </c>
      <c r="AQ21" s="139" t="n">
        <f aca="false">Materials!AQ13</f>
        <v>36443.45</v>
      </c>
      <c r="AR21" s="139" t="n">
        <f aca="false">Materials!AR13</f>
        <v>36443.45</v>
      </c>
      <c r="AS21" s="139" t="n">
        <f aca="false">SUM(AG21:AR21)</f>
        <v>437321.4</v>
      </c>
    </row>
    <row r="22" customFormat="false" ht="13.2" hidden="false" customHeight="false" outlineLevel="0" collapsed="false">
      <c r="A22" s="137" t="s">
        <v>175</v>
      </c>
      <c r="B22" s="45" t="str">
        <f aca="false">'P&amp;L$'!B23</f>
        <v>Chemicals</v>
      </c>
      <c r="C22" s="139" t="n">
        <f aca="false">Materials!C8</f>
        <v>125000</v>
      </c>
      <c r="D22" s="139" t="n">
        <f aca="false">Materials!D8</f>
        <v>115000</v>
      </c>
      <c r="E22" s="139" t="n">
        <f aca="false">Materials!E8</f>
        <v>115000</v>
      </c>
      <c r="F22" s="139" t="n">
        <f aca="false">Materials!F8</f>
        <v>120000</v>
      </c>
      <c r="G22" s="139" t="n">
        <f aca="false">Materials!G8</f>
        <v>120000</v>
      </c>
      <c r="H22" s="139" t="n">
        <f aca="false">Materials!H8</f>
        <v>130000</v>
      </c>
      <c r="I22" s="139" t="n">
        <f aca="false">Materials!I8</f>
        <v>130000</v>
      </c>
      <c r="J22" s="139" t="n">
        <f aca="false">Materials!J8</f>
        <v>130000</v>
      </c>
      <c r="K22" s="139" t="n">
        <f aca="false">Materials!K8</f>
        <v>130000</v>
      </c>
      <c r="L22" s="139" t="n">
        <f aca="false">Materials!L8</f>
        <v>125000</v>
      </c>
      <c r="M22" s="139" t="n">
        <f aca="false">Materials!M8</f>
        <v>125000</v>
      </c>
      <c r="N22" s="139" t="n">
        <f aca="false">Materials!N8</f>
        <v>120000</v>
      </c>
      <c r="O22" s="139" t="n">
        <f aca="false">SUM(C22:N22)</f>
        <v>1485000</v>
      </c>
      <c r="Q22" s="45"/>
      <c r="R22" s="139" t="n">
        <f aca="false">Materials!R8</f>
        <v>130000</v>
      </c>
      <c r="S22" s="139" t="n">
        <f aca="false">Materials!S8</f>
        <v>119600</v>
      </c>
      <c r="T22" s="139" t="n">
        <f aca="false">Materials!T8</f>
        <v>119600</v>
      </c>
      <c r="U22" s="139" t="n">
        <f aca="false">Materials!U8</f>
        <v>124800</v>
      </c>
      <c r="V22" s="139" t="n">
        <f aca="false">Materials!V8</f>
        <v>124800</v>
      </c>
      <c r="W22" s="139" t="n">
        <f aca="false">Materials!W8</f>
        <v>135200</v>
      </c>
      <c r="X22" s="139" t="n">
        <f aca="false">Materials!X8</f>
        <v>135200</v>
      </c>
      <c r="Y22" s="139" t="n">
        <f aca="false">Materials!Y8</f>
        <v>135200</v>
      </c>
      <c r="Z22" s="139" t="n">
        <f aca="false">Materials!Z8</f>
        <v>135200</v>
      </c>
      <c r="AA22" s="139" t="n">
        <f aca="false">Materials!AA8</f>
        <v>130000</v>
      </c>
      <c r="AB22" s="139" t="n">
        <f aca="false">Materials!AB8</f>
        <v>130000</v>
      </c>
      <c r="AC22" s="139" t="n">
        <f aca="false">Materials!AC8</f>
        <v>124800</v>
      </c>
      <c r="AD22" s="139" t="n">
        <f aca="false">SUM(R22:AC22)</f>
        <v>1544400</v>
      </c>
      <c r="AF22" s="45"/>
      <c r="AG22" s="139" t="n">
        <f aca="false">Materials!AG8</f>
        <v>137800</v>
      </c>
      <c r="AH22" s="139" t="n">
        <f aca="false">Materials!AH8</f>
        <v>126776</v>
      </c>
      <c r="AI22" s="139" t="n">
        <f aca="false">Materials!AI8</f>
        <v>126776</v>
      </c>
      <c r="AJ22" s="139" t="n">
        <f aca="false">Materials!AJ8</f>
        <v>132288</v>
      </c>
      <c r="AK22" s="139" t="n">
        <f aca="false">Materials!AK8</f>
        <v>132288</v>
      </c>
      <c r="AL22" s="139" t="n">
        <f aca="false">Materials!AL8</f>
        <v>143312</v>
      </c>
      <c r="AM22" s="139" t="n">
        <f aca="false">Materials!AM8</f>
        <v>143312</v>
      </c>
      <c r="AN22" s="139" t="n">
        <f aca="false">Materials!AN8</f>
        <v>143312</v>
      </c>
      <c r="AO22" s="139" t="n">
        <f aca="false">Materials!AO8</f>
        <v>143312</v>
      </c>
      <c r="AP22" s="139" t="n">
        <f aca="false">Materials!AP8</f>
        <v>137800</v>
      </c>
      <c r="AQ22" s="139" t="n">
        <f aca="false">Materials!AQ8</f>
        <v>137800</v>
      </c>
      <c r="AR22" s="139" t="n">
        <f aca="false">Materials!AR8</f>
        <v>132288</v>
      </c>
      <c r="AS22" s="139" t="n">
        <f aca="false">SUM(AG22:AR22)</f>
        <v>1637064</v>
      </c>
    </row>
    <row r="23" customFormat="false" ht="13.2" hidden="false" customHeight="false" outlineLevel="0" collapsed="false">
      <c r="A23" s="137" t="s">
        <v>178</v>
      </c>
      <c r="B23" s="45" t="str">
        <f aca="false">'P&amp;L$'!B24</f>
        <v>Operational materials</v>
      </c>
      <c r="C23" s="139" t="n">
        <f aca="false">Materials!C9</f>
        <v>20000</v>
      </c>
      <c r="D23" s="139" t="n">
        <f aca="false">Materials!D9</f>
        <v>20000</v>
      </c>
      <c r="E23" s="139" t="n">
        <f aca="false">Materials!E9</f>
        <v>20000</v>
      </c>
      <c r="F23" s="139" t="n">
        <f aca="false">Materials!F9</f>
        <v>20000</v>
      </c>
      <c r="G23" s="139" t="n">
        <f aca="false">Materials!G9</f>
        <v>20000</v>
      </c>
      <c r="H23" s="139" t="n">
        <f aca="false">Materials!H9</f>
        <v>20000</v>
      </c>
      <c r="I23" s="139" t="n">
        <f aca="false">Materials!I9</f>
        <v>20000</v>
      </c>
      <c r="J23" s="139" t="n">
        <f aca="false">Materials!J9</f>
        <v>20000</v>
      </c>
      <c r="K23" s="139" t="n">
        <f aca="false">Materials!K9</f>
        <v>20000</v>
      </c>
      <c r="L23" s="139" t="n">
        <f aca="false">Materials!L9</f>
        <v>20000</v>
      </c>
      <c r="M23" s="139" t="n">
        <f aca="false">Materials!M9</f>
        <v>20000</v>
      </c>
      <c r="N23" s="139" t="n">
        <f aca="false">Materials!N9</f>
        <v>20000</v>
      </c>
      <c r="O23" s="139" t="n">
        <f aca="false">SUM(C23:N23)</f>
        <v>240000</v>
      </c>
      <c r="Q23" s="45"/>
      <c r="R23" s="139" t="n">
        <f aca="false">Materials!R9</f>
        <v>20800</v>
      </c>
      <c r="S23" s="139" t="n">
        <f aca="false">Materials!S9</f>
        <v>20800</v>
      </c>
      <c r="T23" s="139" t="n">
        <f aca="false">Materials!T9</f>
        <v>20800</v>
      </c>
      <c r="U23" s="139" t="n">
        <f aca="false">Materials!U9</f>
        <v>20800</v>
      </c>
      <c r="V23" s="139" t="n">
        <f aca="false">Materials!V9</f>
        <v>20800</v>
      </c>
      <c r="W23" s="139" t="n">
        <f aca="false">Materials!W9</f>
        <v>20800</v>
      </c>
      <c r="X23" s="139" t="n">
        <f aca="false">Materials!X9</f>
        <v>20800</v>
      </c>
      <c r="Y23" s="139" t="n">
        <f aca="false">Materials!Y9</f>
        <v>20800</v>
      </c>
      <c r="Z23" s="139" t="n">
        <f aca="false">Materials!Z9</f>
        <v>20800</v>
      </c>
      <c r="AA23" s="139" t="n">
        <f aca="false">Materials!AA9</f>
        <v>20800</v>
      </c>
      <c r="AB23" s="139" t="n">
        <f aca="false">Materials!AB9</f>
        <v>20800</v>
      </c>
      <c r="AC23" s="139" t="n">
        <f aca="false">Materials!AC9</f>
        <v>20800</v>
      </c>
      <c r="AD23" s="139" t="n">
        <f aca="false">SUM(R23:AC23)</f>
        <v>249600</v>
      </c>
      <c r="AF23" s="45"/>
      <c r="AG23" s="139" t="n">
        <f aca="false">Materials!AG9</f>
        <v>22048</v>
      </c>
      <c r="AH23" s="139" t="n">
        <f aca="false">Materials!AH9</f>
        <v>22048</v>
      </c>
      <c r="AI23" s="139" t="n">
        <f aca="false">Materials!AI9</f>
        <v>22048</v>
      </c>
      <c r="AJ23" s="139" t="n">
        <f aca="false">Materials!AJ9</f>
        <v>22048</v>
      </c>
      <c r="AK23" s="139" t="n">
        <f aca="false">Materials!AK9</f>
        <v>22048</v>
      </c>
      <c r="AL23" s="139" t="n">
        <f aca="false">Materials!AL9</f>
        <v>22048</v>
      </c>
      <c r="AM23" s="139" t="n">
        <f aca="false">Materials!AM9</f>
        <v>22048</v>
      </c>
      <c r="AN23" s="139" t="n">
        <f aca="false">Materials!AN9</f>
        <v>22048</v>
      </c>
      <c r="AO23" s="139" t="n">
        <f aca="false">Materials!AO9</f>
        <v>22048</v>
      </c>
      <c r="AP23" s="139" t="n">
        <f aca="false">Materials!AP9</f>
        <v>22048</v>
      </c>
      <c r="AQ23" s="139" t="n">
        <f aca="false">Materials!AQ9</f>
        <v>22048</v>
      </c>
      <c r="AR23" s="139" t="n">
        <f aca="false">Materials!AR9</f>
        <v>22048</v>
      </c>
      <c r="AS23" s="139" t="n">
        <f aca="false">SUM(AG23:AR23)</f>
        <v>264576</v>
      </c>
    </row>
    <row r="24" customFormat="false" ht="13.2" hidden="false" customHeight="false" outlineLevel="0" collapsed="false">
      <c r="A24" s="137" t="s">
        <v>181</v>
      </c>
      <c r="B24" s="45" t="str">
        <f aca="false">'P&amp;L$'!B25</f>
        <v>Fire/safety materials</v>
      </c>
      <c r="C24" s="139" t="n">
        <f aca="false">Materials!C10</f>
        <v>10000</v>
      </c>
      <c r="D24" s="139" t="n">
        <f aca="false">Materials!D10</f>
        <v>10000</v>
      </c>
      <c r="E24" s="139" t="n">
        <f aca="false">Materials!E10</f>
        <v>10000</v>
      </c>
      <c r="F24" s="139" t="n">
        <f aca="false">Materials!F10</f>
        <v>10000</v>
      </c>
      <c r="G24" s="139" t="n">
        <f aca="false">Materials!G10</f>
        <v>10000</v>
      </c>
      <c r="H24" s="139" t="n">
        <f aca="false">Materials!H10</f>
        <v>10000</v>
      </c>
      <c r="I24" s="139" t="n">
        <f aca="false">Materials!I10</f>
        <v>10000</v>
      </c>
      <c r="J24" s="139" t="n">
        <f aca="false">Materials!J10</f>
        <v>10000</v>
      </c>
      <c r="K24" s="139" t="n">
        <f aca="false">Materials!K10</f>
        <v>10000</v>
      </c>
      <c r="L24" s="139" t="n">
        <f aca="false">Materials!L10</f>
        <v>10000</v>
      </c>
      <c r="M24" s="139" t="n">
        <f aca="false">Materials!M10</f>
        <v>10000</v>
      </c>
      <c r="N24" s="139" t="n">
        <f aca="false">Materials!N10</f>
        <v>10000</v>
      </c>
      <c r="O24" s="139" t="n">
        <f aca="false">SUM(C24:N24)</f>
        <v>120000</v>
      </c>
      <c r="Q24" s="45"/>
      <c r="R24" s="139" t="n">
        <f aca="false">Materials!R10</f>
        <v>10400</v>
      </c>
      <c r="S24" s="139" t="n">
        <f aca="false">Materials!S10</f>
        <v>10400</v>
      </c>
      <c r="T24" s="139" t="n">
        <f aca="false">Materials!T10</f>
        <v>10400</v>
      </c>
      <c r="U24" s="139" t="n">
        <f aca="false">Materials!U10</f>
        <v>10400</v>
      </c>
      <c r="V24" s="139" t="n">
        <f aca="false">Materials!V10</f>
        <v>10400</v>
      </c>
      <c r="W24" s="139" t="n">
        <f aca="false">Materials!W10</f>
        <v>10400</v>
      </c>
      <c r="X24" s="139" t="n">
        <f aca="false">Materials!X10</f>
        <v>10400</v>
      </c>
      <c r="Y24" s="139" t="n">
        <f aca="false">Materials!Y10</f>
        <v>10400</v>
      </c>
      <c r="Z24" s="139" t="n">
        <f aca="false">Materials!Z10</f>
        <v>10400</v>
      </c>
      <c r="AA24" s="139" t="n">
        <f aca="false">Materials!AA10</f>
        <v>10400</v>
      </c>
      <c r="AB24" s="139" t="n">
        <f aca="false">Materials!AB10</f>
        <v>10400</v>
      </c>
      <c r="AC24" s="139" t="n">
        <f aca="false">Materials!AC10</f>
        <v>10400</v>
      </c>
      <c r="AD24" s="139" t="n">
        <f aca="false">SUM(R24:AC24)</f>
        <v>124800</v>
      </c>
      <c r="AF24" s="45"/>
      <c r="AG24" s="139" t="n">
        <f aca="false">Materials!AG10</f>
        <v>11024</v>
      </c>
      <c r="AH24" s="139" t="n">
        <f aca="false">Materials!AH10</f>
        <v>11024</v>
      </c>
      <c r="AI24" s="139" t="n">
        <f aca="false">Materials!AI10</f>
        <v>11024</v>
      </c>
      <c r="AJ24" s="139" t="n">
        <f aca="false">Materials!AJ10</f>
        <v>11024</v>
      </c>
      <c r="AK24" s="139" t="n">
        <f aca="false">Materials!AK10</f>
        <v>11024</v>
      </c>
      <c r="AL24" s="139" t="n">
        <f aca="false">Materials!AL10</f>
        <v>11024</v>
      </c>
      <c r="AM24" s="139" t="n">
        <f aca="false">Materials!AM10</f>
        <v>11024</v>
      </c>
      <c r="AN24" s="139" t="n">
        <f aca="false">Materials!AN10</f>
        <v>11024</v>
      </c>
      <c r="AO24" s="139" t="n">
        <f aca="false">Materials!AO10</f>
        <v>11024</v>
      </c>
      <c r="AP24" s="139" t="n">
        <f aca="false">Materials!AP10</f>
        <v>11024</v>
      </c>
      <c r="AQ24" s="139" t="n">
        <f aca="false">Materials!AQ10</f>
        <v>11024</v>
      </c>
      <c r="AR24" s="139" t="n">
        <f aca="false">Materials!AR10</f>
        <v>11024</v>
      </c>
      <c r="AS24" s="139" t="n">
        <f aca="false">SUM(AG24:AR24)</f>
        <v>132288</v>
      </c>
    </row>
    <row r="25" customFormat="false" ht="13.2" hidden="false" customHeight="false" outlineLevel="0" collapsed="false">
      <c r="A25" s="137" t="s">
        <v>184</v>
      </c>
      <c r="B25" s="45" t="str">
        <f aca="false">'P&amp;L$'!B26</f>
        <v>Stores materials</v>
      </c>
      <c r="C25" s="139" t="n">
        <f aca="false">Materials!C11</f>
        <v>4500</v>
      </c>
      <c r="D25" s="139" t="n">
        <f aca="false">Materials!D11</f>
        <v>4500</v>
      </c>
      <c r="E25" s="139" t="n">
        <f aca="false">Materials!E11</f>
        <v>4500</v>
      </c>
      <c r="F25" s="139" t="n">
        <f aca="false">Materials!F11</f>
        <v>4500</v>
      </c>
      <c r="G25" s="139" t="n">
        <f aca="false">Materials!G11</f>
        <v>4500</v>
      </c>
      <c r="H25" s="139" t="n">
        <f aca="false">Materials!H11</f>
        <v>4500</v>
      </c>
      <c r="I25" s="139" t="n">
        <f aca="false">Materials!I11</f>
        <v>4500</v>
      </c>
      <c r="J25" s="139" t="n">
        <f aca="false">Materials!J11</f>
        <v>4500</v>
      </c>
      <c r="K25" s="139" t="n">
        <f aca="false">Materials!K11</f>
        <v>4500</v>
      </c>
      <c r="L25" s="139" t="n">
        <f aca="false">Materials!L11</f>
        <v>4500</v>
      </c>
      <c r="M25" s="139" t="n">
        <f aca="false">Materials!M11</f>
        <v>4500</v>
      </c>
      <c r="N25" s="139" t="n">
        <f aca="false">Materials!N11</f>
        <v>4500</v>
      </c>
      <c r="O25" s="139" t="n">
        <f aca="false">SUM(C25:N25)</f>
        <v>54000</v>
      </c>
      <c r="Q25" s="45"/>
      <c r="R25" s="139" t="n">
        <f aca="false">Materials!R11</f>
        <v>4680</v>
      </c>
      <c r="S25" s="139" t="n">
        <f aca="false">Materials!S11</f>
        <v>4680</v>
      </c>
      <c r="T25" s="139" t="n">
        <f aca="false">Materials!T11</f>
        <v>4680</v>
      </c>
      <c r="U25" s="139" t="n">
        <f aca="false">Materials!U11</f>
        <v>4680</v>
      </c>
      <c r="V25" s="139" t="n">
        <f aca="false">Materials!V11</f>
        <v>4680</v>
      </c>
      <c r="W25" s="139" t="n">
        <f aca="false">Materials!W11</f>
        <v>4680</v>
      </c>
      <c r="X25" s="139" t="n">
        <f aca="false">Materials!X11</f>
        <v>4680</v>
      </c>
      <c r="Y25" s="139" t="n">
        <f aca="false">Materials!Y11</f>
        <v>4680</v>
      </c>
      <c r="Z25" s="139" t="n">
        <f aca="false">Materials!Z11</f>
        <v>4680</v>
      </c>
      <c r="AA25" s="139" t="n">
        <f aca="false">Materials!AA11</f>
        <v>4680</v>
      </c>
      <c r="AB25" s="139" t="n">
        <f aca="false">Materials!AB11</f>
        <v>4680</v>
      </c>
      <c r="AC25" s="139" t="n">
        <f aca="false">Materials!AC11</f>
        <v>4680</v>
      </c>
      <c r="AD25" s="139" t="n">
        <f aca="false">SUM(R25:AC25)</f>
        <v>56160</v>
      </c>
      <c r="AF25" s="45"/>
      <c r="AG25" s="139" t="n">
        <f aca="false">Materials!AG11</f>
        <v>4960.8</v>
      </c>
      <c r="AH25" s="139" t="n">
        <f aca="false">Materials!AH11</f>
        <v>4960.8</v>
      </c>
      <c r="AI25" s="139" t="n">
        <f aca="false">Materials!AI11</f>
        <v>4960.8</v>
      </c>
      <c r="AJ25" s="139" t="n">
        <f aca="false">Materials!AJ11</f>
        <v>4960.8</v>
      </c>
      <c r="AK25" s="139" t="n">
        <f aca="false">Materials!AK11</f>
        <v>4960.8</v>
      </c>
      <c r="AL25" s="139" t="n">
        <f aca="false">Materials!AL11</f>
        <v>4960.8</v>
      </c>
      <c r="AM25" s="139" t="n">
        <f aca="false">Materials!AM11</f>
        <v>4960.8</v>
      </c>
      <c r="AN25" s="139" t="n">
        <f aca="false">Materials!AN11</f>
        <v>4960.8</v>
      </c>
      <c r="AO25" s="139" t="n">
        <f aca="false">Materials!AO11</f>
        <v>4960.8</v>
      </c>
      <c r="AP25" s="139" t="n">
        <f aca="false">Materials!AP11</f>
        <v>4960.8</v>
      </c>
      <c r="AQ25" s="139" t="n">
        <f aca="false">Materials!AQ11</f>
        <v>4960.8</v>
      </c>
      <c r="AR25" s="139" t="n">
        <f aca="false">Materials!AR11</f>
        <v>4960.8</v>
      </c>
      <c r="AS25" s="139" t="n">
        <f aca="false">SUM(AG25:AR25)</f>
        <v>59529.6</v>
      </c>
    </row>
    <row r="26" customFormat="false" ht="13.2" hidden="false" customHeight="false" outlineLevel="0" collapsed="false">
      <c r="A26" s="137" t="s">
        <v>202</v>
      </c>
      <c r="B26" s="45" t="str">
        <f aca="false">'P&amp;L$'!B27</f>
        <v>Industrial water</v>
      </c>
      <c r="C26" s="146" t="n">
        <f aca="false">SiteServices!C12</f>
        <v>72968.72780016</v>
      </c>
      <c r="D26" s="146" t="n">
        <f aca="false">SiteServices!D12</f>
        <v>73070.74120032</v>
      </c>
      <c r="E26" s="146" t="n">
        <f aca="false">SiteServices!E12</f>
        <v>77237.90763384</v>
      </c>
      <c r="F26" s="146" t="n">
        <f aca="false">SiteServices!F12</f>
        <v>81416.4088896</v>
      </c>
      <c r="G26" s="146" t="n">
        <f aca="false">SiteServices!G12</f>
        <v>81529.757112</v>
      </c>
      <c r="H26" s="146" t="n">
        <f aca="false">SiteServices!H12</f>
        <v>89807.41586784</v>
      </c>
      <c r="I26" s="146" t="n">
        <f aca="false">SiteServices!I12</f>
        <v>91984.68928044</v>
      </c>
      <c r="J26" s="146" t="n">
        <f aca="false">SiteServices!J12</f>
        <v>96299.13706624</v>
      </c>
      <c r="K26" s="146" t="n">
        <f aca="false">SiteServices!K12</f>
        <v>92239.7468462801</v>
      </c>
      <c r="L26" s="146" t="n">
        <f aca="false">SiteServices!L12</f>
        <v>92367.2756292001</v>
      </c>
      <c r="M26" s="146" t="n">
        <f aca="false">SiteServices!M12</f>
        <v>84086.1858292001</v>
      </c>
      <c r="N26" s="146" t="n">
        <f aca="false">SiteServices!N12</f>
        <v>75781.9089777601</v>
      </c>
      <c r="O26" s="139" t="n">
        <f aca="false">SUM(C26:N26)</f>
        <v>1008789.90213288</v>
      </c>
      <c r="Q26" s="45"/>
      <c r="R26" s="146" t="n">
        <f aca="false">SiteServices!Q12</f>
        <v>74090.8752019201</v>
      </c>
      <c r="S26" s="146" t="n">
        <f aca="false">SiteServices!R12</f>
        <v>74399.587181928</v>
      </c>
      <c r="T26" s="146" t="n">
        <f aca="false">SiteServices!S12</f>
        <v>78858.7602264881</v>
      </c>
      <c r="U26" s="146" t="n">
        <f aca="false">SiteServices!T12</f>
        <v>83352.2346021601</v>
      </c>
      <c r="V26" s="146" t="n">
        <f aca="false">SiteServices!U12</f>
        <v>83695.2479132801</v>
      </c>
      <c r="W26" s="146" t="n">
        <f aca="false">SiteServices!V12</f>
        <v>92442.0873468401</v>
      </c>
      <c r="X26" s="146" t="n">
        <f aca="false">SiteServices!W12</f>
        <v>94937.8915249161</v>
      </c>
      <c r="Y26" s="146" t="n">
        <f aca="false">SiteServices!X12</f>
        <v>99656.7187274664</v>
      </c>
      <c r="Z26" s="146" t="n">
        <f aca="false">SiteServices!Y12</f>
        <v>95709.7443015414</v>
      </c>
      <c r="AA26" s="146" t="n">
        <f aca="false">SiteServices!Z12</f>
        <v>96095.670689854</v>
      </c>
      <c r="AB26" s="146" t="n">
        <f aca="false">SiteServices!AA12</f>
        <v>87710.5427983334</v>
      </c>
      <c r="AC26" s="146" t="n">
        <f aca="false">SiteServices!AB12</f>
        <v>79255.246472574</v>
      </c>
      <c r="AD26" s="139" t="n">
        <f aca="false">SUM(R26:AC26)</f>
        <v>1040204.6069873</v>
      </c>
      <c r="AF26" s="45"/>
      <c r="AG26" s="146" t="n">
        <f aca="false">SiteServices!AE12</f>
        <v>78119.5665410244</v>
      </c>
      <c r="AH26" s="146" t="n">
        <f aca="false">SiteServices!AF12</f>
        <v>78443.7141200328</v>
      </c>
      <c r="AI26" s="146" t="n">
        <f aca="false">SiteServices!AG12</f>
        <v>83143.8540156546</v>
      </c>
      <c r="AJ26" s="146" t="n">
        <f aca="false">SiteServices!AH12</f>
        <v>87880.010308944</v>
      </c>
      <c r="AK26" s="146" t="n">
        <f aca="false">SiteServices!AI12</f>
        <v>88240.17428562</v>
      </c>
      <c r="AL26" s="146" t="n">
        <f aca="false">SiteServices!AJ12</f>
        <v>97460.3720885256</v>
      </c>
      <c r="AM26" s="146" t="n">
        <f aca="false">SiteServices!AK12</f>
        <v>100090.00880889</v>
      </c>
      <c r="AN26" s="146" t="n">
        <f aca="false">SiteServices!AL12</f>
        <v>105063.196585556</v>
      </c>
      <c r="AO26" s="146" t="n">
        <f aca="false">SiteServices!AM12</f>
        <v>100900.454224347</v>
      </c>
      <c r="AP26" s="146" t="n">
        <f aca="false">SiteServices!AN12</f>
        <v>101305.676932075</v>
      </c>
      <c r="AQ26" s="146" t="n">
        <f aca="false">SiteServices!AO12</f>
        <v>92464.454218003</v>
      </c>
      <c r="AR26" s="146" t="n">
        <f aca="false">SiteServices!AP12</f>
        <v>83549.5546479804</v>
      </c>
      <c r="AS26" s="139" t="n">
        <f aca="false">SUM(AG26:AR26)</f>
        <v>1096661.03677665</v>
      </c>
    </row>
    <row r="27" customFormat="false" ht="13.2" hidden="false" customHeight="false" outlineLevel="0" collapsed="false">
      <c r="A27" s="137" t="s">
        <v>204</v>
      </c>
      <c r="B27" s="45" t="str">
        <f aca="false">'P&amp;L$'!B28</f>
        <v>Drinking water</v>
      </c>
      <c r="C27" s="146" t="n">
        <f aca="false">SiteServices!C18</f>
        <v>198.477927416937</v>
      </c>
      <c r="D27" s="146" t="n">
        <f aca="false">SiteServices!D18</f>
        <v>198.755408042445</v>
      </c>
      <c r="E27" s="146" t="n">
        <f aca="false">SiteServices!E18</f>
        <v>199.032888667953</v>
      </c>
      <c r="F27" s="146" t="n">
        <f aca="false">SiteServices!F18</f>
        <v>199.310369293461</v>
      </c>
      <c r="G27" s="146" t="n">
        <f aca="false">SiteServices!G18</f>
        <v>199.587849918969</v>
      </c>
      <c r="H27" s="146" t="n">
        <f aca="false">SiteServices!H18</f>
        <v>199.865330544477</v>
      </c>
      <c r="I27" s="146" t="n">
        <f aca="false">SiteServices!I18</f>
        <v>204.733242618838</v>
      </c>
      <c r="J27" s="146" t="n">
        <f aca="false">SiteServices!J18</f>
        <v>205.017087478876</v>
      </c>
      <c r="K27" s="146" t="n">
        <f aca="false">SiteServices!K18</f>
        <v>205.300932338914</v>
      </c>
      <c r="L27" s="146" t="n">
        <f aca="false">SiteServices!L18</f>
        <v>205.584777198952</v>
      </c>
      <c r="M27" s="146" t="n">
        <f aca="false">SiteServices!M18</f>
        <v>205.86862205899</v>
      </c>
      <c r="N27" s="146" t="n">
        <f aca="false">SiteServices!N18</f>
        <v>206.152466919028</v>
      </c>
      <c r="O27" s="139" t="n">
        <f aca="false">SUM(C27:N27)</f>
        <v>2427.68690249784</v>
      </c>
      <c r="Q27" s="45"/>
      <c r="R27" s="146" t="n">
        <f aca="false">SiteServices!Q18</f>
        <v>201.530214297525</v>
      </c>
      <c r="S27" s="146" t="n">
        <f aca="false">SiteServices!R18</f>
        <v>202.369923523764</v>
      </c>
      <c r="T27" s="146" t="n">
        <f aca="false">SiteServices!S18</f>
        <v>203.209632750004</v>
      </c>
      <c r="U27" s="146" t="n">
        <f aca="false">SiteServices!T18</f>
        <v>204.049341976244</v>
      </c>
      <c r="V27" s="146" t="n">
        <f aca="false">SiteServices!U18</f>
        <v>204.889051202483</v>
      </c>
      <c r="W27" s="146" t="n">
        <f aca="false">SiteServices!V18</f>
        <v>205.728760428723</v>
      </c>
      <c r="X27" s="146" t="n">
        <f aca="false">SiteServices!W18</f>
        <v>211.306278592003</v>
      </c>
      <c r="Y27" s="146" t="n">
        <f aca="false">SiteServices!X18</f>
        <v>212.165247204166</v>
      </c>
      <c r="Z27" s="146" t="n">
        <f aca="false">SiteServices!Y18</f>
        <v>213.024215816328</v>
      </c>
      <c r="AA27" s="146" t="n">
        <f aca="false">SiteServices!Z18</f>
        <v>213.883184428491</v>
      </c>
      <c r="AB27" s="146" t="n">
        <f aca="false">SiteServices!AA18</f>
        <v>214.742153040654</v>
      </c>
      <c r="AC27" s="146" t="n">
        <f aca="false">SiteServices!AB18</f>
        <v>215.601121652816</v>
      </c>
      <c r="AD27" s="139" t="n">
        <f aca="false">SUM(R27:AC27)</f>
        <v>2502.4991249132</v>
      </c>
      <c r="AF27" s="45"/>
      <c r="AG27" s="146" t="n">
        <f aca="false">SiteServices!AE18</f>
        <v>212.488419699953</v>
      </c>
      <c r="AH27" s="146" t="n">
        <f aca="false">SiteServices!AF18</f>
        <v>213.370114387504</v>
      </c>
      <c r="AI27" s="146" t="n">
        <f aca="false">SiteServices!AG18</f>
        <v>214.251809075056</v>
      </c>
      <c r="AJ27" s="146" t="n">
        <f aca="false">SiteServices!AH18</f>
        <v>215.133503762608</v>
      </c>
      <c r="AK27" s="146" t="n">
        <f aca="false">SiteServices!AI18</f>
        <v>216.015198450159</v>
      </c>
      <c r="AL27" s="146" t="n">
        <f aca="false">SiteServices!AJ18</f>
        <v>216.896893137711</v>
      </c>
      <c r="AM27" s="146" t="n">
        <f aca="false">SiteServices!AK18</f>
        <v>222.773509564374</v>
      </c>
      <c r="AN27" s="146" t="n">
        <f aca="false">SiteServices!AL18</f>
        <v>223.675426607145</v>
      </c>
      <c r="AO27" s="146" t="n">
        <f aca="false">SiteServices!AM18</f>
        <v>224.577343649916</v>
      </c>
      <c r="AP27" s="146" t="n">
        <f aca="false">SiteServices!AN18</f>
        <v>225.479260692686</v>
      </c>
      <c r="AQ27" s="146" t="n">
        <f aca="false">SiteServices!AO18</f>
        <v>226.381177735457</v>
      </c>
      <c r="AR27" s="146" t="n">
        <f aca="false">SiteServices!AP18</f>
        <v>227.283094778228</v>
      </c>
      <c r="AS27" s="139" t="n">
        <f aca="false">SUM(AG27:AR27)</f>
        <v>2638.3257515408</v>
      </c>
    </row>
    <row r="28" customFormat="false" ht="13.2" hidden="false" customHeight="false" outlineLevel="0" collapsed="false">
      <c r="A28" s="137" t="s">
        <v>212</v>
      </c>
      <c r="B28" s="45" t="str">
        <f aca="false">'P&amp;L$'!B29</f>
        <v>Condensate</v>
      </c>
      <c r="C28" s="146" t="n">
        <f aca="false">SiteServices!C38</f>
        <v>7092.03016128</v>
      </c>
      <c r="D28" s="146" t="n">
        <f aca="false">SiteServices!D38</f>
        <v>5326.45884192</v>
      </c>
      <c r="E28" s="146" t="n">
        <f aca="false">SiteServices!E38</f>
        <v>6578.470577552</v>
      </c>
      <c r="F28" s="146" t="n">
        <f aca="false">SiteServices!F38</f>
        <v>4451.1094032</v>
      </c>
      <c r="G28" s="146" t="n">
        <f aca="false">SiteServices!G38</f>
        <v>891.4612508</v>
      </c>
      <c r="H28" s="146" t="n">
        <f aca="false">SiteServices!H38</f>
        <v>892.70062096</v>
      </c>
      <c r="I28" s="146" t="n">
        <f aca="false">SiteServices!I38</f>
        <v>913.46780646</v>
      </c>
      <c r="J28" s="146" t="n">
        <f aca="false">SiteServices!J38</f>
        <v>914.73425024</v>
      </c>
      <c r="K28" s="146" t="n">
        <f aca="false">SiteServices!K38</f>
        <v>1832.00138804</v>
      </c>
      <c r="L28" s="146" t="n">
        <f aca="false">SiteServices!L38</f>
        <v>3669.0685512</v>
      </c>
      <c r="M28" s="146" t="n">
        <f aca="false">SiteServices!M38</f>
        <v>4592.6679079</v>
      </c>
      <c r="N28" s="146" t="n">
        <f aca="false">SiteServices!N38</f>
        <v>6438.60017752001</v>
      </c>
      <c r="O28" s="139" t="n">
        <f aca="false">SUM(C28:N28)</f>
        <v>43592.770937072</v>
      </c>
      <c r="Q28" s="45"/>
      <c r="R28" s="146" t="n">
        <f aca="false">SiteServices!Q38</f>
        <v>7231.09929675734</v>
      </c>
      <c r="S28" s="146" t="n">
        <f aca="false">SiteServices!R38</f>
        <v>5445.827893616</v>
      </c>
      <c r="T28" s="146" t="n">
        <f aca="false">SiteServices!S38</f>
        <v>6744.2752880856</v>
      </c>
      <c r="U28" s="146" t="n">
        <f aca="false">SiteServices!T38</f>
        <v>4575.69561309334</v>
      </c>
      <c r="V28" s="146" t="n">
        <f aca="false">SiteServices!U38</f>
        <v>918.889692793334</v>
      </c>
      <c r="W28" s="146" t="n">
        <f aca="false">SiteServices!V38</f>
        <v>922.640262968001</v>
      </c>
      <c r="X28" s="146" t="n">
        <f aca="false">SiteServices!W38</f>
        <v>946.627526099667</v>
      </c>
      <c r="Y28" s="146" t="n">
        <f aca="false">SiteServices!X38</f>
        <v>950.460026205334</v>
      </c>
      <c r="Z28" s="146" t="n">
        <f aca="false">SiteServices!Y38</f>
        <v>1908.585052622</v>
      </c>
      <c r="AA28" s="146" t="n">
        <f aca="false">SiteServices!Z38</f>
        <v>3832.50010566667</v>
      </c>
      <c r="AB28" s="146" t="n">
        <f aca="false">SiteServices!AA38</f>
        <v>4809.78763261167</v>
      </c>
      <c r="AC28" s="146" t="n">
        <f aca="false">SiteServices!AB38</f>
        <v>6760.530186396</v>
      </c>
      <c r="AD28" s="139" t="n">
        <f aca="false">SUM(R28:AC28)</f>
        <v>45046.918576915</v>
      </c>
      <c r="AF28" s="45"/>
      <c r="AG28" s="146" t="n">
        <f aca="false">SiteServices!AE38</f>
        <v>7592.6542615952</v>
      </c>
      <c r="AH28" s="146" t="n">
        <f aca="false">SiteServices!AF38</f>
        <v>5718.1192882968</v>
      </c>
      <c r="AI28" s="146" t="n">
        <f aca="false">SiteServices!AG38</f>
        <v>7081.48905248988</v>
      </c>
      <c r="AJ28" s="146" t="n">
        <f aca="false">SiteServices!AH38</f>
        <v>4804.480393748</v>
      </c>
      <c r="AK28" s="146" t="n">
        <f aca="false">SiteServices!AI38</f>
        <v>964.834177433</v>
      </c>
      <c r="AL28" s="146" t="n">
        <f aca="false">SiteServices!AJ38</f>
        <v>968.7722761164</v>
      </c>
      <c r="AM28" s="146" t="n">
        <f aca="false">SiteServices!AK38</f>
        <v>993.95890240465</v>
      </c>
      <c r="AN28" s="146" t="n">
        <f aca="false">SiteServices!AL38</f>
        <v>997.9830275156</v>
      </c>
      <c r="AO28" s="146" t="n">
        <f aca="false">SiteServices!AM38</f>
        <v>2004.0143052531</v>
      </c>
      <c r="AP28" s="146" t="n">
        <f aca="false">SiteServices!AN38</f>
        <v>4024.12511095</v>
      </c>
      <c r="AQ28" s="146" t="n">
        <f aca="false">SiteServices!AO38</f>
        <v>5050.27701424225</v>
      </c>
      <c r="AR28" s="146" t="n">
        <f aca="false">SiteServices!AP38</f>
        <v>7098.5566957158</v>
      </c>
      <c r="AS28" s="139" t="n">
        <f aca="false">SUM(AG28:AR28)</f>
        <v>47299.2645057607</v>
      </c>
    </row>
    <row r="29" customFormat="false" ht="13.2" hidden="false" customHeight="false" outlineLevel="0" collapsed="false">
      <c r="A29" s="137" t="s">
        <v>187</v>
      </c>
      <c r="B29" s="45" t="str">
        <f aca="false">'P&amp;L$'!B30</f>
        <v>Other materials</v>
      </c>
      <c r="C29" s="146" t="n">
        <f aca="false">Materials!C12</f>
        <v>3200</v>
      </c>
      <c r="D29" s="146" t="n">
        <f aca="false">Materials!D12</f>
        <v>3200</v>
      </c>
      <c r="E29" s="146" t="n">
        <f aca="false">Materials!E12</f>
        <v>3200</v>
      </c>
      <c r="F29" s="146" t="n">
        <f aca="false">Materials!F12</f>
        <v>3200</v>
      </c>
      <c r="G29" s="146" t="n">
        <f aca="false">Materials!G12</f>
        <v>3200</v>
      </c>
      <c r="H29" s="146" t="n">
        <f aca="false">Materials!H12</f>
        <v>3200</v>
      </c>
      <c r="I29" s="146" t="n">
        <f aca="false">Materials!I12</f>
        <v>3200</v>
      </c>
      <c r="J29" s="146" t="n">
        <f aca="false">Materials!J12</f>
        <v>3200</v>
      </c>
      <c r="K29" s="146" t="n">
        <f aca="false">Materials!K12</f>
        <v>3200</v>
      </c>
      <c r="L29" s="146" t="n">
        <f aca="false">Materials!L12</f>
        <v>3200</v>
      </c>
      <c r="M29" s="146" t="n">
        <f aca="false">Materials!M12</f>
        <v>3200</v>
      </c>
      <c r="N29" s="146" t="n">
        <f aca="false">Materials!N12</f>
        <v>3200</v>
      </c>
      <c r="O29" s="139" t="n">
        <f aca="false">SUM(C29:N29)</f>
        <v>38400</v>
      </c>
      <c r="Q29" s="45"/>
      <c r="R29" s="146" t="n">
        <f aca="false">Materials!R12</f>
        <v>3328</v>
      </c>
      <c r="S29" s="146" t="n">
        <f aca="false">Materials!S12</f>
        <v>3328</v>
      </c>
      <c r="T29" s="146" t="n">
        <f aca="false">Materials!T12</f>
        <v>3328</v>
      </c>
      <c r="U29" s="146" t="n">
        <f aca="false">Materials!U12</f>
        <v>3328</v>
      </c>
      <c r="V29" s="146" t="n">
        <f aca="false">Materials!V12</f>
        <v>3328</v>
      </c>
      <c r="W29" s="146" t="n">
        <f aca="false">Materials!W12</f>
        <v>3328</v>
      </c>
      <c r="X29" s="146" t="n">
        <f aca="false">Materials!X12</f>
        <v>3328</v>
      </c>
      <c r="Y29" s="146" t="n">
        <f aca="false">Materials!Y12</f>
        <v>3328</v>
      </c>
      <c r="Z29" s="146" t="n">
        <f aca="false">Materials!Z12</f>
        <v>3328</v>
      </c>
      <c r="AA29" s="146" t="n">
        <f aca="false">Materials!AA12</f>
        <v>3328</v>
      </c>
      <c r="AB29" s="146" t="n">
        <f aca="false">Materials!AB12</f>
        <v>3328</v>
      </c>
      <c r="AC29" s="146" t="n">
        <f aca="false">Materials!AC12</f>
        <v>3328</v>
      </c>
      <c r="AD29" s="139" t="n">
        <f aca="false">SUM(R29:AC29)</f>
        <v>39936</v>
      </c>
      <c r="AF29" s="45"/>
      <c r="AG29" s="146" t="n">
        <f aca="false">Materials!AG12</f>
        <v>3527.68</v>
      </c>
      <c r="AH29" s="146" t="n">
        <f aca="false">Materials!AH12</f>
        <v>3527.68</v>
      </c>
      <c r="AI29" s="146" t="n">
        <f aca="false">Materials!AI12</f>
        <v>3527.68</v>
      </c>
      <c r="AJ29" s="146" t="n">
        <f aca="false">Materials!AJ12</f>
        <v>3527.68</v>
      </c>
      <c r="AK29" s="146" t="n">
        <f aca="false">Materials!AK12</f>
        <v>3527.68</v>
      </c>
      <c r="AL29" s="146" t="n">
        <f aca="false">Materials!AL12</f>
        <v>3527.68</v>
      </c>
      <c r="AM29" s="146" t="n">
        <f aca="false">Materials!AM12</f>
        <v>3527.68</v>
      </c>
      <c r="AN29" s="146" t="n">
        <f aca="false">Materials!AN12</f>
        <v>3527.68</v>
      </c>
      <c r="AO29" s="146" t="n">
        <f aca="false">Materials!AO12</f>
        <v>3527.68</v>
      </c>
      <c r="AP29" s="146" t="n">
        <f aca="false">Materials!AP12</f>
        <v>3527.68</v>
      </c>
      <c r="AQ29" s="146" t="n">
        <f aca="false">Materials!AQ12</f>
        <v>3527.68</v>
      </c>
      <c r="AR29" s="146" t="n">
        <f aca="false">Materials!AR12</f>
        <v>3527.68</v>
      </c>
      <c r="AS29" s="139" t="n">
        <f aca="false">SUM(AG29:AR29)</f>
        <v>42332.16</v>
      </c>
    </row>
    <row r="30" customFormat="false" ht="13.2" hidden="false" customHeight="false" outlineLevel="0" collapsed="false">
      <c r="A30" s="141" t="s">
        <v>193</v>
      </c>
      <c r="B30" s="45" t="str">
        <f aca="false">'P&amp;L$'!B31</f>
        <v>Transport costs</v>
      </c>
      <c r="C30" s="146" t="n">
        <f aca="false">Materials!C17</f>
        <v>6800</v>
      </c>
      <c r="D30" s="146" t="n">
        <f aca="false">Materials!D17</f>
        <v>6800</v>
      </c>
      <c r="E30" s="146" t="n">
        <f aca="false">Materials!E17</f>
        <v>6800</v>
      </c>
      <c r="F30" s="146" t="n">
        <f aca="false">Materials!F17</f>
        <v>6800</v>
      </c>
      <c r="G30" s="146" t="n">
        <f aca="false">Materials!G17</f>
        <v>6800</v>
      </c>
      <c r="H30" s="146" t="n">
        <f aca="false">Materials!H17</f>
        <v>6800</v>
      </c>
      <c r="I30" s="146" t="n">
        <f aca="false">Materials!I17</f>
        <v>6800</v>
      </c>
      <c r="J30" s="146" t="n">
        <f aca="false">Materials!J17</f>
        <v>6800</v>
      </c>
      <c r="K30" s="146" t="n">
        <f aca="false">Materials!K17</f>
        <v>6800</v>
      </c>
      <c r="L30" s="146" t="n">
        <f aca="false">Materials!L17</f>
        <v>6800</v>
      </c>
      <c r="M30" s="146" t="n">
        <f aca="false">Materials!M17</f>
        <v>6800</v>
      </c>
      <c r="N30" s="146" t="n">
        <f aca="false">Materials!N17</f>
        <v>6800</v>
      </c>
      <c r="O30" s="139" t="n">
        <f aca="false">SUM(C30:N30)</f>
        <v>81600</v>
      </c>
      <c r="Q30" s="144"/>
      <c r="R30" s="146" t="n">
        <f aca="false">Materials!R17</f>
        <v>7072</v>
      </c>
      <c r="S30" s="146" t="n">
        <f aca="false">Materials!S17</f>
        <v>7072</v>
      </c>
      <c r="T30" s="146" t="n">
        <f aca="false">Materials!T17</f>
        <v>7072</v>
      </c>
      <c r="U30" s="146" t="n">
        <f aca="false">Materials!U17</f>
        <v>7072</v>
      </c>
      <c r="V30" s="146" t="n">
        <f aca="false">Materials!V17</f>
        <v>7072</v>
      </c>
      <c r="W30" s="146" t="n">
        <f aca="false">Materials!W17</f>
        <v>7072</v>
      </c>
      <c r="X30" s="146" t="n">
        <f aca="false">Materials!X17</f>
        <v>7072</v>
      </c>
      <c r="Y30" s="146" t="n">
        <f aca="false">Materials!Y17</f>
        <v>7072</v>
      </c>
      <c r="Z30" s="146" t="n">
        <f aca="false">Materials!Z17</f>
        <v>7072</v>
      </c>
      <c r="AA30" s="146" t="n">
        <f aca="false">Materials!AA17</f>
        <v>7072</v>
      </c>
      <c r="AB30" s="146" t="n">
        <f aca="false">Materials!AB17</f>
        <v>7072</v>
      </c>
      <c r="AC30" s="146" t="n">
        <f aca="false">Materials!AC17</f>
        <v>7072</v>
      </c>
      <c r="AD30" s="139" t="n">
        <f aca="false">SUM(R30:AC30)</f>
        <v>84864</v>
      </c>
      <c r="AF30" s="144"/>
      <c r="AG30" s="146" t="n">
        <f aca="false">Materials!AG17</f>
        <v>7496.32</v>
      </c>
      <c r="AH30" s="146" t="n">
        <f aca="false">Materials!AH17</f>
        <v>7496.32</v>
      </c>
      <c r="AI30" s="146" t="n">
        <f aca="false">Materials!AI17</f>
        <v>7496.32</v>
      </c>
      <c r="AJ30" s="146" t="n">
        <f aca="false">Materials!AJ17</f>
        <v>7496.32</v>
      </c>
      <c r="AK30" s="146" t="n">
        <f aca="false">Materials!AK17</f>
        <v>7496.32</v>
      </c>
      <c r="AL30" s="146" t="n">
        <f aca="false">Materials!AL17</f>
        <v>7496.32</v>
      </c>
      <c r="AM30" s="146" t="n">
        <f aca="false">Materials!AM17</f>
        <v>7496.32</v>
      </c>
      <c r="AN30" s="146" t="n">
        <f aca="false">Materials!AN17</f>
        <v>7496.32</v>
      </c>
      <c r="AO30" s="146" t="n">
        <f aca="false">Materials!AO17</f>
        <v>7496.32</v>
      </c>
      <c r="AP30" s="146" t="n">
        <f aca="false">Materials!AP17</f>
        <v>7496.32</v>
      </c>
      <c r="AQ30" s="146" t="n">
        <f aca="false">Materials!AQ17</f>
        <v>7496.32</v>
      </c>
      <c r="AR30" s="146" t="n">
        <f aca="false">Materials!AR17</f>
        <v>7496.32</v>
      </c>
      <c r="AS30" s="139" t="n">
        <f aca="false">SUM(AG30:AR30)</f>
        <v>89955.84</v>
      </c>
    </row>
    <row r="31" customFormat="false" ht="13.8" hidden="false" customHeight="false" outlineLevel="0" collapsed="false">
      <c r="A31" s="145"/>
      <c r="B31" s="285" t="s">
        <v>66</v>
      </c>
      <c r="C31" s="353" t="n">
        <f aca="false">SUM(C19:C30)</f>
        <v>11051945.2996695</v>
      </c>
      <c r="D31" s="353" t="n">
        <f aca="false">SUM(D19:D30)</f>
        <v>10039285.1663652</v>
      </c>
      <c r="E31" s="353" t="n">
        <f aca="false">SUM(E19:E30)</f>
        <v>10885962.0187867</v>
      </c>
      <c r="F31" s="353" t="n">
        <f aca="false">SUM(F19:F30)</f>
        <v>9977204.52188088</v>
      </c>
      <c r="G31" s="353" t="n">
        <f aca="false">SUM(G19:G30)</f>
        <v>10039129.1321871</v>
      </c>
      <c r="H31" s="353" t="n">
        <f aca="false">SUM(H19:H30)</f>
        <v>9859565.8443509</v>
      </c>
      <c r="I31" s="353" t="n">
        <f aca="false">SUM(I19:I30)</f>
        <v>10855400.253661</v>
      </c>
      <c r="J31" s="353" t="n">
        <f aca="false">SUM(J19:J30)</f>
        <v>10544091.4714078</v>
      </c>
      <c r="K31" s="353" t="n">
        <f aca="false">SUM(K19:K30)</f>
        <v>10337387.6994626</v>
      </c>
      <c r="L31" s="353" t="n">
        <f aca="false">SUM(L19:L30)</f>
        <v>11708515.0524278</v>
      </c>
      <c r="M31" s="353" t="n">
        <f aca="false">SUM(M19:M30)</f>
        <v>10703514.7113299</v>
      </c>
      <c r="N31" s="353" t="n">
        <f aca="false">SUM(N19:N30)</f>
        <v>10927103.4598214</v>
      </c>
      <c r="O31" s="353" t="n">
        <f aca="false">SUM(O19:O30)</f>
        <v>126929104.631351</v>
      </c>
      <c r="Q31" s="145"/>
      <c r="R31" s="353" t="n">
        <f aca="false">SUM(R19:R30)</f>
        <v>11589766.3423506</v>
      </c>
      <c r="S31" s="353" t="n">
        <f aca="false">SUM(S19:S30)</f>
        <v>10557514.5375681</v>
      </c>
      <c r="T31" s="353" t="n">
        <f aca="false">SUM(T19:T30)</f>
        <v>11471668.4817518</v>
      </c>
      <c r="U31" s="353" t="n">
        <f aca="false">SUM(U19:U30)</f>
        <v>10640645.0087183</v>
      </c>
      <c r="V31" s="353" t="n">
        <f aca="false">SUM(V19:V30)</f>
        <v>10738069.4754154</v>
      </c>
      <c r="W31" s="353" t="n">
        <f aca="false">SUM(W19:W30)</f>
        <v>10575504.2460005</v>
      </c>
      <c r="X31" s="353" t="n">
        <f aca="false">SUM(X19:X30)</f>
        <v>11345704.2409714</v>
      </c>
      <c r="Y31" s="353" t="n">
        <f aca="false">SUM(Y19:Y30)</f>
        <v>11047955.523125</v>
      </c>
      <c r="Z31" s="353" t="n">
        <f aca="false">SUM(Z19:Z30)</f>
        <v>10855011.8518668</v>
      </c>
      <c r="AA31" s="353" t="n">
        <f aca="false">SUM(AA19:AA30)</f>
        <v>12414957.427274</v>
      </c>
      <c r="AB31" s="353" t="n">
        <f aca="false">SUM(AB19:AB30)</f>
        <v>11583796.473058</v>
      </c>
      <c r="AC31" s="353" t="n">
        <f aca="false">SUM(AC19:AC30)</f>
        <v>11855008.6362827</v>
      </c>
      <c r="AD31" s="353" t="n">
        <f aca="false">SUM(AD19:AD30)</f>
        <v>134675602.244382</v>
      </c>
      <c r="AF31" s="145"/>
      <c r="AG31" s="353" t="n">
        <f aca="false">SUM(AG19:AG30)</f>
        <v>12167698.2162418</v>
      </c>
      <c r="AH31" s="353" t="n">
        <f aca="false">SUM(AH19:AH30)</f>
        <v>11083729.8212202</v>
      </c>
      <c r="AI31" s="353" t="n">
        <f aca="false">SUM(AI19:AI30)</f>
        <v>12043609.4708119</v>
      </c>
      <c r="AJ31" s="353" t="n">
        <f aca="false">SUM(AJ19:AJ30)</f>
        <v>11171104.8323256</v>
      </c>
      <c r="AK31" s="353" t="n">
        <f aca="false">SUM(AK19:AK30)</f>
        <v>11273400.5223575</v>
      </c>
      <c r="AL31" s="353" t="n">
        <f aca="false">SUM(AL19:AL30)</f>
        <v>11102847.0478695</v>
      </c>
      <c r="AM31" s="353" t="n">
        <f aca="false">SUM(AM19:AM30)</f>
        <v>11911566.1051447</v>
      </c>
      <c r="AN31" s="353" t="n">
        <f aca="false">SUM(AN19:AN30)</f>
        <v>11598948.37062</v>
      </c>
      <c r="AO31" s="353" t="n">
        <f aca="false">SUM(AO19:AO30)</f>
        <v>11396339.0965849</v>
      </c>
      <c r="AP31" s="353" t="n">
        <f aca="false">SUM(AP19:AP30)</f>
        <v>13034229.9507625</v>
      </c>
      <c r="AQ31" s="353" t="n">
        <f aca="false">SUM(AQ19:AQ30)</f>
        <v>12161474.1104076</v>
      </c>
      <c r="AR31" s="353" t="n">
        <f aca="false">SUM(AR19:AR30)</f>
        <v>12446158.0433657</v>
      </c>
      <c r="AS31" s="353" t="n">
        <f aca="false">SUM(AS19:AS30)</f>
        <v>141391105.587712</v>
      </c>
    </row>
    <row r="32" customFormat="false" ht="13.8" hidden="false" customHeight="false" outlineLevel="0" collapsed="false">
      <c r="A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Q32" s="145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F32" s="145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</row>
    <row r="33" customFormat="false" ht="13.2" hidden="false" customHeight="false" outlineLevel="0" collapsed="false">
      <c r="A33" s="145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Q33" s="145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F33" s="145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</row>
    <row r="34" customFormat="false" ht="13.2" hidden="false" customHeight="false" outlineLevel="0" collapsed="false">
      <c r="A34" s="145"/>
      <c r="B34" s="355"/>
      <c r="C34" s="153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Q34" s="356"/>
      <c r="R34" s="357" t="s">
        <v>1024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F34" s="356"/>
      <c r="AG34" s="357" t="s">
        <v>1024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</row>
    <row r="35" customFormat="false" ht="13.2" hidden="false" customHeight="false" outlineLevel="0" collapsed="false">
      <c r="A35" s="141" t="s">
        <v>1025</v>
      </c>
      <c r="B35" s="144" t="str">
        <f aca="false">'P&amp;L$'!B36</f>
        <v>DEPRECIATION</v>
      </c>
      <c r="C35" s="146" t="n">
        <f aca="false">Depreciation!B31</f>
        <v>2939640.97</v>
      </c>
      <c r="D35" s="146" t="n">
        <f aca="false">Depreciation!C31</f>
        <v>2940344.07749167</v>
      </c>
      <c r="E35" s="146" t="n">
        <f aca="false">Depreciation!D31</f>
        <v>2940344.07749167</v>
      </c>
      <c r="F35" s="146" t="n">
        <f aca="false">Depreciation!E31</f>
        <v>2940523.85219405</v>
      </c>
      <c r="G35" s="146" t="n">
        <f aca="false">Depreciation!F31</f>
        <v>2940523.85219405</v>
      </c>
      <c r="H35" s="146" t="n">
        <f aca="false">Depreciation!G31</f>
        <v>2940523.85219405</v>
      </c>
      <c r="I35" s="146" t="n">
        <f aca="false">Depreciation!H31</f>
        <v>2940835.65755119</v>
      </c>
      <c r="J35" s="146" t="n">
        <f aca="false">Depreciation!I31</f>
        <v>2940835.65755119</v>
      </c>
      <c r="K35" s="146" t="n">
        <f aca="false">Depreciation!J31</f>
        <v>2940835.65755119</v>
      </c>
      <c r="L35" s="146" t="n">
        <f aca="false">Depreciation!K31</f>
        <v>2940835.65755119</v>
      </c>
      <c r="M35" s="146" t="n">
        <f aca="false">Depreciation!L31</f>
        <v>2940835.65755119</v>
      </c>
      <c r="N35" s="146" t="n">
        <f aca="false">Depreciation!M31</f>
        <v>2940835.65755119</v>
      </c>
      <c r="O35" s="139" t="n">
        <f aca="false">SUM(C35:N35)</f>
        <v>35286914.6268726</v>
      </c>
      <c r="Q35" s="144"/>
      <c r="R35" s="146" t="n">
        <f aca="false">Depreciation!Q31</f>
        <v>0</v>
      </c>
      <c r="S35" s="146" t="n">
        <f aca="false">Depreciation!R31</f>
        <v>0</v>
      </c>
      <c r="T35" s="146" t="n">
        <f aca="false">Depreciation!S31</f>
        <v>0</v>
      </c>
      <c r="U35" s="146" t="n">
        <f aca="false">Depreciation!T31</f>
        <v>0</v>
      </c>
      <c r="V35" s="146" t="n">
        <f aca="false">Depreciation!U31</f>
        <v>0</v>
      </c>
      <c r="W35" s="146" t="n">
        <f aca="false">Depreciation!V31</f>
        <v>0</v>
      </c>
      <c r="X35" s="146" t="n">
        <f aca="false">Depreciation!W31</f>
        <v>0</v>
      </c>
      <c r="Y35" s="146" t="n">
        <f aca="false">Depreciation!X31</f>
        <v>0</v>
      </c>
      <c r="Z35" s="146" t="n">
        <f aca="false">Depreciation!Y31</f>
        <v>0</v>
      </c>
      <c r="AA35" s="146" t="n">
        <f aca="false">Depreciation!Z31</f>
        <v>0</v>
      </c>
      <c r="AB35" s="146" t="n">
        <f aca="false">Depreciation!AA31</f>
        <v>0</v>
      </c>
      <c r="AC35" s="146" t="n">
        <f aca="false">Depreciation!AB31</f>
        <v>0</v>
      </c>
      <c r="AD35" s="139" t="n">
        <f aca="false">SUM(R35:AC35)</f>
        <v>0</v>
      </c>
      <c r="AF35" s="144"/>
      <c r="AG35" s="146" t="n">
        <f aca="false">Depreciation!AF31</f>
        <v>0</v>
      </c>
      <c r="AH35" s="146" t="n">
        <f aca="false">Depreciation!AG31</f>
        <v>0</v>
      </c>
      <c r="AI35" s="146" t="n">
        <f aca="false">Depreciation!AH31</f>
        <v>0</v>
      </c>
      <c r="AJ35" s="146" t="n">
        <f aca="false">Depreciation!AI31</f>
        <v>0</v>
      </c>
      <c r="AK35" s="146" t="n">
        <f aca="false">Depreciation!AJ31</f>
        <v>0</v>
      </c>
      <c r="AL35" s="146" t="n">
        <f aca="false">Depreciation!AK31</f>
        <v>0</v>
      </c>
      <c r="AM35" s="146" t="n">
        <f aca="false">Depreciation!AL31</f>
        <v>0</v>
      </c>
      <c r="AN35" s="146" t="n">
        <f aca="false">Depreciation!AM31</f>
        <v>0</v>
      </c>
      <c r="AO35" s="146" t="n">
        <f aca="false">Depreciation!AN31</f>
        <v>0</v>
      </c>
      <c r="AP35" s="146" t="n">
        <f aca="false">Depreciation!AO31</f>
        <v>0</v>
      </c>
      <c r="AQ35" s="146" t="n">
        <f aca="false">Depreciation!AP31</f>
        <v>0</v>
      </c>
      <c r="AR35" s="146" t="n">
        <f aca="false">Depreciation!AQ31</f>
        <v>0</v>
      </c>
      <c r="AS35" s="139" t="n">
        <f aca="false">SUM(AG35:AR35)</f>
        <v>0</v>
      </c>
    </row>
    <row r="36" customFormat="false" ht="13.8" hidden="false" customHeight="false" outlineLevel="0" collapsed="false">
      <c r="A36" s="145"/>
      <c r="B36" s="358" t="str">
        <f aca="false">'P&amp;L$'!B37</f>
        <v>Total</v>
      </c>
      <c r="C36" s="353" t="n">
        <f aca="false">C35</f>
        <v>2939640.97</v>
      </c>
      <c r="D36" s="353" t="n">
        <f aca="false">D35</f>
        <v>2940344.07749167</v>
      </c>
      <c r="E36" s="353" t="n">
        <f aca="false">E35</f>
        <v>2940344.07749167</v>
      </c>
      <c r="F36" s="353" t="n">
        <f aca="false">F35</f>
        <v>2940523.85219405</v>
      </c>
      <c r="G36" s="353" t="n">
        <f aca="false">G35</f>
        <v>2940523.85219405</v>
      </c>
      <c r="H36" s="353" t="n">
        <f aca="false">H35</f>
        <v>2940523.85219405</v>
      </c>
      <c r="I36" s="353" t="n">
        <f aca="false">I35</f>
        <v>2940835.65755119</v>
      </c>
      <c r="J36" s="353" t="n">
        <f aca="false">J35</f>
        <v>2940835.65755119</v>
      </c>
      <c r="K36" s="353" t="n">
        <f aca="false">K35</f>
        <v>2940835.65755119</v>
      </c>
      <c r="L36" s="353" t="n">
        <f aca="false">L35</f>
        <v>2940835.65755119</v>
      </c>
      <c r="M36" s="353" t="n">
        <f aca="false">M35</f>
        <v>2940835.65755119</v>
      </c>
      <c r="N36" s="353" t="n">
        <f aca="false">N35</f>
        <v>2940835.65755119</v>
      </c>
      <c r="O36" s="353" t="n">
        <f aca="false">O35</f>
        <v>35286914.6268726</v>
      </c>
      <c r="Q36" s="354"/>
      <c r="R36" s="353" t="n">
        <f aca="false">R35</f>
        <v>0</v>
      </c>
      <c r="S36" s="353" t="n">
        <f aca="false">S35</f>
        <v>0</v>
      </c>
      <c r="T36" s="353" t="n">
        <f aca="false">T35</f>
        <v>0</v>
      </c>
      <c r="U36" s="353" t="n">
        <f aca="false">U35</f>
        <v>0</v>
      </c>
      <c r="V36" s="353" t="n">
        <f aca="false">V35</f>
        <v>0</v>
      </c>
      <c r="W36" s="353" t="n">
        <f aca="false">W35</f>
        <v>0</v>
      </c>
      <c r="X36" s="353" t="n">
        <f aca="false">X35</f>
        <v>0</v>
      </c>
      <c r="Y36" s="353" t="n">
        <f aca="false">Y35</f>
        <v>0</v>
      </c>
      <c r="Z36" s="353" t="n">
        <f aca="false">Z35</f>
        <v>0</v>
      </c>
      <c r="AA36" s="353" t="n">
        <f aca="false">AA35</f>
        <v>0</v>
      </c>
      <c r="AB36" s="353" t="n">
        <f aca="false">AB35</f>
        <v>0</v>
      </c>
      <c r="AC36" s="353" t="n">
        <f aca="false">AC35</f>
        <v>0</v>
      </c>
      <c r="AD36" s="353" t="n">
        <f aca="false">AD35</f>
        <v>0</v>
      </c>
      <c r="AF36" s="354"/>
      <c r="AG36" s="353" t="n">
        <f aca="false">AG35</f>
        <v>0</v>
      </c>
      <c r="AH36" s="353" t="n">
        <f aca="false">AH35</f>
        <v>0</v>
      </c>
      <c r="AI36" s="353" t="n">
        <f aca="false">AI35</f>
        <v>0</v>
      </c>
      <c r="AJ36" s="353" t="n">
        <f aca="false">AJ35</f>
        <v>0</v>
      </c>
      <c r="AK36" s="353" t="n">
        <f aca="false">AK35</f>
        <v>0</v>
      </c>
      <c r="AL36" s="353" t="n">
        <f aca="false">AL35</f>
        <v>0</v>
      </c>
      <c r="AM36" s="353" t="n">
        <f aca="false">AM35</f>
        <v>0</v>
      </c>
      <c r="AN36" s="353" t="n">
        <f aca="false">AN35</f>
        <v>0</v>
      </c>
      <c r="AO36" s="353" t="n">
        <f aca="false">AO35</f>
        <v>0</v>
      </c>
      <c r="AP36" s="353" t="n">
        <f aca="false">AP35</f>
        <v>0</v>
      </c>
      <c r="AQ36" s="353" t="n">
        <f aca="false">AQ35</f>
        <v>0</v>
      </c>
      <c r="AR36" s="353" t="n">
        <f aca="false">AR35</f>
        <v>0</v>
      </c>
      <c r="AS36" s="353" t="n">
        <f aca="false">AS35</f>
        <v>0</v>
      </c>
    </row>
    <row r="37" customFormat="false" ht="13.8" hidden="false" customHeight="false" outlineLevel="0" collapsed="false">
      <c r="A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5"/>
      <c r="Q37" s="145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5"/>
      <c r="AF37" s="145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5"/>
    </row>
    <row r="38" customFormat="false" ht="13.2" hidden="false" customHeight="false" outlineLevel="0" collapsed="false">
      <c r="A38" s="137" t="s">
        <v>217</v>
      </c>
      <c r="B38" s="205" t="str">
        <f aca="false">'P&amp;L$'!B39</f>
        <v>TRANSMISSION FEE</v>
      </c>
      <c r="C38" s="146" t="n">
        <f aca="false">SiteServices!C44</f>
        <v>14000</v>
      </c>
      <c r="D38" s="146" t="n">
        <f aca="false">SiteServices!D44</f>
        <v>14000</v>
      </c>
      <c r="E38" s="146" t="n">
        <f aca="false">SiteServices!E44</f>
        <v>14000</v>
      </c>
      <c r="F38" s="146" t="n">
        <f aca="false">SiteServices!F44</f>
        <v>14000</v>
      </c>
      <c r="G38" s="146" t="n">
        <f aca="false">SiteServices!G44</f>
        <v>14000</v>
      </c>
      <c r="H38" s="146" t="n">
        <f aca="false">SiteServices!H44</f>
        <v>14000</v>
      </c>
      <c r="I38" s="146" t="n">
        <f aca="false">SiteServices!I44</f>
        <v>14000</v>
      </c>
      <c r="J38" s="146" t="n">
        <f aca="false">SiteServices!J44</f>
        <v>14000</v>
      </c>
      <c r="K38" s="146" t="n">
        <f aca="false">SiteServices!K44</f>
        <v>14000</v>
      </c>
      <c r="L38" s="146" t="n">
        <f aca="false">SiteServices!L44</f>
        <v>14000</v>
      </c>
      <c r="M38" s="146" t="n">
        <f aca="false">SiteServices!M44</f>
        <v>14000</v>
      </c>
      <c r="N38" s="146" t="n">
        <f aca="false">SiteServices!N44</f>
        <v>14000</v>
      </c>
      <c r="O38" s="139" t="n">
        <f aca="false">SUM(C38:N38)</f>
        <v>168000</v>
      </c>
      <c r="Q38" s="170"/>
      <c r="R38" s="146" t="n">
        <f aca="false">SiteServices!R44</f>
        <v>12521</v>
      </c>
      <c r="S38" s="146" t="n">
        <f aca="false">SiteServices!S44</f>
        <v>12521</v>
      </c>
      <c r="T38" s="146" t="n">
        <f aca="false">SiteServices!T44</f>
        <v>12521</v>
      </c>
      <c r="U38" s="146" t="n">
        <f aca="false">SiteServices!U44</f>
        <v>12521</v>
      </c>
      <c r="V38" s="146" t="n">
        <f aca="false">SiteServices!V44</f>
        <v>12521</v>
      </c>
      <c r="W38" s="146" t="n">
        <f aca="false">SiteServices!W44</f>
        <v>12521</v>
      </c>
      <c r="X38" s="146" t="n">
        <f aca="false">SiteServices!X44</f>
        <v>12521</v>
      </c>
      <c r="Y38" s="146" t="n">
        <f aca="false">SiteServices!Y44</f>
        <v>12521</v>
      </c>
      <c r="Z38" s="146" t="n">
        <f aca="false">SiteServices!Z44</f>
        <v>12521</v>
      </c>
      <c r="AA38" s="146" t="n">
        <f aca="false">SiteServices!AA44</f>
        <v>12521</v>
      </c>
      <c r="AB38" s="146" t="n">
        <f aca="false">SiteServices!AB44</f>
        <v>12521</v>
      </c>
      <c r="AC38" s="146" t="n">
        <f aca="false">SiteServices!AC44</f>
        <v>150252</v>
      </c>
      <c r="AD38" s="139" t="n">
        <f aca="false">SUM(R38:AC38)</f>
        <v>287983</v>
      </c>
      <c r="AF38" s="170"/>
      <c r="AG38" s="146" t="n">
        <f aca="false">SiteServices!AG44</f>
        <v>12521</v>
      </c>
      <c r="AH38" s="146" t="n">
        <f aca="false">SiteServices!AH44</f>
        <v>12521</v>
      </c>
      <c r="AI38" s="146" t="n">
        <f aca="false">SiteServices!AI44</f>
        <v>12521</v>
      </c>
      <c r="AJ38" s="146" t="n">
        <f aca="false">SiteServices!AJ44</f>
        <v>12521</v>
      </c>
      <c r="AK38" s="146" t="n">
        <f aca="false">SiteServices!AK44</f>
        <v>12521</v>
      </c>
      <c r="AL38" s="146" t="n">
        <f aca="false">SiteServices!AL44</f>
        <v>12521</v>
      </c>
      <c r="AM38" s="146" t="n">
        <f aca="false">SiteServices!AM44</f>
        <v>12521</v>
      </c>
      <c r="AN38" s="146" t="n">
        <f aca="false">SiteServices!AN44</f>
        <v>12521</v>
      </c>
      <c r="AO38" s="146" t="n">
        <f aca="false">SiteServices!AO44</f>
        <v>12521</v>
      </c>
      <c r="AP38" s="146" t="n">
        <f aca="false">SiteServices!AP44</f>
        <v>12521</v>
      </c>
      <c r="AQ38" s="146" t="n">
        <f aca="false">SiteServices!AQ44</f>
        <v>150252</v>
      </c>
      <c r="AR38" s="146" t="n">
        <f aca="false">SiteServices!AR44</f>
        <v>0</v>
      </c>
      <c r="AS38" s="139" t="n">
        <f aca="false">SUM(AG38:AR38)</f>
        <v>275462</v>
      </c>
    </row>
    <row r="39" customFormat="false" ht="13.8" hidden="false" customHeight="false" outlineLevel="0" collapsed="false">
      <c r="A39" s="145"/>
      <c r="B39" s="358" t="str">
        <f aca="false">'P&amp;L$'!B40</f>
        <v>Total</v>
      </c>
      <c r="C39" s="353" t="n">
        <f aca="false">C38</f>
        <v>14000</v>
      </c>
      <c r="D39" s="353" t="n">
        <f aca="false">D38</f>
        <v>14000</v>
      </c>
      <c r="E39" s="353" t="n">
        <f aca="false">E38</f>
        <v>14000</v>
      </c>
      <c r="F39" s="353" t="n">
        <f aca="false">F38</f>
        <v>14000</v>
      </c>
      <c r="G39" s="353" t="n">
        <f aca="false">G38</f>
        <v>14000</v>
      </c>
      <c r="H39" s="353" t="n">
        <f aca="false">H38</f>
        <v>14000</v>
      </c>
      <c r="I39" s="353" t="n">
        <f aca="false">I38</f>
        <v>14000</v>
      </c>
      <c r="J39" s="353" t="n">
        <f aca="false">J38</f>
        <v>14000</v>
      </c>
      <c r="K39" s="353" t="n">
        <f aca="false">K38</f>
        <v>14000</v>
      </c>
      <c r="L39" s="353" t="n">
        <f aca="false">L38</f>
        <v>14000</v>
      </c>
      <c r="M39" s="353" t="n">
        <f aca="false">M38</f>
        <v>14000</v>
      </c>
      <c r="N39" s="353" t="n">
        <f aca="false">N38</f>
        <v>14000</v>
      </c>
      <c r="O39" s="353" t="n">
        <f aca="false">O38</f>
        <v>168000</v>
      </c>
      <c r="Q39" s="145"/>
      <c r="R39" s="353" t="n">
        <f aca="false">R38</f>
        <v>12521</v>
      </c>
      <c r="S39" s="353" t="n">
        <f aca="false">S38</f>
        <v>12521</v>
      </c>
      <c r="T39" s="353" t="n">
        <f aca="false">T38</f>
        <v>12521</v>
      </c>
      <c r="U39" s="353" t="n">
        <f aca="false">U38</f>
        <v>12521</v>
      </c>
      <c r="V39" s="353" t="n">
        <f aca="false">V38</f>
        <v>12521</v>
      </c>
      <c r="W39" s="353" t="n">
        <f aca="false">W38</f>
        <v>12521</v>
      </c>
      <c r="X39" s="353" t="n">
        <f aca="false">X38</f>
        <v>12521</v>
      </c>
      <c r="Y39" s="353" t="n">
        <f aca="false">Y38</f>
        <v>12521</v>
      </c>
      <c r="Z39" s="353" t="n">
        <f aca="false">Z38</f>
        <v>12521</v>
      </c>
      <c r="AA39" s="353" t="n">
        <f aca="false">AA38</f>
        <v>12521</v>
      </c>
      <c r="AB39" s="353" t="n">
        <f aca="false">AB38</f>
        <v>12521</v>
      </c>
      <c r="AC39" s="353" t="n">
        <f aca="false">AC38</f>
        <v>150252</v>
      </c>
      <c r="AD39" s="353" t="n">
        <f aca="false">AD38</f>
        <v>287983</v>
      </c>
      <c r="AF39" s="145"/>
      <c r="AG39" s="353" t="n">
        <f aca="false">AG38</f>
        <v>12521</v>
      </c>
      <c r="AH39" s="353" t="n">
        <f aca="false">AH38</f>
        <v>12521</v>
      </c>
      <c r="AI39" s="353" t="n">
        <f aca="false">AI38</f>
        <v>12521</v>
      </c>
      <c r="AJ39" s="353" t="n">
        <f aca="false">AJ38</f>
        <v>12521</v>
      </c>
      <c r="AK39" s="353" t="n">
        <f aca="false">AK38</f>
        <v>12521</v>
      </c>
      <c r="AL39" s="353" t="n">
        <f aca="false">AL38</f>
        <v>12521</v>
      </c>
      <c r="AM39" s="353" t="n">
        <f aca="false">AM38</f>
        <v>12521</v>
      </c>
      <c r="AN39" s="353" t="n">
        <f aca="false">AN38</f>
        <v>12521</v>
      </c>
      <c r="AO39" s="353" t="n">
        <f aca="false">AO38</f>
        <v>12521</v>
      </c>
      <c r="AP39" s="353" t="n">
        <f aca="false">AP38</f>
        <v>12521</v>
      </c>
      <c r="AQ39" s="353" t="n">
        <f aca="false">AQ38</f>
        <v>150252</v>
      </c>
      <c r="AR39" s="353" t="n">
        <f aca="false">AR38</f>
        <v>0</v>
      </c>
      <c r="AS39" s="353" t="n">
        <f aca="false">AS38</f>
        <v>275462</v>
      </c>
    </row>
    <row r="40" customFormat="false" ht="13.8" hidden="false" customHeight="false" outlineLevel="0" collapsed="false">
      <c r="A40" s="145"/>
      <c r="B40" s="291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Q40" s="145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F40" s="145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</row>
    <row r="41" customFormat="false" ht="13.2" hidden="false" customHeight="false" outlineLevel="0" collapsed="false">
      <c r="A41" s="145"/>
      <c r="B41" s="291" t="str">
        <f aca="false">'P&amp;L$'!B42</f>
        <v>MAINTENANCE/OVERHAUL</v>
      </c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5"/>
      <c r="Q41" s="145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5"/>
      <c r="AF41" s="145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5"/>
    </row>
    <row r="42" customFormat="false" ht="13.2" hidden="false" customHeight="false" outlineLevel="0" collapsed="false">
      <c r="A42" s="145"/>
      <c r="B42" s="359" t="s">
        <v>234</v>
      </c>
      <c r="C42" s="146" t="n">
        <f aca="false">'R&amp;M'!B22</f>
        <v>0</v>
      </c>
      <c r="D42" s="146" t="n">
        <f aca="false">'R&amp;M'!C22</f>
        <v>0</v>
      </c>
      <c r="E42" s="146" t="n">
        <f aca="false">'R&amp;M'!D22</f>
        <v>18786.444479964</v>
      </c>
      <c r="F42" s="146" t="n">
        <f aca="false">'R&amp;M'!E22</f>
        <v>0</v>
      </c>
      <c r="G42" s="146" t="n">
        <f aca="false">'R&amp;M'!F22</f>
        <v>0</v>
      </c>
      <c r="H42" s="146" t="n">
        <f aca="false">'R&amp;M'!G22</f>
        <v>18865.017539928</v>
      </c>
      <c r="I42" s="146" t="n">
        <f aca="false">'R&amp;M'!H22</f>
        <v>0</v>
      </c>
      <c r="J42" s="146" t="n">
        <f aca="false">'R&amp;M'!I22</f>
        <v>0</v>
      </c>
      <c r="K42" s="146" t="n">
        <f aca="false">'R&amp;M'!J22</f>
        <v>103044.203488476</v>
      </c>
      <c r="L42" s="146" t="n">
        <f aca="false">'R&amp;M'!K22</f>
        <v>0</v>
      </c>
      <c r="M42" s="146" t="n">
        <f aca="false">'R&amp;M'!L22</f>
        <v>0</v>
      </c>
      <c r="N42" s="146" t="n">
        <f aca="false">'R&amp;M'!M22</f>
        <v>19022.163659856</v>
      </c>
      <c r="O42" s="139" t="n">
        <f aca="false">SUM(C42:N42)</f>
        <v>159717.829168224</v>
      </c>
      <c r="Q42" s="145"/>
      <c r="R42" s="146" t="n">
        <f aca="false">'R&amp;M'!P22</f>
        <v>34307</v>
      </c>
      <c r="S42" s="146" t="n">
        <f aca="false">'R&amp;M'!Q22</f>
        <v>34307</v>
      </c>
      <c r="T42" s="146" t="n">
        <f aca="false">'R&amp;M'!R22</f>
        <v>34307</v>
      </c>
      <c r="U42" s="146" t="n">
        <f aca="false">'R&amp;M'!S22</f>
        <v>6304</v>
      </c>
      <c r="V42" s="146" t="n">
        <f aca="false">'R&amp;M'!T22</f>
        <v>6304</v>
      </c>
      <c r="W42" s="146" t="n">
        <f aca="false">'R&amp;M'!U22</f>
        <v>6304</v>
      </c>
      <c r="X42" s="146" t="n">
        <f aca="false">'R&amp;M'!V22</f>
        <v>6304</v>
      </c>
      <c r="Y42" s="146" t="n">
        <f aca="false">'R&amp;M'!W22</f>
        <v>6304</v>
      </c>
      <c r="Z42" s="146" t="n">
        <f aca="false">'R&amp;M'!X22</f>
        <v>6304</v>
      </c>
      <c r="AA42" s="146" t="n">
        <f aca="false">'R&amp;M'!Y22</f>
        <v>6304</v>
      </c>
      <c r="AB42" s="146" t="n">
        <f aca="false">'R&amp;M'!Z22</f>
        <v>6304</v>
      </c>
      <c r="AC42" s="146" t="n">
        <f aca="false">'R&amp;M'!AA22</f>
        <v>6304</v>
      </c>
      <c r="AD42" s="139" t="n">
        <f aca="false">SUM(R42:AC42)</f>
        <v>159657</v>
      </c>
      <c r="AF42" s="145"/>
      <c r="AG42" s="146" t="n">
        <f aca="false">'R&amp;M'!AD22</f>
        <v>34307</v>
      </c>
      <c r="AH42" s="146" t="n">
        <f aca="false">'R&amp;M'!AE22</f>
        <v>34307</v>
      </c>
      <c r="AI42" s="146" t="n">
        <f aca="false">'R&amp;M'!AF22</f>
        <v>34307</v>
      </c>
      <c r="AJ42" s="146" t="n">
        <f aca="false">'R&amp;M'!AG22</f>
        <v>6304</v>
      </c>
      <c r="AK42" s="146" t="n">
        <f aca="false">'R&amp;M'!AH22</f>
        <v>6304</v>
      </c>
      <c r="AL42" s="146" t="n">
        <f aca="false">'R&amp;M'!AI22</f>
        <v>6304</v>
      </c>
      <c r="AM42" s="146" t="n">
        <f aca="false">'R&amp;M'!AJ22</f>
        <v>6304</v>
      </c>
      <c r="AN42" s="146" t="n">
        <f aca="false">'R&amp;M'!AK22</f>
        <v>6304</v>
      </c>
      <c r="AO42" s="146" t="n">
        <f aca="false">'R&amp;M'!AL22</f>
        <v>6304</v>
      </c>
      <c r="AP42" s="146" t="n">
        <f aca="false">'R&amp;M'!AM22</f>
        <v>6304</v>
      </c>
      <c r="AQ42" s="146" t="n">
        <f aca="false">'R&amp;M'!AN22</f>
        <v>6304</v>
      </c>
      <c r="AR42" s="146" t="n">
        <f aca="false">'R&amp;M'!AO22</f>
        <v>6304</v>
      </c>
      <c r="AS42" s="139" t="n">
        <f aca="false">SUM(AG42:AR42)</f>
        <v>159657</v>
      </c>
    </row>
    <row r="43" customFormat="false" ht="5.4" hidden="false" customHeight="true" outlineLevel="0" collapsed="false">
      <c r="A43" s="145"/>
      <c r="B43" s="359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5"/>
      <c r="Q43" s="145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5"/>
      <c r="AF43" s="145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5"/>
    </row>
    <row r="44" customFormat="false" ht="13.2" hidden="false" customHeight="false" outlineLevel="0" collapsed="false">
      <c r="A44" s="145"/>
      <c r="B44" s="359" t="s">
        <v>236</v>
      </c>
      <c r="C44" s="146" t="n">
        <f aca="false">'R&amp;M'!B24</f>
        <v>5658.9925134</v>
      </c>
      <c r="D44" s="146" t="n">
        <f aca="false">'R&amp;M'!C24</f>
        <v>5666.9040268</v>
      </c>
      <c r="E44" s="146" t="n">
        <f aca="false">'R&amp;M'!D24</f>
        <v>5674.8155402</v>
      </c>
      <c r="F44" s="146" t="n">
        <f aca="false">'R&amp;M'!E24</f>
        <v>5682.7270536</v>
      </c>
      <c r="G44" s="146" t="n">
        <f aca="false">'R&amp;M'!F24</f>
        <v>222064.728567</v>
      </c>
      <c r="H44" s="146" t="n">
        <f aca="false">'R&amp;M'!G24</f>
        <v>5698.5500804</v>
      </c>
      <c r="I44" s="146" t="n">
        <f aca="false">'R&amp;M'!H24</f>
        <v>5706.4615938</v>
      </c>
      <c r="J44" s="146" t="n">
        <f aca="false">'R&amp;M'!I24</f>
        <v>5714.3731072</v>
      </c>
      <c r="K44" s="146" t="n">
        <f aca="false">'R&amp;M'!J24</f>
        <v>5722.2846206</v>
      </c>
      <c r="L44" s="146" t="n">
        <f aca="false">'R&amp;M'!K24</f>
        <v>5730.196134</v>
      </c>
      <c r="M44" s="146" t="n">
        <f aca="false">'R&amp;M'!L24</f>
        <v>5738.1076474</v>
      </c>
      <c r="N44" s="146" t="n">
        <f aca="false">'R&amp;M'!M24</f>
        <v>5746.0191608</v>
      </c>
      <c r="O44" s="139" t="n">
        <f aca="false">SUM(C44:N44)</f>
        <v>284804.1600452</v>
      </c>
      <c r="Q44" s="145"/>
      <c r="R44" s="146" t="n">
        <f aca="false">'R&amp;M'!P24</f>
        <v>667223.214530356</v>
      </c>
      <c r="S44" s="146" t="n">
        <f aca="false">'R&amp;M'!Q24</f>
        <v>669991.775586499</v>
      </c>
      <c r="T44" s="146" t="n">
        <f aca="false">'R&amp;M'!R24</f>
        <v>672760.336642641</v>
      </c>
      <c r="U44" s="146" t="n">
        <f aca="false">'R&amp;M'!S24</f>
        <v>675528.897698784</v>
      </c>
      <c r="V44" s="146" t="n">
        <f aca="false">'R&amp;M'!T24</f>
        <v>678297.458754927</v>
      </c>
      <c r="W44" s="146" t="n">
        <f aca="false">'R&amp;M'!U24</f>
        <v>681066.019811069</v>
      </c>
      <c r="X44" s="146" t="n">
        <f aca="false">'R&amp;M'!V24</f>
        <v>683834.580867212</v>
      </c>
      <c r="Y44" s="146" t="n">
        <f aca="false">'R&amp;M'!W24</f>
        <v>686603.141923354</v>
      </c>
      <c r="Z44" s="146" t="n">
        <f aca="false">'R&amp;M'!X24</f>
        <v>689371.702979497</v>
      </c>
      <c r="AA44" s="146" t="n">
        <f aca="false">'R&amp;M'!Y24</f>
        <v>692140.264035639</v>
      </c>
      <c r="AB44" s="146" t="n">
        <f aca="false">'R&amp;M'!Z24</f>
        <v>694908.825091782</v>
      </c>
      <c r="AC44" s="146" t="n">
        <f aca="false">'R&amp;M'!AA24</f>
        <v>697677.386147924</v>
      </c>
      <c r="AD44" s="139" t="n">
        <f aca="false">SUM(R44:AC44)</f>
        <v>8189403.60406968</v>
      </c>
      <c r="AF44" s="145"/>
      <c r="AG44" s="146" t="n">
        <f aca="false">'R&amp;M'!AD24</f>
        <v>770189.635439336</v>
      </c>
      <c r="AH44" s="146" t="n">
        <f aca="false">'R&amp;M'!AE24</f>
        <v>773398.758920334</v>
      </c>
      <c r="AI44" s="146" t="n">
        <f aca="false">'R&amp;M'!AF24</f>
        <v>776607.882401331</v>
      </c>
      <c r="AJ44" s="146" t="n">
        <f aca="false">'R&amp;M'!AG24</f>
        <v>779817.005882328</v>
      </c>
      <c r="AK44" s="146" t="n">
        <f aca="false">'R&amp;M'!AH24</f>
        <v>783026.129363325</v>
      </c>
      <c r="AL44" s="146" t="n">
        <f aca="false">'R&amp;M'!AI24</f>
        <v>786235.252844323</v>
      </c>
      <c r="AM44" s="146" t="n">
        <f aca="false">'R&amp;M'!AJ24</f>
        <v>789444.37632532</v>
      </c>
      <c r="AN44" s="146" t="n">
        <f aca="false">'R&amp;M'!AK24</f>
        <v>792653.499806317</v>
      </c>
      <c r="AO44" s="146" t="n">
        <f aca="false">'R&amp;M'!AL24</f>
        <v>795862.623287314</v>
      </c>
      <c r="AP44" s="146" t="n">
        <f aca="false">'R&amp;M'!AM24</f>
        <v>799071.746768311</v>
      </c>
      <c r="AQ44" s="146" t="n">
        <f aca="false">'R&amp;M'!AN24</f>
        <v>802280.870249309</v>
      </c>
      <c r="AR44" s="146" t="n">
        <f aca="false">'R&amp;M'!AO24</f>
        <v>805489.993730306</v>
      </c>
      <c r="AS44" s="139" t="n">
        <f aca="false">SUM(AG44:AR44)</f>
        <v>9454077.77501785</v>
      </c>
    </row>
    <row r="45" customFormat="false" ht="5.4" hidden="false" customHeight="true" outlineLevel="0" collapsed="false">
      <c r="A45" s="145"/>
      <c r="B45" s="359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5"/>
      <c r="Q45" s="145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5"/>
      <c r="AF45" s="145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5"/>
    </row>
    <row r="46" customFormat="false" ht="13.2" hidden="false" customHeight="false" outlineLevel="0" collapsed="false">
      <c r="A46" s="145"/>
      <c r="B46" s="359" t="s">
        <v>228</v>
      </c>
      <c r="C46" s="146" t="n">
        <f aca="false">'R&amp;M'!B26</f>
        <v>84682.62713208</v>
      </c>
      <c r="D46" s="146" t="n">
        <f aca="false">'R&amp;M'!C26</f>
        <v>84801.01706416</v>
      </c>
      <c r="E46" s="146" t="n">
        <f aca="false">'R&amp;M'!D26</f>
        <v>84919.40699624</v>
      </c>
      <c r="F46" s="146" t="n">
        <f aca="false">'R&amp;M'!E26</f>
        <v>85037.79692832</v>
      </c>
      <c r="G46" s="146" t="n">
        <f aca="false">'R&amp;M'!F26</f>
        <v>85156.1868604</v>
      </c>
      <c r="H46" s="146" t="n">
        <f aca="false">'R&amp;M'!G26</f>
        <v>85274.57679248</v>
      </c>
      <c r="I46" s="146" t="n">
        <f aca="false">'R&amp;M'!H26</f>
        <v>85392.96672456</v>
      </c>
      <c r="J46" s="146" t="n">
        <f aca="false">'R&amp;M'!I26</f>
        <v>85511.35665664</v>
      </c>
      <c r="K46" s="146" t="n">
        <f aca="false">'R&amp;M'!J26</f>
        <v>85629.74658872</v>
      </c>
      <c r="L46" s="146" t="n">
        <f aca="false">'R&amp;M'!K26</f>
        <v>85748.1365208001</v>
      </c>
      <c r="M46" s="146" t="n">
        <f aca="false">'R&amp;M'!L26</f>
        <v>85866.5264528801</v>
      </c>
      <c r="N46" s="146" t="n">
        <f aca="false">'R&amp;M'!M26</f>
        <v>85984.9163849601</v>
      </c>
      <c r="O46" s="139" t="n">
        <f aca="false">SUM(C46:N46)</f>
        <v>1024005.26110224</v>
      </c>
      <c r="Q46" s="145"/>
      <c r="R46" s="146" t="n">
        <f aca="false">'R&amp;M'!P26</f>
        <v>92113.1477772007</v>
      </c>
      <c r="S46" s="146" t="n">
        <f aca="false">'R&amp;M'!Q26</f>
        <v>92495.3600086414</v>
      </c>
      <c r="T46" s="146" t="n">
        <f aca="false">'R&amp;M'!R26</f>
        <v>92877.5722400821</v>
      </c>
      <c r="U46" s="146" t="n">
        <f aca="false">'R&amp;M'!S26</f>
        <v>93259.7844715227</v>
      </c>
      <c r="V46" s="146" t="n">
        <f aca="false">'R&amp;M'!T26</f>
        <v>93641.9967029634</v>
      </c>
      <c r="W46" s="146" t="n">
        <f aca="false">'R&amp;M'!U26</f>
        <v>94024.208934404</v>
      </c>
      <c r="X46" s="146" t="n">
        <f aca="false">'R&amp;M'!V26</f>
        <v>94406.4211658447</v>
      </c>
      <c r="Y46" s="146" t="n">
        <f aca="false">'R&amp;M'!W26</f>
        <v>94788.6333972854</v>
      </c>
      <c r="Z46" s="146" t="n">
        <f aca="false">'R&amp;M'!X26</f>
        <v>95170.845628726</v>
      </c>
      <c r="AA46" s="146" t="n">
        <f aca="false">'R&amp;M'!Y26</f>
        <v>95553.0578601667</v>
      </c>
      <c r="AB46" s="146" t="n">
        <f aca="false">'R&amp;M'!Z26</f>
        <v>95935.2700916074</v>
      </c>
      <c r="AC46" s="146" t="n">
        <f aca="false">'R&amp;M'!AA26</f>
        <v>96317.482323048</v>
      </c>
      <c r="AD46" s="146" t="n">
        <f aca="false">'R&amp;M'!AB26</f>
        <v>1130583.78060149</v>
      </c>
      <c r="AE46" s="146" t="str">
        <f aca="false">'R&amp;M'!AC26</f>
        <v>BOP Maintenance</v>
      </c>
      <c r="AF46" s="146"/>
      <c r="AG46" s="146" t="n">
        <f aca="false">'R&amp;M'!AD26</f>
        <v>96718.8051660607</v>
      </c>
      <c r="AH46" s="146" t="n">
        <f aca="false">'R&amp;M'!AE26</f>
        <v>97120.1280090734</v>
      </c>
      <c r="AI46" s="146" t="n">
        <f aca="false">'R&amp;M'!AF26</f>
        <v>97521.4508520861</v>
      </c>
      <c r="AJ46" s="146" t="n">
        <f aca="false">'R&amp;M'!AG26</f>
        <v>97922.7736950988</v>
      </c>
      <c r="AK46" s="146" t="n">
        <f aca="false">'R&amp;M'!AH26</f>
        <v>98324.0965381115</v>
      </c>
      <c r="AL46" s="146" t="n">
        <f aca="false">'R&amp;M'!AI26</f>
        <v>98725.4193811242</v>
      </c>
      <c r="AM46" s="146" t="n">
        <f aca="false">'R&amp;M'!AJ26</f>
        <v>99126.7422241369</v>
      </c>
      <c r="AN46" s="146" t="n">
        <f aca="false">'R&amp;M'!AK26</f>
        <v>99528.0650671496</v>
      </c>
      <c r="AO46" s="146" t="n">
        <f aca="false">'R&amp;M'!AL26</f>
        <v>99929.3879101624</v>
      </c>
      <c r="AP46" s="146" t="n">
        <f aca="false">'R&amp;M'!AM26</f>
        <v>100330.710753175</v>
      </c>
      <c r="AQ46" s="146" t="n">
        <f aca="false">'R&amp;M'!AN26</f>
        <v>100732.033596188</v>
      </c>
      <c r="AR46" s="146" t="n">
        <f aca="false">'R&amp;M'!AO26</f>
        <v>101133.3564392</v>
      </c>
      <c r="AS46" s="139" t="n">
        <f aca="false">SUM(AG46:AR46)</f>
        <v>1187112.96963157</v>
      </c>
    </row>
    <row r="47" customFormat="false" ht="13.2" hidden="false" customHeight="false" outlineLevel="0" collapsed="false">
      <c r="A47" s="145"/>
      <c r="B47" s="359" t="s">
        <v>230</v>
      </c>
      <c r="C47" s="146" t="n">
        <f aca="false">'R&amp;M'!B27</f>
        <v>73467.92409792</v>
      </c>
      <c r="D47" s="146" t="n">
        <f aca="false">'R&amp;M'!C27</f>
        <v>73570.63539584</v>
      </c>
      <c r="E47" s="146" t="n">
        <f aca="false">'R&amp;M'!D27</f>
        <v>73673.34669376</v>
      </c>
      <c r="F47" s="146" t="n">
        <f aca="false">'R&amp;M'!E27</f>
        <v>73776.05799168</v>
      </c>
      <c r="G47" s="146" t="n">
        <f aca="false">'R&amp;M'!F27</f>
        <v>73878.7692896</v>
      </c>
      <c r="H47" s="146" t="n">
        <f aca="false">'R&amp;M'!G27</f>
        <v>73981.48058752</v>
      </c>
      <c r="I47" s="146" t="n">
        <f aca="false">'R&amp;M'!H27</f>
        <v>74084.19188544</v>
      </c>
      <c r="J47" s="146" t="n">
        <f aca="false">'R&amp;M'!I27</f>
        <v>74186.90318336</v>
      </c>
      <c r="K47" s="146" t="n">
        <f aca="false">'R&amp;M'!J27</f>
        <v>74289.61448128</v>
      </c>
      <c r="L47" s="146" t="n">
        <f aca="false">'R&amp;M'!K27</f>
        <v>74392.3257792</v>
      </c>
      <c r="M47" s="146" t="n">
        <f aca="false">'R&amp;M'!L27</f>
        <v>74495.03707712</v>
      </c>
      <c r="N47" s="146" t="n">
        <f aca="false">'R&amp;M'!M27</f>
        <v>74597.7483750401</v>
      </c>
      <c r="O47" s="139" t="n">
        <f aca="false">SUM(C47:N47)</f>
        <v>888394.03483776</v>
      </c>
      <c r="Q47" s="145"/>
      <c r="R47" s="146" t="n">
        <f aca="false">'R&amp;M'!P27</f>
        <v>74908.5723266027</v>
      </c>
      <c r="S47" s="146" t="n">
        <f aca="false">'R&amp;M'!Q27</f>
        <v>75219.3962781654</v>
      </c>
      <c r="T47" s="146" t="n">
        <f aca="false">'R&amp;M'!R27</f>
        <v>75530.2202297281</v>
      </c>
      <c r="U47" s="146" t="n">
        <f aca="false">'R&amp;M'!S27</f>
        <v>75841.0441812907</v>
      </c>
      <c r="V47" s="146" t="n">
        <f aca="false">'R&amp;M'!T27</f>
        <v>76151.8681328534</v>
      </c>
      <c r="W47" s="146" t="n">
        <f aca="false">'R&amp;M'!U27</f>
        <v>76462.692084416</v>
      </c>
      <c r="X47" s="146" t="n">
        <f aca="false">'R&amp;M'!V27</f>
        <v>76773.5160359787</v>
      </c>
      <c r="Y47" s="146" t="n">
        <f aca="false">'R&amp;M'!W27</f>
        <v>77084.3399875414</v>
      </c>
      <c r="Z47" s="146" t="n">
        <f aca="false">'R&amp;M'!X27</f>
        <v>77395.163939104</v>
      </c>
      <c r="AA47" s="146" t="n">
        <f aca="false">'R&amp;M'!Y27</f>
        <v>77705.9878906667</v>
      </c>
      <c r="AB47" s="146" t="n">
        <f aca="false">'R&amp;M'!Z27</f>
        <v>78016.8118422294</v>
      </c>
      <c r="AC47" s="146" t="n">
        <f aca="false">'R&amp;M'!AA27</f>
        <v>78327.635793792</v>
      </c>
      <c r="AD47" s="146" t="n">
        <f aca="false">'R&amp;M'!AB27</f>
        <v>919417.248722368</v>
      </c>
      <c r="AE47" s="146" t="str">
        <f aca="false">'R&amp;M'!AC27</f>
        <v>Unplanned Maintenance</v>
      </c>
      <c r="AF47" s="146"/>
      <c r="AG47" s="146" t="n">
        <f aca="false">'R&amp;M'!AD27</f>
        <v>78654.0009429328</v>
      </c>
      <c r="AH47" s="146" t="n">
        <f aca="false">'R&amp;M'!AE27</f>
        <v>78980.3660920736</v>
      </c>
      <c r="AI47" s="146" t="n">
        <f aca="false">'R&amp;M'!AF27</f>
        <v>79306.7312412144</v>
      </c>
      <c r="AJ47" s="146" t="n">
        <f aca="false">'R&amp;M'!AG27</f>
        <v>79633.0963903552</v>
      </c>
      <c r="AK47" s="146" t="n">
        <f aca="false">'R&amp;M'!AH27</f>
        <v>79959.461539496</v>
      </c>
      <c r="AL47" s="146" t="n">
        <f aca="false">'R&amp;M'!AI27</f>
        <v>80285.8266886368</v>
      </c>
      <c r="AM47" s="146" t="n">
        <f aca="false">'R&amp;M'!AJ27</f>
        <v>80612.1918377776</v>
      </c>
      <c r="AN47" s="146" t="n">
        <f aca="false">'R&amp;M'!AK27</f>
        <v>80938.5569869184</v>
      </c>
      <c r="AO47" s="146" t="n">
        <f aca="false">'R&amp;M'!AL27</f>
        <v>81264.9221360592</v>
      </c>
      <c r="AP47" s="146" t="n">
        <f aca="false">'R&amp;M'!AM27</f>
        <v>81591.2872852</v>
      </c>
      <c r="AQ47" s="146" t="n">
        <f aca="false">'R&amp;M'!AN27</f>
        <v>81917.6524343408</v>
      </c>
      <c r="AR47" s="146" t="n">
        <f aca="false">'R&amp;M'!AO27</f>
        <v>82244.0175834816</v>
      </c>
      <c r="AS47" s="139" t="n">
        <f aca="false">SUM(AG47:AR47)</f>
        <v>965388.111158487</v>
      </c>
    </row>
    <row r="48" customFormat="false" ht="13.2" hidden="false" customHeight="false" outlineLevel="0" collapsed="false">
      <c r="A48" s="145"/>
      <c r="B48" s="359" t="s">
        <v>231</v>
      </c>
      <c r="C48" s="146" t="n">
        <f aca="false">'R&amp;M'!B28</f>
        <v>30317.5682562</v>
      </c>
      <c r="D48" s="146" t="n">
        <f aca="false">'R&amp;M'!C28</f>
        <v>30359.9535124</v>
      </c>
      <c r="E48" s="146" t="n">
        <f aca="false">'R&amp;M'!D28</f>
        <v>30402.3387686</v>
      </c>
      <c r="F48" s="146" t="n">
        <f aca="false">'R&amp;M'!E28</f>
        <v>30444.7240248</v>
      </c>
      <c r="G48" s="146" t="n">
        <f aca="false">'R&amp;M'!F28</f>
        <v>30487.109281</v>
      </c>
      <c r="H48" s="146" t="n">
        <f aca="false">'R&amp;M'!G28</f>
        <v>30529.4945372</v>
      </c>
      <c r="I48" s="146" t="n">
        <f aca="false">'R&amp;M'!H28</f>
        <v>30571.8797934</v>
      </c>
      <c r="J48" s="146" t="n">
        <f aca="false">'R&amp;M'!I28</f>
        <v>30614.2650496</v>
      </c>
      <c r="K48" s="146" t="n">
        <f aca="false">'R&amp;M'!J28</f>
        <v>30656.6503058</v>
      </c>
      <c r="L48" s="146" t="n">
        <f aca="false">'R&amp;M'!K28</f>
        <v>30699.035562</v>
      </c>
      <c r="M48" s="146" t="n">
        <f aca="false">'R&amp;M'!L28</f>
        <v>30741.4208182</v>
      </c>
      <c r="N48" s="146" t="n">
        <f aca="false">'R&amp;M'!M28</f>
        <v>30783.8060744</v>
      </c>
      <c r="O48" s="139" t="n">
        <f aca="false">SUM(C48:N48)</f>
        <v>366608.2459836</v>
      </c>
      <c r="Q48" s="145"/>
      <c r="R48" s="146" t="n">
        <f aca="false">'R&amp;M'!P28</f>
        <v>30912.0719330434</v>
      </c>
      <c r="S48" s="146" t="n">
        <f aca="false">'R&amp;M'!Q28</f>
        <v>31040.3377916867</v>
      </c>
      <c r="T48" s="146" t="n">
        <f aca="false">'R&amp;M'!R28</f>
        <v>31168.60365033</v>
      </c>
      <c r="U48" s="146" t="n">
        <f aca="false">'R&amp;M'!S28</f>
        <v>31296.8695089734</v>
      </c>
      <c r="V48" s="146" t="n">
        <f aca="false">'R&amp;M'!T28</f>
        <v>31425.1353676167</v>
      </c>
      <c r="W48" s="146" t="n">
        <f aca="false">'R&amp;M'!U28</f>
        <v>31553.40122626</v>
      </c>
      <c r="X48" s="146" t="n">
        <f aca="false">'R&amp;M'!V28</f>
        <v>31681.6670849033</v>
      </c>
      <c r="Y48" s="146" t="n">
        <f aca="false">'R&amp;M'!W28</f>
        <v>31809.9329435467</v>
      </c>
      <c r="Z48" s="146" t="n">
        <f aca="false">'R&amp;M'!X28</f>
        <v>31938.19880219</v>
      </c>
      <c r="AA48" s="146" t="n">
        <f aca="false">'R&amp;M'!Y28</f>
        <v>32066.4646608333</v>
      </c>
      <c r="AB48" s="146" t="n">
        <f aca="false">'R&amp;M'!Z28</f>
        <v>32194.7305194767</v>
      </c>
      <c r="AC48" s="146" t="n">
        <f aca="false">'R&amp;M'!AA28</f>
        <v>32322.99637812</v>
      </c>
      <c r="AD48" s="146" t="n">
        <f aca="false">'R&amp;M'!AB28</f>
        <v>379410.40986698</v>
      </c>
      <c r="AE48" s="146" t="str">
        <f aca="false">'R&amp;M'!AC28</f>
        <v>Operational Parts</v>
      </c>
      <c r="AF48" s="146"/>
      <c r="AG48" s="146" t="n">
        <f aca="false">'R&amp;M'!AD28</f>
        <v>32457.6755296955</v>
      </c>
      <c r="AH48" s="146" t="n">
        <f aca="false">'R&amp;M'!AE28</f>
        <v>32592.354681271</v>
      </c>
      <c r="AI48" s="146" t="n">
        <f aca="false">'R&amp;M'!AF28</f>
        <v>32727.0338328465</v>
      </c>
      <c r="AJ48" s="146" t="n">
        <f aca="false">'R&amp;M'!AG28</f>
        <v>32861.712984422</v>
      </c>
      <c r="AK48" s="146" t="n">
        <f aca="false">'R&amp;M'!AH28</f>
        <v>32996.3921359975</v>
      </c>
      <c r="AL48" s="146" t="n">
        <f aca="false">'R&amp;M'!AI28</f>
        <v>33131.071287573</v>
      </c>
      <c r="AM48" s="146" t="n">
        <f aca="false">'R&amp;M'!AJ28</f>
        <v>33265.7504391485</v>
      </c>
      <c r="AN48" s="146" t="n">
        <f aca="false">'R&amp;M'!AK28</f>
        <v>33400.429590724</v>
      </c>
      <c r="AO48" s="146" t="n">
        <f aca="false">'R&amp;M'!AL28</f>
        <v>33535.1087422995</v>
      </c>
      <c r="AP48" s="146" t="n">
        <f aca="false">'R&amp;M'!AM28</f>
        <v>33669.787893875</v>
      </c>
      <c r="AQ48" s="146" t="n">
        <f aca="false">'R&amp;M'!AN28</f>
        <v>33804.4670454505</v>
      </c>
      <c r="AR48" s="146" t="n">
        <f aca="false">'R&amp;M'!AO28</f>
        <v>33939.146197026</v>
      </c>
      <c r="AS48" s="139" t="n">
        <f aca="false">SUM(AG48:AR48)</f>
        <v>398380.930360329</v>
      </c>
    </row>
    <row r="49" customFormat="false" ht="13.8" hidden="false" customHeight="false" outlineLevel="0" collapsed="false">
      <c r="A49" s="145"/>
      <c r="B49" s="285" t="s">
        <v>66</v>
      </c>
      <c r="C49" s="353" t="n">
        <f aca="false">SUM(C42:C48)</f>
        <v>194127.1119996</v>
      </c>
      <c r="D49" s="353" t="n">
        <f aca="false">SUM(D42:D48)</f>
        <v>194398.5099992</v>
      </c>
      <c r="E49" s="353" t="n">
        <f aca="false">SUM(E42:E48)</f>
        <v>213456.352478764</v>
      </c>
      <c r="F49" s="353" t="n">
        <f aca="false">SUM(F42:F48)</f>
        <v>194941.3059984</v>
      </c>
      <c r="G49" s="353" t="n">
        <f aca="false">SUM(G42:G48)</f>
        <v>411586.793998</v>
      </c>
      <c r="H49" s="353" t="n">
        <f aca="false">SUM(H42:H48)</f>
        <v>214349.119537528</v>
      </c>
      <c r="I49" s="353" t="n">
        <f aca="false">SUM(I42:I48)</f>
        <v>195755.4999972</v>
      </c>
      <c r="J49" s="353" t="n">
        <f aca="false">SUM(J42:J48)</f>
        <v>196026.8979968</v>
      </c>
      <c r="K49" s="353" t="n">
        <f aca="false">SUM(K42:K48)</f>
        <v>299342.499484876</v>
      </c>
      <c r="L49" s="353" t="n">
        <f aca="false">SUM(L42:L48)</f>
        <v>196569.693996</v>
      </c>
      <c r="M49" s="353" t="n">
        <f aca="false">SUM(M42:M48)</f>
        <v>196841.0919956</v>
      </c>
      <c r="N49" s="353" t="n">
        <f aca="false">SUM(N42:N48)</f>
        <v>216134.653655056</v>
      </c>
      <c r="O49" s="353" t="n">
        <f aca="false">SUM(O42:O48)</f>
        <v>2723529.53113703</v>
      </c>
      <c r="Q49" s="145"/>
      <c r="R49" s="353" t="n">
        <f aca="false">SUM(R42:R48)</f>
        <v>899464.006567203</v>
      </c>
      <c r="S49" s="353" t="n">
        <f aca="false">SUM(S42:S48)</f>
        <v>903053.869664992</v>
      </c>
      <c r="T49" s="353" t="n">
        <f aca="false">SUM(T42:T48)</f>
        <v>906643.732762781</v>
      </c>
      <c r="U49" s="353" t="n">
        <f aca="false">SUM(U42:U48)</f>
        <v>882230.595860571</v>
      </c>
      <c r="V49" s="353" t="n">
        <f aca="false">SUM(V42:V48)</f>
        <v>885820.45895836</v>
      </c>
      <c r="W49" s="353" t="n">
        <f aca="false">SUM(W42:W48)</f>
        <v>889410.322056149</v>
      </c>
      <c r="X49" s="353" t="n">
        <f aca="false">SUM(X42:X48)</f>
        <v>893000.185153938</v>
      </c>
      <c r="Y49" s="353" t="n">
        <f aca="false">SUM(Y42:Y48)</f>
        <v>896590.048251728</v>
      </c>
      <c r="Z49" s="353" t="n">
        <f aca="false">SUM(Z42:Z48)</f>
        <v>900179.911349517</v>
      </c>
      <c r="AA49" s="353" t="n">
        <f aca="false">SUM(AA42:AA48)</f>
        <v>903769.774447306</v>
      </c>
      <c r="AB49" s="353" t="n">
        <f aca="false">SUM(AB42:AB48)</f>
        <v>907359.637545095</v>
      </c>
      <c r="AC49" s="353" t="n">
        <f aca="false">SUM(AC42:AC48)</f>
        <v>910949.500642884</v>
      </c>
      <c r="AD49" s="353" t="n">
        <f aca="false">SUM(AD42:AD48)</f>
        <v>10778472.0432605</v>
      </c>
      <c r="AF49" s="145"/>
      <c r="AG49" s="353" t="n">
        <f aca="false">SUM(AG42:AG48)</f>
        <v>1012327.11707803</v>
      </c>
      <c r="AH49" s="353" t="n">
        <f aca="false">SUM(AH42:AH48)</f>
        <v>1016398.60770275</v>
      </c>
      <c r="AI49" s="353" t="n">
        <f aca="false">SUM(AI42:AI48)</f>
        <v>1020470.09832748</v>
      </c>
      <c r="AJ49" s="353" t="n">
        <f aca="false">SUM(AJ42:AJ48)</f>
        <v>996538.588952204</v>
      </c>
      <c r="AK49" s="353" t="n">
        <f aca="false">SUM(AK42:AK48)</f>
        <v>1000610.07957693</v>
      </c>
      <c r="AL49" s="353" t="n">
        <f aca="false">SUM(AL42:AL48)</f>
        <v>1004681.57020166</v>
      </c>
      <c r="AM49" s="353" t="n">
        <f aca="false">SUM(AM42:AM48)</f>
        <v>1008753.06082638</v>
      </c>
      <c r="AN49" s="353" t="n">
        <f aca="false">SUM(AN42:AN48)</f>
        <v>1012824.55145111</v>
      </c>
      <c r="AO49" s="353" t="n">
        <f aca="false">SUM(AO42:AO48)</f>
        <v>1016896.04207584</v>
      </c>
      <c r="AP49" s="353" t="n">
        <f aca="false">SUM(AP42:AP48)</f>
        <v>1020967.53270056</v>
      </c>
      <c r="AQ49" s="353" t="n">
        <f aca="false">SUM(AQ42:AQ48)</f>
        <v>1025039.02332529</v>
      </c>
      <c r="AR49" s="353" t="n">
        <f aca="false">SUM(AR42:AR48)</f>
        <v>1029110.51395001</v>
      </c>
      <c r="AS49" s="353" t="n">
        <f aca="false">SUM(AS42:AS48)</f>
        <v>12164616.7861682</v>
      </c>
    </row>
    <row r="50" customFormat="false" ht="13.8" hidden="false" customHeight="false" outlineLevel="0" collapsed="false">
      <c r="A50" s="145"/>
      <c r="B50" s="360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Q50" s="35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F50" s="35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</row>
    <row r="51" customFormat="false" ht="13.2" hidden="false" customHeight="false" outlineLevel="0" collapsed="false">
      <c r="A51" s="141" t="s">
        <v>1026</v>
      </c>
      <c r="B51" s="205" t="str">
        <f aca="false">'P&amp;L$'!B52</f>
        <v>OUTSIDE SERVICESS - ORGANIKA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5"/>
      <c r="Q51" s="205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5"/>
      <c r="AF51" s="205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5"/>
    </row>
    <row r="52" customFormat="false" ht="13.2" hidden="false" customHeight="false" outlineLevel="0" collapsed="false">
      <c r="A52" s="137" t="s">
        <v>207</v>
      </c>
      <c r="B52" s="170" t="str">
        <f aca="false">'P&amp;L$'!B53</f>
        <v>Effluent disposal</v>
      </c>
      <c r="C52" s="146" t="n">
        <f aca="false">SiteServices!C25</f>
        <v>47368.77972861</v>
      </c>
      <c r="D52" s="146" t="n">
        <f aca="false">SiteServices!D25</f>
        <v>47435.00330722</v>
      </c>
      <c r="E52" s="146" t="n">
        <f aca="false">SiteServices!E25</f>
        <v>47501.22688583</v>
      </c>
      <c r="F52" s="146" t="n">
        <f aca="false">SiteServices!F25</f>
        <v>47567.45046444</v>
      </c>
      <c r="G52" s="146" t="n">
        <f aca="false">SiteServices!G25</f>
        <v>57160.40885166</v>
      </c>
      <c r="H52" s="146" t="n">
        <f aca="false">SiteServices!H25</f>
        <v>57239.877145992</v>
      </c>
      <c r="I52" s="146" t="n">
        <f aca="false">SiteServices!I25</f>
        <v>56674.710558378</v>
      </c>
      <c r="J52" s="146" t="n">
        <f aca="false">SiteServices!J25</f>
        <v>56753.285122432</v>
      </c>
      <c r="K52" s="146" t="n">
        <f aca="false">SiteServices!K25</f>
        <v>56831.859686486</v>
      </c>
      <c r="L52" s="146" t="n">
        <f aca="false">SiteServices!L25</f>
        <v>56910.43425054</v>
      </c>
      <c r="M52" s="146" t="n">
        <f aca="false">SiteServices!M25</f>
        <v>49128.45587465</v>
      </c>
      <c r="N52" s="146" t="n">
        <f aca="false">SiteServices!N25</f>
        <v>49196.1925678</v>
      </c>
      <c r="O52" s="139" t="n">
        <f aca="false">SUM(C52:N52)</f>
        <v>629767.684444038</v>
      </c>
      <c r="Q52" s="170"/>
      <c r="R52" s="146" t="n">
        <f aca="false">SiteServices!Q25</f>
        <v>48297.6442562089</v>
      </c>
      <c r="S52" s="146" t="n">
        <f aca="false">SiteServices!R25</f>
        <v>48498.0494190977</v>
      </c>
      <c r="T52" s="146" t="n">
        <f aca="false">SiteServices!S25</f>
        <v>48698.4545819865</v>
      </c>
      <c r="U52" s="146" t="n">
        <f aca="false">SiteServices!T25</f>
        <v>48898.8597448754</v>
      </c>
      <c r="V52" s="146" t="n">
        <f aca="false">SiteServices!U25</f>
        <v>58919.117889317</v>
      </c>
      <c r="W52" s="146" t="n">
        <f aca="false">SiteServices!V25</f>
        <v>59159.6040847836</v>
      </c>
      <c r="X52" s="146" t="n">
        <f aca="false">SiteServices!W25</f>
        <v>58732.0545605253</v>
      </c>
      <c r="Y52" s="146" t="n">
        <f aca="false">SiteServices!X25</f>
        <v>58969.8361579363</v>
      </c>
      <c r="Z52" s="146" t="n">
        <f aca="false">SiteServices!Y25</f>
        <v>59207.6177553473</v>
      </c>
      <c r="AA52" s="146" t="n">
        <f aca="false">SiteServices!Z25</f>
        <v>59445.3993527584</v>
      </c>
      <c r="AB52" s="146" t="n">
        <f aca="false">SiteServices!AA25</f>
        <v>51451.0180604909</v>
      </c>
      <c r="AC52" s="146" t="n">
        <f aca="false">SiteServices!AB25</f>
        <v>51656.00219619</v>
      </c>
      <c r="AD52" s="139" t="n">
        <f aca="false">SUM(R52:AC52)</f>
        <v>651933.658059517</v>
      </c>
      <c r="AF52" s="170"/>
      <c r="AG52" s="146" t="n">
        <f aca="false">SiteServices!AG25</f>
        <v>51133.3773110858</v>
      </c>
      <c r="AH52" s="146" t="n">
        <f aca="false">SiteServices!AH25</f>
        <v>51343.8027321191</v>
      </c>
      <c r="AI52" s="146" t="n">
        <f aca="false">SiteServices!AI25</f>
        <v>61865.0737837829</v>
      </c>
      <c r="AJ52" s="146" t="n">
        <f aca="false">SiteServices!AJ25</f>
        <v>62117.5842890228</v>
      </c>
      <c r="AK52" s="146" t="n">
        <f aca="false">SiteServices!AK25</f>
        <v>61668.6572885515</v>
      </c>
      <c r="AL52" s="146" t="n">
        <f aca="false">SiteServices!AL25</f>
        <v>61918.3279658331</v>
      </c>
      <c r="AM52" s="146" t="n">
        <f aca="false">SiteServices!AM25</f>
        <v>62167.9986431147</v>
      </c>
      <c r="AN52" s="146" t="n">
        <f aca="false">SiteServices!AN25</f>
        <v>62417.6693203963</v>
      </c>
      <c r="AO52" s="146" t="n">
        <f aca="false">SiteServices!AO25</f>
        <v>54023.5689635154</v>
      </c>
      <c r="AP52" s="146" t="n">
        <f aca="false">SiteServices!AP25</f>
        <v>54238.8023059995</v>
      </c>
      <c r="AQ52" s="146" t="n">
        <f aca="false">SiteServices!AQ25</f>
        <v>684530.340962493</v>
      </c>
      <c r="AR52" s="146" t="n">
        <f aca="false">SiteServices!AR25</f>
        <v>0</v>
      </c>
      <c r="AS52" s="139" t="n">
        <f aca="false">SUM(AG52:AR52)</f>
        <v>1267425.20356591</v>
      </c>
    </row>
    <row r="53" customFormat="false" ht="13.2" hidden="false" customHeight="false" outlineLevel="0" collapsed="false">
      <c r="A53" s="137" t="s">
        <v>209</v>
      </c>
      <c r="B53" s="170" t="str">
        <f aca="false">'P&amp;L$'!B54</f>
        <v>Usufruct payments</v>
      </c>
      <c r="C53" s="146" t="n">
        <f aca="false">SiteServices!C29</f>
        <v>1075.85409</v>
      </c>
      <c r="D53" s="146" t="n">
        <f aca="false">SiteServices!D29</f>
        <v>1077.35818</v>
      </c>
      <c r="E53" s="146" t="n">
        <f aca="false">SiteServices!E29</f>
        <v>1078.86227</v>
      </c>
      <c r="F53" s="146" t="n">
        <f aca="false">SiteServices!F29</f>
        <v>1080.36636</v>
      </c>
      <c r="G53" s="146" t="n">
        <f aca="false">SiteServices!G29</f>
        <v>1081.87045</v>
      </c>
      <c r="H53" s="146" t="n">
        <f aca="false">SiteServices!H29</f>
        <v>1083.37454</v>
      </c>
      <c r="I53" s="146" t="n">
        <f aca="false">SiteServices!I29</f>
        <v>1084.87863</v>
      </c>
      <c r="J53" s="146" t="n">
        <f aca="false">SiteServices!J29</f>
        <v>1086.38272</v>
      </c>
      <c r="K53" s="146" t="n">
        <f aca="false">SiteServices!K29</f>
        <v>1087.88681</v>
      </c>
      <c r="L53" s="146" t="n">
        <f aca="false">SiteServices!L29</f>
        <v>1089.3909</v>
      </c>
      <c r="M53" s="146" t="n">
        <f aca="false">SiteServices!M29</f>
        <v>1090.89499</v>
      </c>
      <c r="N53" s="146" t="n">
        <f aca="false">SiteServices!N29</f>
        <v>1092.39908</v>
      </c>
      <c r="O53" s="139" t="n">
        <f aca="false">SUM(C53:N53)</f>
        <v>13009.51902</v>
      </c>
      <c r="Q53" s="170"/>
      <c r="R53" s="146" t="n">
        <f aca="false">SiteServices!Q29</f>
        <v>1096.95074283333</v>
      </c>
      <c r="S53" s="146" t="n">
        <f aca="false">SiteServices!R29</f>
        <v>1101.50240566667</v>
      </c>
      <c r="T53" s="146" t="n">
        <f aca="false">SiteServices!S29</f>
        <v>1106.0540685</v>
      </c>
      <c r="U53" s="146" t="n">
        <f aca="false">SiteServices!T29</f>
        <v>1110.60573133333</v>
      </c>
      <c r="V53" s="146" t="n">
        <f aca="false">SiteServices!U29</f>
        <v>1115.15739416667</v>
      </c>
      <c r="W53" s="146" t="n">
        <f aca="false">SiteServices!V29</f>
        <v>1119.709057</v>
      </c>
      <c r="X53" s="146" t="n">
        <f aca="false">SiteServices!W29</f>
        <v>1124.26071983333</v>
      </c>
      <c r="Y53" s="146" t="n">
        <f aca="false">SiteServices!X29</f>
        <v>1128.81238266667</v>
      </c>
      <c r="Z53" s="146" t="n">
        <f aca="false">SiteServices!Y29</f>
        <v>1133.3640455</v>
      </c>
      <c r="AA53" s="146" t="n">
        <f aca="false">SiteServices!Z29</f>
        <v>1137.91570833333</v>
      </c>
      <c r="AB53" s="146" t="n">
        <f aca="false">SiteServices!AA29</f>
        <v>1142.46737116667</v>
      </c>
      <c r="AC53" s="146" t="n">
        <f aca="false">SiteServices!AB29</f>
        <v>1147.019034</v>
      </c>
      <c r="AD53" s="139" t="n">
        <f aca="false">SUM(R53:AC53)</f>
        <v>13463.818661</v>
      </c>
      <c r="AF53" s="170"/>
      <c r="AG53" s="146" t="n">
        <f aca="false">SiteServices!AG29</f>
        <v>1161.356771925</v>
      </c>
      <c r="AH53" s="146" t="n">
        <f aca="false">SiteServices!AH29</f>
        <v>1166.1360179</v>
      </c>
      <c r="AI53" s="146" t="n">
        <f aca="false">SiteServices!AI29</f>
        <v>1170.915263875</v>
      </c>
      <c r="AJ53" s="146" t="n">
        <f aca="false">SiteServices!AJ29</f>
        <v>1175.69450985</v>
      </c>
      <c r="AK53" s="146" t="n">
        <f aca="false">SiteServices!AK29</f>
        <v>1180.473755825</v>
      </c>
      <c r="AL53" s="146" t="n">
        <f aca="false">SiteServices!AL29</f>
        <v>1185.2530018</v>
      </c>
      <c r="AM53" s="146" t="n">
        <f aca="false">SiteServices!AM29</f>
        <v>1190.032247775</v>
      </c>
      <c r="AN53" s="146" t="n">
        <f aca="false">SiteServices!AN29</f>
        <v>1194.81149375</v>
      </c>
      <c r="AO53" s="146" t="n">
        <f aca="false">SiteServices!AO29</f>
        <v>1199.590739725</v>
      </c>
      <c r="AP53" s="146" t="n">
        <f aca="false">SiteServices!AP29</f>
        <v>1204.3699857</v>
      </c>
      <c r="AQ53" s="146" t="n">
        <f aca="false">SiteServices!AQ29</f>
        <v>14137.00959405</v>
      </c>
      <c r="AR53" s="146" t="n">
        <f aca="false">SiteServices!AR29</f>
        <v>0</v>
      </c>
      <c r="AS53" s="139" t="n">
        <f aca="false">SUM(AG53:AR53)</f>
        <v>25965.643382175</v>
      </c>
    </row>
    <row r="54" customFormat="false" ht="13.2" hidden="true" customHeight="false" outlineLevel="0" collapsed="false">
      <c r="A54" s="137" t="s">
        <v>1027</v>
      </c>
      <c r="B54" s="170" t="s">
        <v>1028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39" t="n">
        <f aca="false">SUM(C54:N54)</f>
        <v>0</v>
      </c>
      <c r="Q54" s="170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39" t="n">
        <f aca="false">SUM(R54:AC54)</f>
        <v>0</v>
      </c>
      <c r="AF54" s="170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39" t="n">
        <f aca="false">SUM(AG54:AR54)</f>
        <v>0</v>
      </c>
    </row>
    <row r="55" customFormat="false" ht="13.2" hidden="true" customHeight="false" outlineLevel="0" collapsed="false">
      <c r="A55" s="137" t="s">
        <v>1029</v>
      </c>
      <c r="B55" s="170" t="s">
        <v>1030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39" t="n">
        <f aca="false">SUM(C55:N55)</f>
        <v>0</v>
      </c>
      <c r="Q55" s="170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39" t="n">
        <f aca="false">SUM(R55:AC55)</f>
        <v>0</v>
      </c>
      <c r="AF55" s="170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39" t="n">
        <f aca="false">SUM(AG55:AR55)</f>
        <v>0</v>
      </c>
    </row>
    <row r="56" customFormat="false" ht="13.2" hidden="true" customHeight="false" outlineLevel="0" collapsed="false">
      <c r="A56" s="137" t="s">
        <v>213</v>
      </c>
      <c r="B56" s="170" t="s">
        <v>1031</v>
      </c>
      <c r="C56" s="146" t="n">
        <f aca="false">SiteServices!C40</f>
        <v>0</v>
      </c>
      <c r="D56" s="146" t="n">
        <f aca="false">SiteServices!D40</f>
        <v>0</v>
      </c>
      <c r="E56" s="146" t="n">
        <f aca="false">SiteServices!E40</f>
        <v>0</v>
      </c>
      <c r="F56" s="146" t="n">
        <f aca="false">SiteServices!F40</f>
        <v>0</v>
      </c>
      <c r="G56" s="146" t="n">
        <f aca="false">SiteServices!G40</f>
        <v>0</v>
      </c>
      <c r="H56" s="146" t="n">
        <f aca="false">SiteServices!H40</f>
        <v>0</v>
      </c>
      <c r="I56" s="146" t="n">
        <f aca="false">SiteServices!I40</f>
        <v>0</v>
      </c>
      <c r="J56" s="146" t="n">
        <f aca="false">SiteServices!J40</f>
        <v>0</v>
      </c>
      <c r="K56" s="146" t="n">
        <f aca="false">SiteServices!K40</f>
        <v>0</v>
      </c>
      <c r="L56" s="146" t="n">
        <f aca="false">SiteServices!L40</f>
        <v>0</v>
      </c>
      <c r="M56" s="146" t="n">
        <f aca="false">SiteServices!M40</f>
        <v>0</v>
      </c>
      <c r="N56" s="146" t="n">
        <f aca="false">SiteServices!N40</f>
        <v>0</v>
      </c>
      <c r="O56" s="139" t="n">
        <f aca="false">SUM(C56:N56)</f>
        <v>0</v>
      </c>
      <c r="Q56" s="170"/>
      <c r="R56" s="146" t="n">
        <f aca="false">SiteServices!R40</f>
        <v>0</v>
      </c>
      <c r="S56" s="146" t="n">
        <f aca="false">SiteServices!S40</f>
        <v>0</v>
      </c>
      <c r="T56" s="146" t="n">
        <f aca="false">SiteServices!T40</f>
        <v>0</v>
      </c>
      <c r="U56" s="146" t="n">
        <f aca="false">SiteServices!U40</f>
        <v>0</v>
      </c>
      <c r="V56" s="146" t="n">
        <f aca="false">SiteServices!V40</f>
        <v>0</v>
      </c>
      <c r="W56" s="146" t="n">
        <f aca="false">SiteServices!W40</f>
        <v>0</v>
      </c>
      <c r="X56" s="146" t="n">
        <f aca="false">SiteServices!X40</f>
        <v>0</v>
      </c>
      <c r="Y56" s="146" t="n">
        <f aca="false">SiteServices!Y40</f>
        <v>0</v>
      </c>
      <c r="Z56" s="146" t="n">
        <f aca="false">SiteServices!Z40</f>
        <v>0</v>
      </c>
      <c r="AA56" s="146" t="n">
        <f aca="false">SiteServices!AA40</f>
        <v>0</v>
      </c>
      <c r="AB56" s="146" t="n">
        <f aca="false">SiteServices!AB40</f>
        <v>0</v>
      </c>
      <c r="AC56" s="146" t="n">
        <f aca="false">SiteServices!AC40</f>
        <v>0</v>
      </c>
      <c r="AD56" s="139" t="n">
        <f aca="false">SUM(R56:AC56)</f>
        <v>0</v>
      </c>
      <c r="AF56" s="170"/>
      <c r="AG56" s="146" t="n">
        <f aca="false">SiteServices!AG40</f>
        <v>0</v>
      </c>
      <c r="AH56" s="146" t="n">
        <f aca="false">SiteServices!AH40</f>
        <v>0</v>
      </c>
      <c r="AI56" s="146" t="n">
        <f aca="false">SiteServices!AI40</f>
        <v>0</v>
      </c>
      <c r="AJ56" s="146" t="n">
        <f aca="false">SiteServices!AJ40</f>
        <v>0</v>
      </c>
      <c r="AK56" s="146" t="n">
        <f aca="false">SiteServices!AK40</f>
        <v>0</v>
      </c>
      <c r="AL56" s="146" t="n">
        <f aca="false">SiteServices!AL40</f>
        <v>0</v>
      </c>
      <c r="AM56" s="146" t="n">
        <f aca="false">SiteServices!AM40</f>
        <v>0</v>
      </c>
      <c r="AN56" s="146" t="n">
        <f aca="false">SiteServices!AN40</f>
        <v>0</v>
      </c>
      <c r="AO56" s="146" t="n">
        <f aca="false">SiteServices!AO40</f>
        <v>0</v>
      </c>
      <c r="AP56" s="146" t="n">
        <f aca="false">SiteServices!AP40</f>
        <v>0</v>
      </c>
      <c r="AQ56" s="146" t="n">
        <f aca="false">SiteServices!AQ40</f>
        <v>0</v>
      </c>
      <c r="AR56" s="146" t="n">
        <f aca="false">SiteServices!AR40</f>
        <v>0</v>
      </c>
      <c r="AS56" s="139" t="n">
        <f aca="false">SUM(AG56:AR56)</f>
        <v>0</v>
      </c>
    </row>
    <row r="57" customFormat="false" ht="13.8" hidden="false" customHeight="false" outlineLevel="0" collapsed="false">
      <c r="A57" s="137"/>
      <c r="B57" s="285" t="s">
        <v>66</v>
      </c>
      <c r="C57" s="353" t="n">
        <f aca="false">SUM(C52:C56)</f>
        <v>48444.63381861</v>
      </c>
      <c r="D57" s="353" t="n">
        <f aca="false">SUM(D52:D56)</f>
        <v>48512.36148722</v>
      </c>
      <c r="E57" s="353" t="n">
        <f aca="false">SUM(E52:E56)</f>
        <v>48580.08915583</v>
      </c>
      <c r="F57" s="353" t="n">
        <f aca="false">SUM(F52:F56)</f>
        <v>48647.81682444</v>
      </c>
      <c r="G57" s="353" t="n">
        <f aca="false">SUM(G52:G56)</f>
        <v>58242.27930166</v>
      </c>
      <c r="H57" s="353" t="n">
        <f aca="false">SUM(H52:H56)</f>
        <v>58323.251685992</v>
      </c>
      <c r="I57" s="353" t="n">
        <f aca="false">SUM(I52:I56)</f>
        <v>57759.589188378</v>
      </c>
      <c r="J57" s="353" t="n">
        <f aca="false">SUM(J52:J56)</f>
        <v>57839.667842432</v>
      </c>
      <c r="K57" s="353" t="n">
        <f aca="false">SUM(K52:K56)</f>
        <v>57919.746496486</v>
      </c>
      <c r="L57" s="353" t="n">
        <f aca="false">SUM(L52:L56)</f>
        <v>57999.82515054</v>
      </c>
      <c r="M57" s="353" t="n">
        <f aca="false">SUM(M52:M56)</f>
        <v>50219.35086465</v>
      </c>
      <c r="N57" s="353" t="n">
        <f aca="false">SUM(N52:N56)</f>
        <v>50288.5916478</v>
      </c>
      <c r="O57" s="353" t="n">
        <f aca="false">SUM(O52:O56)</f>
        <v>642777.203464038</v>
      </c>
      <c r="P57" s="145"/>
      <c r="Q57" s="170"/>
      <c r="R57" s="146" t="n">
        <f aca="false">SUM(R52:R56)</f>
        <v>49394.5949990422</v>
      </c>
      <c r="S57" s="146" t="n">
        <f aca="false">SUM(S52:S56)</f>
        <v>49599.5518247644</v>
      </c>
      <c r="T57" s="146" t="n">
        <f aca="false">SUM(T52:T56)</f>
        <v>49804.5086504865</v>
      </c>
      <c r="U57" s="146" t="n">
        <f aca="false">SUM(U52:U56)</f>
        <v>50009.4654762087</v>
      </c>
      <c r="V57" s="146" t="n">
        <f aca="false">SUM(V52:V56)</f>
        <v>60034.2752834837</v>
      </c>
      <c r="W57" s="146" t="n">
        <f aca="false">SUM(W52:W56)</f>
        <v>60279.3131417836</v>
      </c>
      <c r="X57" s="146" t="n">
        <f aca="false">SUM(X52:X56)</f>
        <v>59856.3152803586</v>
      </c>
      <c r="Y57" s="146" t="n">
        <f aca="false">SUM(Y52:Y56)</f>
        <v>60098.648540603</v>
      </c>
      <c r="Z57" s="146" t="n">
        <f aca="false">SUM(Z52:Z56)</f>
        <v>60340.9818008473</v>
      </c>
      <c r="AA57" s="146" t="n">
        <f aca="false">SUM(AA52:AA56)</f>
        <v>60583.3150610917</v>
      </c>
      <c r="AB57" s="146" t="n">
        <f aca="false">SUM(AB52:AB56)</f>
        <v>52593.4854316575</v>
      </c>
      <c r="AC57" s="146" t="n">
        <f aca="false">SUM(AC52:AC56)</f>
        <v>52803.02123019</v>
      </c>
      <c r="AD57" s="146" t="n">
        <f aca="false">SUM(AD52:AD56)</f>
        <v>665397.476720517</v>
      </c>
      <c r="AE57" s="145"/>
      <c r="AF57" s="170"/>
      <c r="AG57" s="146" t="n">
        <f aca="false">SUM(AG52:AG56)</f>
        <v>52294.7340830108</v>
      </c>
      <c r="AH57" s="146" t="n">
        <f aca="false">SUM(AH52:AH56)</f>
        <v>52509.9387500191</v>
      </c>
      <c r="AI57" s="146" t="n">
        <f aca="false">SUM(AI52:AI56)</f>
        <v>63035.9890476579</v>
      </c>
      <c r="AJ57" s="146" t="n">
        <f aca="false">SUM(AJ52:AJ56)</f>
        <v>63293.2787988728</v>
      </c>
      <c r="AK57" s="146" t="n">
        <f aca="false">SUM(AK52:AK56)</f>
        <v>62849.1310443765</v>
      </c>
      <c r="AL57" s="146" t="n">
        <f aca="false">SUM(AL52:AL56)</f>
        <v>63103.5809676331</v>
      </c>
      <c r="AM57" s="146" t="n">
        <f aca="false">SUM(AM52:AM56)</f>
        <v>63358.0308908897</v>
      </c>
      <c r="AN57" s="146" t="n">
        <f aca="false">SUM(AN52:AN56)</f>
        <v>63612.4808141463</v>
      </c>
      <c r="AO57" s="146" t="n">
        <f aca="false">SUM(AO52:AO56)</f>
        <v>55223.1597032404</v>
      </c>
      <c r="AP57" s="146" t="n">
        <f aca="false">SUM(AP52:AP56)</f>
        <v>55443.1722916995</v>
      </c>
      <c r="AQ57" s="146" t="n">
        <f aca="false">SUM(AQ52:AQ56)</f>
        <v>698667.350556543</v>
      </c>
      <c r="AR57" s="146" t="n">
        <f aca="false">SUM(AR52:AR56)</f>
        <v>0</v>
      </c>
      <c r="AS57" s="146" t="n">
        <f aca="false">SUM(AS52:AS56)</f>
        <v>1293390.84694809</v>
      </c>
    </row>
    <row r="58" customFormat="false" ht="13.8" hidden="false" customHeight="false" outlineLevel="0" collapsed="false">
      <c r="A58" s="137"/>
      <c r="B58" s="170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Q58" s="170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F58" s="170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</row>
    <row r="59" customFormat="false" ht="13.2" hidden="false" customHeight="false" outlineLevel="0" collapsed="false">
      <c r="A59" s="141" t="s">
        <v>1032</v>
      </c>
      <c r="B59" s="205" t="str">
        <f aca="false">'P&amp;L$'!B60</f>
        <v>OUTSIDE SERVICES - ENRON</v>
      </c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Q59" s="205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1"/>
      <c r="AD59" s="361"/>
      <c r="AE59" s="2"/>
      <c r="AF59" s="205"/>
      <c r="AH59" s="361"/>
      <c r="AI59" s="361"/>
      <c r="AJ59" s="361"/>
      <c r="AK59" s="361"/>
      <c r="AL59" s="361"/>
      <c r="AM59" s="361"/>
      <c r="AN59" s="361"/>
      <c r="AO59" s="361"/>
      <c r="AP59" s="361"/>
      <c r="AQ59" s="361"/>
      <c r="AR59" s="361"/>
      <c r="AS59" s="361"/>
    </row>
    <row r="60" customFormat="false" ht="13.2" hidden="false" customHeight="false" outlineLevel="0" collapsed="false">
      <c r="A60" s="137" t="s">
        <v>844</v>
      </c>
      <c r="B60" s="170" t="str">
        <f aca="false">'P&amp;L$'!B61</f>
        <v>Enron Technical Services</v>
      </c>
      <c r="C60" s="102" t="n">
        <f aca="false">'P&amp;L$'!C61*Factors!C$11</f>
        <v>28168.2900432818</v>
      </c>
      <c r="D60" s="102" t="n">
        <f aca="false">'P&amp;L$'!D61*Factors!D$11</f>
        <v>28207.6705166797</v>
      </c>
      <c r="E60" s="102" t="n">
        <f aca="false">'P&amp;L$'!E61*Factors!E$11</f>
        <v>28247.0509900775</v>
      </c>
      <c r="F60" s="102" t="n">
        <f aca="false">'P&amp;L$'!F61*Factors!F$11</f>
        <v>28286.4314634754</v>
      </c>
      <c r="G60" s="102" t="n">
        <f aca="false">'P&amp;L$'!G61*Factors!G$11</f>
        <v>28325.8119368732</v>
      </c>
      <c r="H60" s="102" t="n">
        <f aca="false">'P&amp;L$'!H61*Factors!H$11</f>
        <v>28365.192410271</v>
      </c>
      <c r="I60" s="102" t="n">
        <f aca="false">'P&amp;L$'!I61*Factors!I$11</f>
        <v>28404.5728836689</v>
      </c>
      <c r="J60" s="102" t="n">
        <f aca="false">'P&amp;L$'!J61*Factors!J$11</f>
        <v>28443.9533570667</v>
      </c>
      <c r="K60" s="102" t="n">
        <f aca="false">'P&amp;L$'!K61*Factors!K$11</f>
        <v>28483.3338304646</v>
      </c>
      <c r="L60" s="102" t="n">
        <f aca="false">'P&amp;L$'!L61*Factors!L$11</f>
        <v>28522.7143038624</v>
      </c>
      <c r="M60" s="102" t="n">
        <f aca="false">'P&amp;L$'!M61*Factors!M$11</f>
        <v>28562.0947772602</v>
      </c>
      <c r="N60" s="102" t="n">
        <f aca="false">'P&amp;L$'!N61*Factors!N$11</f>
        <v>28601.4752506581</v>
      </c>
      <c r="O60" s="361" t="n">
        <f aca="false">SUM(C60:N60)</f>
        <v>340618.591763639</v>
      </c>
      <c r="Q60" s="170"/>
      <c r="R60" s="102" t="n">
        <f aca="false">'P&amp;L$'!R61*Factors!R$11</f>
        <v>29871.4605803619</v>
      </c>
      <c r="S60" s="102" t="n">
        <f aca="false">'P&amp;L$'!S61*Factors!S$11</f>
        <v>29995.4085495751</v>
      </c>
      <c r="T60" s="102" t="n">
        <f aca="false">'P&amp;L$'!T61*Factors!T$11</f>
        <v>30119.3565187882</v>
      </c>
      <c r="U60" s="102" t="n">
        <f aca="false">'P&amp;L$'!U61*Factors!U$11</f>
        <v>30243.3044880013</v>
      </c>
      <c r="V60" s="102" t="n">
        <f aca="false">'P&amp;L$'!V61*Factors!V$11</f>
        <v>30367.2524572144</v>
      </c>
      <c r="W60" s="102" t="n">
        <f aca="false">'P&amp;L$'!W61*Factors!W$11</f>
        <v>30491.2004264275</v>
      </c>
      <c r="X60" s="102" t="n">
        <f aca="false">'P&amp;L$'!X61*Factors!X$11</f>
        <v>30615.1483956407</v>
      </c>
      <c r="Y60" s="102" t="n">
        <f aca="false">'P&amp;L$'!Y61*Factors!Y$11</f>
        <v>30739.0963648538</v>
      </c>
      <c r="Z60" s="102" t="n">
        <f aca="false">'P&amp;L$'!Z61*Factors!Z$11</f>
        <v>30863.0443340669</v>
      </c>
      <c r="AA60" s="102" t="n">
        <f aca="false">'P&amp;L$'!AA61*Factors!AA$11</f>
        <v>30986.99230328</v>
      </c>
      <c r="AB60" s="102" t="n">
        <f aca="false">'P&amp;L$'!AB61*Factors!AB$11</f>
        <v>31110.9402724931</v>
      </c>
      <c r="AC60" s="102" t="n">
        <f aca="false">'P&amp;L$'!AC61*Factors!AC$11</f>
        <v>31234.8882417063</v>
      </c>
      <c r="AD60" s="361" t="n">
        <f aca="false">SUM(R60:AC60)</f>
        <v>366638.092932409</v>
      </c>
      <c r="AE60" s="2"/>
      <c r="AF60" s="170"/>
      <c r="AG60" s="102" t="n">
        <f aca="false">'P&amp;L$'!AG61*Factors!AG$11</f>
        <v>32623.8035420901</v>
      </c>
      <c r="AH60" s="102" t="n">
        <f aca="false">'P&amp;L$'!AH61*Factors!AH$11</f>
        <v>32759.1720215179</v>
      </c>
      <c r="AI60" s="102" t="n">
        <f aca="false">'P&amp;L$'!AI61*Factors!AI$11</f>
        <v>32894.5405009456</v>
      </c>
      <c r="AJ60" s="102" t="n">
        <f aca="false">'P&amp;L$'!AJ61*Factors!AJ$11</f>
        <v>33029.9089803734</v>
      </c>
      <c r="AK60" s="102" t="n">
        <f aca="false">'P&amp;L$'!AK61*Factors!AK$11</f>
        <v>33165.2774598012</v>
      </c>
      <c r="AL60" s="102" t="n">
        <f aca="false">'P&amp;L$'!AL61*Factors!AL$11</f>
        <v>33300.6459392289</v>
      </c>
      <c r="AM60" s="102" t="n">
        <f aca="false">'P&amp;L$'!AM61*Factors!AM$11</f>
        <v>33436.0144186567</v>
      </c>
      <c r="AN60" s="102" t="n">
        <f aca="false">'P&amp;L$'!AN61*Factors!AN$11</f>
        <v>33571.3828980844</v>
      </c>
      <c r="AO60" s="102" t="n">
        <f aca="false">'P&amp;L$'!AO61*Factors!AO$11</f>
        <v>33706.7513775122</v>
      </c>
      <c r="AP60" s="102" t="n">
        <f aca="false">'P&amp;L$'!AP61*Factors!AP$11</f>
        <v>33842.11985694</v>
      </c>
      <c r="AQ60" s="102" t="n">
        <f aca="false">'P&amp;L$'!AQ61*Factors!AQ$11</f>
        <v>33977.4883363677</v>
      </c>
      <c r="AR60" s="102" t="n">
        <f aca="false">'P&amp;L$'!AR61*Factors!AR$11</f>
        <v>34112.8568157955</v>
      </c>
      <c r="AS60" s="361" t="n">
        <f aca="false">SUM(AG60:AR60)</f>
        <v>400419.962147314</v>
      </c>
    </row>
    <row r="61" customFormat="false" ht="13.2" hidden="false" customHeight="false" outlineLevel="0" collapsed="false">
      <c r="A61" s="137" t="s">
        <v>846</v>
      </c>
      <c r="B61" s="170" t="str">
        <f aca="false">'P&amp;L$'!B62</f>
        <v>Enron O &amp; M Supervision</v>
      </c>
      <c r="C61" s="102" t="n">
        <f aca="false">'P&amp;L$'!C62*Factors!C$11</f>
        <v>253514.475348331</v>
      </c>
      <c r="D61" s="102" t="n">
        <f aca="false">'P&amp;L$'!D62*Factors!D$11</f>
        <v>253868.899420118</v>
      </c>
      <c r="E61" s="102" t="n">
        <f aca="false">'P&amp;L$'!E62*Factors!E$11</f>
        <v>254223.323491906</v>
      </c>
      <c r="F61" s="102" t="n">
        <f aca="false">'P&amp;L$'!F62*Factors!F$11</f>
        <v>254577.747563693</v>
      </c>
      <c r="G61" s="102" t="n">
        <f aca="false">'P&amp;L$'!G62*Factors!G$11</f>
        <v>254932.17163548</v>
      </c>
      <c r="H61" s="102" t="n">
        <f aca="false">'P&amp;L$'!H62*Factors!H$11</f>
        <v>255286.595707267</v>
      </c>
      <c r="I61" s="102" t="n">
        <f aca="false">'P&amp;L$'!I62*Factors!I$11</f>
        <v>255641.019779054</v>
      </c>
      <c r="J61" s="102" t="n">
        <f aca="false">'P&amp;L$'!J62*Factors!J$11</f>
        <v>255995.443850841</v>
      </c>
      <c r="K61" s="102" t="n">
        <f aca="false">'P&amp;L$'!K62*Factors!K$11</f>
        <v>256349.867922629</v>
      </c>
      <c r="L61" s="102" t="n">
        <f aca="false">'P&amp;L$'!L62*Factors!L$11</f>
        <v>256704.291994416</v>
      </c>
      <c r="M61" s="102" t="n">
        <f aca="false">'P&amp;L$'!M62*Factors!M$11</f>
        <v>257058.716066203</v>
      </c>
      <c r="N61" s="102" t="n">
        <f aca="false">'P&amp;L$'!N62*Factors!N$11</f>
        <v>257413.14013799</v>
      </c>
      <c r="O61" s="361" t="n">
        <f aca="false">SUM(C61:N61)</f>
        <v>3065565.69291793</v>
      </c>
      <c r="Q61" s="170"/>
      <c r="R61" s="102" t="n">
        <f aca="false">'P&amp;L$'!R62*Factors!R$11</f>
        <v>268824.891962897</v>
      </c>
      <c r="S61" s="102" t="n">
        <f aca="false">'P&amp;L$'!S62*Factors!S$11</f>
        <v>269940.347946145</v>
      </c>
      <c r="T61" s="102" t="n">
        <f aca="false">'P&amp;L$'!T62*Factors!T$11</f>
        <v>271055.803929394</v>
      </c>
      <c r="U61" s="102" t="n">
        <f aca="false">'P&amp;L$'!U62*Factors!U$11</f>
        <v>272171.259912642</v>
      </c>
      <c r="V61" s="102" t="n">
        <f aca="false">'P&amp;L$'!V62*Factors!V$11</f>
        <v>273286.715895891</v>
      </c>
      <c r="W61" s="102" t="n">
        <f aca="false">'P&amp;L$'!W62*Factors!W$11</f>
        <v>274402.171879139</v>
      </c>
      <c r="X61" s="102" t="n">
        <f aca="false">'P&amp;L$'!X62*Factors!X$11</f>
        <v>275517.627862388</v>
      </c>
      <c r="Y61" s="102" t="n">
        <f aca="false">'P&amp;L$'!Y62*Factors!Y$11</f>
        <v>276633.083845636</v>
      </c>
      <c r="Z61" s="102" t="n">
        <f aca="false">'P&amp;L$'!Z62*Factors!Z$11</f>
        <v>277748.539828885</v>
      </c>
      <c r="AA61" s="102" t="n">
        <f aca="false">'P&amp;L$'!AA62*Factors!AA$11</f>
        <v>278863.995812133</v>
      </c>
      <c r="AB61" s="102" t="n">
        <f aca="false">'P&amp;L$'!AB62*Factors!AB$11</f>
        <v>279979.451795382</v>
      </c>
      <c r="AC61" s="102" t="n">
        <f aca="false">'P&amp;L$'!AC62*Factors!AC$11</f>
        <v>281094.907778631</v>
      </c>
      <c r="AD61" s="361" t="n">
        <f aca="false">SUM(R61:AC61)</f>
        <v>3299518.79844916</v>
      </c>
      <c r="AE61" s="2"/>
      <c r="AF61" s="170"/>
      <c r="AG61" s="102" t="n">
        <f aca="false">'P&amp;L$'!AG62*Factors!AG$11</f>
        <v>293554.865431145</v>
      </c>
      <c r="AH61" s="102" t="n">
        <f aca="false">'P&amp;L$'!AH62*Factors!AH$11</f>
        <v>294772.935412187</v>
      </c>
      <c r="AI61" s="102" t="n">
        <f aca="false">'P&amp;L$'!AI62*Factors!AI$11</f>
        <v>295991.005393229</v>
      </c>
      <c r="AJ61" s="102" t="n">
        <f aca="false">'P&amp;L$'!AJ62*Factors!AJ$11</f>
        <v>297209.075374272</v>
      </c>
      <c r="AK61" s="102" t="n">
        <f aca="false">'P&amp;L$'!AK62*Factors!AK$11</f>
        <v>298427.145355314</v>
      </c>
      <c r="AL61" s="102" t="n">
        <f aca="false">'P&amp;L$'!AL62*Factors!AL$11</f>
        <v>299645.215336356</v>
      </c>
      <c r="AM61" s="102" t="n">
        <f aca="false">'P&amp;L$'!AM62*Factors!AM$11</f>
        <v>300863.285317398</v>
      </c>
      <c r="AN61" s="102" t="n">
        <f aca="false">'P&amp;L$'!AN62*Factors!AN$11</f>
        <v>302081.35529844</v>
      </c>
      <c r="AO61" s="102" t="n">
        <f aca="false">'P&amp;L$'!AO62*Factors!AO$11</f>
        <v>303299.425279482</v>
      </c>
      <c r="AP61" s="102" t="n">
        <f aca="false">'P&amp;L$'!AP62*Factors!AP$11</f>
        <v>304517.495260524</v>
      </c>
      <c r="AQ61" s="102" t="n">
        <f aca="false">'P&amp;L$'!AQ62*Factors!AQ$11</f>
        <v>305735.565241566</v>
      </c>
      <c r="AR61" s="102" t="n">
        <f aca="false">'P&amp;L$'!AR62*Factors!AR$11</f>
        <v>306953.635222608</v>
      </c>
      <c r="AS61" s="361" t="n">
        <f aca="false">SUM(AG61:AR61)</f>
        <v>3603051.00392252</v>
      </c>
    </row>
    <row r="62" customFormat="false" ht="13.2" hidden="true" customHeight="false" outlineLevel="0" collapsed="false">
      <c r="A62" s="137" t="s">
        <v>1033</v>
      </c>
      <c r="B62" s="170" t="s">
        <v>1034</v>
      </c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Q62" s="170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1"/>
      <c r="AD62" s="361"/>
      <c r="AE62" s="2"/>
      <c r="AF62" s="170"/>
      <c r="AG62" s="361"/>
      <c r="AH62" s="361"/>
      <c r="AI62" s="361"/>
      <c r="AJ62" s="361"/>
      <c r="AK62" s="361"/>
      <c r="AL62" s="361"/>
      <c r="AM62" s="361"/>
      <c r="AN62" s="361"/>
      <c r="AO62" s="361"/>
      <c r="AP62" s="361"/>
      <c r="AQ62" s="361"/>
      <c r="AR62" s="361"/>
      <c r="AS62" s="361"/>
    </row>
    <row r="63" customFormat="false" ht="13.8" hidden="false" customHeight="false" outlineLevel="0" collapsed="false">
      <c r="A63" s="145"/>
      <c r="B63" s="285" t="s">
        <v>66</v>
      </c>
      <c r="C63" s="353" t="n">
        <f aca="false">SUM(C60:C62)</f>
        <v>281682.765391613</v>
      </c>
      <c r="D63" s="353" t="n">
        <f aca="false">SUM(D60:D62)</f>
        <v>282076.569936798</v>
      </c>
      <c r="E63" s="353" t="n">
        <f aca="false">SUM(E60:E62)</f>
        <v>282470.374481983</v>
      </c>
      <c r="F63" s="353" t="n">
        <f aca="false">SUM(F60:F62)</f>
        <v>282864.179027168</v>
      </c>
      <c r="G63" s="353" t="n">
        <f aca="false">SUM(G60:G62)</f>
        <v>283257.983572353</v>
      </c>
      <c r="H63" s="353" t="n">
        <f aca="false">SUM(H60:H62)</f>
        <v>283651.788117538</v>
      </c>
      <c r="I63" s="353" t="n">
        <f aca="false">SUM(I60:I62)</f>
        <v>284045.592662723</v>
      </c>
      <c r="J63" s="353" t="n">
        <f aca="false">SUM(J60:J62)</f>
        <v>284439.397207908</v>
      </c>
      <c r="K63" s="353" t="n">
        <f aca="false">SUM(K60:K62)</f>
        <v>284833.201753093</v>
      </c>
      <c r="L63" s="353" t="n">
        <f aca="false">SUM(L60:L62)</f>
        <v>285227.006298278</v>
      </c>
      <c r="M63" s="353" t="n">
        <f aca="false">SUM(M60:M62)</f>
        <v>285620.810843463</v>
      </c>
      <c r="N63" s="353" t="n">
        <f aca="false">SUM(N60:N62)</f>
        <v>286014.615388648</v>
      </c>
      <c r="O63" s="353" t="n">
        <f aca="false">SUM(O60:O62)</f>
        <v>3406184.28468157</v>
      </c>
      <c r="Q63" s="362"/>
      <c r="R63" s="353" t="n">
        <f aca="false">SUM(R60:R62)</f>
        <v>298696.352543259</v>
      </c>
      <c r="S63" s="353" t="n">
        <f aca="false">SUM(S60:S62)</f>
        <v>299935.75649572</v>
      </c>
      <c r="T63" s="353" t="n">
        <f aca="false">SUM(T60:T62)</f>
        <v>301175.160448182</v>
      </c>
      <c r="U63" s="353" t="n">
        <f aca="false">SUM(U60:U62)</f>
        <v>302414.564400644</v>
      </c>
      <c r="V63" s="353" t="n">
        <f aca="false">SUM(V60:V62)</f>
        <v>303653.968353105</v>
      </c>
      <c r="W63" s="353" t="n">
        <f aca="false">SUM(W60:W62)</f>
        <v>304893.372305567</v>
      </c>
      <c r="X63" s="353" t="n">
        <f aca="false">SUM(X60:X62)</f>
        <v>306132.776258029</v>
      </c>
      <c r="Y63" s="353" t="n">
        <f aca="false">SUM(Y60:Y62)</f>
        <v>307372.18021049</v>
      </c>
      <c r="Z63" s="353" t="n">
        <f aca="false">SUM(Z60:Z62)</f>
        <v>308611.584162952</v>
      </c>
      <c r="AA63" s="353" t="n">
        <f aca="false">SUM(AA60:AA62)</f>
        <v>309850.988115413</v>
      </c>
      <c r="AB63" s="353" t="n">
        <f aca="false">SUM(AB60:AB62)</f>
        <v>311090.392067875</v>
      </c>
      <c r="AC63" s="353" t="n">
        <f aca="false">SUM(AC60:AC62)</f>
        <v>312329.796020337</v>
      </c>
      <c r="AD63" s="353" t="n">
        <f aca="false">SUM(AD60:AD62)</f>
        <v>3666156.89138157</v>
      </c>
      <c r="AF63" s="362"/>
      <c r="AG63" s="353" t="n">
        <f aca="false">SUM(AG60:AG62)</f>
        <v>326178.668973235</v>
      </c>
      <c r="AH63" s="353" t="n">
        <f aca="false">SUM(AH60:AH62)</f>
        <v>327532.107433705</v>
      </c>
      <c r="AI63" s="353" t="n">
        <f aca="false">SUM(AI60:AI62)</f>
        <v>328885.545894175</v>
      </c>
      <c r="AJ63" s="353" t="n">
        <f aca="false">SUM(AJ60:AJ62)</f>
        <v>330238.984354645</v>
      </c>
      <c r="AK63" s="353" t="n">
        <f aca="false">SUM(AK60:AK62)</f>
        <v>331592.422815115</v>
      </c>
      <c r="AL63" s="353" t="n">
        <f aca="false">SUM(AL60:AL62)</f>
        <v>332945.861275585</v>
      </c>
      <c r="AM63" s="353" t="n">
        <f aca="false">SUM(AM60:AM62)</f>
        <v>334299.299736055</v>
      </c>
      <c r="AN63" s="353" t="n">
        <f aca="false">SUM(AN60:AN62)</f>
        <v>335652.738196524</v>
      </c>
      <c r="AO63" s="353" t="n">
        <f aca="false">SUM(AO60:AO62)</f>
        <v>337006.176656994</v>
      </c>
      <c r="AP63" s="353" t="n">
        <f aca="false">SUM(AP60:AP62)</f>
        <v>338359.615117464</v>
      </c>
      <c r="AQ63" s="353" t="n">
        <f aca="false">SUM(AQ60:AQ62)</f>
        <v>339713.053577934</v>
      </c>
      <c r="AR63" s="353" t="n">
        <f aca="false">SUM(AR60:AR62)</f>
        <v>341066.492038404</v>
      </c>
      <c r="AS63" s="353" t="n">
        <f aca="false">SUM(AS60:AS62)</f>
        <v>4003470.96606984</v>
      </c>
    </row>
    <row r="64" customFormat="false" ht="13.8" hidden="false" customHeight="false" outlineLevel="0" collapsed="false">
      <c r="A64" s="145"/>
      <c r="B64" s="363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5"/>
      <c r="Q64" s="363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5"/>
      <c r="AF64" s="363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5"/>
    </row>
    <row r="65" customFormat="false" ht="13.2" hidden="false" customHeight="false" outlineLevel="0" collapsed="false">
      <c r="A65" s="141" t="s">
        <v>1035</v>
      </c>
      <c r="B65" s="205" t="str">
        <f aca="false">'P&amp;L$'!B66</f>
        <v>OUTSIDE SERVICES - LEGAL/FINANCIAL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5"/>
      <c r="Q65" s="205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5"/>
      <c r="AF65" s="205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5"/>
    </row>
    <row r="66" customFormat="false" ht="13.2" hidden="false" customHeight="false" outlineLevel="0" collapsed="false">
      <c r="A66" s="137" t="s">
        <v>851</v>
      </c>
      <c r="B66" s="170" t="str">
        <f aca="false">'P&amp;L$'!B67</f>
        <v>Legal - Cameron McKenna</v>
      </c>
      <c r="C66" s="139" t="n">
        <f aca="false">'P&amp;L$'!C67*Factors!C$11</f>
        <v>64551.2454</v>
      </c>
      <c r="D66" s="139" t="n">
        <f aca="false">'P&amp;L$'!D67*Factors!D$11</f>
        <v>64641.4908</v>
      </c>
      <c r="E66" s="139" t="n">
        <f aca="false">'P&amp;L$'!E67*Factors!E$11</f>
        <v>64731.7362</v>
      </c>
      <c r="F66" s="139" t="n">
        <f aca="false">'P&amp;L$'!F67*Factors!F$11</f>
        <v>64821.9816</v>
      </c>
      <c r="G66" s="139" t="n">
        <f aca="false">'P&amp;L$'!G67*Factors!G$11</f>
        <v>64912.227</v>
      </c>
      <c r="H66" s="139" t="n">
        <f aca="false">'P&amp;L$'!H67*Factors!H$11</f>
        <v>65002.4724</v>
      </c>
      <c r="I66" s="139" t="n">
        <f aca="false">'P&amp;L$'!I67*Factors!I$11</f>
        <v>65092.7178</v>
      </c>
      <c r="J66" s="139" t="n">
        <f aca="false">'P&amp;L$'!J67*Factors!J$11</f>
        <v>65182.9632</v>
      </c>
      <c r="K66" s="139" t="n">
        <f aca="false">'P&amp;L$'!K67*Factors!K$11</f>
        <v>65273.2086</v>
      </c>
      <c r="L66" s="139" t="n">
        <f aca="false">'P&amp;L$'!L67*Factors!L$11</f>
        <v>65363.454</v>
      </c>
      <c r="M66" s="139" t="n">
        <f aca="false">'P&amp;L$'!M67*Factors!M$11</f>
        <v>65453.6994</v>
      </c>
      <c r="N66" s="139" t="n">
        <f aca="false">'P&amp;L$'!N67*Factors!N$11</f>
        <v>65543.9448</v>
      </c>
      <c r="O66" s="146" t="n">
        <f aca="false">SUM(C66:N66)</f>
        <v>780571.1412</v>
      </c>
      <c r="Q66" s="170"/>
      <c r="R66" s="139" t="n">
        <f aca="false">'P&amp;L$'!R67*Factors!R$11</f>
        <v>4387.80297133334</v>
      </c>
      <c r="S66" s="139" t="n">
        <f aca="false">'P&amp;L$'!S67*Factors!S$11</f>
        <v>4406.00962266667</v>
      </c>
      <c r="T66" s="139" t="n">
        <f aca="false">'P&amp;L$'!T67*Factors!T$11</f>
        <v>4424.216274</v>
      </c>
      <c r="U66" s="139" t="n">
        <f aca="false">'P&amp;L$'!U67*Factors!U$11</f>
        <v>4442.42292533334</v>
      </c>
      <c r="V66" s="139" t="n">
        <f aca="false">'P&amp;L$'!V67*Factors!V$11</f>
        <v>4460.62957666667</v>
      </c>
      <c r="W66" s="139" t="n">
        <f aca="false">'P&amp;L$'!W67*Factors!W$11</f>
        <v>4478.836228</v>
      </c>
      <c r="X66" s="139" t="n">
        <f aca="false">'P&amp;L$'!X67*Factors!X$11</f>
        <v>4497.04287933334</v>
      </c>
      <c r="Y66" s="139" t="n">
        <f aca="false">'P&amp;L$'!Y67*Factors!Y$11</f>
        <v>4515.24953066667</v>
      </c>
      <c r="Z66" s="139" t="n">
        <f aca="false">'P&amp;L$'!Z67*Factors!Z$11</f>
        <v>4533.456182</v>
      </c>
      <c r="AA66" s="139" t="n">
        <f aca="false">'P&amp;L$'!AA67*Factors!AA$11</f>
        <v>4551.66283333334</v>
      </c>
      <c r="AB66" s="139" t="n">
        <f aca="false">'P&amp;L$'!AB67*Factors!AB$11</f>
        <v>4569.86948466667</v>
      </c>
      <c r="AC66" s="139" t="n">
        <f aca="false">'P&amp;L$'!AC67*Factors!AC$11</f>
        <v>4588.076136</v>
      </c>
      <c r="AD66" s="146" t="n">
        <f aca="false">SUM(R66:AC66)</f>
        <v>53855.274644</v>
      </c>
      <c r="AF66" s="170"/>
      <c r="AG66" s="139" t="n">
        <f aca="false">'P&amp;L$'!AG67*Factors!AG$11</f>
        <v>4607.1931199</v>
      </c>
      <c r="AH66" s="139" t="n">
        <f aca="false">'P&amp;L$'!AH67*Factors!AH$11</f>
        <v>4626.3101038</v>
      </c>
      <c r="AI66" s="139" t="n">
        <f aca="false">'P&amp;L$'!AI67*Factors!AI$11</f>
        <v>4645.4270877</v>
      </c>
      <c r="AJ66" s="139" t="n">
        <f aca="false">'P&amp;L$'!AJ67*Factors!AJ$11</f>
        <v>4664.5440716</v>
      </c>
      <c r="AK66" s="139" t="n">
        <f aca="false">'P&amp;L$'!AK67*Factors!AK$11</f>
        <v>4683.6610555</v>
      </c>
      <c r="AL66" s="139" t="n">
        <f aca="false">'P&amp;L$'!AL67*Factors!AL$11</f>
        <v>4702.7780394</v>
      </c>
      <c r="AM66" s="139" t="n">
        <f aca="false">'P&amp;L$'!AM67*Factors!AM$11</f>
        <v>4721.8950233</v>
      </c>
      <c r="AN66" s="139" t="n">
        <f aca="false">'P&amp;L$'!AN67*Factors!AN$11</f>
        <v>4741.0120072</v>
      </c>
      <c r="AO66" s="139" t="n">
        <f aca="false">'P&amp;L$'!AO67*Factors!AO$11</f>
        <v>4760.1289911</v>
      </c>
      <c r="AP66" s="139" t="n">
        <f aca="false">'P&amp;L$'!AP67*Factors!AP$11</f>
        <v>4779.245975</v>
      </c>
      <c r="AQ66" s="139" t="n">
        <f aca="false">'P&amp;L$'!AQ67*Factors!AQ$11</f>
        <v>4798.3629589</v>
      </c>
      <c r="AR66" s="139" t="n">
        <f aca="false">'P&amp;L$'!AR67*Factors!AR$11</f>
        <v>4817.4799428</v>
      </c>
      <c r="AS66" s="146" t="n">
        <f aca="false">SUM(AG66:AR66)</f>
        <v>56548.0383762</v>
      </c>
    </row>
    <row r="67" customFormat="false" ht="13.2" hidden="false" customHeight="false" outlineLevel="0" collapsed="false">
      <c r="A67" s="137" t="s">
        <v>848</v>
      </c>
      <c r="B67" s="170" t="str">
        <f aca="false">'P&amp;L$'!B68</f>
        <v>Legal - White &amp; Case</v>
      </c>
      <c r="C67" s="139" t="n">
        <f aca="false">'P&amp;L$'!C68*Factors!C$11</f>
        <v>21517.0818</v>
      </c>
      <c r="D67" s="139" t="n">
        <f aca="false">'P&amp;L$'!D68*Factors!D$11</f>
        <v>21547.1636</v>
      </c>
      <c r="E67" s="139" t="n">
        <f aca="false">'P&amp;L$'!E68*Factors!E$11</f>
        <v>21577.2454</v>
      </c>
      <c r="F67" s="139" t="n">
        <f aca="false">'P&amp;L$'!F68*Factors!F$11</f>
        <v>21607.3272</v>
      </c>
      <c r="G67" s="139" t="n">
        <f aca="false">'P&amp;L$'!G68*Factors!G$11</f>
        <v>21637.409</v>
      </c>
      <c r="H67" s="139" t="n">
        <f aca="false">'P&amp;L$'!H68*Factors!H$11</f>
        <v>21667.4908</v>
      </c>
      <c r="I67" s="139" t="n">
        <f aca="false">'P&amp;L$'!I68*Factors!I$11</f>
        <v>21697.5726</v>
      </c>
      <c r="J67" s="139" t="n">
        <f aca="false">'P&amp;L$'!J68*Factors!J$11</f>
        <v>21727.6544</v>
      </c>
      <c r="K67" s="139" t="n">
        <f aca="false">'P&amp;L$'!K68*Factors!K$11</f>
        <v>21757.7362</v>
      </c>
      <c r="L67" s="139" t="n">
        <f aca="false">'P&amp;L$'!L68*Factors!L$11</f>
        <v>21787.818</v>
      </c>
      <c r="M67" s="139" t="n">
        <f aca="false">'P&amp;L$'!M68*Factors!M$11</f>
        <v>21817.8998</v>
      </c>
      <c r="N67" s="139" t="n">
        <f aca="false">'P&amp;L$'!N68*Factors!N$11</f>
        <v>21847.9816</v>
      </c>
      <c r="O67" s="146" t="n">
        <f aca="false">SUM(C67:N67)</f>
        <v>260190.3804</v>
      </c>
      <c r="Q67" s="170"/>
      <c r="R67" s="139" t="n">
        <f aca="false">'P&amp;L$'!R68*Factors!R$11</f>
        <v>4387.80297133334</v>
      </c>
      <c r="S67" s="139" t="n">
        <f aca="false">'P&amp;L$'!S68*Factors!S$11</f>
        <v>4406.00962266667</v>
      </c>
      <c r="T67" s="139" t="n">
        <f aca="false">'P&amp;L$'!T68*Factors!T$11</f>
        <v>4424.216274</v>
      </c>
      <c r="U67" s="139" t="n">
        <f aca="false">'P&amp;L$'!U68*Factors!U$11</f>
        <v>4442.42292533334</v>
      </c>
      <c r="V67" s="139" t="n">
        <f aca="false">'P&amp;L$'!V68*Factors!V$11</f>
        <v>4460.62957666667</v>
      </c>
      <c r="W67" s="139" t="n">
        <f aca="false">'P&amp;L$'!W68*Factors!W$11</f>
        <v>4478.836228</v>
      </c>
      <c r="X67" s="139" t="n">
        <f aca="false">'P&amp;L$'!X68*Factors!X$11</f>
        <v>4497.04287933334</v>
      </c>
      <c r="Y67" s="139" t="n">
        <f aca="false">'P&amp;L$'!Y68*Factors!Y$11</f>
        <v>4515.24953066667</v>
      </c>
      <c r="Z67" s="139" t="n">
        <f aca="false">'P&amp;L$'!Z68*Factors!Z$11</f>
        <v>4533.456182</v>
      </c>
      <c r="AA67" s="139" t="n">
        <f aca="false">'P&amp;L$'!AA68*Factors!AA$11</f>
        <v>4551.66283333334</v>
      </c>
      <c r="AB67" s="139" t="n">
        <f aca="false">'P&amp;L$'!AB68*Factors!AB$11</f>
        <v>4569.86948466667</v>
      </c>
      <c r="AC67" s="139" t="n">
        <f aca="false">'P&amp;L$'!AC68*Factors!AC$11</f>
        <v>4588.076136</v>
      </c>
      <c r="AD67" s="146" t="n">
        <f aca="false">SUM(R67:AC67)</f>
        <v>53855.274644</v>
      </c>
      <c r="AF67" s="170"/>
      <c r="AG67" s="139" t="n">
        <f aca="false">'P&amp;L$'!AG68*Factors!AG$11</f>
        <v>4607.1931199</v>
      </c>
      <c r="AH67" s="139" t="n">
        <f aca="false">'P&amp;L$'!AH68*Factors!AH$11</f>
        <v>4626.3101038</v>
      </c>
      <c r="AI67" s="139" t="n">
        <f aca="false">'P&amp;L$'!AI68*Factors!AI$11</f>
        <v>4645.4270877</v>
      </c>
      <c r="AJ67" s="139" t="n">
        <f aca="false">'P&amp;L$'!AJ68*Factors!AJ$11</f>
        <v>4664.5440716</v>
      </c>
      <c r="AK67" s="139" t="n">
        <f aca="false">'P&amp;L$'!AK68*Factors!AK$11</f>
        <v>4683.6610555</v>
      </c>
      <c r="AL67" s="139" t="n">
        <f aca="false">'P&amp;L$'!AL68*Factors!AL$11</f>
        <v>4702.7780394</v>
      </c>
      <c r="AM67" s="139" t="n">
        <f aca="false">'P&amp;L$'!AM68*Factors!AM$11</f>
        <v>4721.8950233</v>
      </c>
      <c r="AN67" s="139" t="n">
        <f aca="false">'P&amp;L$'!AN68*Factors!AN$11</f>
        <v>4741.0120072</v>
      </c>
      <c r="AO67" s="139" t="n">
        <f aca="false">'P&amp;L$'!AO68*Factors!AO$11</f>
        <v>4760.1289911</v>
      </c>
      <c r="AP67" s="139" t="n">
        <f aca="false">'P&amp;L$'!AP68*Factors!AP$11</f>
        <v>4779.245975</v>
      </c>
      <c r="AQ67" s="139" t="n">
        <f aca="false">'P&amp;L$'!AQ68*Factors!AQ$11</f>
        <v>4798.3629589</v>
      </c>
      <c r="AR67" s="139" t="n">
        <f aca="false">'P&amp;L$'!AR68*Factors!AR$11</f>
        <v>4817.4799428</v>
      </c>
      <c r="AS67" s="146" t="n">
        <f aca="false">SUM(AG67:AR67)</f>
        <v>56548.0383762</v>
      </c>
    </row>
    <row r="68" customFormat="false" ht="13.2" hidden="true" customHeight="false" outlineLevel="0" collapsed="false">
      <c r="A68" s="137" t="s">
        <v>1036</v>
      </c>
      <c r="B68" s="170" t="str">
        <f aca="false">'P&amp;L$'!B69</f>
        <v>Legal - Other</v>
      </c>
      <c r="C68" s="139" t="n">
        <f aca="false">'P&amp;L$'!C69*Factors!C$11</f>
        <v>0</v>
      </c>
      <c r="D68" s="139" t="n">
        <f aca="false">'P&amp;L$'!D69*Factors!D$11</f>
        <v>0</v>
      </c>
      <c r="E68" s="139" t="n">
        <f aca="false">'P&amp;L$'!E69*Factors!E$11</f>
        <v>0</v>
      </c>
      <c r="F68" s="139" t="n">
        <f aca="false">'P&amp;L$'!F69*Factors!F$11</f>
        <v>0</v>
      </c>
      <c r="G68" s="139" t="n">
        <f aca="false">'P&amp;L$'!G69*Factors!G$11</f>
        <v>0</v>
      </c>
      <c r="H68" s="139" t="n">
        <f aca="false">'P&amp;L$'!H69*Factors!H$11</f>
        <v>0</v>
      </c>
      <c r="I68" s="139" t="n">
        <f aca="false">'P&amp;L$'!I69*Factors!I$11</f>
        <v>0</v>
      </c>
      <c r="J68" s="139" t="n">
        <f aca="false">'P&amp;L$'!J69*Factors!J$11</f>
        <v>0</v>
      </c>
      <c r="K68" s="139" t="n">
        <f aca="false">'P&amp;L$'!K69*Factors!K$11</f>
        <v>0</v>
      </c>
      <c r="L68" s="139" t="n">
        <f aca="false">'P&amp;L$'!L69*Factors!L$11</f>
        <v>0</v>
      </c>
      <c r="M68" s="139" t="n">
        <f aca="false">'P&amp;L$'!M69*Factors!M$11</f>
        <v>0</v>
      </c>
      <c r="N68" s="139" t="n">
        <f aca="false">'P&amp;L$'!N69*Factors!N$11</f>
        <v>0</v>
      </c>
      <c r="O68" s="146" t="n">
        <f aca="false">SUM(C68:N68)</f>
        <v>0</v>
      </c>
      <c r="Q68" s="170"/>
      <c r="R68" s="139" t="n">
        <f aca="false">'P&amp;L$'!R69*Factors!R$11</f>
        <v>0</v>
      </c>
      <c r="S68" s="139" t="n">
        <f aca="false">'P&amp;L$'!S69*Factors!S$11</f>
        <v>0</v>
      </c>
      <c r="T68" s="139" t="n">
        <f aca="false">'P&amp;L$'!T69*Factors!T$11</f>
        <v>0</v>
      </c>
      <c r="U68" s="139" t="n">
        <f aca="false">'P&amp;L$'!U69*Factors!U$11</f>
        <v>0</v>
      </c>
      <c r="V68" s="139" t="n">
        <f aca="false">'P&amp;L$'!V69*Factors!V$11</f>
        <v>0</v>
      </c>
      <c r="W68" s="139" t="n">
        <f aca="false">'P&amp;L$'!W69*Factors!W$11</f>
        <v>0</v>
      </c>
      <c r="X68" s="139" t="n">
        <f aca="false">'P&amp;L$'!X69*Factors!X$11</f>
        <v>0</v>
      </c>
      <c r="Y68" s="139" t="n">
        <f aca="false">'P&amp;L$'!Y69*Factors!Y$11</f>
        <v>0</v>
      </c>
      <c r="Z68" s="139" t="n">
        <f aca="false">'P&amp;L$'!Z69*Factors!Z$11</f>
        <v>0</v>
      </c>
      <c r="AA68" s="139" t="n">
        <f aca="false">'P&amp;L$'!AA69*Factors!AA$11</f>
        <v>0</v>
      </c>
      <c r="AB68" s="139" t="n">
        <f aca="false">'P&amp;L$'!AB69*Factors!AB$11</f>
        <v>0</v>
      </c>
      <c r="AC68" s="139" t="n">
        <f aca="false">'P&amp;L$'!AC69*Factors!AC$11</f>
        <v>0</v>
      </c>
      <c r="AD68" s="146" t="n">
        <f aca="false">SUM(R68:AC68)</f>
        <v>0</v>
      </c>
      <c r="AF68" s="170"/>
      <c r="AG68" s="139" t="n">
        <f aca="false">'P&amp;L$'!AG69*Factors!AG$11</f>
        <v>0</v>
      </c>
      <c r="AH68" s="139" t="n">
        <f aca="false">'P&amp;L$'!AH69*Factors!AH$11</f>
        <v>0</v>
      </c>
      <c r="AI68" s="139" t="n">
        <f aca="false">'P&amp;L$'!AI69*Factors!AI$11</f>
        <v>0</v>
      </c>
      <c r="AJ68" s="139" t="n">
        <f aca="false">'P&amp;L$'!AJ69*Factors!AJ$11</f>
        <v>0</v>
      </c>
      <c r="AK68" s="139" t="n">
        <f aca="false">'P&amp;L$'!AK69*Factors!AK$11</f>
        <v>0</v>
      </c>
      <c r="AL68" s="139" t="n">
        <f aca="false">'P&amp;L$'!AL69*Factors!AL$11</f>
        <v>0</v>
      </c>
      <c r="AM68" s="139" t="n">
        <f aca="false">'P&amp;L$'!AM69*Factors!AM$11</f>
        <v>0</v>
      </c>
      <c r="AN68" s="139" t="n">
        <f aca="false">'P&amp;L$'!AN69*Factors!AN$11</f>
        <v>0</v>
      </c>
      <c r="AO68" s="139" t="n">
        <f aca="false">'P&amp;L$'!AO69*Factors!AO$11</f>
        <v>0</v>
      </c>
      <c r="AP68" s="139" t="n">
        <f aca="false">'P&amp;L$'!AP69*Factors!AP$11</f>
        <v>0</v>
      </c>
      <c r="AQ68" s="139" t="n">
        <f aca="false">'P&amp;L$'!AQ69*Factors!AQ$11</f>
        <v>0</v>
      </c>
      <c r="AR68" s="139" t="n">
        <f aca="false">'P&amp;L$'!AR69*Factors!AR$11</f>
        <v>0</v>
      </c>
      <c r="AS68" s="146" t="n">
        <f aca="false">SUM(AG68:AR68)</f>
        <v>0</v>
      </c>
    </row>
    <row r="69" customFormat="false" ht="13.2" hidden="false" customHeight="false" outlineLevel="0" collapsed="false">
      <c r="A69" s="137" t="s">
        <v>853</v>
      </c>
      <c r="B69" s="170" t="str">
        <f aca="false">'P&amp;L$'!B70</f>
        <v>Financial-Arthur Andersen</v>
      </c>
      <c r="C69" s="139" t="n">
        <f aca="false">'P&amp;L$'!C70*Factors!C$11</f>
        <v>4303.41636</v>
      </c>
      <c r="D69" s="139" t="n">
        <f aca="false">'P&amp;L$'!D70*Factors!D$11</f>
        <v>4309.43272</v>
      </c>
      <c r="E69" s="139" t="n">
        <f aca="false">'P&amp;L$'!E70*Factors!E$11</f>
        <v>4315.44908</v>
      </c>
      <c r="F69" s="139" t="n">
        <f aca="false">'P&amp;L$'!F70*Factors!F$11</f>
        <v>4321.46544</v>
      </c>
      <c r="G69" s="139" t="n">
        <f aca="false">'P&amp;L$'!G70*Factors!G$11</f>
        <v>4327.4818</v>
      </c>
      <c r="H69" s="139" t="n">
        <f aca="false">'P&amp;L$'!H70*Factors!H$11</f>
        <v>4333.49816</v>
      </c>
      <c r="I69" s="139" t="n">
        <f aca="false">'P&amp;L$'!I70*Factors!I$11</f>
        <v>4339.51452</v>
      </c>
      <c r="J69" s="139" t="n">
        <f aca="false">'P&amp;L$'!J70*Factors!J$11</f>
        <v>4345.53088</v>
      </c>
      <c r="K69" s="139" t="n">
        <f aca="false">'P&amp;L$'!K70*Factors!K$11</f>
        <v>4351.54724</v>
      </c>
      <c r="L69" s="139" t="n">
        <f aca="false">'P&amp;L$'!L70*Factors!L$11</f>
        <v>4357.5636</v>
      </c>
      <c r="M69" s="139" t="n">
        <f aca="false">'P&amp;L$'!M70*Factors!M$11</f>
        <v>4363.57996</v>
      </c>
      <c r="N69" s="139" t="n">
        <f aca="false">'P&amp;L$'!N70*Factors!N$11</f>
        <v>4369.59632</v>
      </c>
      <c r="O69" s="146" t="n">
        <f aca="false">SUM(C69:N69)</f>
        <v>52038.07608</v>
      </c>
      <c r="Q69" s="170"/>
      <c r="R69" s="139" t="n">
        <f aca="false">'P&amp;L$'!R70*Factors!R$11</f>
        <v>2193.90148566667</v>
      </c>
      <c r="S69" s="139" t="n">
        <f aca="false">'P&amp;L$'!S70*Factors!S$11</f>
        <v>2203.00481133333</v>
      </c>
      <c r="T69" s="139" t="n">
        <f aca="false">'P&amp;L$'!T70*Factors!T$11</f>
        <v>2212.108137</v>
      </c>
      <c r="U69" s="139" t="n">
        <f aca="false">'P&amp;L$'!U70*Factors!U$11</f>
        <v>2221.21146266667</v>
      </c>
      <c r="V69" s="139" t="n">
        <f aca="false">'P&amp;L$'!V70*Factors!V$11</f>
        <v>2230.31478833333</v>
      </c>
      <c r="W69" s="139" t="n">
        <f aca="false">'P&amp;L$'!W70*Factors!W$11</f>
        <v>2239.418114</v>
      </c>
      <c r="X69" s="139" t="n">
        <f aca="false">'P&amp;L$'!X70*Factors!X$11</f>
        <v>2248.52143966667</v>
      </c>
      <c r="Y69" s="139" t="n">
        <f aca="false">'P&amp;L$'!Y70*Factors!Y$11</f>
        <v>2257.62476533333</v>
      </c>
      <c r="Z69" s="139" t="n">
        <f aca="false">'P&amp;L$'!Z70*Factors!Z$11</f>
        <v>2266.728091</v>
      </c>
      <c r="AA69" s="139" t="n">
        <f aca="false">'P&amp;L$'!AA70*Factors!AA$11</f>
        <v>2275.83141666667</v>
      </c>
      <c r="AB69" s="139" t="n">
        <f aca="false">'P&amp;L$'!AB70*Factors!AB$11</f>
        <v>2284.93474233333</v>
      </c>
      <c r="AC69" s="139" t="n">
        <f aca="false">'P&amp;L$'!AC70*Factors!AC$11</f>
        <v>2294.038068</v>
      </c>
      <c r="AD69" s="146" t="n">
        <f aca="false">SUM(R69:AC69)</f>
        <v>26927.637322</v>
      </c>
      <c r="AF69" s="170"/>
      <c r="AG69" s="139" t="n">
        <f aca="false">'P&amp;L$'!AG70*Factors!AG$11</f>
        <v>2303.59655995</v>
      </c>
      <c r="AH69" s="139" t="n">
        <f aca="false">'P&amp;L$'!AH70*Factors!AH$11</f>
        <v>2313.1550519</v>
      </c>
      <c r="AI69" s="139" t="n">
        <f aca="false">'P&amp;L$'!AI70*Factors!AI$11</f>
        <v>2322.71354385</v>
      </c>
      <c r="AJ69" s="139" t="n">
        <f aca="false">'P&amp;L$'!AJ70*Factors!AJ$11</f>
        <v>2332.2720358</v>
      </c>
      <c r="AK69" s="139" t="n">
        <f aca="false">'P&amp;L$'!AK70*Factors!AK$11</f>
        <v>2341.83052775</v>
      </c>
      <c r="AL69" s="139" t="n">
        <f aca="false">'P&amp;L$'!AL70*Factors!AL$11</f>
        <v>2351.3890197</v>
      </c>
      <c r="AM69" s="139" t="n">
        <f aca="false">'P&amp;L$'!AM70*Factors!AM$11</f>
        <v>2360.94751165</v>
      </c>
      <c r="AN69" s="139" t="n">
        <f aca="false">'P&amp;L$'!AN70*Factors!AN$11</f>
        <v>2370.5060036</v>
      </c>
      <c r="AO69" s="139" t="n">
        <f aca="false">'P&amp;L$'!AO70*Factors!AO$11</f>
        <v>2380.06449555</v>
      </c>
      <c r="AP69" s="139" t="n">
        <f aca="false">'P&amp;L$'!AP70*Factors!AP$11</f>
        <v>2389.6229875</v>
      </c>
      <c r="AQ69" s="139" t="n">
        <f aca="false">'P&amp;L$'!AQ70*Factors!AQ$11</f>
        <v>2399.18147945</v>
      </c>
      <c r="AR69" s="139" t="n">
        <f aca="false">'P&amp;L$'!AR70*Factors!AR$11</f>
        <v>2408.7399714</v>
      </c>
      <c r="AS69" s="146" t="n">
        <f aca="false">SUM(AG69:AR69)</f>
        <v>28274.0191881</v>
      </c>
    </row>
    <row r="70" customFormat="false" ht="13.2" hidden="false" customHeight="false" outlineLevel="0" collapsed="false">
      <c r="A70" s="137" t="s">
        <v>855</v>
      </c>
      <c r="B70" s="170" t="str">
        <f aca="false">'P&amp;L$'!B71</f>
        <v>Audit</v>
      </c>
      <c r="C70" s="139" t="n">
        <f aca="false">'P&amp;L$'!C71*Factors!C$11</f>
        <v>17213.66544</v>
      </c>
      <c r="D70" s="139" t="n">
        <f aca="false">'P&amp;L$'!D71*Factors!D$11</f>
        <v>17237.73088</v>
      </c>
      <c r="E70" s="139" t="n">
        <f aca="false">'P&amp;L$'!E71*Factors!E$11</f>
        <v>17261.79632</v>
      </c>
      <c r="F70" s="139" t="n">
        <f aca="false">'P&amp;L$'!F71*Factors!F$11</f>
        <v>17285.86176</v>
      </c>
      <c r="G70" s="139" t="n">
        <f aca="false">'P&amp;L$'!G71*Factors!G$11</f>
        <v>17309.9272</v>
      </c>
      <c r="H70" s="139" t="n">
        <f aca="false">'P&amp;L$'!H71*Factors!H$11</f>
        <v>17333.99264</v>
      </c>
      <c r="I70" s="139" t="n">
        <f aca="false">'P&amp;L$'!I71*Factors!I$11</f>
        <v>17358.05808</v>
      </c>
      <c r="J70" s="139" t="n">
        <f aca="false">'P&amp;L$'!J71*Factors!J$11</f>
        <v>17382.12352</v>
      </c>
      <c r="K70" s="139" t="n">
        <f aca="false">'P&amp;L$'!K71*Factors!K$11</f>
        <v>17406.18896</v>
      </c>
      <c r="L70" s="139" t="n">
        <f aca="false">'P&amp;L$'!L71*Factors!L$11</f>
        <v>17430.2544</v>
      </c>
      <c r="M70" s="139" t="n">
        <f aca="false">'P&amp;L$'!M71*Factors!M$11</f>
        <v>17454.31984</v>
      </c>
      <c r="N70" s="139" t="n">
        <f aca="false">'P&amp;L$'!N71*Factors!N$11</f>
        <v>17478.38528</v>
      </c>
      <c r="O70" s="146" t="n">
        <f aca="false">SUM(C70:N70)</f>
        <v>208152.30432</v>
      </c>
      <c r="Q70" s="170"/>
      <c r="R70" s="139" t="n">
        <f aca="false">'P&amp;L$'!R71*Factors!R$11</f>
        <v>17551.2118853333</v>
      </c>
      <c r="S70" s="139" t="n">
        <f aca="false">'P&amp;L$'!S71*Factors!S$11</f>
        <v>17624.0384906667</v>
      </c>
      <c r="T70" s="139" t="n">
        <f aca="false">'P&amp;L$'!T71*Factors!T$11</f>
        <v>17696.865096</v>
      </c>
      <c r="U70" s="139" t="n">
        <f aca="false">'P&amp;L$'!U71*Factors!U$11</f>
        <v>17769.6917013333</v>
      </c>
      <c r="V70" s="139" t="n">
        <f aca="false">'P&amp;L$'!V71*Factors!V$11</f>
        <v>17842.5183066667</v>
      </c>
      <c r="W70" s="139" t="n">
        <f aca="false">'P&amp;L$'!W71*Factors!W$11</f>
        <v>17915.344912</v>
      </c>
      <c r="X70" s="139" t="n">
        <f aca="false">'P&amp;L$'!X71*Factors!X$11</f>
        <v>17988.1715173333</v>
      </c>
      <c r="Y70" s="139" t="n">
        <f aca="false">'P&amp;L$'!Y71*Factors!Y$11</f>
        <v>18060.9981226667</v>
      </c>
      <c r="Z70" s="139" t="n">
        <f aca="false">'P&amp;L$'!Z71*Factors!Z$11</f>
        <v>18133.824728</v>
      </c>
      <c r="AA70" s="139" t="n">
        <f aca="false">'P&amp;L$'!AA71*Factors!AA$11</f>
        <v>18206.6513333333</v>
      </c>
      <c r="AB70" s="139" t="n">
        <f aca="false">'P&amp;L$'!AB71*Factors!AB$11</f>
        <v>18279.4779386667</v>
      </c>
      <c r="AC70" s="139" t="n">
        <f aca="false">'P&amp;L$'!AC71*Factors!AC$11</f>
        <v>18352.304544</v>
      </c>
      <c r="AD70" s="146" t="n">
        <f aca="false">SUM(R70:AC70)</f>
        <v>215421.098576</v>
      </c>
      <c r="AF70" s="170"/>
      <c r="AG70" s="139" t="n">
        <f aca="false">'P&amp;L$'!AG71*Factors!AG$11</f>
        <v>18428.7724796</v>
      </c>
      <c r="AH70" s="139" t="n">
        <f aca="false">'P&amp;L$'!AH71*Factors!AH$11</f>
        <v>18505.2404152</v>
      </c>
      <c r="AI70" s="139" t="n">
        <f aca="false">'P&amp;L$'!AI71*Factors!AI$11</f>
        <v>18581.7083508</v>
      </c>
      <c r="AJ70" s="139" t="n">
        <f aca="false">'P&amp;L$'!AJ71*Factors!AJ$11</f>
        <v>18658.1762864</v>
      </c>
      <c r="AK70" s="139" t="n">
        <f aca="false">'P&amp;L$'!AK71*Factors!AK$11</f>
        <v>18734.644222</v>
      </c>
      <c r="AL70" s="139" t="n">
        <f aca="false">'P&amp;L$'!AL71*Factors!AL$11</f>
        <v>18811.1121576</v>
      </c>
      <c r="AM70" s="139" t="n">
        <f aca="false">'P&amp;L$'!AM71*Factors!AM$11</f>
        <v>18887.5800932</v>
      </c>
      <c r="AN70" s="139" t="n">
        <f aca="false">'P&amp;L$'!AN71*Factors!AN$11</f>
        <v>18964.0480288</v>
      </c>
      <c r="AO70" s="139" t="n">
        <f aca="false">'P&amp;L$'!AO71*Factors!AO$11</f>
        <v>19040.5159644</v>
      </c>
      <c r="AP70" s="139" t="n">
        <f aca="false">'P&amp;L$'!AP71*Factors!AP$11</f>
        <v>19116.9839</v>
      </c>
      <c r="AQ70" s="139" t="n">
        <f aca="false">'P&amp;L$'!AQ71*Factors!AQ$11</f>
        <v>19193.4518356</v>
      </c>
      <c r="AR70" s="139" t="n">
        <f aca="false">'P&amp;L$'!AR71*Factors!AR$11</f>
        <v>19269.9197712</v>
      </c>
      <c r="AS70" s="146" t="n">
        <f aca="false">SUM(AG70:AR70)</f>
        <v>226192.1535048</v>
      </c>
    </row>
    <row r="71" customFormat="false" ht="13.2" hidden="true" customHeight="false" outlineLevel="0" collapsed="false">
      <c r="A71" s="137" t="s">
        <v>857</v>
      </c>
      <c r="B71" s="170" t="str">
        <f aca="false">'P&amp;L$'!B72</f>
        <v>Financial -Other</v>
      </c>
      <c r="C71" s="146" t="n">
        <f aca="false">Oheads!C15/Factors!C11</f>
        <v>0</v>
      </c>
      <c r="D71" s="146" t="n">
        <f aca="false">Oheads!D15/Factors!D11</f>
        <v>0</v>
      </c>
      <c r="E71" s="146" t="n">
        <f aca="false">Oheads!E15/Factors!E11</f>
        <v>0</v>
      </c>
      <c r="F71" s="146" t="n">
        <f aca="false">Oheads!F15/Factors!F11</f>
        <v>0</v>
      </c>
      <c r="G71" s="146" t="n">
        <f aca="false">Oheads!G15/Factors!G11</f>
        <v>0</v>
      </c>
      <c r="H71" s="146" t="n">
        <f aca="false">Oheads!H15/Factors!H11</f>
        <v>0</v>
      </c>
      <c r="I71" s="146" t="n">
        <f aca="false">Oheads!I15/Factors!I11</f>
        <v>0</v>
      </c>
      <c r="J71" s="146" t="n">
        <f aca="false">Oheads!J15/Factors!J11</f>
        <v>0</v>
      </c>
      <c r="K71" s="146" t="n">
        <f aca="false">Oheads!K15/Factors!K11</f>
        <v>0</v>
      </c>
      <c r="L71" s="146" t="n">
        <f aca="false">Oheads!L15/Factors!L11</f>
        <v>0</v>
      </c>
      <c r="M71" s="146" t="n">
        <f aca="false">Oheads!M15/Factors!M11</f>
        <v>0</v>
      </c>
      <c r="N71" s="146" t="n">
        <f aca="false">Oheads!N15/Factors!N11</f>
        <v>0</v>
      </c>
      <c r="O71" s="146" t="n">
        <f aca="false">SUM(C71:N71)</f>
        <v>0</v>
      </c>
      <c r="Q71" s="170"/>
      <c r="R71" s="146" t="n">
        <f aca="false">Oheads!Q15/Factors!R11</f>
        <v>0</v>
      </c>
      <c r="S71" s="146" t="n">
        <f aca="false">Oheads!R15/Factors!S11</f>
        <v>0</v>
      </c>
      <c r="T71" s="146" t="n">
        <f aca="false">Oheads!S15/Factors!T11</f>
        <v>0</v>
      </c>
      <c r="U71" s="146" t="n">
        <f aca="false">Oheads!T15/Factors!U11</f>
        <v>0</v>
      </c>
      <c r="V71" s="146" t="n">
        <f aca="false">Oheads!U15/Factors!V11</f>
        <v>0</v>
      </c>
      <c r="W71" s="146" t="n">
        <f aca="false">Oheads!V15/Factors!W11</f>
        <v>0</v>
      </c>
      <c r="X71" s="146" t="n">
        <f aca="false">Oheads!W15/Factors!X11</f>
        <v>0</v>
      </c>
      <c r="Y71" s="146" t="n">
        <f aca="false">Oheads!X15/Factors!Y11</f>
        <v>0</v>
      </c>
      <c r="Z71" s="146" t="n">
        <f aca="false">Oheads!Y15/Factors!Z11</f>
        <v>0</v>
      </c>
      <c r="AA71" s="146" t="n">
        <f aca="false">Oheads!Z15/Factors!AA11</f>
        <v>0</v>
      </c>
      <c r="AB71" s="146" t="n">
        <f aca="false">Oheads!AA15/Factors!AB11</f>
        <v>0</v>
      </c>
      <c r="AC71" s="146" t="n">
        <f aca="false">Oheads!AB15/Factors!AC11</f>
        <v>0</v>
      </c>
      <c r="AD71" s="146" t="n">
        <f aca="false">SUM(R71:AC71)</f>
        <v>0</v>
      </c>
      <c r="AF71" s="170"/>
      <c r="AG71" s="146" t="n">
        <f aca="false">Oheads!AF15/Factors!AG11</f>
        <v>0</v>
      </c>
      <c r="AH71" s="146" t="n">
        <f aca="false">Oheads!AG15/Factors!AH11</f>
        <v>0</v>
      </c>
      <c r="AI71" s="146" t="n">
        <f aca="false">Oheads!AH15/Factors!AI11</f>
        <v>0</v>
      </c>
      <c r="AJ71" s="146" t="n">
        <f aca="false">Oheads!AI15/Factors!AJ11</f>
        <v>0</v>
      </c>
      <c r="AK71" s="146" t="n">
        <f aca="false">Oheads!AJ15/Factors!AK11</f>
        <v>0</v>
      </c>
      <c r="AL71" s="146" t="n">
        <f aca="false">Oheads!AK15/Factors!AL11</f>
        <v>0</v>
      </c>
      <c r="AM71" s="146" t="n">
        <f aca="false">Oheads!AL15/Factors!AM11</f>
        <v>0</v>
      </c>
      <c r="AN71" s="146" t="n">
        <f aca="false">Oheads!AM15/Factors!AN11</f>
        <v>0</v>
      </c>
      <c r="AO71" s="146" t="n">
        <f aca="false">Oheads!AN15/Factors!AO11</f>
        <v>0</v>
      </c>
      <c r="AP71" s="146" t="n">
        <f aca="false">Oheads!AO15/Factors!AP11</f>
        <v>0</v>
      </c>
      <c r="AQ71" s="146" t="n">
        <f aca="false">Oheads!AP15/Factors!AQ11</f>
        <v>0</v>
      </c>
      <c r="AR71" s="146" t="n">
        <f aca="false">Oheads!AQ15/Factors!AR11</f>
        <v>0</v>
      </c>
      <c r="AS71" s="146" t="n">
        <f aca="false">SUM(AG71:AR71)</f>
        <v>0</v>
      </c>
    </row>
    <row r="72" customFormat="false" ht="13.2" hidden="false" customHeight="false" outlineLevel="0" collapsed="false">
      <c r="A72" s="137" t="s">
        <v>860</v>
      </c>
      <c r="B72" s="170" t="str">
        <f aca="false">'P&amp;L$'!B73</f>
        <v>Sun system</v>
      </c>
      <c r="C72" s="146" t="n">
        <f aca="false">Oheads!C18</f>
        <v>2850</v>
      </c>
      <c r="D72" s="146" t="n">
        <f aca="false">Oheads!D18</f>
        <v>2850</v>
      </c>
      <c r="E72" s="146" t="n">
        <f aca="false">Oheads!E18</f>
        <v>2850</v>
      </c>
      <c r="F72" s="146" t="n">
        <f aca="false">Oheads!F18</f>
        <v>2850</v>
      </c>
      <c r="G72" s="146" t="n">
        <f aca="false">Oheads!G18</f>
        <v>2850</v>
      </c>
      <c r="H72" s="146" t="n">
        <f aca="false">Oheads!H18</f>
        <v>2850</v>
      </c>
      <c r="I72" s="146" t="n">
        <f aca="false">Oheads!I18</f>
        <v>2850</v>
      </c>
      <c r="J72" s="146" t="n">
        <f aca="false">Oheads!J18</f>
        <v>2850</v>
      </c>
      <c r="K72" s="146" t="n">
        <f aca="false">Oheads!K18</f>
        <v>2850</v>
      </c>
      <c r="L72" s="146" t="n">
        <f aca="false">Oheads!L18</f>
        <v>2850</v>
      </c>
      <c r="M72" s="146" t="n">
        <f aca="false">Oheads!M18</f>
        <v>2850</v>
      </c>
      <c r="N72" s="146" t="n">
        <f aca="false">Oheads!N18</f>
        <v>2850</v>
      </c>
      <c r="O72" s="146" t="n">
        <f aca="false">SUM(C72:N72)</f>
        <v>34200</v>
      </c>
      <c r="Q72" s="293"/>
      <c r="R72" s="146" t="n">
        <f aca="false">Oheads!Q18</f>
        <v>2850</v>
      </c>
      <c r="S72" s="146" t="n">
        <f aca="false">Oheads!R18</f>
        <v>2850</v>
      </c>
      <c r="T72" s="146" t="n">
        <f aca="false">Oheads!S18</f>
        <v>2850</v>
      </c>
      <c r="U72" s="146" t="n">
        <f aca="false">Oheads!T18</f>
        <v>2850</v>
      </c>
      <c r="V72" s="146" t="n">
        <f aca="false">Oheads!U18</f>
        <v>2850</v>
      </c>
      <c r="W72" s="146" t="n">
        <f aca="false">Oheads!V18</f>
        <v>2850</v>
      </c>
      <c r="X72" s="146" t="n">
        <f aca="false">Oheads!W18</f>
        <v>2850</v>
      </c>
      <c r="Y72" s="146" t="n">
        <f aca="false">Oheads!X18</f>
        <v>2850</v>
      </c>
      <c r="Z72" s="146" t="n">
        <f aca="false">Oheads!Y18</f>
        <v>2850</v>
      </c>
      <c r="AA72" s="146" t="n">
        <f aca="false">Oheads!Z18</f>
        <v>2850</v>
      </c>
      <c r="AB72" s="146" t="n">
        <f aca="false">Oheads!AA18</f>
        <v>2850</v>
      </c>
      <c r="AC72" s="146" t="n">
        <f aca="false">Oheads!AB18</f>
        <v>2850</v>
      </c>
      <c r="AD72" s="146" t="n">
        <f aca="false">SUM(R72:AC72)</f>
        <v>34200</v>
      </c>
      <c r="AF72" s="293"/>
      <c r="AG72" s="146" t="n">
        <f aca="false">Oheads!AE18</f>
        <v>2850</v>
      </c>
      <c r="AH72" s="146" t="n">
        <f aca="false">Oheads!AF18</f>
        <v>2850</v>
      </c>
      <c r="AI72" s="146" t="n">
        <f aca="false">Oheads!AG18</f>
        <v>2850</v>
      </c>
      <c r="AJ72" s="146" t="n">
        <f aca="false">Oheads!AH18</f>
        <v>2850</v>
      </c>
      <c r="AK72" s="146" t="n">
        <f aca="false">Oheads!AI18</f>
        <v>2850</v>
      </c>
      <c r="AL72" s="146" t="n">
        <f aca="false">Oheads!AJ18</f>
        <v>2850</v>
      </c>
      <c r="AM72" s="146" t="n">
        <f aca="false">Oheads!AK18</f>
        <v>2850</v>
      </c>
      <c r="AN72" s="146" t="n">
        <f aca="false">Oheads!AL18</f>
        <v>2850</v>
      </c>
      <c r="AO72" s="146" t="n">
        <f aca="false">Oheads!AM18</f>
        <v>2850</v>
      </c>
      <c r="AP72" s="146" t="n">
        <f aca="false">Oheads!AN18</f>
        <v>2850</v>
      </c>
      <c r="AQ72" s="146" t="n">
        <f aca="false">Oheads!AO18</f>
        <v>2850</v>
      </c>
      <c r="AR72" s="146" t="n">
        <f aca="false">Oheads!AP18</f>
        <v>2850</v>
      </c>
      <c r="AS72" s="146" t="n">
        <f aca="false">SUM(AG72:AR72)</f>
        <v>34200</v>
      </c>
    </row>
    <row r="73" customFormat="false" ht="13.2" hidden="false" customHeight="false" outlineLevel="0" collapsed="false">
      <c r="A73" s="137" t="s">
        <v>862</v>
      </c>
      <c r="B73" s="170" t="str">
        <f aca="false">'P&amp;L$'!B74</f>
        <v>IFS system</v>
      </c>
      <c r="C73" s="146" t="n">
        <f aca="false">Oheads!C19</f>
        <v>2800</v>
      </c>
      <c r="D73" s="146" t="n">
        <f aca="false">Oheads!D19</f>
        <v>2800</v>
      </c>
      <c r="E73" s="146" t="n">
        <f aca="false">Oheads!E19</f>
        <v>2800</v>
      </c>
      <c r="F73" s="146" t="n">
        <f aca="false">Oheads!F19</f>
        <v>2800</v>
      </c>
      <c r="G73" s="146" t="n">
        <f aca="false">Oheads!G19</f>
        <v>2800</v>
      </c>
      <c r="H73" s="146" t="n">
        <f aca="false">Oheads!H19</f>
        <v>2800</v>
      </c>
      <c r="I73" s="146" t="n">
        <f aca="false">Oheads!I19</f>
        <v>2800</v>
      </c>
      <c r="J73" s="146" t="n">
        <f aca="false">Oheads!J19</f>
        <v>2800</v>
      </c>
      <c r="K73" s="146" t="n">
        <f aca="false">Oheads!K19</f>
        <v>2800</v>
      </c>
      <c r="L73" s="146" t="n">
        <f aca="false">Oheads!L19</f>
        <v>2800</v>
      </c>
      <c r="M73" s="146" t="n">
        <f aca="false">Oheads!M19</f>
        <v>2800</v>
      </c>
      <c r="N73" s="146" t="n">
        <f aca="false">Oheads!N19</f>
        <v>2800</v>
      </c>
      <c r="O73" s="146" t="n">
        <f aca="false">SUM(C73:N73)</f>
        <v>33600</v>
      </c>
      <c r="Q73" s="293"/>
      <c r="R73" s="146" t="n">
        <f aca="false">Oheads!Q19</f>
        <v>2800</v>
      </c>
      <c r="S73" s="146" t="n">
        <f aca="false">Oheads!R19</f>
        <v>2800</v>
      </c>
      <c r="T73" s="146" t="n">
        <f aca="false">Oheads!S19</f>
        <v>2800</v>
      </c>
      <c r="U73" s="146" t="n">
        <f aca="false">Oheads!T19</f>
        <v>2800</v>
      </c>
      <c r="V73" s="146" t="n">
        <f aca="false">Oheads!U19</f>
        <v>2800</v>
      </c>
      <c r="W73" s="146" t="n">
        <f aca="false">Oheads!V19</f>
        <v>2800</v>
      </c>
      <c r="X73" s="146" t="n">
        <f aca="false">Oheads!W19</f>
        <v>2800</v>
      </c>
      <c r="Y73" s="146" t="n">
        <f aca="false">Oheads!X19</f>
        <v>2800</v>
      </c>
      <c r="Z73" s="146" t="n">
        <f aca="false">Oheads!Y19</f>
        <v>2800</v>
      </c>
      <c r="AA73" s="146" t="n">
        <f aca="false">Oheads!Z19</f>
        <v>2800</v>
      </c>
      <c r="AB73" s="146" t="n">
        <f aca="false">Oheads!AA19</f>
        <v>2800</v>
      </c>
      <c r="AC73" s="146" t="n">
        <f aca="false">Oheads!AB19</f>
        <v>2800</v>
      </c>
      <c r="AD73" s="146" t="n">
        <f aca="false">SUM(R73:AC73)</f>
        <v>33600</v>
      </c>
      <c r="AF73" s="293"/>
      <c r="AG73" s="146" t="n">
        <f aca="false">Oheads!AE19</f>
        <v>2800</v>
      </c>
      <c r="AH73" s="146" t="n">
        <f aca="false">Oheads!AF19</f>
        <v>2800</v>
      </c>
      <c r="AI73" s="146" t="n">
        <f aca="false">Oheads!AG19</f>
        <v>2800</v>
      </c>
      <c r="AJ73" s="146" t="n">
        <f aca="false">Oheads!AH19</f>
        <v>2800</v>
      </c>
      <c r="AK73" s="146" t="n">
        <f aca="false">Oheads!AI19</f>
        <v>2800</v>
      </c>
      <c r="AL73" s="146" t="n">
        <f aca="false">Oheads!AJ19</f>
        <v>2800</v>
      </c>
      <c r="AM73" s="146" t="n">
        <f aca="false">Oheads!AK19</f>
        <v>2800</v>
      </c>
      <c r="AN73" s="146" t="n">
        <f aca="false">Oheads!AL19</f>
        <v>2800</v>
      </c>
      <c r="AO73" s="146" t="n">
        <f aca="false">Oheads!AM19</f>
        <v>2800</v>
      </c>
      <c r="AP73" s="146" t="n">
        <f aca="false">Oheads!AN19</f>
        <v>2800</v>
      </c>
      <c r="AQ73" s="146" t="n">
        <f aca="false">Oheads!AO19</f>
        <v>2800</v>
      </c>
      <c r="AR73" s="146" t="n">
        <f aca="false">Oheads!AP19</f>
        <v>2800</v>
      </c>
      <c r="AS73" s="146" t="n">
        <f aca="false">SUM(AG73:AR73)</f>
        <v>33600</v>
      </c>
    </row>
    <row r="74" customFormat="false" ht="13.8" hidden="false" customHeight="false" outlineLevel="0" collapsed="false">
      <c r="A74" s="137"/>
      <c r="B74" s="285" t="s">
        <v>66</v>
      </c>
      <c r="C74" s="353" t="n">
        <f aca="false">SUM(C66:C73)</f>
        <v>113235.409</v>
      </c>
      <c r="D74" s="353" t="n">
        <f aca="false">SUM(D66:D73)</f>
        <v>113385.818</v>
      </c>
      <c r="E74" s="353" t="n">
        <f aca="false">SUM(E66:E73)</f>
        <v>113536.227</v>
      </c>
      <c r="F74" s="353" t="n">
        <f aca="false">SUM(F66:F73)</f>
        <v>113686.636</v>
      </c>
      <c r="G74" s="353" t="n">
        <f aca="false">SUM(G66:G73)</f>
        <v>113837.045</v>
      </c>
      <c r="H74" s="353" t="n">
        <f aca="false">SUM(H66:H73)</f>
        <v>113987.454</v>
      </c>
      <c r="I74" s="353" t="n">
        <f aca="false">SUM(I66:I73)</f>
        <v>114137.863</v>
      </c>
      <c r="J74" s="353" t="n">
        <f aca="false">SUM(J66:J73)</f>
        <v>114288.272</v>
      </c>
      <c r="K74" s="353" t="n">
        <f aca="false">SUM(K66:K73)</f>
        <v>114438.681</v>
      </c>
      <c r="L74" s="353" t="n">
        <f aca="false">SUM(L66:L73)</f>
        <v>114589.09</v>
      </c>
      <c r="M74" s="353" t="n">
        <f aca="false">SUM(M66:M73)</f>
        <v>114739.499</v>
      </c>
      <c r="N74" s="353" t="n">
        <f aca="false">SUM(N66:N73)</f>
        <v>114889.908</v>
      </c>
      <c r="O74" s="353" t="n">
        <f aca="false">SUM(O66:O73)</f>
        <v>1368751.902</v>
      </c>
      <c r="P74" s="145"/>
      <c r="Q74" s="170"/>
      <c r="R74" s="146" t="n">
        <f aca="false">SUM(R66:R73)</f>
        <v>34170.7193136667</v>
      </c>
      <c r="S74" s="146" t="n">
        <f aca="false">SUM(S66:S73)</f>
        <v>34289.0625473334</v>
      </c>
      <c r="T74" s="146" t="n">
        <f aca="false">SUM(T66:T73)</f>
        <v>34407.405781</v>
      </c>
      <c r="U74" s="146" t="n">
        <f aca="false">SUM(U66:U73)</f>
        <v>34525.7490146667</v>
      </c>
      <c r="V74" s="146" t="n">
        <f aca="false">SUM(V66:V73)</f>
        <v>34644.0922483334</v>
      </c>
      <c r="W74" s="146" t="n">
        <f aca="false">SUM(W66:W73)</f>
        <v>34762.435482</v>
      </c>
      <c r="X74" s="146" t="n">
        <f aca="false">SUM(X66:X73)</f>
        <v>34880.7787156667</v>
      </c>
      <c r="Y74" s="146" t="n">
        <f aca="false">SUM(Y66:Y73)</f>
        <v>34999.1219493334</v>
      </c>
      <c r="Z74" s="146" t="n">
        <f aca="false">SUM(Z66:Z73)</f>
        <v>35117.465183</v>
      </c>
      <c r="AA74" s="146" t="n">
        <f aca="false">SUM(AA66:AA73)</f>
        <v>35235.8084166667</v>
      </c>
      <c r="AB74" s="146" t="n">
        <f aca="false">SUM(AB66:AB73)</f>
        <v>35354.1516503333</v>
      </c>
      <c r="AC74" s="146" t="n">
        <f aca="false">SUM(AC66:AC73)</f>
        <v>35472.494884</v>
      </c>
      <c r="AD74" s="146" t="n">
        <f aca="false">SUM(AD66:AD73)</f>
        <v>417859.285186</v>
      </c>
      <c r="AE74" s="145"/>
      <c r="AF74" s="170"/>
      <c r="AG74" s="146" t="n">
        <f aca="false">SUM(AG66:AG73)</f>
        <v>35596.75527935</v>
      </c>
      <c r="AH74" s="146" t="n">
        <f aca="false">SUM(AH66:AH73)</f>
        <v>35721.0156747</v>
      </c>
      <c r="AI74" s="146" t="n">
        <f aca="false">SUM(AI66:AI73)</f>
        <v>35845.27607005</v>
      </c>
      <c r="AJ74" s="146" t="n">
        <f aca="false">SUM(AJ66:AJ73)</f>
        <v>35969.5364654</v>
      </c>
      <c r="AK74" s="146" t="n">
        <f aca="false">SUM(AK66:AK73)</f>
        <v>36093.79686075</v>
      </c>
      <c r="AL74" s="146" t="n">
        <f aca="false">SUM(AL66:AL73)</f>
        <v>36218.0572561</v>
      </c>
      <c r="AM74" s="146" t="n">
        <f aca="false">SUM(AM66:AM73)</f>
        <v>36342.31765145</v>
      </c>
      <c r="AN74" s="146" t="n">
        <f aca="false">SUM(AN66:AN73)</f>
        <v>36466.5780468</v>
      </c>
      <c r="AO74" s="146" t="n">
        <f aca="false">SUM(AO66:AO73)</f>
        <v>36590.83844215</v>
      </c>
      <c r="AP74" s="146" t="n">
        <f aca="false">SUM(AP66:AP73)</f>
        <v>36715.0988375</v>
      </c>
      <c r="AQ74" s="146" t="n">
        <f aca="false">SUM(AQ66:AQ73)</f>
        <v>36839.35923285</v>
      </c>
      <c r="AR74" s="146" t="n">
        <f aca="false">SUM(AR66:AR73)</f>
        <v>36963.6196282</v>
      </c>
      <c r="AS74" s="146" t="n">
        <f aca="false">SUM(AS66:AS73)</f>
        <v>435362.2494453</v>
      </c>
    </row>
    <row r="75" customFormat="false" ht="13.8" hidden="false" customHeight="false" outlineLevel="0" collapsed="false">
      <c r="A75" s="137"/>
      <c r="B75" s="205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5"/>
      <c r="Q75" s="170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5"/>
      <c r="AF75" s="170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5"/>
    </row>
    <row r="76" customFormat="false" ht="13.2" hidden="false" customHeight="false" outlineLevel="0" collapsed="false">
      <c r="A76" s="141" t="s">
        <v>1037</v>
      </c>
      <c r="B76" s="205" t="str">
        <f aca="false">'P&amp;L$'!B77</f>
        <v>OUTSIDE SERVICES - OTHER</v>
      </c>
      <c r="C76" s="153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Q76" s="205"/>
      <c r="R76" s="357" t="s">
        <v>1038</v>
      </c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F76" s="205"/>
      <c r="AG76" s="357" t="s">
        <v>1038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</row>
    <row r="77" customFormat="false" ht="13.2" hidden="false" customHeight="false" outlineLevel="0" collapsed="false">
      <c r="A77" s="137" t="s">
        <v>868</v>
      </c>
      <c r="B77" s="170" t="str">
        <f aca="false">'P&amp;L$'!B78</f>
        <v>Payroll</v>
      </c>
      <c r="C77" s="146" t="n">
        <f aca="false">Oheads!C26</f>
        <v>2756</v>
      </c>
      <c r="D77" s="146" t="n">
        <f aca="false">Oheads!D26</f>
        <v>2756</v>
      </c>
      <c r="E77" s="146" t="n">
        <f aca="false">Oheads!E26</f>
        <v>2756</v>
      </c>
      <c r="F77" s="146" t="n">
        <f aca="false">Oheads!F26</f>
        <v>2756</v>
      </c>
      <c r="G77" s="146" t="n">
        <f aca="false">Oheads!G26</f>
        <v>2756</v>
      </c>
      <c r="H77" s="146" t="n">
        <f aca="false">Oheads!H26</f>
        <v>2756</v>
      </c>
      <c r="I77" s="146" t="n">
        <f aca="false">Oheads!I26</f>
        <v>2756</v>
      </c>
      <c r="J77" s="146" t="n">
        <f aca="false">Oheads!J26</f>
        <v>2756</v>
      </c>
      <c r="K77" s="146" t="n">
        <f aca="false">Oheads!K26</f>
        <v>2756</v>
      </c>
      <c r="L77" s="146" t="n">
        <f aca="false">Oheads!L26</f>
        <v>2756</v>
      </c>
      <c r="M77" s="146" t="n">
        <f aca="false">Oheads!M26</f>
        <v>2756</v>
      </c>
      <c r="N77" s="146" t="n">
        <f aca="false">Oheads!N26</f>
        <v>2756</v>
      </c>
      <c r="O77" s="146" t="n">
        <f aca="false">SUM(C77:N77)</f>
        <v>33072</v>
      </c>
      <c r="Q77" s="170"/>
      <c r="R77" s="146" t="n">
        <f aca="false">Oheads!Q26</f>
        <v>2866.24</v>
      </c>
      <c r="S77" s="146" t="n">
        <f aca="false">Oheads!R26</f>
        <v>2866.24</v>
      </c>
      <c r="T77" s="146" t="n">
        <f aca="false">Oheads!S26</f>
        <v>2866.24</v>
      </c>
      <c r="U77" s="146" t="n">
        <f aca="false">Oheads!T26</f>
        <v>2866.24</v>
      </c>
      <c r="V77" s="146" t="n">
        <f aca="false">Oheads!U26</f>
        <v>2866.24</v>
      </c>
      <c r="W77" s="146" t="n">
        <f aca="false">Oheads!V26</f>
        <v>2866.24</v>
      </c>
      <c r="X77" s="146" t="n">
        <f aca="false">Oheads!W26</f>
        <v>2866.24</v>
      </c>
      <c r="Y77" s="146" t="n">
        <f aca="false">Oheads!X26</f>
        <v>2866.24</v>
      </c>
      <c r="Z77" s="146" t="n">
        <f aca="false">Oheads!Y26</f>
        <v>2866.24</v>
      </c>
      <c r="AA77" s="146" t="n">
        <f aca="false">Oheads!Z26</f>
        <v>2866.24</v>
      </c>
      <c r="AB77" s="146" t="n">
        <f aca="false">Oheads!AA26</f>
        <v>2866.24</v>
      </c>
      <c r="AC77" s="146" t="n">
        <f aca="false">Oheads!AB26</f>
        <v>2866.24</v>
      </c>
      <c r="AD77" s="146" t="n">
        <f aca="false">SUM(R77:AC77)</f>
        <v>34394.88</v>
      </c>
      <c r="AF77" s="170"/>
      <c r="AG77" s="146" t="n">
        <f aca="false">Oheads!AE26</f>
        <v>3038.2144</v>
      </c>
      <c r="AH77" s="146" t="n">
        <f aca="false">Oheads!AF26</f>
        <v>3038.2144</v>
      </c>
      <c r="AI77" s="146" t="n">
        <f aca="false">Oheads!AG26</f>
        <v>3038.2144</v>
      </c>
      <c r="AJ77" s="146" t="n">
        <f aca="false">Oheads!AH26</f>
        <v>3038.2144</v>
      </c>
      <c r="AK77" s="146" t="n">
        <f aca="false">Oheads!AI26</f>
        <v>3038.2144</v>
      </c>
      <c r="AL77" s="146" t="n">
        <f aca="false">Oheads!AJ26</f>
        <v>3038.2144</v>
      </c>
      <c r="AM77" s="146" t="n">
        <f aca="false">Oheads!AK26</f>
        <v>3038.2144</v>
      </c>
      <c r="AN77" s="146" t="n">
        <f aca="false">Oheads!AL26</f>
        <v>3038.2144</v>
      </c>
      <c r="AO77" s="146" t="n">
        <f aca="false">Oheads!AM26</f>
        <v>3038.2144</v>
      </c>
      <c r="AP77" s="146" t="n">
        <f aca="false">Oheads!AN26</f>
        <v>3038.2144</v>
      </c>
      <c r="AQ77" s="146" t="n">
        <f aca="false">Oheads!AO26</f>
        <v>3038.2144</v>
      </c>
      <c r="AR77" s="146" t="n">
        <f aca="false">Oheads!AP26</f>
        <v>3038.2144</v>
      </c>
      <c r="AS77" s="146" t="n">
        <f aca="false">SUM(AG77:AR77)</f>
        <v>36458.5728</v>
      </c>
    </row>
    <row r="78" customFormat="false" ht="13.2" hidden="false" customHeight="false" outlineLevel="0" collapsed="false">
      <c r="A78" s="137" t="s">
        <v>870</v>
      </c>
      <c r="B78" s="170" t="str">
        <f aca="false">'P&amp;L$'!B79</f>
        <v>Safety</v>
      </c>
      <c r="C78" s="146" t="n">
        <f aca="false">Oheads!C27</f>
        <v>1611.2</v>
      </c>
      <c r="D78" s="146" t="n">
        <f aca="false">Oheads!D27</f>
        <v>1611.2</v>
      </c>
      <c r="E78" s="146" t="n">
        <f aca="false">Oheads!E27</f>
        <v>1611.2</v>
      </c>
      <c r="F78" s="146" t="n">
        <f aca="false">Oheads!F27</f>
        <v>1611.2</v>
      </c>
      <c r="G78" s="146" t="n">
        <f aca="false">Oheads!G27</f>
        <v>1611.2</v>
      </c>
      <c r="H78" s="146" t="n">
        <f aca="false">Oheads!H27</f>
        <v>1611.2</v>
      </c>
      <c r="I78" s="146" t="n">
        <f aca="false">Oheads!I27</f>
        <v>1611.2</v>
      </c>
      <c r="J78" s="146" t="n">
        <f aca="false">Oheads!J27</f>
        <v>1611.2</v>
      </c>
      <c r="K78" s="146" t="n">
        <f aca="false">Oheads!K27</f>
        <v>1611.2</v>
      </c>
      <c r="L78" s="146" t="n">
        <f aca="false">Oheads!L27</f>
        <v>1611.2</v>
      </c>
      <c r="M78" s="146" t="n">
        <f aca="false">Oheads!M27</f>
        <v>1611.2</v>
      </c>
      <c r="N78" s="146" t="n">
        <f aca="false">Oheads!N27</f>
        <v>1611.2</v>
      </c>
      <c r="O78" s="146" t="n">
        <f aca="false">SUM(C78:N78)</f>
        <v>19334.4</v>
      </c>
      <c r="Q78" s="170"/>
      <c r="R78" s="146" t="n">
        <f aca="false">Oheads!Q27</f>
        <v>1675.648</v>
      </c>
      <c r="S78" s="146" t="n">
        <f aca="false">Oheads!R27</f>
        <v>1675.648</v>
      </c>
      <c r="T78" s="146" t="n">
        <f aca="false">Oheads!S27</f>
        <v>1675.648</v>
      </c>
      <c r="U78" s="146" t="n">
        <f aca="false">Oheads!T27</f>
        <v>1675.648</v>
      </c>
      <c r="V78" s="146" t="n">
        <f aca="false">Oheads!U27</f>
        <v>1675.648</v>
      </c>
      <c r="W78" s="146" t="n">
        <f aca="false">Oheads!V27</f>
        <v>1675.648</v>
      </c>
      <c r="X78" s="146" t="n">
        <f aca="false">Oheads!W27</f>
        <v>1675.648</v>
      </c>
      <c r="Y78" s="146" t="n">
        <f aca="false">Oheads!X27</f>
        <v>1675.648</v>
      </c>
      <c r="Z78" s="146" t="n">
        <f aca="false">Oheads!Y27</f>
        <v>1675.648</v>
      </c>
      <c r="AA78" s="146" t="n">
        <f aca="false">Oheads!Z27</f>
        <v>1675.648</v>
      </c>
      <c r="AB78" s="146" t="n">
        <f aca="false">Oheads!AA27</f>
        <v>1675.648</v>
      </c>
      <c r="AC78" s="146" t="n">
        <f aca="false">Oheads!AB27</f>
        <v>1675.648</v>
      </c>
      <c r="AD78" s="146" t="n">
        <f aca="false">SUM(R78:AC78)</f>
        <v>20107.776</v>
      </c>
      <c r="AF78" s="170"/>
      <c r="AG78" s="146" t="n">
        <f aca="false">Oheads!AE27</f>
        <v>1776.18688</v>
      </c>
      <c r="AH78" s="146" t="n">
        <f aca="false">Oheads!AF27</f>
        <v>1776.18688</v>
      </c>
      <c r="AI78" s="146" t="n">
        <f aca="false">Oheads!AG27</f>
        <v>1776.18688</v>
      </c>
      <c r="AJ78" s="146" t="n">
        <f aca="false">Oheads!AH27</f>
        <v>1776.18688</v>
      </c>
      <c r="AK78" s="146" t="n">
        <f aca="false">Oheads!AI27</f>
        <v>1776.18688</v>
      </c>
      <c r="AL78" s="146" t="n">
        <f aca="false">Oheads!AJ27</f>
        <v>1776.18688</v>
      </c>
      <c r="AM78" s="146" t="n">
        <f aca="false">Oheads!AK27</f>
        <v>1776.18688</v>
      </c>
      <c r="AN78" s="146" t="n">
        <f aca="false">Oheads!AL27</f>
        <v>1776.18688</v>
      </c>
      <c r="AO78" s="146" t="n">
        <f aca="false">Oheads!AM27</f>
        <v>1776.18688</v>
      </c>
      <c r="AP78" s="146" t="n">
        <f aca="false">Oheads!AN27</f>
        <v>1776.18688</v>
      </c>
      <c r="AQ78" s="146" t="n">
        <f aca="false">Oheads!AO27</f>
        <v>1776.18688</v>
      </c>
      <c r="AR78" s="146" t="n">
        <f aca="false">Oheads!AP27</f>
        <v>1776.18688</v>
      </c>
      <c r="AS78" s="146" t="n">
        <f aca="false">SUM(AG78:AR78)</f>
        <v>21314.24256</v>
      </c>
    </row>
    <row r="79" customFormat="false" ht="13.2" hidden="false" customHeight="false" outlineLevel="0" collapsed="false">
      <c r="A79" s="137" t="s">
        <v>872</v>
      </c>
      <c r="B79" s="170" t="str">
        <f aca="false">'P&amp;L$'!B80</f>
        <v>Waste Disposal</v>
      </c>
      <c r="C79" s="146" t="n">
        <f aca="false">Oheads!C28</f>
        <v>3286</v>
      </c>
      <c r="D79" s="146" t="n">
        <f aca="false">Oheads!D28</f>
        <v>3286</v>
      </c>
      <c r="E79" s="146" t="n">
        <f aca="false">Oheads!E28</f>
        <v>3286</v>
      </c>
      <c r="F79" s="146" t="n">
        <f aca="false">Oheads!F28</f>
        <v>3286</v>
      </c>
      <c r="G79" s="146" t="n">
        <f aca="false">Oheads!G28</f>
        <v>3286</v>
      </c>
      <c r="H79" s="146" t="n">
        <f aca="false">Oheads!H28</f>
        <v>3286</v>
      </c>
      <c r="I79" s="146" t="n">
        <f aca="false">Oheads!I28</f>
        <v>3286</v>
      </c>
      <c r="J79" s="146" t="n">
        <f aca="false">Oheads!J28</f>
        <v>3286</v>
      </c>
      <c r="K79" s="146" t="n">
        <f aca="false">Oheads!K28</f>
        <v>3286</v>
      </c>
      <c r="L79" s="146" t="n">
        <f aca="false">Oheads!L28</f>
        <v>3286</v>
      </c>
      <c r="M79" s="146" t="n">
        <f aca="false">Oheads!M28</f>
        <v>3286</v>
      </c>
      <c r="N79" s="146" t="n">
        <f aca="false">Oheads!N28</f>
        <v>3286</v>
      </c>
      <c r="O79" s="146" t="n">
        <f aca="false">SUM(C79:N79)</f>
        <v>39432</v>
      </c>
      <c r="Q79" s="170"/>
      <c r="R79" s="146" t="n">
        <f aca="false">Oheads!Q28</f>
        <v>3417.44</v>
      </c>
      <c r="S79" s="146" t="n">
        <f aca="false">Oheads!R28</f>
        <v>3417.44</v>
      </c>
      <c r="T79" s="146" t="n">
        <f aca="false">Oheads!S28</f>
        <v>3417.44</v>
      </c>
      <c r="U79" s="146" t="n">
        <f aca="false">Oheads!T28</f>
        <v>3417.44</v>
      </c>
      <c r="V79" s="146" t="n">
        <f aca="false">Oheads!U28</f>
        <v>3417.44</v>
      </c>
      <c r="W79" s="146" t="n">
        <f aca="false">Oheads!V28</f>
        <v>3417.44</v>
      </c>
      <c r="X79" s="146" t="n">
        <f aca="false">Oheads!W28</f>
        <v>3417.44</v>
      </c>
      <c r="Y79" s="146" t="n">
        <f aca="false">Oheads!X28</f>
        <v>3417.44</v>
      </c>
      <c r="Z79" s="146" t="n">
        <f aca="false">Oheads!Y28</f>
        <v>3417.44</v>
      </c>
      <c r="AA79" s="146" t="n">
        <f aca="false">Oheads!Z28</f>
        <v>3417.44</v>
      </c>
      <c r="AB79" s="146" t="n">
        <f aca="false">Oheads!AA28</f>
        <v>3417.44</v>
      </c>
      <c r="AC79" s="146" t="n">
        <f aca="false">Oheads!AB28</f>
        <v>3417.44</v>
      </c>
      <c r="AD79" s="146" t="n">
        <f aca="false">SUM(R79:AC79)</f>
        <v>41009.28</v>
      </c>
      <c r="AF79" s="170"/>
      <c r="AG79" s="146" t="n">
        <f aca="false">Oheads!AE28</f>
        <v>3622.4864</v>
      </c>
      <c r="AH79" s="146" t="n">
        <f aca="false">Oheads!AF28</f>
        <v>3622.4864</v>
      </c>
      <c r="AI79" s="146" t="n">
        <f aca="false">Oheads!AG28</f>
        <v>3622.4864</v>
      </c>
      <c r="AJ79" s="146" t="n">
        <f aca="false">Oheads!AH28</f>
        <v>3622.4864</v>
      </c>
      <c r="AK79" s="146" t="n">
        <f aca="false">Oheads!AI28</f>
        <v>3622.4864</v>
      </c>
      <c r="AL79" s="146" t="n">
        <f aca="false">Oheads!AJ28</f>
        <v>3622.4864</v>
      </c>
      <c r="AM79" s="146" t="n">
        <f aca="false">Oheads!AK28</f>
        <v>3622.4864</v>
      </c>
      <c r="AN79" s="146" t="n">
        <f aca="false">Oheads!AL28</f>
        <v>3622.4864</v>
      </c>
      <c r="AO79" s="146" t="n">
        <f aca="false">Oheads!AM28</f>
        <v>3622.4864</v>
      </c>
      <c r="AP79" s="146" t="n">
        <f aca="false">Oheads!AN28</f>
        <v>3622.4864</v>
      </c>
      <c r="AQ79" s="146" t="n">
        <f aca="false">Oheads!AO28</f>
        <v>3622.4864</v>
      </c>
      <c r="AR79" s="146" t="n">
        <f aca="false">Oheads!AP28</f>
        <v>3622.4864</v>
      </c>
      <c r="AS79" s="146" t="n">
        <f aca="false">SUM(AG79:AR79)</f>
        <v>43469.8368</v>
      </c>
    </row>
    <row r="80" customFormat="false" ht="13.2" hidden="false" customHeight="false" outlineLevel="0" collapsed="false">
      <c r="A80" s="137" t="s">
        <v>874</v>
      </c>
      <c r="B80" s="170" t="str">
        <f aca="false">'P&amp;L$'!B81</f>
        <v>Technical</v>
      </c>
      <c r="C80" s="146" t="n">
        <f aca="false">Oheads!C29</f>
        <v>1000</v>
      </c>
      <c r="D80" s="146" t="n">
        <f aca="false">Oheads!D29</f>
        <v>1000</v>
      </c>
      <c r="E80" s="146" t="n">
        <f aca="false">Oheads!E29</f>
        <v>1000</v>
      </c>
      <c r="F80" s="146" t="n">
        <f aca="false">Oheads!F29</f>
        <v>1000</v>
      </c>
      <c r="G80" s="146" t="n">
        <f aca="false">Oheads!G29</f>
        <v>1000</v>
      </c>
      <c r="H80" s="146" t="n">
        <f aca="false">Oheads!H29</f>
        <v>1000</v>
      </c>
      <c r="I80" s="146" t="n">
        <f aca="false">Oheads!I29</f>
        <v>1000</v>
      </c>
      <c r="J80" s="146" t="n">
        <f aca="false">Oheads!J29</f>
        <v>1000</v>
      </c>
      <c r="K80" s="146" t="n">
        <f aca="false">Oheads!K29</f>
        <v>1000</v>
      </c>
      <c r="L80" s="146" t="n">
        <f aca="false">Oheads!L29</f>
        <v>1000</v>
      </c>
      <c r="M80" s="146" t="n">
        <f aca="false">Oheads!M29</f>
        <v>1000</v>
      </c>
      <c r="N80" s="146" t="n">
        <f aca="false">Oheads!N29</f>
        <v>1000</v>
      </c>
      <c r="O80" s="146" t="n">
        <f aca="false">SUM(C80:N80)</f>
        <v>12000</v>
      </c>
      <c r="Q80" s="170"/>
      <c r="R80" s="146" t="n">
        <f aca="false">Oheads!Q29</f>
        <v>1040</v>
      </c>
      <c r="S80" s="146" t="n">
        <f aca="false">Oheads!R29</f>
        <v>1040</v>
      </c>
      <c r="T80" s="146" t="n">
        <f aca="false">Oheads!S29</f>
        <v>1040</v>
      </c>
      <c r="U80" s="146" t="n">
        <f aca="false">Oheads!T29</f>
        <v>1040</v>
      </c>
      <c r="V80" s="146" t="n">
        <f aca="false">Oheads!U29</f>
        <v>1040</v>
      </c>
      <c r="W80" s="146" t="n">
        <f aca="false">Oheads!V29</f>
        <v>1040</v>
      </c>
      <c r="X80" s="146" t="n">
        <f aca="false">Oheads!W29</f>
        <v>1040</v>
      </c>
      <c r="Y80" s="146" t="n">
        <f aca="false">Oheads!X29</f>
        <v>1040</v>
      </c>
      <c r="Z80" s="146" t="n">
        <f aca="false">Oheads!Y29</f>
        <v>1040</v>
      </c>
      <c r="AA80" s="146" t="n">
        <f aca="false">Oheads!Z29</f>
        <v>1040</v>
      </c>
      <c r="AB80" s="146" t="n">
        <f aca="false">Oheads!AA29</f>
        <v>1040</v>
      </c>
      <c r="AC80" s="146" t="n">
        <f aca="false">Oheads!AB29</f>
        <v>1040</v>
      </c>
      <c r="AD80" s="146" t="n">
        <f aca="false">SUM(R80:AC80)</f>
        <v>12480</v>
      </c>
      <c r="AF80" s="170"/>
      <c r="AG80" s="146" t="n">
        <f aca="false">Oheads!AE29</f>
        <v>1102.4</v>
      </c>
      <c r="AH80" s="146" t="n">
        <f aca="false">Oheads!AF29</f>
        <v>1102.4</v>
      </c>
      <c r="AI80" s="146" t="n">
        <f aca="false">Oheads!AG29</f>
        <v>1102.4</v>
      </c>
      <c r="AJ80" s="146" t="n">
        <f aca="false">Oheads!AH29</f>
        <v>1102.4</v>
      </c>
      <c r="AK80" s="146" t="n">
        <f aca="false">Oheads!AI29</f>
        <v>1102.4</v>
      </c>
      <c r="AL80" s="146" t="n">
        <f aca="false">Oheads!AJ29</f>
        <v>1102.4</v>
      </c>
      <c r="AM80" s="146" t="n">
        <f aca="false">Oheads!AK29</f>
        <v>1102.4</v>
      </c>
      <c r="AN80" s="146" t="n">
        <f aca="false">Oheads!AL29</f>
        <v>1102.4</v>
      </c>
      <c r="AO80" s="146" t="n">
        <f aca="false">Oheads!AM29</f>
        <v>1102.4</v>
      </c>
      <c r="AP80" s="146" t="n">
        <f aca="false">Oheads!AN29</f>
        <v>1102.4</v>
      </c>
      <c r="AQ80" s="146" t="n">
        <f aca="false">Oheads!AO29</f>
        <v>1102.4</v>
      </c>
      <c r="AR80" s="146" t="n">
        <f aca="false">Oheads!AP29</f>
        <v>1102.4</v>
      </c>
      <c r="AS80" s="146" t="n">
        <f aca="false">SUM(AG80:AR80)</f>
        <v>13228.8</v>
      </c>
    </row>
    <row r="81" customFormat="false" ht="13.2" hidden="false" customHeight="false" outlineLevel="0" collapsed="false">
      <c r="A81" s="137" t="s">
        <v>876</v>
      </c>
      <c r="B81" s="170" t="str">
        <f aca="false">'P&amp;L$'!B82</f>
        <v>Cleaning Services</v>
      </c>
      <c r="C81" s="146" t="n">
        <f aca="false">Oheads!C30</f>
        <v>18285</v>
      </c>
      <c r="D81" s="146" t="n">
        <f aca="false">Oheads!D30</f>
        <v>18285</v>
      </c>
      <c r="E81" s="146" t="n">
        <f aca="false">Oheads!E30</f>
        <v>18285</v>
      </c>
      <c r="F81" s="146" t="n">
        <f aca="false">Oheads!F30</f>
        <v>18285</v>
      </c>
      <c r="G81" s="146" t="n">
        <f aca="false">Oheads!G30</f>
        <v>18285</v>
      </c>
      <c r="H81" s="146" t="n">
        <f aca="false">Oheads!H30</f>
        <v>18285</v>
      </c>
      <c r="I81" s="146" t="n">
        <f aca="false">Oheads!I30</f>
        <v>18285</v>
      </c>
      <c r="J81" s="146" t="n">
        <f aca="false">Oheads!J30</f>
        <v>18285</v>
      </c>
      <c r="K81" s="146" t="n">
        <f aca="false">Oheads!K30</f>
        <v>18285</v>
      </c>
      <c r="L81" s="146" t="n">
        <f aca="false">Oheads!L30</f>
        <v>18285</v>
      </c>
      <c r="M81" s="146" t="n">
        <f aca="false">Oheads!M30</f>
        <v>18285</v>
      </c>
      <c r="N81" s="146" t="n">
        <f aca="false">Oheads!N30</f>
        <v>18285</v>
      </c>
      <c r="O81" s="146" t="n">
        <f aca="false">SUM(C81:N81)</f>
        <v>219420</v>
      </c>
      <c r="Q81" s="170"/>
      <c r="R81" s="146" t="n">
        <f aca="false">Oheads!Q30</f>
        <v>19016.4</v>
      </c>
      <c r="S81" s="146" t="n">
        <f aca="false">Oheads!R30</f>
        <v>19016.4</v>
      </c>
      <c r="T81" s="146" t="n">
        <f aca="false">Oheads!S30</f>
        <v>19016.4</v>
      </c>
      <c r="U81" s="146" t="n">
        <f aca="false">Oheads!T30</f>
        <v>19016.4</v>
      </c>
      <c r="V81" s="146" t="n">
        <f aca="false">Oheads!U30</f>
        <v>19016.4</v>
      </c>
      <c r="W81" s="146" t="n">
        <f aca="false">Oheads!V30</f>
        <v>19016.4</v>
      </c>
      <c r="X81" s="146" t="n">
        <f aca="false">Oheads!W30</f>
        <v>19016.4</v>
      </c>
      <c r="Y81" s="146" t="n">
        <f aca="false">Oheads!X30</f>
        <v>19016.4</v>
      </c>
      <c r="Z81" s="146" t="n">
        <f aca="false">Oheads!Y30</f>
        <v>19016.4</v>
      </c>
      <c r="AA81" s="146" t="n">
        <f aca="false">Oheads!Z30</f>
        <v>19016.4</v>
      </c>
      <c r="AB81" s="146" t="n">
        <f aca="false">Oheads!AA30</f>
        <v>19016.4</v>
      </c>
      <c r="AC81" s="146" t="n">
        <f aca="false">Oheads!AB30</f>
        <v>19016.4</v>
      </c>
      <c r="AD81" s="146" t="n">
        <f aca="false">SUM(R81:AC81)</f>
        <v>228196.8</v>
      </c>
      <c r="AF81" s="170"/>
      <c r="AG81" s="146" t="n">
        <f aca="false">Oheads!AE30</f>
        <v>20157.384</v>
      </c>
      <c r="AH81" s="146" t="n">
        <f aca="false">Oheads!AF30</f>
        <v>20157.384</v>
      </c>
      <c r="AI81" s="146" t="n">
        <f aca="false">Oheads!AG30</f>
        <v>20157.384</v>
      </c>
      <c r="AJ81" s="146" t="n">
        <f aca="false">Oheads!AH30</f>
        <v>20157.384</v>
      </c>
      <c r="AK81" s="146" t="n">
        <f aca="false">Oheads!AI30</f>
        <v>20157.384</v>
      </c>
      <c r="AL81" s="146" t="n">
        <f aca="false">Oheads!AJ30</f>
        <v>20157.384</v>
      </c>
      <c r="AM81" s="146" t="n">
        <f aca="false">Oheads!AK30</f>
        <v>20157.384</v>
      </c>
      <c r="AN81" s="146" t="n">
        <f aca="false">Oheads!AL30</f>
        <v>20157.384</v>
      </c>
      <c r="AO81" s="146" t="n">
        <f aca="false">Oheads!AM30</f>
        <v>20157.384</v>
      </c>
      <c r="AP81" s="146" t="n">
        <f aca="false">Oheads!AN30</f>
        <v>20157.384</v>
      </c>
      <c r="AQ81" s="146" t="n">
        <f aca="false">Oheads!AO30</f>
        <v>20157.384</v>
      </c>
      <c r="AR81" s="146" t="n">
        <f aca="false">Oheads!AP30</f>
        <v>20157.384</v>
      </c>
      <c r="AS81" s="146" t="n">
        <f aca="false">SUM(AG81:AR81)</f>
        <v>241888.608</v>
      </c>
    </row>
    <row r="82" customFormat="false" ht="13.2" hidden="false" customHeight="false" outlineLevel="0" collapsed="false">
      <c r="A82" s="137" t="s">
        <v>878</v>
      </c>
      <c r="B82" s="170" t="str">
        <f aca="false">'P&amp;L$'!B83</f>
        <v>Computer/IT Services</v>
      </c>
      <c r="C82" s="146" t="n">
        <f aca="false">Oheads!C31</f>
        <v>2470</v>
      </c>
      <c r="D82" s="146" t="n">
        <f aca="false">Oheads!D31</f>
        <v>2470</v>
      </c>
      <c r="E82" s="146" t="n">
        <f aca="false">Oheads!E31</f>
        <v>2470</v>
      </c>
      <c r="F82" s="146" t="n">
        <f aca="false">Oheads!F31</f>
        <v>2470</v>
      </c>
      <c r="G82" s="146" t="n">
        <f aca="false">Oheads!G31</f>
        <v>2470</v>
      </c>
      <c r="H82" s="146" t="n">
        <f aca="false">Oheads!H31</f>
        <v>2470</v>
      </c>
      <c r="I82" s="146" t="n">
        <f aca="false">Oheads!I31</f>
        <v>2470</v>
      </c>
      <c r="J82" s="146" t="n">
        <f aca="false">Oheads!J31</f>
        <v>2470</v>
      </c>
      <c r="K82" s="146" t="n">
        <f aca="false">Oheads!K31</f>
        <v>2470</v>
      </c>
      <c r="L82" s="146" t="n">
        <f aca="false">Oheads!L31</f>
        <v>2470</v>
      </c>
      <c r="M82" s="146" t="n">
        <f aca="false">Oheads!M31</f>
        <v>2470</v>
      </c>
      <c r="N82" s="146" t="n">
        <f aca="false">Oheads!N31</f>
        <v>2470</v>
      </c>
      <c r="O82" s="146" t="n">
        <f aca="false">SUM(C82:N82)</f>
        <v>29640</v>
      </c>
      <c r="Q82" s="170"/>
      <c r="R82" s="146" t="n">
        <f aca="false">Oheads!Q31</f>
        <v>2568.8</v>
      </c>
      <c r="S82" s="146" t="n">
        <f aca="false">Oheads!R31</f>
        <v>2568.8</v>
      </c>
      <c r="T82" s="146" t="n">
        <f aca="false">Oheads!S31</f>
        <v>2568.8</v>
      </c>
      <c r="U82" s="146" t="n">
        <f aca="false">Oheads!T31</f>
        <v>2568.8</v>
      </c>
      <c r="V82" s="146" t="n">
        <f aca="false">Oheads!U31</f>
        <v>2568.8</v>
      </c>
      <c r="W82" s="146" t="n">
        <f aca="false">Oheads!V31</f>
        <v>2568.8</v>
      </c>
      <c r="X82" s="146" t="n">
        <f aca="false">Oheads!W31</f>
        <v>2568.8</v>
      </c>
      <c r="Y82" s="146" t="n">
        <f aca="false">Oheads!X31</f>
        <v>2568.8</v>
      </c>
      <c r="Z82" s="146" t="n">
        <f aca="false">Oheads!Y31</f>
        <v>2568.8</v>
      </c>
      <c r="AA82" s="146" t="n">
        <f aca="false">Oheads!Z31</f>
        <v>2568.8</v>
      </c>
      <c r="AB82" s="146" t="n">
        <f aca="false">Oheads!AA31</f>
        <v>2568.8</v>
      </c>
      <c r="AC82" s="146" t="n">
        <f aca="false">Oheads!AB31</f>
        <v>2568.8</v>
      </c>
      <c r="AD82" s="146" t="n">
        <f aca="false">SUM(R82:AC82)</f>
        <v>30825.6</v>
      </c>
      <c r="AF82" s="170"/>
      <c r="AG82" s="146" t="n">
        <f aca="false">Oheads!AE31</f>
        <v>2722.928</v>
      </c>
      <c r="AH82" s="146" t="n">
        <f aca="false">Oheads!AF31</f>
        <v>2722.928</v>
      </c>
      <c r="AI82" s="146" t="n">
        <f aca="false">Oheads!AG31</f>
        <v>2722.928</v>
      </c>
      <c r="AJ82" s="146" t="n">
        <f aca="false">Oheads!AH31</f>
        <v>2722.928</v>
      </c>
      <c r="AK82" s="146" t="n">
        <f aca="false">Oheads!AI31</f>
        <v>2722.928</v>
      </c>
      <c r="AL82" s="146" t="n">
        <f aca="false">Oheads!AJ31</f>
        <v>2722.928</v>
      </c>
      <c r="AM82" s="146" t="n">
        <f aca="false">Oheads!AK31</f>
        <v>2722.928</v>
      </c>
      <c r="AN82" s="146" t="n">
        <f aca="false">Oheads!AL31</f>
        <v>2722.928</v>
      </c>
      <c r="AO82" s="146" t="n">
        <f aca="false">Oheads!AM31</f>
        <v>2722.928</v>
      </c>
      <c r="AP82" s="146" t="n">
        <f aca="false">Oheads!AN31</f>
        <v>2722.928</v>
      </c>
      <c r="AQ82" s="146" t="n">
        <f aca="false">Oheads!AO31</f>
        <v>2722.928</v>
      </c>
      <c r="AR82" s="146" t="n">
        <f aca="false">Oheads!AP31</f>
        <v>2722.928</v>
      </c>
      <c r="AS82" s="146" t="n">
        <f aca="false">SUM(AG82:AR82)</f>
        <v>32675.136</v>
      </c>
    </row>
    <row r="83" customFormat="false" ht="13.2" hidden="false" customHeight="false" outlineLevel="0" collapsed="false">
      <c r="A83" s="137" t="s">
        <v>880</v>
      </c>
      <c r="B83" s="170" t="str">
        <f aca="false">'P&amp;L$'!B84</f>
        <v>Office Equipment Maintenance</v>
      </c>
      <c r="C83" s="146" t="n">
        <f aca="false">Oheads!C32</f>
        <v>300</v>
      </c>
      <c r="D83" s="146" t="n">
        <f aca="false">Oheads!D32</f>
        <v>300</v>
      </c>
      <c r="E83" s="146" t="n">
        <f aca="false">Oheads!E32</f>
        <v>300</v>
      </c>
      <c r="F83" s="146" t="n">
        <f aca="false">Oheads!F32</f>
        <v>300</v>
      </c>
      <c r="G83" s="146" t="n">
        <f aca="false">Oheads!G32</f>
        <v>300</v>
      </c>
      <c r="H83" s="146" t="n">
        <f aca="false">Oheads!H32</f>
        <v>300</v>
      </c>
      <c r="I83" s="146" t="n">
        <f aca="false">Oheads!I32</f>
        <v>300</v>
      </c>
      <c r="J83" s="146" t="n">
        <f aca="false">Oheads!J32</f>
        <v>300</v>
      </c>
      <c r="K83" s="146" t="n">
        <f aca="false">Oheads!K32</f>
        <v>300</v>
      </c>
      <c r="L83" s="146" t="n">
        <f aca="false">Oheads!L32</f>
        <v>300</v>
      </c>
      <c r="M83" s="146" t="n">
        <f aca="false">Oheads!M32</f>
        <v>300</v>
      </c>
      <c r="N83" s="146" t="n">
        <f aca="false">Oheads!N32</f>
        <v>300</v>
      </c>
      <c r="O83" s="146" t="n">
        <f aca="false">SUM(C83:N83)</f>
        <v>3600</v>
      </c>
      <c r="Q83" s="170"/>
      <c r="R83" s="146" t="n">
        <f aca="false">Oheads!Q32</f>
        <v>312</v>
      </c>
      <c r="S83" s="146" t="n">
        <f aca="false">Oheads!R32</f>
        <v>312</v>
      </c>
      <c r="T83" s="146" t="n">
        <f aca="false">Oheads!S32</f>
        <v>312</v>
      </c>
      <c r="U83" s="146" t="n">
        <f aca="false">Oheads!T32</f>
        <v>312</v>
      </c>
      <c r="V83" s="146" t="n">
        <f aca="false">Oheads!U32</f>
        <v>312</v>
      </c>
      <c r="W83" s="146" t="n">
        <f aca="false">Oheads!V32</f>
        <v>312</v>
      </c>
      <c r="X83" s="146" t="n">
        <f aca="false">Oheads!W32</f>
        <v>312</v>
      </c>
      <c r="Y83" s="146" t="n">
        <f aca="false">Oheads!X32</f>
        <v>312</v>
      </c>
      <c r="Z83" s="146" t="n">
        <f aca="false">Oheads!Y32</f>
        <v>312</v>
      </c>
      <c r="AA83" s="146" t="n">
        <f aca="false">Oheads!Z32</f>
        <v>312</v>
      </c>
      <c r="AB83" s="146" t="n">
        <f aca="false">Oheads!AA32</f>
        <v>312</v>
      </c>
      <c r="AC83" s="146" t="n">
        <f aca="false">Oheads!AB32</f>
        <v>312</v>
      </c>
      <c r="AD83" s="146" t="n">
        <f aca="false">SUM(R83:AC83)</f>
        <v>3744</v>
      </c>
      <c r="AF83" s="170"/>
      <c r="AG83" s="146" t="n">
        <f aca="false">Oheads!AE32</f>
        <v>330.72</v>
      </c>
      <c r="AH83" s="146" t="n">
        <f aca="false">Oheads!AF32</f>
        <v>330.72</v>
      </c>
      <c r="AI83" s="146" t="n">
        <f aca="false">Oheads!AG32</f>
        <v>330.72</v>
      </c>
      <c r="AJ83" s="146" t="n">
        <f aca="false">Oheads!AH32</f>
        <v>330.72</v>
      </c>
      <c r="AK83" s="146" t="n">
        <f aca="false">Oheads!AI32</f>
        <v>330.72</v>
      </c>
      <c r="AL83" s="146" t="n">
        <f aca="false">Oheads!AJ32</f>
        <v>330.72</v>
      </c>
      <c r="AM83" s="146" t="n">
        <f aca="false">Oheads!AK32</f>
        <v>330.72</v>
      </c>
      <c r="AN83" s="146" t="n">
        <f aca="false">Oheads!AL32</f>
        <v>330.72</v>
      </c>
      <c r="AO83" s="146" t="n">
        <f aca="false">Oheads!AM32</f>
        <v>330.72</v>
      </c>
      <c r="AP83" s="146" t="n">
        <f aca="false">Oheads!AN32</f>
        <v>330.72</v>
      </c>
      <c r="AQ83" s="146" t="n">
        <f aca="false">Oheads!AO32</f>
        <v>330.72</v>
      </c>
      <c r="AR83" s="146" t="n">
        <f aca="false">Oheads!AP32</f>
        <v>330.72</v>
      </c>
      <c r="AS83" s="146" t="n">
        <f aca="false">SUM(AG83:AR83)</f>
        <v>3968.64</v>
      </c>
    </row>
    <row r="84" customFormat="false" ht="13.2" hidden="true" customHeight="false" outlineLevel="0" collapsed="false">
      <c r="A84" s="137" t="s">
        <v>882</v>
      </c>
      <c r="B84" s="170" t="str">
        <f aca="false">'P&amp;L$'!B85</f>
        <v>Other Equipment Maintenence</v>
      </c>
      <c r="C84" s="146" t="n">
        <f aca="false">Oheads!C33</f>
        <v>0</v>
      </c>
      <c r="D84" s="146" t="n">
        <f aca="false">Oheads!D33</f>
        <v>0</v>
      </c>
      <c r="E84" s="146" t="n">
        <f aca="false">Oheads!E33</f>
        <v>0</v>
      </c>
      <c r="F84" s="146" t="n">
        <f aca="false">Oheads!F33</f>
        <v>0</v>
      </c>
      <c r="G84" s="146" t="n">
        <f aca="false">Oheads!G33</f>
        <v>0</v>
      </c>
      <c r="H84" s="146" t="n">
        <f aca="false">Oheads!H33</f>
        <v>0</v>
      </c>
      <c r="I84" s="146" t="n">
        <f aca="false">Oheads!I33</f>
        <v>0</v>
      </c>
      <c r="J84" s="146" t="n">
        <f aca="false">Oheads!J33</f>
        <v>0</v>
      </c>
      <c r="K84" s="146" t="n">
        <f aca="false">Oheads!K33</f>
        <v>0</v>
      </c>
      <c r="L84" s="146" t="n">
        <f aca="false">Oheads!L33</f>
        <v>0</v>
      </c>
      <c r="M84" s="146" t="n">
        <f aca="false">Oheads!M33</f>
        <v>0</v>
      </c>
      <c r="N84" s="146" t="n">
        <f aca="false">Oheads!N33</f>
        <v>0</v>
      </c>
      <c r="O84" s="146" t="n">
        <f aca="false">SUM(C84:N84)</f>
        <v>0</v>
      </c>
      <c r="Q84" s="170"/>
      <c r="R84" s="146" t="n">
        <f aca="false">Oheads!Q33</f>
        <v>0</v>
      </c>
      <c r="S84" s="146" t="n">
        <f aca="false">Oheads!R33</f>
        <v>0</v>
      </c>
      <c r="T84" s="146" t="n">
        <f aca="false">Oheads!S33</f>
        <v>0</v>
      </c>
      <c r="U84" s="146" t="n">
        <f aca="false">Oheads!T33</f>
        <v>0</v>
      </c>
      <c r="V84" s="146" t="n">
        <f aca="false">Oheads!U33</f>
        <v>0</v>
      </c>
      <c r="W84" s="146" t="n">
        <f aca="false">Oheads!V33</f>
        <v>0</v>
      </c>
      <c r="X84" s="146" t="n">
        <f aca="false">Oheads!W33</f>
        <v>0</v>
      </c>
      <c r="Y84" s="146" t="n">
        <f aca="false">Oheads!X33</f>
        <v>0</v>
      </c>
      <c r="Z84" s="146" t="n">
        <f aca="false">Oheads!Y33</f>
        <v>0</v>
      </c>
      <c r="AA84" s="146" t="n">
        <f aca="false">Oheads!Z33</f>
        <v>0</v>
      </c>
      <c r="AB84" s="146" t="n">
        <f aca="false">Oheads!AA33</f>
        <v>0</v>
      </c>
      <c r="AC84" s="146" t="n">
        <f aca="false">Oheads!AB33</f>
        <v>0</v>
      </c>
      <c r="AD84" s="146" t="n">
        <f aca="false">SUM(R84:AC84)</f>
        <v>0</v>
      </c>
      <c r="AF84" s="170"/>
      <c r="AG84" s="146" t="n">
        <f aca="false">Oheads!AE33</f>
        <v>0</v>
      </c>
      <c r="AH84" s="146" t="n">
        <f aca="false">Oheads!AF33</f>
        <v>0</v>
      </c>
      <c r="AI84" s="146" t="n">
        <f aca="false">Oheads!AG33</f>
        <v>0</v>
      </c>
      <c r="AJ84" s="146" t="n">
        <f aca="false">Oheads!AH33</f>
        <v>0</v>
      </c>
      <c r="AK84" s="146" t="n">
        <f aca="false">Oheads!AI33</f>
        <v>0</v>
      </c>
      <c r="AL84" s="146" t="n">
        <f aca="false">Oheads!AJ33</f>
        <v>0</v>
      </c>
      <c r="AM84" s="146" t="n">
        <f aca="false">Oheads!AK33</f>
        <v>0</v>
      </c>
      <c r="AN84" s="146" t="n">
        <f aca="false">Oheads!AL33</f>
        <v>0</v>
      </c>
      <c r="AO84" s="146" t="n">
        <f aca="false">Oheads!AM33</f>
        <v>0</v>
      </c>
      <c r="AP84" s="146" t="n">
        <f aca="false">Oheads!AN33</f>
        <v>0</v>
      </c>
      <c r="AQ84" s="146" t="n">
        <f aca="false">Oheads!AO33</f>
        <v>0</v>
      </c>
      <c r="AR84" s="146" t="n">
        <f aca="false">Oheads!AP33</f>
        <v>0</v>
      </c>
      <c r="AS84" s="146" t="n">
        <f aca="false">SUM(AG84:AR84)</f>
        <v>0</v>
      </c>
    </row>
    <row r="85" customFormat="false" ht="13.2" hidden="true" customHeight="false" outlineLevel="0" collapsed="false">
      <c r="A85" s="137" t="s">
        <v>884</v>
      </c>
      <c r="B85" s="170" t="str">
        <f aca="false">'P&amp;L$'!B86</f>
        <v>Rents</v>
      </c>
      <c r="C85" s="146" t="n">
        <f aca="false">Oheads!C34</f>
        <v>0</v>
      </c>
      <c r="D85" s="146" t="n">
        <f aca="false">Oheads!D34</f>
        <v>0</v>
      </c>
      <c r="E85" s="146" t="n">
        <f aca="false">Oheads!E34</f>
        <v>0</v>
      </c>
      <c r="F85" s="146" t="n">
        <f aca="false">Oheads!F34</f>
        <v>0</v>
      </c>
      <c r="G85" s="146" t="n">
        <f aca="false">Oheads!G34</f>
        <v>0</v>
      </c>
      <c r="H85" s="146" t="n">
        <f aca="false">Oheads!H34</f>
        <v>0</v>
      </c>
      <c r="I85" s="146" t="n">
        <f aca="false">Oheads!I34</f>
        <v>0</v>
      </c>
      <c r="J85" s="146" t="n">
        <f aca="false">Oheads!J34</f>
        <v>0</v>
      </c>
      <c r="K85" s="146" t="n">
        <f aca="false">Oheads!K34</f>
        <v>0</v>
      </c>
      <c r="L85" s="146" t="n">
        <f aca="false">Oheads!L34</f>
        <v>0</v>
      </c>
      <c r="M85" s="146" t="n">
        <f aca="false">Oheads!M34</f>
        <v>0</v>
      </c>
      <c r="N85" s="146" t="n">
        <f aca="false">Oheads!N34</f>
        <v>0</v>
      </c>
      <c r="O85" s="146" t="n">
        <f aca="false">SUM(C85:N85)</f>
        <v>0</v>
      </c>
      <c r="Q85" s="170"/>
      <c r="R85" s="146" t="n">
        <f aca="false">Oheads!Q34</f>
        <v>0</v>
      </c>
      <c r="S85" s="146" t="n">
        <f aca="false">Oheads!R34</f>
        <v>0</v>
      </c>
      <c r="T85" s="146" t="n">
        <f aca="false">Oheads!S34</f>
        <v>0</v>
      </c>
      <c r="U85" s="146" t="n">
        <f aca="false">Oheads!T34</f>
        <v>0</v>
      </c>
      <c r="V85" s="146" t="n">
        <f aca="false">Oheads!U34</f>
        <v>0</v>
      </c>
      <c r="W85" s="146" t="n">
        <f aca="false">Oheads!V34</f>
        <v>0</v>
      </c>
      <c r="X85" s="146" t="n">
        <f aca="false">Oheads!W34</f>
        <v>0</v>
      </c>
      <c r="Y85" s="146" t="n">
        <f aca="false">Oheads!X34</f>
        <v>0</v>
      </c>
      <c r="Z85" s="146" t="n">
        <f aca="false">Oheads!Y34</f>
        <v>0</v>
      </c>
      <c r="AA85" s="146" t="n">
        <f aca="false">Oheads!Z34</f>
        <v>0</v>
      </c>
      <c r="AB85" s="146" t="n">
        <f aca="false">Oheads!AA34</f>
        <v>0</v>
      </c>
      <c r="AC85" s="146" t="n">
        <f aca="false">Oheads!AB34</f>
        <v>0</v>
      </c>
      <c r="AD85" s="146" t="n">
        <f aca="false">SUM(R85:AC85)</f>
        <v>0</v>
      </c>
      <c r="AF85" s="170"/>
      <c r="AG85" s="146" t="n">
        <f aca="false">Oheads!AE34</f>
        <v>0</v>
      </c>
      <c r="AH85" s="146" t="n">
        <f aca="false">Oheads!AF34</f>
        <v>0</v>
      </c>
      <c r="AI85" s="146" t="n">
        <f aca="false">Oheads!AG34</f>
        <v>0</v>
      </c>
      <c r="AJ85" s="146" t="n">
        <f aca="false">Oheads!AH34</f>
        <v>0</v>
      </c>
      <c r="AK85" s="146" t="n">
        <f aca="false">Oheads!AI34</f>
        <v>0</v>
      </c>
      <c r="AL85" s="146" t="n">
        <f aca="false">Oheads!AJ34</f>
        <v>0</v>
      </c>
      <c r="AM85" s="146" t="n">
        <f aca="false">Oheads!AK34</f>
        <v>0</v>
      </c>
      <c r="AN85" s="146" t="n">
        <f aca="false">Oheads!AL34</f>
        <v>0</v>
      </c>
      <c r="AO85" s="146" t="n">
        <f aca="false">Oheads!AM34</f>
        <v>0</v>
      </c>
      <c r="AP85" s="146" t="n">
        <f aca="false">Oheads!AN34</f>
        <v>0</v>
      </c>
      <c r="AQ85" s="146" t="n">
        <f aca="false">Oheads!AO34</f>
        <v>0</v>
      </c>
      <c r="AR85" s="146" t="n">
        <f aca="false">Oheads!AP34</f>
        <v>0</v>
      </c>
      <c r="AS85" s="146" t="n">
        <f aca="false">SUM(AG85:AR85)</f>
        <v>0</v>
      </c>
    </row>
    <row r="86" customFormat="false" ht="13.2" hidden="false" customHeight="false" outlineLevel="0" collapsed="false">
      <c r="A86" s="137" t="s">
        <v>886</v>
      </c>
      <c r="B86" s="170" t="str">
        <f aca="false">'P&amp;L$'!B87</f>
        <v>Postage &amp; Courier</v>
      </c>
      <c r="C86" s="146" t="n">
        <f aca="false">Oheads!C35</f>
        <v>2098.8</v>
      </c>
      <c r="D86" s="146" t="n">
        <f aca="false">Oheads!D35</f>
        <v>2098.8</v>
      </c>
      <c r="E86" s="146" t="n">
        <f aca="false">Oheads!E35</f>
        <v>2098.8</v>
      </c>
      <c r="F86" s="146" t="n">
        <f aca="false">Oheads!F35</f>
        <v>2098.8</v>
      </c>
      <c r="G86" s="146" t="n">
        <f aca="false">Oheads!G35</f>
        <v>2098.8</v>
      </c>
      <c r="H86" s="146" t="n">
        <f aca="false">Oheads!H35</f>
        <v>2098.8</v>
      </c>
      <c r="I86" s="146" t="n">
        <f aca="false">Oheads!I35</f>
        <v>2098.8</v>
      </c>
      <c r="J86" s="146" t="n">
        <f aca="false">Oheads!J35</f>
        <v>2098.8</v>
      </c>
      <c r="K86" s="146" t="n">
        <f aca="false">Oheads!K35</f>
        <v>2098.8</v>
      </c>
      <c r="L86" s="146" t="n">
        <f aca="false">Oheads!L35</f>
        <v>2098.8</v>
      </c>
      <c r="M86" s="146" t="n">
        <f aca="false">Oheads!M35</f>
        <v>2098.8</v>
      </c>
      <c r="N86" s="146" t="n">
        <f aca="false">Oheads!N35</f>
        <v>2098.8</v>
      </c>
      <c r="O86" s="146" t="n">
        <f aca="false">SUM(C86:N86)</f>
        <v>25185.6</v>
      </c>
      <c r="Q86" s="170"/>
      <c r="R86" s="146" t="n">
        <f aca="false">Oheads!Q35</f>
        <v>2182.752</v>
      </c>
      <c r="S86" s="146" t="n">
        <f aca="false">Oheads!R35</f>
        <v>2182.752</v>
      </c>
      <c r="T86" s="146" t="n">
        <f aca="false">Oheads!S35</f>
        <v>2182.752</v>
      </c>
      <c r="U86" s="146" t="n">
        <f aca="false">Oheads!T35</f>
        <v>2182.752</v>
      </c>
      <c r="V86" s="146" t="n">
        <f aca="false">Oheads!U35</f>
        <v>2182.752</v>
      </c>
      <c r="W86" s="146" t="n">
        <f aca="false">Oheads!V35</f>
        <v>2182.752</v>
      </c>
      <c r="X86" s="146" t="n">
        <f aca="false">Oheads!W35</f>
        <v>2182.752</v>
      </c>
      <c r="Y86" s="146" t="n">
        <f aca="false">Oheads!X35</f>
        <v>2182.752</v>
      </c>
      <c r="Z86" s="146" t="n">
        <f aca="false">Oheads!Y35</f>
        <v>2182.752</v>
      </c>
      <c r="AA86" s="146" t="n">
        <f aca="false">Oheads!Z35</f>
        <v>2182.752</v>
      </c>
      <c r="AB86" s="146" t="n">
        <f aca="false">Oheads!AA35</f>
        <v>2182.752</v>
      </c>
      <c r="AC86" s="146" t="n">
        <f aca="false">Oheads!AB35</f>
        <v>2182.752</v>
      </c>
      <c r="AD86" s="146" t="n">
        <f aca="false">SUM(R86:AC86)</f>
        <v>26193.024</v>
      </c>
      <c r="AF86" s="170"/>
      <c r="AG86" s="146" t="n">
        <f aca="false">Oheads!AE35</f>
        <v>2313.71712</v>
      </c>
      <c r="AH86" s="146" t="n">
        <f aca="false">Oheads!AF35</f>
        <v>2313.71712</v>
      </c>
      <c r="AI86" s="146" t="n">
        <f aca="false">Oheads!AG35</f>
        <v>2313.71712</v>
      </c>
      <c r="AJ86" s="146" t="n">
        <f aca="false">Oheads!AH35</f>
        <v>2313.71712</v>
      </c>
      <c r="AK86" s="146" t="n">
        <f aca="false">Oheads!AI35</f>
        <v>2313.71712</v>
      </c>
      <c r="AL86" s="146" t="n">
        <f aca="false">Oheads!AJ35</f>
        <v>2313.71712</v>
      </c>
      <c r="AM86" s="146" t="n">
        <f aca="false">Oheads!AK35</f>
        <v>2313.71712</v>
      </c>
      <c r="AN86" s="146" t="n">
        <f aca="false">Oheads!AL35</f>
        <v>2313.71712</v>
      </c>
      <c r="AO86" s="146" t="n">
        <f aca="false">Oheads!AM35</f>
        <v>2313.71712</v>
      </c>
      <c r="AP86" s="146" t="n">
        <f aca="false">Oheads!AN35</f>
        <v>2313.71712</v>
      </c>
      <c r="AQ86" s="146" t="n">
        <f aca="false">Oheads!AO35</f>
        <v>2313.71712</v>
      </c>
      <c r="AR86" s="146" t="n">
        <f aca="false">Oheads!AP35</f>
        <v>2313.71712</v>
      </c>
      <c r="AS86" s="146" t="n">
        <f aca="false">SUM(AG86:AR86)</f>
        <v>27764.60544</v>
      </c>
    </row>
    <row r="87" customFormat="false" ht="13.2" hidden="false" customHeight="false" outlineLevel="0" collapsed="false">
      <c r="A87" s="137" t="s">
        <v>888</v>
      </c>
      <c r="B87" s="170" t="str">
        <f aca="false">'P&amp;L$'!B88</f>
        <v>Main Telephone Services</v>
      </c>
      <c r="C87" s="146" t="n">
        <f aca="false">Oheads!C36</f>
        <v>9858</v>
      </c>
      <c r="D87" s="146" t="n">
        <f aca="false">Oheads!D36</f>
        <v>9858</v>
      </c>
      <c r="E87" s="146" t="n">
        <f aca="false">Oheads!E36</f>
        <v>9858</v>
      </c>
      <c r="F87" s="146" t="n">
        <f aca="false">Oheads!F36</f>
        <v>9858</v>
      </c>
      <c r="G87" s="146" t="n">
        <f aca="false">Oheads!G36</f>
        <v>9858</v>
      </c>
      <c r="H87" s="146" t="n">
        <f aca="false">Oheads!H36</f>
        <v>9858</v>
      </c>
      <c r="I87" s="146" t="n">
        <f aca="false">Oheads!I36</f>
        <v>9858</v>
      </c>
      <c r="J87" s="146" t="n">
        <f aca="false">Oheads!J36</f>
        <v>9858</v>
      </c>
      <c r="K87" s="146" t="n">
        <f aca="false">Oheads!K36</f>
        <v>9858</v>
      </c>
      <c r="L87" s="146" t="n">
        <f aca="false">Oheads!L36</f>
        <v>9858</v>
      </c>
      <c r="M87" s="146" t="n">
        <f aca="false">Oheads!M36</f>
        <v>9858</v>
      </c>
      <c r="N87" s="146" t="n">
        <f aca="false">Oheads!N36</f>
        <v>9858</v>
      </c>
      <c r="O87" s="146" t="n">
        <f aca="false">SUM(C87:N87)</f>
        <v>118296</v>
      </c>
      <c r="Q87" s="170"/>
      <c r="R87" s="146" t="n">
        <f aca="false">Oheads!Q36</f>
        <v>10252.32</v>
      </c>
      <c r="S87" s="146" t="n">
        <f aca="false">Oheads!R36</f>
        <v>10252.32</v>
      </c>
      <c r="T87" s="146" t="n">
        <f aca="false">Oheads!S36</f>
        <v>10252.32</v>
      </c>
      <c r="U87" s="146" t="n">
        <f aca="false">Oheads!T36</f>
        <v>10252.32</v>
      </c>
      <c r="V87" s="146" t="n">
        <f aca="false">Oheads!U36</f>
        <v>10252.32</v>
      </c>
      <c r="W87" s="146" t="n">
        <f aca="false">Oheads!V36</f>
        <v>10252.32</v>
      </c>
      <c r="X87" s="146" t="n">
        <f aca="false">Oheads!W36</f>
        <v>10252.32</v>
      </c>
      <c r="Y87" s="146" t="n">
        <f aca="false">Oheads!X36</f>
        <v>10252.32</v>
      </c>
      <c r="Z87" s="146" t="n">
        <f aca="false">Oheads!Y36</f>
        <v>10252.32</v>
      </c>
      <c r="AA87" s="146" t="n">
        <f aca="false">Oheads!Z36</f>
        <v>10252.32</v>
      </c>
      <c r="AB87" s="146" t="n">
        <f aca="false">Oheads!AA36</f>
        <v>10252.32</v>
      </c>
      <c r="AC87" s="146" t="n">
        <f aca="false">Oheads!AB36</f>
        <v>10252.32</v>
      </c>
      <c r="AD87" s="146" t="n">
        <f aca="false">SUM(R87:AC87)</f>
        <v>123027.84</v>
      </c>
      <c r="AF87" s="170"/>
      <c r="AG87" s="146" t="n">
        <f aca="false">Oheads!AE36</f>
        <v>10867.4592</v>
      </c>
      <c r="AH87" s="146" t="n">
        <f aca="false">Oheads!AF36</f>
        <v>10867.4592</v>
      </c>
      <c r="AI87" s="146" t="n">
        <f aca="false">Oheads!AG36</f>
        <v>10867.4592</v>
      </c>
      <c r="AJ87" s="146" t="n">
        <f aca="false">Oheads!AH36</f>
        <v>10867.4592</v>
      </c>
      <c r="AK87" s="146" t="n">
        <f aca="false">Oheads!AI36</f>
        <v>10867.4592</v>
      </c>
      <c r="AL87" s="146" t="n">
        <f aca="false">Oheads!AJ36</f>
        <v>10867.4592</v>
      </c>
      <c r="AM87" s="146" t="n">
        <f aca="false">Oheads!AK36</f>
        <v>10867.4592</v>
      </c>
      <c r="AN87" s="146" t="n">
        <f aca="false">Oheads!AL36</f>
        <v>10867.4592</v>
      </c>
      <c r="AO87" s="146" t="n">
        <f aca="false">Oheads!AM36</f>
        <v>10867.4592</v>
      </c>
      <c r="AP87" s="146" t="n">
        <f aca="false">Oheads!AN36</f>
        <v>10867.4592</v>
      </c>
      <c r="AQ87" s="146" t="n">
        <f aca="false">Oheads!AO36</f>
        <v>10867.4592</v>
      </c>
      <c r="AR87" s="146" t="n">
        <f aca="false">Oheads!AP36</f>
        <v>10867.4592</v>
      </c>
      <c r="AS87" s="146" t="n">
        <f aca="false">SUM(AG87:AR87)</f>
        <v>130409.5104</v>
      </c>
    </row>
    <row r="88" customFormat="false" ht="13.2" hidden="false" customHeight="false" outlineLevel="0" collapsed="false">
      <c r="A88" s="137" t="s">
        <v>890</v>
      </c>
      <c r="B88" s="170" t="str">
        <f aca="false">'P&amp;L$'!B89</f>
        <v>Mobile Phone Services</v>
      </c>
      <c r="C88" s="146" t="n">
        <f aca="false">Oheads!C37</f>
        <v>4876</v>
      </c>
      <c r="D88" s="146" t="n">
        <f aca="false">Oheads!D37</f>
        <v>4876</v>
      </c>
      <c r="E88" s="146" t="n">
        <f aca="false">Oheads!E37</f>
        <v>4876</v>
      </c>
      <c r="F88" s="146" t="n">
        <f aca="false">Oheads!F37</f>
        <v>4876</v>
      </c>
      <c r="G88" s="146" t="n">
        <f aca="false">Oheads!G37</f>
        <v>4876</v>
      </c>
      <c r="H88" s="146" t="n">
        <f aca="false">Oheads!H37</f>
        <v>4876</v>
      </c>
      <c r="I88" s="146" t="n">
        <f aca="false">Oheads!I37</f>
        <v>4876</v>
      </c>
      <c r="J88" s="146" t="n">
        <f aca="false">Oheads!J37</f>
        <v>4876</v>
      </c>
      <c r="K88" s="146" t="n">
        <f aca="false">Oheads!K37</f>
        <v>4876</v>
      </c>
      <c r="L88" s="146" t="n">
        <f aca="false">Oheads!L37</f>
        <v>4876</v>
      </c>
      <c r="M88" s="146" t="n">
        <f aca="false">Oheads!M37</f>
        <v>4876</v>
      </c>
      <c r="N88" s="146" t="n">
        <f aca="false">Oheads!N37</f>
        <v>4876</v>
      </c>
      <c r="O88" s="146" t="n">
        <f aca="false">SUM(C88:N88)</f>
        <v>58512</v>
      </c>
      <c r="Q88" s="170"/>
      <c r="R88" s="146" t="n">
        <f aca="false">Oheads!Q37</f>
        <v>5071.04</v>
      </c>
      <c r="S88" s="146" t="n">
        <f aca="false">Oheads!R37</f>
        <v>5071.04</v>
      </c>
      <c r="T88" s="146" t="n">
        <f aca="false">Oheads!S37</f>
        <v>5071.04</v>
      </c>
      <c r="U88" s="146" t="n">
        <f aca="false">Oheads!T37</f>
        <v>5071.04</v>
      </c>
      <c r="V88" s="146" t="n">
        <f aca="false">Oheads!U37</f>
        <v>5071.04</v>
      </c>
      <c r="W88" s="146" t="n">
        <f aca="false">Oheads!V37</f>
        <v>5071.04</v>
      </c>
      <c r="X88" s="146" t="n">
        <f aca="false">Oheads!W37</f>
        <v>5071.04</v>
      </c>
      <c r="Y88" s="146" t="n">
        <f aca="false">Oheads!X37</f>
        <v>5071.04</v>
      </c>
      <c r="Z88" s="146" t="n">
        <f aca="false">Oheads!Y37</f>
        <v>5071.04</v>
      </c>
      <c r="AA88" s="146" t="n">
        <f aca="false">Oheads!Z37</f>
        <v>5071.04</v>
      </c>
      <c r="AB88" s="146" t="n">
        <f aca="false">Oheads!AA37</f>
        <v>5071.04</v>
      </c>
      <c r="AC88" s="146" t="n">
        <f aca="false">Oheads!AB37</f>
        <v>5071.04</v>
      </c>
      <c r="AD88" s="146" t="n">
        <f aca="false">SUM(R88:AC88)</f>
        <v>60852.48</v>
      </c>
      <c r="AF88" s="170"/>
      <c r="AG88" s="146" t="n">
        <f aca="false">Oheads!AE37</f>
        <v>5375.3024</v>
      </c>
      <c r="AH88" s="146" t="n">
        <f aca="false">Oheads!AF37</f>
        <v>5375.3024</v>
      </c>
      <c r="AI88" s="146" t="n">
        <f aca="false">Oheads!AG37</f>
        <v>5375.3024</v>
      </c>
      <c r="AJ88" s="146" t="n">
        <f aca="false">Oheads!AH37</f>
        <v>5375.3024</v>
      </c>
      <c r="AK88" s="146" t="n">
        <f aca="false">Oheads!AI37</f>
        <v>5375.3024</v>
      </c>
      <c r="AL88" s="146" t="n">
        <f aca="false">Oheads!AJ37</f>
        <v>5375.3024</v>
      </c>
      <c r="AM88" s="146" t="n">
        <f aca="false">Oheads!AK37</f>
        <v>5375.3024</v>
      </c>
      <c r="AN88" s="146" t="n">
        <f aca="false">Oheads!AL37</f>
        <v>5375.3024</v>
      </c>
      <c r="AO88" s="146" t="n">
        <f aca="false">Oheads!AM37</f>
        <v>5375.3024</v>
      </c>
      <c r="AP88" s="146" t="n">
        <f aca="false">Oheads!AN37</f>
        <v>5375.3024</v>
      </c>
      <c r="AQ88" s="146" t="n">
        <f aca="false">Oheads!AO37</f>
        <v>5375.3024</v>
      </c>
      <c r="AR88" s="146" t="n">
        <f aca="false">Oheads!AP37</f>
        <v>5375.3024</v>
      </c>
      <c r="AS88" s="146" t="n">
        <f aca="false">SUM(AG88:AR88)</f>
        <v>64503.6288</v>
      </c>
    </row>
    <row r="89" customFormat="false" ht="13.2" hidden="false" customHeight="false" outlineLevel="0" collapsed="false">
      <c r="A89" s="137" t="s">
        <v>892</v>
      </c>
      <c r="B89" s="170" t="str">
        <f aca="false">'P&amp;L$'!B90</f>
        <v>Enron Poland Tele Services</v>
      </c>
      <c r="C89" s="146" t="n">
        <f aca="false">Oheads!C38</f>
        <v>5035</v>
      </c>
      <c r="D89" s="146" t="n">
        <f aca="false">Oheads!D38</f>
        <v>5035</v>
      </c>
      <c r="E89" s="146" t="n">
        <f aca="false">Oheads!E38</f>
        <v>5035</v>
      </c>
      <c r="F89" s="146" t="n">
        <f aca="false">Oheads!F38</f>
        <v>5035</v>
      </c>
      <c r="G89" s="146" t="n">
        <f aca="false">Oheads!G38</f>
        <v>5035</v>
      </c>
      <c r="H89" s="146" t="n">
        <f aca="false">Oheads!H38</f>
        <v>5035</v>
      </c>
      <c r="I89" s="146" t="n">
        <f aca="false">Oheads!I38</f>
        <v>5035</v>
      </c>
      <c r="J89" s="146" t="n">
        <f aca="false">Oheads!J38</f>
        <v>5035</v>
      </c>
      <c r="K89" s="146" t="n">
        <f aca="false">Oheads!K38</f>
        <v>5035</v>
      </c>
      <c r="L89" s="146" t="n">
        <f aca="false">Oheads!L38</f>
        <v>5035</v>
      </c>
      <c r="M89" s="146" t="n">
        <f aca="false">Oheads!M38</f>
        <v>5035</v>
      </c>
      <c r="N89" s="146" t="n">
        <f aca="false">Oheads!N38</f>
        <v>5035</v>
      </c>
      <c r="O89" s="146" t="n">
        <f aca="false">SUM(C89:N89)</f>
        <v>60420</v>
      </c>
      <c r="Q89" s="170"/>
      <c r="R89" s="146" t="n">
        <f aca="false">Oheads!Q38</f>
        <v>5236.4</v>
      </c>
      <c r="S89" s="146" t="n">
        <f aca="false">Oheads!R38</f>
        <v>5236.4</v>
      </c>
      <c r="T89" s="146" t="n">
        <f aca="false">Oheads!S38</f>
        <v>5236.4</v>
      </c>
      <c r="U89" s="146" t="n">
        <f aca="false">Oheads!T38</f>
        <v>5236.4</v>
      </c>
      <c r="V89" s="146" t="n">
        <f aca="false">Oheads!U38</f>
        <v>5236.4</v>
      </c>
      <c r="W89" s="146" t="n">
        <f aca="false">Oheads!V38</f>
        <v>5236.4</v>
      </c>
      <c r="X89" s="146" t="n">
        <f aca="false">Oheads!W38</f>
        <v>5236.4</v>
      </c>
      <c r="Y89" s="146" t="n">
        <f aca="false">Oheads!X38</f>
        <v>5236.4</v>
      </c>
      <c r="Z89" s="146" t="n">
        <f aca="false">Oheads!Y38</f>
        <v>5236.4</v>
      </c>
      <c r="AA89" s="146" t="n">
        <f aca="false">Oheads!Z38</f>
        <v>5236.4</v>
      </c>
      <c r="AB89" s="146" t="n">
        <f aca="false">Oheads!AA38</f>
        <v>5236.4</v>
      </c>
      <c r="AC89" s="146" t="n">
        <f aca="false">Oheads!AB38</f>
        <v>5236.4</v>
      </c>
      <c r="AD89" s="146" t="n">
        <f aca="false">SUM(R89:AC89)</f>
        <v>62836.8</v>
      </c>
      <c r="AF89" s="170"/>
      <c r="AG89" s="146" t="n">
        <f aca="false">Oheads!AE38</f>
        <v>5550.584</v>
      </c>
      <c r="AH89" s="146" t="n">
        <f aca="false">Oheads!AF38</f>
        <v>5550.584</v>
      </c>
      <c r="AI89" s="146" t="n">
        <f aca="false">Oheads!AG38</f>
        <v>5550.584</v>
      </c>
      <c r="AJ89" s="146" t="n">
        <f aca="false">Oheads!AH38</f>
        <v>5550.584</v>
      </c>
      <c r="AK89" s="146" t="n">
        <f aca="false">Oheads!AI38</f>
        <v>5550.584</v>
      </c>
      <c r="AL89" s="146" t="n">
        <f aca="false">Oheads!AJ38</f>
        <v>5550.584</v>
      </c>
      <c r="AM89" s="146" t="n">
        <f aca="false">Oheads!AK38</f>
        <v>5550.584</v>
      </c>
      <c r="AN89" s="146" t="n">
        <f aca="false">Oheads!AL38</f>
        <v>5550.584</v>
      </c>
      <c r="AO89" s="146" t="n">
        <f aca="false">Oheads!AM38</f>
        <v>5550.584</v>
      </c>
      <c r="AP89" s="146" t="n">
        <f aca="false">Oheads!AN38</f>
        <v>5550.584</v>
      </c>
      <c r="AQ89" s="146" t="n">
        <f aca="false">Oheads!AO38</f>
        <v>5550.584</v>
      </c>
      <c r="AR89" s="146" t="n">
        <f aca="false">Oheads!AP38</f>
        <v>5550.584</v>
      </c>
      <c r="AS89" s="146" t="n">
        <f aca="false">SUM(AG89:AR89)</f>
        <v>66607.008</v>
      </c>
    </row>
    <row r="90" customFormat="false" ht="13.2" hidden="false" customHeight="false" outlineLevel="0" collapsed="false">
      <c r="A90" s="137" t="s">
        <v>895</v>
      </c>
      <c r="B90" s="170" t="str">
        <f aca="false">'P&amp;L$'!B91</f>
        <v>Site Security</v>
      </c>
      <c r="C90" s="146" t="n">
        <f aca="false">Oheads!C39</f>
        <v>16960</v>
      </c>
      <c r="D90" s="146" t="n">
        <f aca="false">Oheads!D39</f>
        <v>16960</v>
      </c>
      <c r="E90" s="146" t="n">
        <f aca="false">Oheads!E39</f>
        <v>16960</v>
      </c>
      <c r="F90" s="146" t="n">
        <f aca="false">Oheads!F39</f>
        <v>16960</v>
      </c>
      <c r="G90" s="146" t="n">
        <f aca="false">Oheads!G39</f>
        <v>16960</v>
      </c>
      <c r="H90" s="146" t="n">
        <f aca="false">Oheads!H39</f>
        <v>16960</v>
      </c>
      <c r="I90" s="146" t="n">
        <f aca="false">Oheads!I39</f>
        <v>16960</v>
      </c>
      <c r="J90" s="146" t="n">
        <f aca="false">Oheads!J39</f>
        <v>16960</v>
      </c>
      <c r="K90" s="146" t="n">
        <f aca="false">Oheads!K39</f>
        <v>16960</v>
      </c>
      <c r="L90" s="146" t="n">
        <f aca="false">Oheads!L39</f>
        <v>16960</v>
      </c>
      <c r="M90" s="146" t="n">
        <f aca="false">Oheads!M39</f>
        <v>16960</v>
      </c>
      <c r="N90" s="146" t="n">
        <f aca="false">Oheads!N39</f>
        <v>16960</v>
      </c>
      <c r="O90" s="146" t="n">
        <f aca="false">SUM(C90:N90)</f>
        <v>203520</v>
      </c>
      <c r="Q90" s="170"/>
      <c r="R90" s="146" t="n">
        <f aca="false">Oheads!Q39</f>
        <v>17638.4</v>
      </c>
      <c r="S90" s="146" t="n">
        <f aca="false">Oheads!R39</f>
        <v>17638.4</v>
      </c>
      <c r="T90" s="146" t="n">
        <f aca="false">Oheads!S39</f>
        <v>17638.4</v>
      </c>
      <c r="U90" s="146" t="n">
        <f aca="false">Oheads!T39</f>
        <v>17638.4</v>
      </c>
      <c r="V90" s="146" t="n">
        <f aca="false">Oheads!U39</f>
        <v>17638.4</v>
      </c>
      <c r="W90" s="146" t="n">
        <f aca="false">Oheads!V39</f>
        <v>17638.4</v>
      </c>
      <c r="X90" s="146" t="n">
        <f aca="false">Oheads!W39</f>
        <v>17638.4</v>
      </c>
      <c r="Y90" s="146" t="n">
        <f aca="false">Oheads!X39</f>
        <v>17638.4</v>
      </c>
      <c r="Z90" s="146" t="n">
        <f aca="false">Oheads!Y39</f>
        <v>17638.4</v>
      </c>
      <c r="AA90" s="146" t="n">
        <f aca="false">Oheads!Z39</f>
        <v>17638.4</v>
      </c>
      <c r="AB90" s="146" t="n">
        <f aca="false">Oheads!AA39</f>
        <v>17638.4</v>
      </c>
      <c r="AC90" s="146" t="n">
        <f aca="false">Oheads!AB39</f>
        <v>17638.4</v>
      </c>
      <c r="AD90" s="146" t="n">
        <f aca="false">SUM(R90:AC90)</f>
        <v>211660.8</v>
      </c>
      <c r="AF90" s="170"/>
      <c r="AG90" s="146" t="n">
        <f aca="false">Oheads!AE39</f>
        <v>18696.704</v>
      </c>
      <c r="AH90" s="146" t="n">
        <f aca="false">Oheads!AF39</f>
        <v>18696.704</v>
      </c>
      <c r="AI90" s="146" t="n">
        <f aca="false">Oheads!AG39</f>
        <v>18696.704</v>
      </c>
      <c r="AJ90" s="146" t="n">
        <f aca="false">Oheads!AH39</f>
        <v>18696.704</v>
      </c>
      <c r="AK90" s="146" t="n">
        <f aca="false">Oheads!AI39</f>
        <v>18696.704</v>
      </c>
      <c r="AL90" s="146" t="n">
        <f aca="false">Oheads!AJ39</f>
        <v>18696.704</v>
      </c>
      <c r="AM90" s="146" t="n">
        <f aca="false">Oheads!AK39</f>
        <v>18696.704</v>
      </c>
      <c r="AN90" s="146" t="n">
        <f aca="false">Oheads!AL39</f>
        <v>18696.704</v>
      </c>
      <c r="AO90" s="146" t="n">
        <f aca="false">Oheads!AM39</f>
        <v>18696.704</v>
      </c>
      <c r="AP90" s="146" t="n">
        <f aca="false">Oheads!AN39</f>
        <v>18696.704</v>
      </c>
      <c r="AQ90" s="146" t="n">
        <f aca="false">Oheads!AO39</f>
        <v>18696.704</v>
      </c>
      <c r="AR90" s="146" t="n">
        <f aca="false">Oheads!AP39</f>
        <v>18696.704</v>
      </c>
      <c r="AS90" s="146" t="n">
        <f aca="false">SUM(AG90:AR90)</f>
        <v>224360.448</v>
      </c>
    </row>
    <row r="91" customFormat="false" ht="13.2" hidden="false" customHeight="false" outlineLevel="0" collapsed="false">
      <c r="A91" s="137" t="s">
        <v>897</v>
      </c>
      <c r="B91" s="170" t="str">
        <f aca="false">'P&amp;L$'!B92</f>
        <v>Landscape Maintenence</v>
      </c>
      <c r="C91" s="146" t="n">
        <f aca="false">Oheads!C40</f>
        <v>10600</v>
      </c>
      <c r="D91" s="146" t="n">
        <f aca="false">Oheads!D40</f>
        <v>10600</v>
      </c>
      <c r="E91" s="146" t="n">
        <f aca="false">Oheads!E40</f>
        <v>10600</v>
      </c>
      <c r="F91" s="146" t="n">
        <f aca="false">Oheads!F40</f>
        <v>10600</v>
      </c>
      <c r="G91" s="146" t="n">
        <f aca="false">Oheads!G40</f>
        <v>10600</v>
      </c>
      <c r="H91" s="146" t="n">
        <f aca="false">Oheads!H40</f>
        <v>10600</v>
      </c>
      <c r="I91" s="146" t="n">
        <f aca="false">Oheads!I40</f>
        <v>10600</v>
      </c>
      <c r="J91" s="146" t="n">
        <f aca="false">Oheads!J40</f>
        <v>10600</v>
      </c>
      <c r="K91" s="146" t="n">
        <f aca="false">Oheads!K40</f>
        <v>10600</v>
      </c>
      <c r="L91" s="146" t="n">
        <f aca="false">Oheads!L40</f>
        <v>10600</v>
      </c>
      <c r="M91" s="146" t="n">
        <f aca="false">Oheads!M40</f>
        <v>10600</v>
      </c>
      <c r="N91" s="146" t="n">
        <f aca="false">Oheads!N40</f>
        <v>10600</v>
      </c>
      <c r="O91" s="146" t="n">
        <f aca="false">SUM(C91:N91)</f>
        <v>127200</v>
      </c>
      <c r="Q91" s="170"/>
      <c r="R91" s="146" t="n">
        <f aca="false">Oheads!Q40</f>
        <v>11024</v>
      </c>
      <c r="S91" s="146" t="n">
        <f aca="false">Oheads!R40</f>
        <v>11024</v>
      </c>
      <c r="T91" s="146" t="n">
        <f aca="false">Oheads!S40</f>
        <v>11024</v>
      </c>
      <c r="U91" s="146" t="n">
        <f aca="false">Oheads!T40</f>
        <v>11024</v>
      </c>
      <c r="V91" s="146" t="n">
        <f aca="false">Oheads!U40</f>
        <v>11024</v>
      </c>
      <c r="W91" s="146" t="n">
        <f aca="false">Oheads!V40</f>
        <v>11024</v>
      </c>
      <c r="X91" s="146" t="n">
        <f aca="false">Oheads!W40</f>
        <v>11024</v>
      </c>
      <c r="Y91" s="146" t="n">
        <f aca="false">Oheads!X40</f>
        <v>11024</v>
      </c>
      <c r="Z91" s="146" t="n">
        <f aca="false">Oheads!Y40</f>
        <v>11024</v>
      </c>
      <c r="AA91" s="146" t="n">
        <f aca="false">Oheads!Z40</f>
        <v>11024</v>
      </c>
      <c r="AB91" s="146" t="n">
        <f aca="false">Oheads!AA40</f>
        <v>11024</v>
      </c>
      <c r="AC91" s="146" t="n">
        <f aca="false">Oheads!AB40</f>
        <v>11024</v>
      </c>
      <c r="AD91" s="146" t="n">
        <f aca="false">SUM(R91:AC91)</f>
        <v>132288</v>
      </c>
      <c r="AF91" s="170"/>
      <c r="AG91" s="146" t="n">
        <f aca="false">Oheads!AE40</f>
        <v>11685.44</v>
      </c>
      <c r="AH91" s="146" t="n">
        <f aca="false">Oheads!AF40</f>
        <v>11685.44</v>
      </c>
      <c r="AI91" s="146" t="n">
        <f aca="false">Oheads!AG40</f>
        <v>11685.44</v>
      </c>
      <c r="AJ91" s="146" t="n">
        <f aca="false">Oheads!AH40</f>
        <v>11685.44</v>
      </c>
      <c r="AK91" s="146" t="n">
        <f aca="false">Oheads!AI40</f>
        <v>11685.44</v>
      </c>
      <c r="AL91" s="146" t="n">
        <f aca="false">Oheads!AJ40</f>
        <v>11685.44</v>
      </c>
      <c r="AM91" s="146" t="n">
        <f aca="false">Oheads!AK40</f>
        <v>11685.44</v>
      </c>
      <c r="AN91" s="146" t="n">
        <f aca="false">Oheads!AL40</f>
        <v>11685.44</v>
      </c>
      <c r="AO91" s="146" t="n">
        <f aca="false">Oheads!AM40</f>
        <v>11685.44</v>
      </c>
      <c r="AP91" s="146" t="n">
        <f aca="false">Oheads!AN40</f>
        <v>11685.44</v>
      </c>
      <c r="AQ91" s="146" t="n">
        <f aca="false">Oheads!AO40</f>
        <v>11685.44</v>
      </c>
      <c r="AR91" s="146" t="n">
        <f aca="false">Oheads!AP40</f>
        <v>11685.44</v>
      </c>
      <c r="AS91" s="146" t="n">
        <f aca="false">SUM(AG91:AR91)</f>
        <v>140225.28</v>
      </c>
    </row>
    <row r="92" customFormat="false" ht="13.2" hidden="false" customHeight="false" outlineLevel="0" collapsed="false">
      <c r="A92" s="137" t="s">
        <v>899</v>
      </c>
      <c r="B92" s="170" t="str">
        <f aca="false">'P&amp;L$'!B93</f>
        <v>Weather Services</v>
      </c>
      <c r="C92" s="146" t="n">
        <f aca="false">Oheads!C41</f>
        <v>1696</v>
      </c>
      <c r="D92" s="146" t="n">
        <f aca="false">Oheads!D41</f>
        <v>1696</v>
      </c>
      <c r="E92" s="146" t="n">
        <f aca="false">Oheads!E41</f>
        <v>1696</v>
      </c>
      <c r="F92" s="146" t="n">
        <f aca="false">Oheads!F41</f>
        <v>1696</v>
      </c>
      <c r="G92" s="146" t="n">
        <f aca="false">Oheads!G41</f>
        <v>1696</v>
      </c>
      <c r="H92" s="146" t="n">
        <f aca="false">Oheads!H41</f>
        <v>1696</v>
      </c>
      <c r="I92" s="146" t="n">
        <f aca="false">Oheads!I41</f>
        <v>1696</v>
      </c>
      <c r="J92" s="146" t="n">
        <f aca="false">Oheads!J41</f>
        <v>1696</v>
      </c>
      <c r="K92" s="146" t="n">
        <f aca="false">Oheads!K41</f>
        <v>1696</v>
      </c>
      <c r="L92" s="146" t="n">
        <f aca="false">Oheads!L41</f>
        <v>1696</v>
      </c>
      <c r="M92" s="146" t="n">
        <f aca="false">Oheads!M41</f>
        <v>1696</v>
      </c>
      <c r="N92" s="146" t="n">
        <f aca="false">Oheads!N41</f>
        <v>1696</v>
      </c>
      <c r="O92" s="146" t="n">
        <f aca="false">SUM(C92:N92)</f>
        <v>20352</v>
      </c>
      <c r="Q92" s="170"/>
      <c r="R92" s="146" t="n">
        <f aca="false">Oheads!Q41</f>
        <v>1763.84</v>
      </c>
      <c r="S92" s="146" t="n">
        <f aca="false">Oheads!R41</f>
        <v>1763.84</v>
      </c>
      <c r="T92" s="146" t="n">
        <f aca="false">Oheads!S41</f>
        <v>1763.84</v>
      </c>
      <c r="U92" s="146" t="n">
        <f aca="false">Oheads!T41</f>
        <v>1763.84</v>
      </c>
      <c r="V92" s="146" t="n">
        <f aca="false">Oheads!U41</f>
        <v>1763.84</v>
      </c>
      <c r="W92" s="146" t="n">
        <f aca="false">Oheads!V41</f>
        <v>1763.84</v>
      </c>
      <c r="X92" s="146" t="n">
        <f aca="false">Oheads!W41</f>
        <v>1763.84</v>
      </c>
      <c r="Y92" s="146" t="n">
        <f aca="false">Oheads!X41</f>
        <v>1763.84</v>
      </c>
      <c r="Z92" s="146" t="n">
        <f aca="false">Oheads!Y41</f>
        <v>1763.84</v>
      </c>
      <c r="AA92" s="146" t="n">
        <f aca="false">Oheads!Z41</f>
        <v>1763.84</v>
      </c>
      <c r="AB92" s="146" t="n">
        <f aca="false">Oheads!AA41</f>
        <v>1763.84</v>
      </c>
      <c r="AC92" s="146" t="n">
        <f aca="false">Oheads!AB41</f>
        <v>1763.84</v>
      </c>
      <c r="AD92" s="146" t="n">
        <f aca="false">SUM(R92:AC92)</f>
        <v>21166.08</v>
      </c>
      <c r="AF92" s="170"/>
      <c r="AG92" s="146" t="n">
        <f aca="false">Oheads!AE41</f>
        <v>1869.6704</v>
      </c>
      <c r="AH92" s="146" t="n">
        <f aca="false">Oheads!AF41</f>
        <v>1869.6704</v>
      </c>
      <c r="AI92" s="146" t="n">
        <f aca="false">Oheads!AG41</f>
        <v>1869.6704</v>
      </c>
      <c r="AJ92" s="146" t="n">
        <f aca="false">Oheads!AH41</f>
        <v>1869.6704</v>
      </c>
      <c r="AK92" s="146" t="n">
        <f aca="false">Oheads!AI41</f>
        <v>1869.6704</v>
      </c>
      <c r="AL92" s="146" t="n">
        <f aca="false">Oheads!AJ41</f>
        <v>1869.6704</v>
      </c>
      <c r="AM92" s="146" t="n">
        <f aca="false">Oheads!AK41</f>
        <v>1869.6704</v>
      </c>
      <c r="AN92" s="146" t="n">
        <f aca="false">Oheads!AL41</f>
        <v>1869.6704</v>
      </c>
      <c r="AO92" s="146" t="n">
        <f aca="false">Oheads!AM41</f>
        <v>1869.6704</v>
      </c>
      <c r="AP92" s="146" t="n">
        <f aca="false">Oheads!AN41</f>
        <v>1869.6704</v>
      </c>
      <c r="AQ92" s="146" t="n">
        <f aca="false">Oheads!AO41</f>
        <v>1869.6704</v>
      </c>
      <c r="AR92" s="146" t="n">
        <f aca="false">Oheads!AP41</f>
        <v>1869.6704</v>
      </c>
      <c r="AS92" s="146" t="n">
        <f aca="false">SUM(AG92:AR92)</f>
        <v>22436.0448</v>
      </c>
    </row>
    <row r="93" customFormat="false" ht="13.2" hidden="false" customHeight="false" outlineLevel="0" collapsed="false">
      <c r="A93" s="137" t="s">
        <v>901</v>
      </c>
      <c r="B93" s="170" t="str">
        <f aca="false">'P&amp;L$'!B94</f>
        <v>Other Services</v>
      </c>
      <c r="C93" s="146" t="n">
        <f aca="false">Oheads!C42</f>
        <v>2000</v>
      </c>
      <c r="D93" s="146" t="n">
        <f aca="false">Oheads!D42</f>
        <v>2000</v>
      </c>
      <c r="E93" s="146" t="n">
        <f aca="false">Oheads!E42</f>
        <v>2000</v>
      </c>
      <c r="F93" s="146" t="n">
        <f aca="false">Oheads!F42</f>
        <v>2000</v>
      </c>
      <c r="G93" s="146" t="n">
        <f aca="false">Oheads!G42</f>
        <v>2000</v>
      </c>
      <c r="H93" s="146" t="n">
        <f aca="false">Oheads!H42</f>
        <v>2000</v>
      </c>
      <c r="I93" s="146" t="n">
        <f aca="false">Oheads!I42</f>
        <v>2000</v>
      </c>
      <c r="J93" s="146" t="n">
        <f aca="false">Oheads!J42</f>
        <v>2000</v>
      </c>
      <c r="K93" s="146" t="n">
        <f aca="false">Oheads!K42</f>
        <v>2000</v>
      </c>
      <c r="L93" s="146" t="n">
        <f aca="false">Oheads!L42</f>
        <v>2000</v>
      </c>
      <c r="M93" s="146" t="n">
        <f aca="false">Oheads!M42</f>
        <v>2000</v>
      </c>
      <c r="N93" s="146" t="n">
        <f aca="false">Oheads!N42</f>
        <v>2000</v>
      </c>
      <c r="O93" s="146" t="n">
        <f aca="false">SUM(C93:N93)</f>
        <v>24000</v>
      </c>
      <c r="Q93" s="170"/>
      <c r="R93" s="146" t="n">
        <f aca="false">Oheads!Q42</f>
        <v>2080</v>
      </c>
      <c r="S93" s="146" t="n">
        <f aca="false">Oheads!R42</f>
        <v>2080</v>
      </c>
      <c r="T93" s="146" t="n">
        <f aca="false">Oheads!S42</f>
        <v>2080</v>
      </c>
      <c r="U93" s="146" t="n">
        <f aca="false">Oheads!T42</f>
        <v>2080</v>
      </c>
      <c r="V93" s="146" t="n">
        <f aca="false">Oheads!U42</f>
        <v>2080</v>
      </c>
      <c r="W93" s="146" t="n">
        <f aca="false">Oheads!V42</f>
        <v>2080</v>
      </c>
      <c r="X93" s="146" t="n">
        <f aca="false">Oheads!W42</f>
        <v>2080</v>
      </c>
      <c r="Y93" s="146" t="n">
        <f aca="false">Oheads!X42</f>
        <v>2080</v>
      </c>
      <c r="Z93" s="146" t="n">
        <f aca="false">Oheads!Y42</f>
        <v>2080</v>
      </c>
      <c r="AA93" s="146" t="n">
        <f aca="false">Oheads!Z42</f>
        <v>2080</v>
      </c>
      <c r="AB93" s="146" t="n">
        <f aca="false">Oheads!AA42</f>
        <v>2080</v>
      </c>
      <c r="AC93" s="146" t="n">
        <f aca="false">Oheads!AB42</f>
        <v>2080</v>
      </c>
      <c r="AD93" s="146" t="n">
        <f aca="false">SUM(R93:AC93)</f>
        <v>24960</v>
      </c>
      <c r="AF93" s="170"/>
      <c r="AG93" s="146" t="n">
        <f aca="false">Oheads!AE42</f>
        <v>2204.8</v>
      </c>
      <c r="AH93" s="146" t="n">
        <f aca="false">Oheads!AF42</f>
        <v>2204.8</v>
      </c>
      <c r="AI93" s="146" t="n">
        <f aca="false">Oheads!AG42</f>
        <v>2204.8</v>
      </c>
      <c r="AJ93" s="146" t="n">
        <f aca="false">Oheads!AH42</f>
        <v>2204.8</v>
      </c>
      <c r="AK93" s="146" t="n">
        <f aca="false">Oheads!AI42</f>
        <v>2204.8</v>
      </c>
      <c r="AL93" s="146" t="n">
        <f aca="false">Oheads!AJ42</f>
        <v>2204.8</v>
      </c>
      <c r="AM93" s="146" t="n">
        <f aca="false">Oheads!AK42</f>
        <v>2204.8</v>
      </c>
      <c r="AN93" s="146" t="n">
        <f aca="false">Oheads!AL42</f>
        <v>2204.8</v>
      </c>
      <c r="AO93" s="146" t="n">
        <f aca="false">Oheads!AM42</f>
        <v>2204.8</v>
      </c>
      <c r="AP93" s="146" t="n">
        <f aca="false">Oheads!AN42</f>
        <v>2204.8</v>
      </c>
      <c r="AQ93" s="146" t="n">
        <f aca="false">Oheads!AO42</f>
        <v>2204.8</v>
      </c>
      <c r="AR93" s="146" t="n">
        <f aca="false">Oheads!AP42</f>
        <v>2204.8</v>
      </c>
      <c r="AS93" s="146" t="n">
        <f aca="false">SUM(AG93:AR93)</f>
        <v>26457.6</v>
      </c>
    </row>
    <row r="94" customFormat="false" ht="13.8" hidden="false" customHeight="false" outlineLevel="0" collapsed="false">
      <c r="A94" s="137"/>
      <c r="B94" s="285" t="s">
        <v>66</v>
      </c>
      <c r="C94" s="353" t="n">
        <f aca="false">SUM(C77:C93)</f>
        <v>82832</v>
      </c>
      <c r="D94" s="353" t="n">
        <f aca="false">SUM(D77:D93)</f>
        <v>82832</v>
      </c>
      <c r="E94" s="353" t="n">
        <f aca="false">SUM(E77:E93)</f>
        <v>82832</v>
      </c>
      <c r="F94" s="353" t="n">
        <f aca="false">SUM(F77:F93)</f>
        <v>82832</v>
      </c>
      <c r="G94" s="353" t="n">
        <f aca="false">SUM(G77:G93)</f>
        <v>82832</v>
      </c>
      <c r="H94" s="353" t="n">
        <f aca="false">SUM(H77:H93)</f>
        <v>82832</v>
      </c>
      <c r="I94" s="353" t="n">
        <f aca="false">SUM(I77:I93)</f>
        <v>82832</v>
      </c>
      <c r="J94" s="353" t="n">
        <f aca="false">SUM(J77:J93)</f>
        <v>82832</v>
      </c>
      <c r="K94" s="353" t="n">
        <f aca="false">SUM(K77:K93)</f>
        <v>82832</v>
      </c>
      <c r="L94" s="353" t="n">
        <f aca="false">SUM(L77:L93)</f>
        <v>82832</v>
      </c>
      <c r="M94" s="353" t="n">
        <f aca="false">SUM(M77:M93)</f>
        <v>82832</v>
      </c>
      <c r="N94" s="353" t="n">
        <f aca="false">SUM(N77:N93)</f>
        <v>82832</v>
      </c>
      <c r="O94" s="353" t="n">
        <f aca="false">SUM(O77:O93)</f>
        <v>993984</v>
      </c>
      <c r="Q94" s="170"/>
      <c r="R94" s="353" t="n">
        <f aca="false">SUM(R77:R93)</f>
        <v>86145.28</v>
      </c>
      <c r="S94" s="364" t="n">
        <f aca="false">SUM(S77:S93)</f>
        <v>86145.28</v>
      </c>
      <c r="T94" s="364" t="n">
        <f aca="false">SUM(T77:T93)</f>
        <v>86145.28</v>
      </c>
      <c r="U94" s="364" t="n">
        <f aca="false">SUM(U77:U93)</f>
        <v>86145.28</v>
      </c>
      <c r="V94" s="364" t="n">
        <f aca="false">SUM(V77:V93)</f>
        <v>86145.28</v>
      </c>
      <c r="W94" s="364" t="n">
        <f aca="false">SUM(W77:W93)</f>
        <v>86145.28</v>
      </c>
      <c r="X94" s="364" t="n">
        <f aca="false">SUM(X77:X93)</f>
        <v>86145.28</v>
      </c>
      <c r="Y94" s="364" t="n">
        <f aca="false">SUM(Y77:Y93)</f>
        <v>86145.28</v>
      </c>
      <c r="Z94" s="364" t="n">
        <f aca="false">SUM(Z77:Z93)</f>
        <v>86145.28</v>
      </c>
      <c r="AA94" s="364" t="n">
        <f aca="false">SUM(AA77:AA93)</f>
        <v>86145.28</v>
      </c>
      <c r="AB94" s="364" t="n">
        <f aca="false">SUM(AB77:AB93)</f>
        <v>86145.28</v>
      </c>
      <c r="AC94" s="364" t="n">
        <f aca="false">SUM(AC77:AC93)</f>
        <v>86145.28</v>
      </c>
      <c r="AD94" s="364" t="n">
        <f aca="false">SUM(AD77:AD93)</f>
        <v>1033743.36</v>
      </c>
      <c r="AF94" s="170"/>
      <c r="AG94" s="353" t="n">
        <f aca="false">SUM(AG77:AG93)</f>
        <v>91313.9968</v>
      </c>
      <c r="AH94" s="364" t="n">
        <f aca="false">SUM(AH77:AH93)</f>
        <v>91313.9968</v>
      </c>
      <c r="AI94" s="364" t="n">
        <f aca="false">SUM(AI77:AI93)</f>
        <v>91313.9968</v>
      </c>
      <c r="AJ94" s="364" t="n">
        <f aca="false">SUM(AJ77:AJ93)</f>
        <v>91313.9968</v>
      </c>
      <c r="AK94" s="364" t="n">
        <f aca="false">SUM(AK77:AK93)</f>
        <v>91313.9968</v>
      </c>
      <c r="AL94" s="364" t="n">
        <f aca="false">SUM(AL77:AL93)</f>
        <v>91313.9968</v>
      </c>
      <c r="AM94" s="364" t="n">
        <f aca="false">SUM(AM77:AM93)</f>
        <v>91313.9968</v>
      </c>
      <c r="AN94" s="364" t="n">
        <f aca="false">SUM(AN77:AN93)</f>
        <v>91313.9968</v>
      </c>
      <c r="AO94" s="364" t="n">
        <f aca="false">SUM(AO77:AO93)</f>
        <v>91313.9968</v>
      </c>
      <c r="AP94" s="364" t="n">
        <f aca="false">SUM(AP77:AP93)</f>
        <v>91313.9968</v>
      </c>
      <c r="AQ94" s="364" t="n">
        <f aca="false">SUM(AQ77:AQ93)</f>
        <v>91313.9968</v>
      </c>
      <c r="AR94" s="364" t="n">
        <f aca="false">SUM(AR77:AR93)</f>
        <v>91313.9968</v>
      </c>
      <c r="AS94" s="364" t="n">
        <f aca="false">SUM(AS77:AS93)</f>
        <v>1095767.9616</v>
      </c>
    </row>
    <row r="95" customFormat="false" ht="13.8" hidden="false" customHeight="false" outlineLevel="0" collapsed="false">
      <c r="A95" s="137"/>
      <c r="B95" s="20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5"/>
      <c r="Q95" s="170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5"/>
      <c r="AF95" s="170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5"/>
    </row>
    <row r="96" customFormat="false" ht="13.2" hidden="false" customHeight="false" outlineLevel="0" collapsed="false">
      <c r="A96" s="141" t="s">
        <v>903</v>
      </c>
      <c r="B96" s="205" t="str">
        <f aca="false">'P&amp;L$'!B97</f>
        <v>TAXES AND FEES</v>
      </c>
      <c r="C96" s="153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5"/>
      <c r="Q96" s="205"/>
      <c r="R96" s="357" t="s">
        <v>1038</v>
      </c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5"/>
      <c r="AF96" s="205"/>
      <c r="AG96" s="357" t="s">
        <v>1038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5"/>
    </row>
    <row r="97" customFormat="false" ht="13.2" hidden="false" customHeight="false" outlineLevel="0" collapsed="false">
      <c r="A97" s="137" t="s">
        <v>905</v>
      </c>
      <c r="B97" s="170" t="str">
        <f aca="false">'P&amp;L$'!B98</f>
        <v>Environment Fees</v>
      </c>
      <c r="C97" s="146" t="n">
        <f aca="false">Oheads!C46</f>
        <v>8715</v>
      </c>
      <c r="D97" s="146" t="n">
        <f aca="false">Oheads!D46</f>
        <v>8715</v>
      </c>
      <c r="E97" s="146" t="n">
        <f aca="false">Oheads!E46</f>
        <v>8715</v>
      </c>
      <c r="F97" s="146" t="n">
        <f aca="false">Oheads!F46</f>
        <v>8715</v>
      </c>
      <c r="G97" s="146" t="n">
        <f aca="false">Oheads!G46</f>
        <v>8715</v>
      </c>
      <c r="H97" s="146" t="n">
        <f aca="false">Oheads!H46</f>
        <v>8715</v>
      </c>
      <c r="I97" s="146" t="n">
        <f aca="false">Oheads!I46</f>
        <v>8715</v>
      </c>
      <c r="J97" s="146" t="n">
        <f aca="false">Oheads!J46</f>
        <v>8715</v>
      </c>
      <c r="K97" s="146" t="n">
        <f aca="false">Oheads!K46</f>
        <v>8715</v>
      </c>
      <c r="L97" s="146" t="n">
        <f aca="false">Oheads!L46</f>
        <v>8715</v>
      </c>
      <c r="M97" s="146" t="n">
        <f aca="false">Oheads!M46</f>
        <v>8715</v>
      </c>
      <c r="N97" s="146" t="n">
        <f aca="false">Oheads!N46</f>
        <v>8715</v>
      </c>
      <c r="O97" s="146" t="n">
        <f aca="false">SUM(C97:N97)</f>
        <v>104580</v>
      </c>
      <c r="Q97" s="170"/>
      <c r="R97" s="146" t="n">
        <f aca="false">Oheads!Q46</f>
        <v>9063.6</v>
      </c>
      <c r="S97" s="146" t="n">
        <f aca="false">Oheads!R46</f>
        <v>9063.6</v>
      </c>
      <c r="T97" s="146" t="n">
        <f aca="false">Oheads!S46</f>
        <v>9063.6</v>
      </c>
      <c r="U97" s="146" t="n">
        <f aca="false">Oheads!T46</f>
        <v>9063.6</v>
      </c>
      <c r="V97" s="146" t="n">
        <f aca="false">Oheads!U46</f>
        <v>9063.6</v>
      </c>
      <c r="W97" s="146" t="n">
        <f aca="false">Oheads!V46</f>
        <v>9063.6</v>
      </c>
      <c r="X97" s="146" t="n">
        <f aca="false">Oheads!W46</f>
        <v>9063.6</v>
      </c>
      <c r="Y97" s="146" t="n">
        <f aca="false">Oheads!X46</f>
        <v>9063.6</v>
      </c>
      <c r="Z97" s="146" t="n">
        <f aca="false">Oheads!Y46</f>
        <v>9063.6</v>
      </c>
      <c r="AA97" s="146" t="n">
        <f aca="false">Oheads!Z46</f>
        <v>9063.6</v>
      </c>
      <c r="AB97" s="146" t="n">
        <f aca="false">Oheads!AA46</f>
        <v>9063.6</v>
      </c>
      <c r="AC97" s="146" t="n">
        <f aca="false">Oheads!AB46</f>
        <v>9063.6</v>
      </c>
      <c r="AD97" s="146" t="n">
        <f aca="false">SUM(R97:AC97)</f>
        <v>108763.2</v>
      </c>
      <c r="AF97" s="170"/>
      <c r="AG97" s="146" t="n">
        <f aca="false">Oheads!AE46</f>
        <v>9607.416</v>
      </c>
      <c r="AH97" s="146" t="n">
        <f aca="false">Oheads!AF46</f>
        <v>9607.416</v>
      </c>
      <c r="AI97" s="146" t="n">
        <f aca="false">Oheads!AG46</f>
        <v>9607.416</v>
      </c>
      <c r="AJ97" s="146" t="n">
        <f aca="false">Oheads!AH46</f>
        <v>9607.416</v>
      </c>
      <c r="AK97" s="146" t="n">
        <f aca="false">Oheads!AI46</f>
        <v>9607.416</v>
      </c>
      <c r="AL97" s="146" t="n">
        <f aca="false">Oheads!AJ46</f>
        <v>9607.416</v>
      </c>
      <c r="AM97" s="146" t="n">
        <f aca="false">Oheads!AK46</f>
        <v>9607.416</v>
      </c>
      <c r="AN97" s="146" t="n">
        <f aca="false">Oheads!AL46</f>
        <v>9607.416</v>
      </c>
      <c r="AO97" s="146" t="n">
        <f aca="false">Oheads!AM46</f>
        <v>9607.416</v>
      </c>
      <c r="AP97" s="146" t="n">
        <f aca="false">Oheads!AN46</f>
        <v>9607.416</v>
      </c>
      <c r="AQ97" s="146" t="n">
        <f aca="false">Oheads!AO46</f>
        <v>9607.416</v>
      </c>
      <c r="AR97" s="146" t="n">
        <f aca="false">Oheads!AP46</f>
        <v>9607.416</v>
      </c>
      <c r="AS97" s="146" t="n">
        <f aca="false">SUM(AG97:AR97)</f>
        <v>115288.992</v>
      </c>
    </row>
    <row r="98" customFormat="false" ht="13.2" hidden="false" customHeight="false" outlineLevel="0" collapsed="false">
      <c r="A98" s="137" t="s">
        <v>907</v>
      </c>
      <c r="B98" s="170" t="str">
        <f aca="false">'P&amp;L$'!B99</f>
        <v>Ground Rent</v>
      </c>
      <c r="C98" s="146" t="n">
        <f aca="false">Oheads!C47</f>
        <v>85444</v>
      </c>
      <c r="D98" s="146" t="n">
        <f aca="false">Oheads!D47</f>
        <v>85444</v>
      </c>
      <c r="E98" s="146" t="n">
        <f aca="false">Oheads!E47</f>
        <v>85444</v>
      </c>
      <c r="F98" s="146" t="n">
        <f aca="false">Oheads!F47</f>
        <v>85444</v>
      </c>
      <c r="G98" s="146" t="n">
        <f aca="false">Oheads!G47</f>
        <v>85444</v>
      </c>
      <c r="H98" s="146" t="n">
        <f aca="false">Oheads!H47</f>
        <v>85444</v>
      </c>
      <c r="I98" s="146" t="n">
        <f aca="false">Oheads!I47</f>
        <v>85444</v>
      </c>
      <c r="J98" s="146" t="n">
        <f aca="false">Oheads!J47</f>
        <v>85444</v>
      </c>
      <c r="K98" s="146" t="n">
        <f aca="false">Oheads!K47</f>
        <v>85444</v>
      </c>
      <c r="L98" s="146" t="n">
        <f aca="false">Oheads!L47</f>
        <v>85444</v>
      </c>
      <c r="M98" s="146" t="n">
        <f aca="false">Oheads!M47</f>
        <v>85444</v>
      </c>
      <c r="N98" s="146" t="n">
        <f aca="false">Oheads!N47</f>
        <v>85444</v>
      </c>
      <c r="O98" s="146" t="n">
        <f aca="false">SUM(C98:N98)</f>
        <v>1025328</v>
      </c>
      <c r="Q98" s="45"/>
      <c r="R98" s="146" t="n">
        <f aca="false">Oheads!Q47</f>
        <v>88861.76</v>
      </c>
      <c r="S98" s="146" t="n">
        <f aca="false">Oheads!R47</f>
        <v>88861.76</v>
      </c>
      <c r="T98" s="146" t="n">
        <f aca="false">Oheads!S47</f>
        <v>88861.76</v>
      </c>
      <c r="U98" s="146" t="n">
        <f aca="false">Oheads!T47</f>
        <v>88861.76</v>
      </c>
      <c r="V98" s="146" t="n">
        <f aca="false">Oheads!U47</f>
        <v>88861.76</v>
      </c>
      <c r="W98" s="146" t="n">
        <f aca="false">Oheads!V47</f>
        <v>88861.76</v>
      </c>
      <c r="X98" s="146" t="n">
        <f aca="false">Oheads!W47</f>
        <v>88861.76</v>
      </c>
      <c r="Y98" s="146" t="n">
        <f aca="false">Oheads!X47</f>
        <v>88861.76</v>
      </c>
      <c r="Z98" s="146" t="n">
        <f aca="false">Oheads!Y47</f>
        <v>88861.76</v>
      </c>
      <c r="AA98" s="146" t="n">
        <f aca="false">Oheads!Z47</f>
        <v>88861.76</v>
      </c>
      <c r="AB98" s="146" t="n">
        <f aca="false">Oheads!AA47</f>
        <v>88861.76</v>
      </c>
      <c r="AC98" s="146" t="n">
        <f aca="false">Oheads!AB47</f>
        <v>88861.76</v>
      </c>
      <c r="AD98" s="146" t="n">
        <f aca="false">SUM(R98:AC98)</f>
        <v>1066341.12</v>
      </c>
      <c r="AF98" s="45"/>
      <c r="AG98" s="146" t="n">
        <f aca="false">Oheads!AE47</f>
        <v>94193.4656</v>
      </c>
      <c r="AH98" s="146" t="n">
        <f aca="false">Oheads!AF47</f>
        <v>94193.4656</v>
      </c>
      <c r="AI98" s="146" t="n">
        <f aca="false">Oheads!AG47</f>
        <v>94193.4656</v>
      </c>
      <c r="AJ98" s="146" t="n">
        <f aca="false">Oheads!AH47</f>
        <v>94193.4656</v>
      </c>
      <c r="AK98" s="146" t="n">
        <f aca="false">Oheads!AI47</f>
        <v>94193.4656</v>
      </c>
      <c r="AL98" s="146" t="n">
        <f aca="false">Oheads!AJ47</f>
        <v>94193.4656</v>
      </c>
      <c r="AM98" s="146" t="n">
        <f aca="false">Oheads!AK47</f>
        <v>94193.4656</v>
      </c>
      <c r="AN98" s="146" t="n">
        <f aca="false">Oheads!AL47</f>
        <v>94193.4656</v>
      </c>
      <c r="AO98" s="146" t="n">
        <f aca="false">Oheads!AM47</f>
        <v>94193.4656</v>
      </c>
      <c r="AP98" s="146" t="n">
        <f aca="false">Oheads!AN47</f>
        <v>94193.4656</v>
      </c>
      <c r="AQ98" s="146" t="n">
        <f aca="false">Oheads!AO47</f>
        <v>94193.4656</v>
      </c>
      <c r="AR98" s="146" t="n">
        <f aca="false">Oheads!AP47</f>
        <v>94193.4656</v>
      </c>
      <c r="AS98" s="146" t="n">
        <f aca="false">SUM(AG98:AR98)</f>
        <v>1130321.5872</v>
      </c>
    </row>
    <row r="99" customFormat="false" ht="13.2" hidden="false" customHeight="false" outlineLevel="0" collapsed="false">
      <c r="A99" s="137" t="s">
        <v>909</v>
      </c>
      <c r="B99" s="170" t="str">
        <f aca="false">'P&amp;L$'!B100</f>
        <v>PFRON</v>
      </c>
      <c r="C99" s="146" t="n">
        <f aca="false">Oheads!C48</f>
        <v>2500</v>
      </c>
      <c r="D99" s="146" t="n">
        <f aca="false">Oheads!D48</f>
        <v>2500</v>
      </c>
      <c r="E99" s="146" t="n">
        <f aca="false">Oheads!E48</f>
        <v>2500</v>
      </c>
      <c r="F99" s="146" t="n">
        <f aca="false">Oheads!F48</f>
        <v>2500</v>
      </c>
      <c r="G99" s="146" t="n">
        <f aca="false">Oheads!G48</f>
        <v>2500</v>
      </c>
      <c r="H99" s="146" t="n">
        <f aca="false">Oheads!H48</f>
        <v>2500</v>
      </c>
      <c r="I99" s="146" t="n">
        <f aca="false">Oheads!I48</f>
        <v>2500</v>
      </c>
      <c r="J99" s="146" t="n">
        <f aca="false">Oheads!J48</f>
        <v>2500</v>
      </c>
      <c r="K99" s="146" t="n">
        <f aca="false">Oheads!K48</f>
        <v>2500</v>
      </c>
      <c r="L99" s="146" t="n">
        <f aca="false">Oheads!L48</f>
        <v>2500</v>
      </c>
      <c r="M99" s="146" t="n">
        <f aca="false">Oheads!M48</f>
        <v>2500</v>
      </c>
      <c r="N99" s="146" t="n">
        <f aca="false">Oheads!N48</f>
        <v>2500</v>
      </c>
      <c r="O99" s="146" t="n">
        <f aca="false">SUM(C99:N99)</f>
        <v>30000</v>
      </c>
      <c r="Q99" s="45"/>
      <c r="R99" s="146" t="n">
        <f aca="false">Oheads!Q48</f>
        <v>2600</v>
      </c>
      <c r="S99" s="146" t="n">
        <f aca="false">Oheads!R48</f>
        <v>2600</v>
      </c>
      <c r="T99" s="146" t="n">
        <f aca="false">Oheads!S48</f>
        <v>2600</v>
      </c>
      <c r="U99" s="146" t="n">
        <f aca="false">Oheads!T48</f>
        <v>2600</v>
      </c>
      <c r="V99" s="146" t="n">
        <f aca="false">Oheads!U48</f>
        <v>2600</v>
      </c>
      <c r="W99" s="146" t="n">
        <f aca="false">Oheads!V48</f>
        <v>2600</v>
      </c>
      <c r="X99" s="146" t="n">
        <f aca="false">Oheads!W48</f>
        <v>2600</v>
      </c>
      <c r="Y99" s="146" t="n">
        <f aca="false">Oheads!X48</f>
        <v>2600</v>
      </c>
      <c r="Z99" s="146" t="n">
        <f aca="false">Oheads!Y48</f>
        <v>2600</v>
      </c>
      <c r="AA99" s="146" t="n">
        <f aca="false">Oheads!Z48</f>
        <v>2600</v>
      </c>
      <c r="AB99" s="146" t="n">
        <f aca="false">Oheads!AA48</f>
        <v>2600</v>
      </c>
      <c r="AC99" s="146" t="n">
        <f aca="false">Oheads!AB48</f>
        <v>2600</v>
      </c>
      <c r="AD99" s="146" t="n">
        <f aca="false">SUM(R99:AC99)</f>
        <v>31200</v>
      </c>
      <c r="AF99" s="45"/>
      <c r="AG99" s="146" t="n">
        <f aca="false">Oheads!AE48</f>
        <v>2756</v>
      </c>
      <c r="AH99" s="146" t="n">
        <f aca="false">Oheads!AF48</f>
        <v>2756</v>
      </c>
      <c r="AI99" s="146" t="n">
        <f aca="false">Oheads!AG48</f>
        <v>2756</v>
      </c>
      <c r="AJ99" s="146" t="n">
        <f aca="false">Oheads!AH48</f>
        <v>2756</v>
      </c>
      <c r="AK99" s="146" t="n">
        <f aca="false">Oheads!AI48</f>
        <v>2756</v>
      </c>
      <c r="AL99" s="146" t="n">
        <f aca="false">Oheads!AJ48</f>
        <v>2756</v>
      </c>
      <c r="AM99" s="146" t="n">
        <f aca="false">Oheads!AK48</f>
        <v>2756</v>
      </c>
      <c r="AN99" s="146" t="n">
        <f aca="false">Oheads!AL48</f>
        <v>2756</v>
      </c>
      <c r="AO99" s="146" t="n">
        <f aca="false">Oheads!AM48</f>
        <v>2756</v>
      </c>
      <c r="AP99" s="146" t="n">
        <f aca="false">Oheads!AN48</f>
        <v>2756</v>
      </c>
      <c r="AQ99" s="146" t="n">
        <f aca="false">Oheads!AO48</f>
        <v>2756</v>
      </c>
      <c r="AR99" s="146" t="n">
        <f aca="false">Oheads!AP48</f>
        <v>2756</v>
      </c>
      <c r="AS99" s="146" t="n">
        <f aca="false">SUM(AG99:AR99)</f>
        <v>33072</v>
      </c>
    </row>
    <row r="100" customFormat="false" ht="13.2" hidden="true" customHeight="false" outlineLevel="0" collapsed="false">
      <c r="A100" s="137" t="s">
        <v>911</v>
      </c>
      <c r="B100" s="170" t="str">
        <f aca="false">'P&amp;L$'!B101</f>
        <v>Employment Guarantee Fund</v>
      </c>
      <c r="C100" s="146" t="n">
        <f aca="false">Oheads!C49</f>
        <v>0</v>
      </c>
      <c r="D100" s="146" t="n">
        <f aca="false">Oheads!D49</f>
        <v>0</v>
      </c>
      <c r="E100" s="146" t="n">
        <f aca="false">Oheads!E49</f>
        <v>0</v>
      </c>
      <c r="F100" s="146" t="n">
        <f aca="false">Oheads!F49</f>
        <v>0</v>
      </c>
      <c r="G100" s="146" t="n">
        <f aca="false">Oheads!G49</f>
        <v>0</v>
      </c>
      <c r="H100" s="146" t="n">
        <f aca="false">Oheads!H49</f>
        <v>0</v>
      </c>
      <c r="I100" s="146" t="n">
        <f aca="false">Oheads!I49</f>
        <v>0</v>
      </c>
      <c r="J100" s="146" t="n">
        <f aca="false">Oheads!J49</f>
        <v>0</v>
      </c>
      <c r="K100" s="146" t="n">
        <f aca="false">Oheads!K49</f>
        <v>0</v>
      </c>
      <c r="L100" s="146" t="n">
        <f aca="false">Oheads!L49</f>
        <v>0</v>
      </c>
      <c r="M100" s="146" t="n">
        <f aca="false">Oheads!M49</f>
        <v>0</v>
      </c>
      <c r="N100" s="146" t="n">
        <f aca="false">Oheads!N49</f>
        <v>0</v>
      </c>
      <c r="O100" s="146" t="n">
        <f aca="false">SUM(C100:N100)</f>
        <v>0</v>
      </c>
      <c r="Q100" s="45"/>
      <c r="R100" s="146" t="n">
        <f aca="false">Oheads!Q49</f>
        <v>0</v>
      </c>
      <c r="S100" s="146" t="n">
        <f aca="false">Oheads!R49</f>
        <v>0</v>
      </c>
      <c r="T100" s="146" t="n">
        <f aca="false">Oheads!S49</f>
        <v>0</v>
      </c>
      <c r="U100" s="146" t="n">
        <f aca="false">Oheads!T49</f>
        <v>0</v>
      </c>
      <c r="V100" s="146" t="n">
        <f aca="false">Oheads!U49</f>
        <v>0</v>
      </c>
      <c r="W100" s="146" t="n">
        <f aca="false">Oheads!V49</f>
        <v>0</v>
      </c>
      <c r="X100" s="146" t="n">
        <f aca="false">Oheads!W49</f>
        <v>0</v>
      </c>
      <c r="Y100" s="146" t="n">
        <f aca="false">Oheads!X49</f>
        <v>0</v>
      </c>
      <c r="Z100" s="146" t="n">
        <f aca="false">Oheads!Y49</f>
        <v>0</v>
      </c>
      <c r="AA100" s="146" t="n">
        <f aca="false">Oheads!Z49</f>
        <v>0</v>
      </c>
      <c r="AB100" s="146" t="n">
        <f aca="false">Oheads!AA49</f>
        <v>0</v>
      </c>
      <c r="AC100" s="146" t="n">
        <f aca="false">Oheads!AB49</f>
        <v>0</v>
      </c>
      <c r="AD100" s="146" t="n">
        <f aca="false">SUM(R100:AC100)</f>
        <v>0</v>
      </c>
      <c r="AF100" s="45"/>
      <c r="AG100" s="146" t="n">
        <f aca="false">Oheads!AE49</f>
        <v>0</v>
      </c>
      <c r="AH100" s="146" t="n">
        <f aca="false">Oheads!AF49</f>
        <v>0</v>
      </c>
      <c r="AI100" s="146" t="n">
        <f aca="false">Oheads!AG49</f>
        <v>0</v>
      </c>
      <c r="AJ100" s="146" t="n">
        <f aca="false">Oheads!AH49</f>
        <v>0</v>
      </c>
      <c r="AK100" s="146" t="n">
        <f aca="false">Oheads!AI49</f>
        <v>0</v>
      </c>
      <c r="AL100" s="146" t="n">
        <f aca="false">Oheads!AJ49</f>
        <v>0</v>
      </c>
      <c r="AM100" s="146" t="n">
        <f aca="false">Oheads!AK49</f>
        <v>0</v>
      </c>
      <c r="AN100" s="146" t="n">
        <f aca="false">Oheads!AL49</f>
        <v>0</v>
      </c>
      <c r="AO100" s="146" t="n">
        <f aca="false">Oheads!AM49</f>
        <v>0</v>
      </c>
      <c r="AP100" s="146" t="n">
        <f aca="false">Oheads!AN49</f>
        <v>0</v>
      </c>
      <c r="AQ100" s="146" t="n">
        <f aca="false">Oheads!AO49</f>
        <v>0</v>
      </c>
      <c r="AR100" s="146" t="n">
        <f aca="false">Oheads!AP49</f>
        <v>0</v>
      </c>
      <c r="AS100" s="146" t="n">
        <f aca="false">SUM(AG100:AR100)</f>
        <v>0</v>
      </c>
    </row>
    <row r="101" customFormat="false" ht="13.2" hidden="false" customHeight="false" outlineLevel="0" collapsed="false">
      <c r="A101" s="137" t="s">
        <v>913</v>
      </c>
      <c r="B101" s="170" t="str">
        <f aca="false">'P&amp;L$'!B102</f>
        <v>URE Fees</v>
      </c>
      <c r="C101" s="146" t="n">
        <f aca="false">Oheads!C50</f>
        <v>10850</v>
      </c>
      <c r="D101" s="146" t="n">
        <f aca="false">Oheads!D50</f>
        <v>10850</v>
      </c>
      <c r="E101" s="146" t="n">
        <f aca="false">Oheads!E50</f>
        <v>10850</v>
      </c>
      <c r="F101" s="146" t="n">
        <f aca="false">Oheads!F50</f>
        <v>10850</v>
      </c>
      <c r="G101" s="146" t="n">
        <f aca="false">Oheads!G50</f>
        <v>10850</v>
      </c>
      <c r="H101" s="146" t="n">
        <f aca="false">Oheads!H50</f>
        <v>10850</v>
      </c>
      <c r="I101" s="146" t="n">
        <f aca="false">Oheads!I50</f>
        <v>10850</v>
      </c>
      <c r="J101" s="146" t="n">
        <f aca="false">Oheads!J50</f>
        <v>10850</v>
      </c>
      <c r="K101" s="146" t="n">
        <f aca="false">Oheads!K50</f>
        <v>10850</v>
      </c>
      <c r="L101" s="146" t="n">
        <f aca="false">Oheads!L50</f>
        <v>10850</v>
      </c>
      <c r="M101" s="146" t="n">
        <f aca="false">Oheads!M50</f>
        <v>10850</v>
      </c>
      <c r="N101" s="146" t="n">
        <f aca="false">Oheads!N50</f>
        <v>10850</v>
      </c>
      <c r="O101" s="146" t="n">
        <f aca="false">SUM(C101:N101)</f>
        <v>130200</v>
      </c>
      <c r="Q101" s="45"/>
      <c r="R101" s="146" t="n">
        <f aca="false">Oheads!Q50</f>
        <v>11284</v>
      </c>
      <c r="S101" s="146" t="n">
        <f aca="false">Oheads!R50</f>
        <v>11284</v>
      </c>
      <c r="T101" s="146" t="n">
        <f aca="false">Oheads!S50</f>
        <v>11284</v>
      </c>
      <c r="U101" s="146" t="n">
        <f aca="false">Oheads!T50</f>
        <v>11284</v>
      </c>
      <c r="V101" s="146" t="n">
        <f aca="false">Oheads!U50</f>
        <v>11284</v>
      </c>
      <c r="W101" s="146" t="n">
        <f aca="false">Oheads!V50</f>
        <v>11284</v>
      </c>
      <c r="X101" s="146" t="n">
        <f aca="false">Oheads!W50</f>
        <v>11284</v>
      </c>
      <c r="Y101" s="146" t="n">
        <f aca="false">Oheads!X50</f>
        <v>11284</v>
      </c>
      <c r="Z101" s="146" t="n">
        <f aca="false">Oheads!Y50</f>
        <v>11284</v>
      </c>
      <c r="AA101" s="146" t="n">
        <f aca="false">Oheads!Z50</f>
        <v>11284</v>
      </c>
      <c r="AB101" s="146" t="n">
        <f aca="false">Oheads!AA50</f>
        <v>11284</v>
      </c>
      <c r="AC101" s="146" t="n">
        <f aca="false">Oheads!AB50</f>
        <v>11284</v>
      </c>
      <c r="AD101" s="146" t="n">
        <f aca="false">SUM(R101:AC101)</f>
        <v>135408</v>
      </c>
      <c r="AF101" s="45"/>
      <c r="AG101" s="146" t="n">
        <f aca="false">Oheads!AE50</f>
        <v>11961.04</v>
      </c>
      <c r="AH101" s="146" t="n">
        <f aca="false">Oheads!AF50</f>
        <v>11961.04</v>
      </c>
      <c r="AI101" s="146" t="n">
        <f aca="false">Oheads!AG50</f>
        <v>11961.04</v>
      </c>
      <c r="AJ101" s="146" t="n">
        <f aca="false">Oheads!AH50</f>
        <v>11961.04</v>
      </c>
      <c r="AK101" s="146" t="n">
        <f aca="false">Oheads!AI50</f>
        <v>11961.04</v>
      </c>
      <c r="AL101" s="146" t="n">
        <f aca="false">Oheads!AJ50</f>
        <v>11961.04</v>
      </c>
      <c r="AM101" s="146" t="n">
        <f aca="false">Oheads!AK50</f>
        <v>11961.04</v>
      </c>
      <c r="AN101" s="146" t="n">
        <f aca="false">Oheads!AL50</f>
        <v>11961.04</v>
      </c>
      <c r="AO101" s="146" t="n">
        <f aca="false">Oheads!AM50</f>
        <v>11961.04</v>
      </c>
      <c r="AP101" s="146" t="n">
        <f aca="false">Oheads!AN50</f>
        <v>11961.04</v>
      </c>
      <c r="AQ101" s="146" t="n">
        <f aca="false">Oheads!AO50</f>
        <v>11961.04</v>
      </c>
      <c r="AR101" s="146" t="n">
        <f aca="false">Oheads!AP50</f>
        <v>11961.04</v>
      </c>
      <c r="AS101" s="146" t="n">
        <f aca="false">SUM(AG101:AR101)</f>
        <v>143532.48</v>
      </c>
    </row>
    <row r="102" customFormat="false" ht="13.2" hidden="false" customHeight="false" outlineLevel="0" collapsed="false">
      <c r="A102" s="137" t="s">
        <v>915</v>
      </c>
      <c r="B102" s="170" t="str">
        <f aca="false">'P&amp;L$'!B103</f>
        <v>Notarial/Court Fees</v>
      </c>
      <c r="C102" s="146" t="n">
        <f aca="false">Oheads!C51</f>
        <v>950</v>
      </c>
      <c r="D102" s="146" t="n">
        <f aca="false">Oheads!D51</f>
        <v>950</v>
      </c>
      <c r="E102" s="146" t="n">
        <f aca="false">Oheads!E51</f>
        <v>950</v>
      </c>
      <c r="F102" s="146" t="n">
        <f aca="false">Oheads!F51</f>
        <v>950</v>
      </c>
      <c r="G102" s="146" t="n">
        <f aca="false">Oheads!G51</f>
        <v>950</v>
      </c>
      <c r="H102" s="146" t="n">
        <f aca="false">Oheads!H51</f>
        <v>950</v>
      </c>
      <c r="I102" s="146" t="n">
        <f aca="false">Oheads!I51</f>
        <v>950</v>
      </c>
      <c r="J102" s="146" t="n">
        <f aca="false">Oheads!J51</f>
        <v>950</v>
      </c>
      <c r="K102" s="146" t="n">
        <f aca="false">Oheads!K51</f>
        <v>950</v>
      </c>
      <c r="L102" s="146" t="n">
        <f aca="false">Oheads!L51</f>
        <v>950</v>
      </c>
      <c r="M102" s="146" t="n">
        <f aca="false">Oheads!M51</f>
        <v>950</v>
      </c>
      <c r="N102" s="146" t="n">
        <f aca="false">Oheads!N51</f>
        <v>950</v>
      </c>
      <c r="O102" s="146" t="n">
        <f aca="false">SUM(C102:N102)</f>
        <v>11400</v>
      </c>
      <c r="Q102" s="45"/>
      <c r="R102" s="146" t="n">
        <f aca="false">Oheads!Q51</f>
        <v>988</v>
      </c>
      <c r="S102" s="146" t="n">
        <f aca="false">Oheads!R51</f>
        <v>988</v>
      </c>
      <c r="T102" s="146" t="n">
        <f aca="false">Oheads!S51</f>
        <v>988</v>
      </c>
      <c r="U102" s="146" t="n">
        <f aca="false">Oheads!T51</f>
        <v>988</v>
      </c>
      <c r="V102" s="146" t="n">
        <f aca="false">Oheads!U51</f>
        <v>988</v>
      </c>
      <c r="W102" s="146" t="n">
        <f aca="false">Oheads!V51</f>
        <v>988</v>
      </c>
      <c r="X102" s="146" t="n">
        <f aca="false">Oheads!W51</f>
        <v>988</v>
      </c>
      <c r="Y102" s="146" t="n">
        <f aca="false">Oheads!X51</f>
        <v>988</v>
      </c>
      <c r="Z102" s="146" t="n">
        <f aca="false">Oheads!Y51</f>
        <v>988</v>
      </c>
      <c r="AA102" s="146" t="n">
        <f aca="false">Oheads!Z51</f>
        <v>988</v>
      </c>
      <c r="AB102" s="146" t="n">
        <f aca="false">Oheads!AA51</f>
        <v>988</v>
      </c>
      <c r="AC102" s="146" t="n">
        <f aca="false">Oheads!AB51</f>
        <v>988</v>
      </c>
      <c r="AD102" s="146" t="n">
        <f aca="false">SUM(R102:AC102)</f>
        <v>11856</v>
      </c>
      <c r="AF102" s="45"/>
      <c r="AG102" s="146" t="n">
        <f aca="false">Oheads!AE51</f>
        <v>1047.28</v>
      </c>
      <c r="AH102" s="146" t="n">
        <f aca="false">Oheads!AF51</f>
        <v>1047.28</v>
      </c>
      <c r="AI102" s="146" t="n">
        <f aca="false">Oheads!AG51</f>
        <v>1047.28</v>
      </c>
      <c r="AJ102" s="146" t="n">
        <f aca="false">Oheads!AH51</f>
        <v>1047.28</v>
      </c>
      <c r="AK102" s="146" t="n">
        <f aca="false">Oheads!AI51</f>
        <v>1047.28</v>
      </c>
      <c r="AL102" s="146" t="n">
        <f aca="false">Oheads!AJ51</f>
        <v>1047.28</v>
      </c>
      <c r="AM102" s="146" t="n">
        <f aca="false">Oheads!AK51</f>
        <v>1047.28</v>
      </c>
      <c r="AN102" s="146" t="n">
        <f aca="false">Oheads!AL51</f>
        <v>1047.28</v>
      </c>
      <c r="AO102" s="146" t="n">
        <f aca="false">Oheads!AM51</f>
        <v>1047.28</v>
      </c>
      <c r="AP102" s="146" t="n">
        <f aca="false">Oheads!AN51</f>
        <v>1047.28</v>
      </c>
      <c r="AQ102" s="146" t="n">
        <f aca="false">Oheads!AO51</f>
        <v>1047.28</v>
      </c>
      <c r="AR102" s="146" t="n">
        <f aca="false">Oheads!AP51</f>
        <v>1047.28</v>
      </c>
      <c r="AS102" s="146" t="n">
        <f aca="false">SUM(AG102:AR102)</f>
        <v>12567.36</v>
      </c>
    </row>
    <row r="103" customFormat="false" ht="13.2" hidden="false" customHeight="false" outlineLevel="0" collapsed="false">
      <c r="A103" s="137" t="s">
        <v>917</v>
      </c>
      <c r="B103" s="170" t="str">
        <f aca="false">'P&amp;L$'!B104</f>
        <v>usufruct</v>
      </c>
      <c r="C103" s="146" t="n">
        <f aca="false">Oheads!C52</f>
        <v>1602</v>
      </c>
      <c r="D103" s="146" t="n">
        <f aca="false">Oheads!D52</f>
        <v>1602</v>
      </c>
      <c r="E103" s="146" t="n">
        <f aca="false">Oheads!E52</f>
        <v>1602</v>
      </c>
      <c r="F103" s="146" t="n">
        <f aca="false">Oheads!F52</f>
        <v>1602</v>
      </c>
      <c r="G103" s="146" t="n">
        <f aca="false">Oheads!G52</f>
        <v>1602</v>
      </c>
      <c r="H103" s="146" t="n">
        <f aca="false">Oheads!H52</f>
        <v>1602</v>
      </c>
      <c r="I103" s="146" t="n">
        <f aca="false">Oheads!I52</f>
        <v>1602</v>
      </c>
      <c r="J103" s="146" t="n">
        <f aca="false">Oheads!J52</f>
        <v>1602</v>
      </c>
      <c r="K103" s="146" t="n">
        <f aca="false">Oheads!K52</f>
        <v>1602</v>
      </c>
      <c r="L103" s="146" t="n">
        <f aca="false">Oheads!L52</f>
        <v>1602</v>
      </c>
      <c r="M103" s="146" t="n">
        <f aca="false">Oheads!M52</f>
        <v>1602</v>
      </c>
      <c r="N103" s="146" t="n">
        <f aca="false">Oheads!N52</f>
        <v>1602</v>
      </c>
      <c r="O103" s="146" t="n">
        <f aca="false">SUM(C103:N103)</f>
        <v>19224</v>
      </c>
      <c r="Q103" s="293"/>
      <c r="R103" s="146" t="n">
        <f aca="false">Oheads!Q52</f>
        <v>1666.08</v>
      </c>
      <c r="S103" s="146" t="n">
        <f aca="false">Oheads!R52</f>
        <v>1666.08</v>
      </c>
      <c r="T103" s="146" t="n">
        <f aca="false">Oheads!S52</f>
        <v>1666.08</v>
      </c>
      <c r="U103" s="146" t="n">
        <f aca="false">Oheads!T52</f>
        <v>1666.08</v>
      </c>
      <c r="V103" s="146" t="n">
        <f aca="false">Oheads!U52</f>
        <v>1666.08</v>
      </c>
      <c r="W103" s="146" t="n">
        <f aca="false">Oheads!V52</f>
        <v>1666.08</v>
      </c>
      <c r="X103" s="146" t="n">
        <f aca="false">Oheads!W52</f>
        <v>1666.08</v>
      </c>
      <c r="Y103" s="146" t="n">
        <f aca="false">Oheads!X52</f>
        <v>1666.08</v>
      </c>
      <c r="Z103" s="146" t="n">
        <f aca="false">Oheads!Y52</f>
        <v>1666.08</v>
      </c>
      <c r="AA103" s="146" t="n">
        <f aca="false">Oheads!Z52</f>
        <v>1666.08</v>
      </c>
      <c r="AB103" s="146" t="n">
        <f aca="false">Oheads!AA52</f>
        <v>1666.08</v>
      </c>
      <c r="AC103" s="146" t="n">
        <f aca="false">Oheads!AB52</f>
        <v>1666.08</v>
      </c>
      <c r="AD103" s="146" t="n">
        <f aca="false">SUM(R103:AC103)</f>
        <v>19992.96</v>
      </c>
      <c r="AF103" s="293"/>
      <c r="AG103" s="146" t="n">
        <f aca="false">Oheads!AE52</f>
        <v>1766.0448</v>
      </c>
      <c r="AH103" s="146" t="n">
        <f aca="false">Oheads!AF52</f>
        <v>1766.0448</v>
      </c>
      <c r="AI103" s="146" t="n">
        <f aca="false">Oheads!AG52</f>
        <v>1766.0448</v>
      </c>
      <c r="AJ103" s="146" t="n">
        <f aca="false">Oheads!AH52</f>
        <v>1766.0448</v>
      </c>
      <c r="AK103" s="146" t="n">
        <f aca="false">Oheads!AI52</f>
        <v>1766.0448</v>
      </c>
      <c r="AL103" s="146" t="n">
        <f aca="false">Oheads!AJ52</f>
        <v>1766.0448</v>
      </c>
      <c r="AM103" s="146" t="n">
        <f aca="false">Oheads!AK52</f>
        <v>1766.0448</v>
      </c>
      <c r="AN103" s="146" t="n">
        <f aca="false">Oheads!AL52</f>
        <v>1766.0448</v>
      </c>
      <c r="AO103" s="146" t="n">
        <f aca="false">Oheads!AM52</f>
        <v>1766.0448</v>
      </c>
      <c r="AP103" s="146" t="n">
        <f aca="false">Oheads!AN52</f>
        <v>1766.0448</v>
      </c>
      <c r="AQ103" s="146" t="n">
        <f aca="false">Oheads!AO52</f>
        <v>1766.0448</v>
      </c>
      <c r="AR103" s="146" t="n">
        <f aca="false">Oheads!AP52</f>
        <v>1766.0448</v>
      </c>
      <c r="AS103" s="146" t="n">
        <f aca="false">SUM(AG103:AR103)</f>
        <v>21192.5376</v>
      </c>
    </row>
    <row r="104" customFormat="false" ht="13.2" hidden="false" customHeight="false" outlineLevel="0" collapsed="false">
      <c r="A104" s="137" t="s">
        <v>919</v>
      </c>
      <c r="B104" s="170" t="str">
        <f aca="false">'P&amp;L$'!B105</f>
        <v>Customs Expenses</v>
      </c>
      <c r="C104" s="146" t="n">
        <f aca="false">Oheads!C53</f>
        <v>1100</v>
      </c>
      <c r="D104" s="146" t="n">
        <f aca="false">Oheads!D53</f>
        <v>1100</v>
      </c>
      <c r="E104" s="146" t="n">
        <f aca="false">Oheads!E53</f>
        <v>1100</v>
      </c>
      <c r="F104" s="146" t="n">
        <f aca="false">Oheads!F53</f>
        <v>1100</v>
      </c>
      <c r="G104" s="146" t="n">
        <f aca="false">Oheads!G53</f>
        <v>1100</v>
      </c>
      <c r="H104" s="146" t="n">
        <f aca="false">Oheads!H53</f>
        <v>1100</v>
      </c>
      <c r="I104" s="146" t="n">
        <f aca="false">Oheads!I53</f>
        <v>1100</v>
      </c>
      <c r="J104" s="146" t="n">
        <f aca="false">Oheads!J53</f>
        <v>1100</v>
      </c>
      <c r="K104" s="146" t="n">
        <f aca="false">Oheads!K53</f>
        <v>1100</v>
      </c>
      <c r="L104" s="146" t="n">
        <f aca="false">Oheads!L53</f>
        <v>1100</v>
      </c>
      <c r="M104" s="146" t="n">
        <f aca="false">Oheads!M53</f>
        <v>1100</v>
      </c>
      <c r="N104" s="146" t="n">
        <f aca="false">Oheads!N53</f>
        <v>1100</v>
      </c>
      <c r="O104" s="146" t="n">
        <f aca="false">SUM(C104:N104)</f>
        <v>13200</v>
      </c>
      <c r="Q104" s="293"/>
      <c r="R104" s="146" t="n">
        <f aca="false">Oheads!Q53</f>
        <v>1144</v>
      </c>
      <c r="S104" s="146" t="n">
        <f aca="false">Oheads!R53</f>
        <v>1144</v>
      </c>
      <c r="T104" s="146" t="n">
        <f aca="false">Oheads!S53</f>
        <v>1144</v>
      </c>
      <c r="U104" s="146" t="n">
        <f aca="false">Oheads!T53</f>
        <v>1144</v>
      </c>
      <c r="V104" s="146" t="n">
        <f aca="false">Oheads!U53</f>
        <v>1144</v>
      </c>
      <c r="W104" s="146" t="n">
        <f aca="false">Oheads!V53</f>
        <v>1144</v>
      </c>
      <c r="X104" s="146" t="n">
        <f aca="false">Oheads!W53</f>
        <v>1144</v>
      </c>
      <c r="Y104" s="146" t="n">
        <f aca="false">Oheads!X53</f>
        <v>1144</v>
      </c>
      <c r="Z104" s="146" t="n">
        <f aca="false">Oheads!Y53</f>
        <v>1144</v>
      </c>
      <c r="AA104" s="146" t="n">
        <f aca="false">Oheads!Z53</f>
        <v>1144</v>
      </c>
      <c r="AB104" s="146" t="n">
        <f aca="false">Oheads!AA53</f>
        <v>1144</v>
      </c>
      <c r="AC104" s="146" t="n">
        <f aca="false">Oheads!AB53</f>
        <v>1144</v>
      </c>
      <c r="AD104" s="146" t="n">
        <f aca="false">SUM(R104:AC104)</f>
        <v>13728</v>
      </c>
      <c r="AF104" s="293"/>
      <c r="AG104" s="146" t="n">
        <f aca="false">Oheads!AE53</f>
        <v>1212.64</v>
      </c>
      <c r="AH104" s="146" t="n">
        <f aca="false">Oheads!AF53</f>
        <v>1212.64</v>
      </c>
      <c r="AI104" s="146" t="n">
        <f aca="false">Oheads!AG53</f>
        <v>1212.64</v>
      </c>
      <c r="AJ104" s="146" t="n">
        <f aca="false">Oheads!AH53</f>
        <v>1212.64</v>
      </c>
      <c r="AK104" s="146" t="n">
        <f aca="false">Oheads!AI53</f>
        <v>1212.64</v>
      </c>
      <c r="AL104" s="146" t="n">
        <f aca="false">Oheads!AJ53</f>
        <v>1212.64</v>
      </c>
      <c r="AM104" s="146" t="n">
        <f aca="false">Oheads!AK53</f>
        <v>1212.64</v>
      </c>
      <c r="AN104" s="146" t="n">
        <f aca="false">Oheads!AL53</f>
        <v>1212.64</v>
      </c>
      <c r="AO104" s="146" t="n">
        <f aca="false">Oheads!AM53</f>
        <v>1212.64</v>
      </c>
      <c r="AP104" s="146" t="n">
        <f aca="false">Oheads!AN53</f>
        <v>1212.64</v>
      </c>
      <c r="AQ104" s="146" t="n">
        <f aca="false">Oheads!AO53</f>
        <v>1212.64</v>
      </c>
      <c r="AR104" s="146" t="n">
        <f aca="false">Oheads!AP53</f>
        <v>1212.64</v>
      </c>
      <c r="AS104" s="146" t="n">
        <f aca="false">SUM(AG104:AR104)</f>
        <v>14551.68</v>
      </c>
    </row>
    <row r="105" customFormat="false" ht="13.2" hidden="false" customHeight="false" outlineLevel="0" collapsed="false">
      <c r="A105" s="137" t="s">
        <v>921</v>
      </c>
      <c r="B105" s="170" t="str">
        <f aca="false">'P&amp;L$'!B106</f>
        <v>Customs Agency Charges</v>
      </c>
      <c r="C105" s="146" t="n">
        <f aca="false">Oheads!C54</f>
        <v>20</v>
      </c>
      <c r="D105" s="146" t="n">
        <f aca="false">Oheads!D54</f>
        <v>20</v>
      </c>
      <c r="E105" s="146" t="n">
        <f aca="false">Oheads!E54</f>
        <v>20</v>
      </c>
      <c r="F105" s="146" t="n">
        <f aca="false">Oheads!F54</f>
        <v>20</v>
      </c>
      <c r="G105" s="146" t="n">
        <f aca="false">Oheads!G54</f>
        <v>20</v>
      </c>
      <c r="H105" s="146" t="n">
        <f aca="false">Oheads!H54</f>
        <v>20</v>
      </c>
      <c r="I105" s="146" t="n">
        <f aca="false">Oheads!I54</f>
        <v>20</v>
      </c>
      <c r="J105" s="146" t="n">
        <f aca="false">Oheads!J54</f>
        <v>20</v>
      </c>
      <c r="K105" s="146" t="n">
        <f aca="false">Oheads!K54</f>
        <v>20</v>
      </c>
      <c r="L105" s="146" t="n">
        <f aca="false">Oheads!L54</f>
        <v>20</v>
      </c>
      <c r="M105" s="146" t="n">
        <f aca="false">Oheads!M54</f>
        <v>20</v>
      </c>
      <c r="N105" s="146" t="n">
        <f aca="false">Oheads!N54</f>
        <v>20</v>
      </c>
      <c r="O105" s="146" t="n">
        <f aca="false">SUM(C105:N105)</f>
        <v>240</v>
      </c>
      <c r="Q105" s="293"/>
      <c r="R105" s="146" t="n">
        <f aca="false">Oheads!Q54</f>
        <v>20.8</v>
      </c>
      <c r="S105" s="146" t="n">
        <f aca="false">Oheads!R54</f>
        <v>20.8</v>
      </c>
      <c r="T105" s="146" t="n">
        <f aca="false">Oheads!S54</f>
        <v>20.8</v>
      </c>
      <c r="U105" s="146" t="n">
        <f aca="false">Oheads!T54</f>
        <v>20.8</v>
      </c>
      <c r="V105" s="146" t="n">
        <f aca="false">Oheads!U54</f>
        <v>20.8</v>
      </c>
      <c r="W105" s="146" t="n">
        <f aca="false">Oheads!V54</f>
        <v>20.8</v>
      </c>
      <c r="X105" s="146" t="n">
        <f aca="false">Oheads!W54</f>
        <v>20.8</v>
      </c>
      <c r="Y105" s="146" t="n">
        <f aca="false">Oheads!X54</f>
        <v>20.8</v>
      </c>
      <c r="Z105" s="146" t="n">
        <f aca="false">Oheads!Y54</f>
        <v>20.8</v>
      </c>
      <c r="AA105" s="146" t="n">
        <f aca="false">Oheads!Z54</f>
        <v>20.8</v>
      </c>
      <c r="AB105" s="146" t="n">
        <f aca="false">Oheads!AA54</f>
        <v>20.8</v>
      </c>
      <c r="AC105" s="146" t="n">
        <f aca="false">Oheads!AB54</f>
        <v>20.8</v>
      </c>
      <c r="AD105" s="146" t="n">
        <f aca="false">SUM(R105:AC105)</f>
        <v>249.6</v>
      </c>
      <c r="AF105" s="293"/>
      <c r="AG105" s="146" t="n">
        <f aca="false">Oheads!AE54</f>
        <v>22.048</v>
      </c>
      <c r="AH105" s="146" t="n">
        <f aca="false">Oheads!AF54</f>
        <v>22.048</v>
      </c>
      <c r="AI105" s="146" t="n">
        <f aca="false">Oheads!AG54</f>
        <v>22.048</v>
      </c>
      <c r="AJ105" s="146" t="n">
        <f aca="false">Oheads!AH54</f>
        <v>22.048</v>
      </c>
      <c r="AK105" s="146" t="n">
        <f aca="false">Oheads!AI54</f>
        <v>22.048</v>
      </c>
      <c r="AL105" s="146" t="n">
        <f aca="false">Oheads!AJ54</f>
        <v>22.048</v>
      </c>
      <c r="AM105" s="146" t="n">
        <f aca="false">Oheads!AK54</f>
        <v>22.048</v>
      </c>
      <c r="AN105" s="146" t="n">
        <f aca="false">Oheads!AL54</f>
        <v>22.048</v>
      </c>
      <c r="AO105" s="146" t="n">
        <f aca="false">Oheads!AM54</f>
        <v>22.048</v>
      </c>
      <c r="AP105" s="146" t="n">
        <f aca="false">Oheads!AN54</f>
        <v>22.048</v>
      </c>
      <c r="AQ105" s="146" t="n">
        <f aca="false">Oheads!AO54</f>
        <v>22.048</v>
      </c>
      <c r="AR105" s="146" t="n">
        <f aca="false">Oheads!AP54</f>
        <v>22.048</v>
      </c>
      <c r="AS105" s="146" t="n">
        <f aca="false">SUM(AG105:AR105)</f>
        <v>264.576</v>
      </c>
    </row>
    <row r="106" customFormat="false" ht="13.2" hidden="false" customHeight="false" outlineLevel="0" collapsed="false">
      <c r="A106" s="137" t="s">
        <v>923</v>
      </c>
      <c r="B106" s="170" t="str">
        <f aca="false">'P&amp;L$'!B107</f>
        <v>Unrecoverable Vat</v>
      </c>
      <c r="C106" s="146" t="n">
        <f aca="false">Oheads!C55</f>
        <v>100</v>
      </c>
      <c r="D106" s="146" t="n">
        <f aca="false">Oheads!D55</f>
        <v>100</v>
      </c>
      <c r="E106" s="146" t="n">
        <f aca="false">Oheads!E55</f>
        <v>100</v>
      </c>
      <c r="F106" s="146" t="n">
        <f aca="false">Oheads!F55</f>
        <v>100</v>
      </c>
      <c r="G106" s="146" t="n">
        <f aca="false">Oheads!G55</f>
        <v>100</v>
      </c>
      <c r="H106" s="146" t="n">
        <f aca="false">Oheads!H55</f>
        <v>100</v>
      </c>
      <c r="I106" s="146" t="n">
        <f aca="false">Oheads!I55</f>
        <v>100</v>
      </c>
      <c r="J106" s="146" t="n">
        <f aca="false">Oheads!J55</f>
        <v>100</v>
      </c>
      <c r="K106" s="146" t="n">
        <f aca="false">Oheads!K55</f>
        <v>100</v>
      </c>
      <c r="L106" s="146" t="n">
        <f aca="false">Oheads!L55</f>
        <v>100</v>
      </c>
      <c r="M106" s="146" t="n">
        <f aca="false">Oheads!M55</f>
        <v>100</v>
      </c>
      <c r="N106" s="146" t="n">
        <f aca="false">Oheads!N55</f>
        <v>100</v>
      </c>
      <c r="O106" s="146" t="n">
        <f aca="false">SUM(C106:N106)</f>
        <v>1200</v>
      </c>
      <c r="Q106" s="293"/>
      <c r="R106" s="146" t="n">
        <f aca="false">Oheads!Q55</f>
        <v>104</v>
      </c>
      <c r="S106" s="146" t="n">
        <f aca="false">Oheads!R55</f>
        <v>104</v>
      </c>
      <c r="T106" s="146" t="n">
        <f aca="false">Oheads!S55</f>
        <v>104</v>
      </c>
      <c r="U106" s="146" t="n">
        <f aca="false">Oheads!T55</f>
        <v>104</v>
      </c>
      <c r="V106" s="146" t="n">
        <f aca="false">Oheads!U55</f>
        <v>104</v>
      </c>
      <c r="W106" s="146" t="n">
        <f aca="false">Oheads!V55</f>
        <v>104</v>
      </c>
      <c r="X106" s="146" t="n">
        <f aca="false">Oheads!W55</f>
        <v>104</v>
      </c>
      <c r="Y106" s="146" t="n">
        <f aca="false">Oheads!X55</f>
        <v>104</v>
      </c>
      <c r="Z106" s="146" t="n">
        <f aca="false">Oheads!Y55</f>
        <v>104</v>
      </c>
      <c r="AA106" s="146" t="n">
        <f aca="false">Oheads!Z55</f>
        <v>104</v>
      </c>
      <c r="AB106" s="146" t="n">
        <f aca="false">Oheads!AA55</f>
        <v>104</v>
      </c>
      <c r="AC106" s="146" t="n">
        <f aca="false">Oheads!AB55</f>
        <v>104</v>
      </c>
      <c r="AD106" s="146" t="n">
        <f aca="false">SUM(R106:AC106)</f>
        <v>1248</v>
      </c>
      <c r="AF106" s="293"/>
      <c r="AG106" s="146" t="n">
        <f aca="false">Oheads!AE55</f>
        <v>110.24</v>
      </c>
      <c r="AH106" s="146" t="n">
        <f aca="false">Oheads!AF55</f>
        <v>110.24</v>
      </c>
      <c r="AI106" s="146" t="n">
        <f aca="false">Oheads!AG55</f>
        <v>110.24</v>
      </c>
      <c r="AJ106" s="146" t="n">
        <f aca="false">Oheads!AH55</f>
        <v>110.24</v>
      </c>
      <c r="AK106" s="146" t="n">
        <f aca="false">Oheads!AI55</f>
        <v>110.24</v>
      </c>
      <c r="AL106" s="146" t="n">
        <f aca="false">Oheads!AJ55</f>
        <v>110.24</v>
      </c>
      <c r="AM106" s="146" t="n">
        <f aca="false">Oheads!AK55</f>
        <v>110.24</v>
      </c>
      <c r="AN106" s="146" t="n">
        <f aca="false">Oheads!AL55</f>
        <v>110.24</v>
      </c>
      <c r="AO106" s="146" t="n">
        <f aca="false">Oheads!AM55</f>
        <v>110.24</v>
      </c>
      <c r="AP106" s="146" t="n">
        <f aca="false">Oheads!AN55</f>
        <v>110.24</v>
      </c>
      <c r="AQ106" s="146" t="n">
        <f aca="false">Oheads!AO55</f>
        <v>110.24</v>
      </c>
      <c r="AR106" s="146" t="n">
        <f aca="false">Oheads!AP55</f>
        <v>110.24</v>
      </c>
      <c r="AS106" s="146" t="n">
        <f aca="false">SUM(AG106:AR106)</f>
        <v>1322.88</v>
      </c>
    </row>
    <row r="107" customFormat="false" ht="13.2" hidden="false" customHeight="false" outlineLevel="0" collapsed="false">
      <c r="A107" s="137" t="s">
        <v>925</v>
      </c>
      <c r="B107" s="170" t="str">
        <f aca="false">'P&amp;L$'!B108</f>
        <v>VAT on Imported Services</v>
      </c>
      <c r="C107" s="146" t="n">
        <f aca="false">Oheads!C56</f>
        <v>750</v>
      </c>
      <c r="D107" s="146" t="n">
        <f aca="false">Oheads!D56</f>
        <v>750</v>
      </c>
      <c r="E107" s="146" t="n">
        <f aca="false">Oheads!E56</f>
        <v>750</v>
      </c>
      <c r="F107" s="146" t="n">
        <f aca="false">Oheads!F56</f>
        <v>750</v>
      </c>
      <c r="G107" s="146" t="n">
        <f aca="false">Oheads!G56</f>
        <v>750</v>
      </c>
      <c r="H107" s="146" t="n">
        <f aca="false">Oheads!H56</f>
        <v>750</v>
      </c>
      <c r="I107" s="146" t="n">
        <f aca="false">Oheads!I56</f>
        <v>750</v>
      </c>
      <c r="J107" s="146" t="n">
        <f aca="false">Oheads!J56</f>
        <v>750</v>
      </c>
      <c r="K107" s="146" t="n">
        <f aca="false">Oheads!K56</f>
        <v>750</v>
      </c>
      <c r="L107" s="146" t="n">
        <f aca="false">Oheads!L56</f>
        <v>750</v>
      </c>
      <c r="M107" s="146" t="n">
        <f aca="false">Oheads!M56</f>
        <v>750</v>
      </c>
      <c r="N107" s="146" t="n">
        <f aca="false">Oheads!N56</f>
        <v>750</v>
      </c>
      <c r="O107" s="146" t="n">
        <f aca="false">SUM(C107:N107)</f>
        <v>9000</v>
      </c>
      <c r="Q107" s="293"/>
      <c r="R107" s="146" t="n">
        <f aca="false">Oheads!Q56</f>
        <v>780</v>
      </c>
      <c r="S107" s="146" t="n">
        <f aca="false">Oheads!R56</f>
        <v>780</v>
      </c>
      <c r="T107" s="146" t="n">
        <f aca="false">Oheads!S56</f>
        <v>780</v>
      </c>
      <c r="U107" s="146" t="n">
        <f aca="false">Oheads!T56</f>
        <v>780</v>
      </c>
      <c r="V107" s="146" t="n">
        <f aca="false">Oheads!U56</f>
        <v>780</v>
      </c>
      <c r="W107" s="146" t="n">
        <f aca="false">Oheads!V56</f>
        <v>780</v>
      </c>
      <c r="X107" s="146" t="n">
        <f aca="false">Oheads!W56</f>
        <v>780</v>
      </c>
      <c r="Y107" s="146" t="n">
        <f aca="false">Oheads!X56</f>
        <v>780</v>
      </c>
      <c r="Z107" s="146" t="n">
        <f aca="false">Oheads!Y56</f>
        <v>780</v>
      </c>
      <c r="AA107" s="146" t="n">
        <f aca="false">Oheads!Z56</f>
        <v>780</v>
      </c>
      <c r="AB107" s="146" t="n">
        <f aca="false">Oheads!AA56</f>
        <v>780</v>
      </c>
      <c r="AC107" s="146" t="n">
        <f aca="false">Oheads!AB56</f>
        <v>780</v>
      </c>
      <c r="AD107" s="146" t="n">
        <f aca="false">SUM(R107:AC107)</f>
        <v>9360</v>
      </c>
      <c r="AF107" s="293"/>
      <c r="AG107" s="146" t="n">
        <f aca="false">Oheads!AE56</f>
        <v>826.8</v>
      </c>
      <c r="AH107" s="146" t="n">
        <f aca="false">Oheads!AF56</f>
        <v>826.8</v>
      </c>
      <c r="AI107" s="146" t="n">
        <f aca="false">Oheads!AG56</f>
        <v>826.8</v>
      </c>
      <c r="AJ107" s="146" t="n">
        <f aca="false">Oheads!AH56</f>
        <v>826.8</v>
      </c>
      <c r="AK107" s="146" t="n">
        <f aca="false">Oheads!AI56</f>
        <v>826.8</v>
      </c>
      <c r="AL107" s="146" t="n">
        <f aca="false">Oheads!AJ56</f>
        <v>826.8</v>
      </c>
      <c r="AM107" s="146" t="n">
        <f aca="false">Oheads!AK56</f>
        <v>826.8</v>
      </c>
      <c r="AN107" s="146" t="n">
        <f aca="false">Oheads!AL56</f>
        <v>826.8</v>
      </c>
      <c r="AO107" s="146" t="n">
        <f aca="false">Oheads!AM56</f>
        <v>826.8</v>
      </c>
      <c r="AP107" s="146" t="n">
        <f aca="false">Oheads!AN56</f>
        <v>826.8</v>
      </c>
      <c r="AQ107" s="146" t="n">
        <f aca="false">Oheads!AO56</f>
        <v>826.8</v>
      </c>
      <c r="AR107" s="146" t="n">
        <f aca="false">Oheads!AP56</f>
        <v>826.8</v>
      </c>
      <c r="AS107" s="146" t="n">
        <f aca="false">SUM(AG107:AR107)</f>
        <v>9921.6</v>
      </c>
    </row>
    <row r="108" customFormat="false" ht="13.2" hidden="false" customHeight="false" outlineLevel="0" collapsed="false">
      <c r="A108" s="137" t="s">
        <v>927</v>
      </c>
      <c r="B108" s="170" t="str">
        <f aca="false">'P&amp;L$'!B109</f>
        <v>VAT on representation</v>
      </c>
      <c r="C108" s="146" t="n">
        <f aca="false">Oheads!C57</f>
        <v>900</v>
      </c>
      <c r="D108" s="146" t="n">
        <f aca="false">Oheads!D57</f>
        <v>900</v>
      </c>
      <c r="E108" s="146" t="n">
        <f aca="false">Oheads!E57</f>
        <v>900</v>
      </c>
      <c r="F108" s="146" t="n">
        <f aca="false">Oheads!F57</f>
        <v>900</v>
      </c>
      <c r="G108" s="146" t="n">
        <f aca="false">Oheads!G57</f>
        <v>900</v>
      </c>
      <c r="H108" s="146" t="n">
        <f aca="false">Oheads!H57</f>
        <v>900</v>
      </c>
      <c r="I108" s="146" t="n">
        <f aca="false">Oheads!I57</f>
        <v>900</v>
      </c>
      <c r="J108" s="146" t="n">
        <f aca="false">Oheads!J57</f>
        <v>900</v>
      </c>
      <c r="K108" s="146" t="n">
        <f aca="false">Oheads!K57</f>
        <v>900</v>
      </c>
      <c r="L108" s="146" t="n">
        <f aca="false">Oheads!L57</f>
        <v>900</v>
      </c>
      <c r="M108" s="146" t="n">
        <f aca="false">Oheads!M57</f>
        <v>900</v>
      </c>
      <c r="N108" s="146" t="n">
        <f aca="false">Oheads!N57</f>
        <v>900</v>
      </c>
      <c r="O108" s="146" t="n">
        <f aca="false">SUM(C108:N108)</f>
        <v>10800</v>
      </c>
      <c r="Q108" s="293"/>
      <c r="R108" s="146" t="n">
        <f aca="false">Oheads!Q57</f>
        <v>936</v>
      </c>
      <c r="S108" s="146" t="n">
        <f aca="false">Oheads!R57</f>
        <v>936</v>
      </c>
      <c r="T108" s="146" t="n">
        <f aca="false">Oheads!S57</f>
        <v>936</v>
      </c>
      <c r="U108" s="146" t="n">
        <f aca="false">Oheads!T57</f>
        <v>936</v>
      </c>
      <c r="V108" s="146" t="n">
        <f aca="false">Oheads!U57</f>
        <v>936</v>
      </c>
      <c r="W108" s="146" t="n">
        <f aca="false">Oheads!V57</f>
        <v>936</v>
      </c>
      <c r="X108" s="146" t="n">
        <f aca="false">Oheads!W57</f>
        <v>936</v>
      </c>
      <c r="Y108" s="146" t="n">
        <f aca="false">Oheads!X57</f>
        <v>936</v>
      </c>
      <c r="Z108" s="146" t="n">
        <f aca="false">Oheads!Y57</f>
        <v>936</v>
      </c>
      <c r="AA108" s="146" t="n">
        <f aca="false">Oheads!Z57</f>
        <v>936</v>
      </c>
      <c r="AB108" s="146" t="n">
        <f aca="false">Oheads!AA57</f>
        <v>936</v>
      </c>
      <c r="AC108" s="146" t="n">
        <f aca="false">Oheads!AB57</f>
        <v>936</v>
      </c>
      <c r="AD108" s="146" t="n">
        <f aca="false">SUM(R108:AC108)</f>
        <v>11232</v>
      </c>
      <c r="AF108" s="293"/>
      <c r="AG108" s="146" t="n">
        <f aca="false">Oheads!AE57</f>
        <v>992.16</v>
      </c>
      <c r="AH108" s="146" t="n">
        <f aca="false">Oheads!AF57</f>
        <v>992.16</v>
      </c>
      <c r="AI108" s="146" t="n">
        <f aca="false">Oheads!AG57</f>
        <v>992.16</v>
      </c>
      <c r="AJ108" s="146" t="n">
        <f aca="false">Oheads!AH57</f>
        <v>992.16</v>
      </c>
      <c r="AK108" s="146" t="n">
        <f aca="false">Oheads!AI57</f>
        <v>992.16</v>
      </c>
      <c r="AL108" s="146" t="n">
        <f aca="false">Oheads!AJ57</f>
        <v>992.16</v>
      </c>
      <c r="AM108" s="146" t="n">
        <f aca="false">Oheads!AK57</f>
        <v>992.16</v>
      </c>
      <c r="AN108" s="146" t="n">
        <f aca="false">Oheads!AL57</f>
        <v>992.16</v>
      </c>
      <c r="AO108" s="146" t="n">
        <f aca="false">Oheads!AM57</f>
        <v>992.16</v>
      </c>
      <c r="AP108" s="146" t="n">
        <f aca="false">Oheads!AN57</f>
        <v>992.16</v>
      </c>
      <c r="AQ108" s="146" t="n">
        <f aca="false">Oheads!AO57</f>
        <v>992.16</v>
      </c>
      <c r="AR108" s="146" t="n">
        <f aca="false">Oheads!AP57</f>
        <v>992.16</v>
      </c>
      <c r="AS108" s="146" t="n">
        <f aca="false">SUM(AG108:AR108)</f>
        <v>11905.92</v>
      </c>
    </row>
    <row r="109" customFormat="false" ht="13.2" hidden="true" customHeight="false" outlineLevel="0" collapsed="false">
      <c r="A109" s="137" t="s">
        <v>929</v>
      </c>
      <c r="B109" s="205" t="str">
        <f aca="false">'P&amp;L$'!B110</f>
        <v>VAT Należny Od Darowizny</v>
      </c>
      <c r="C109" s="146" t="n">
        <f aca="false">Oheads!C58</f>
        <v>0</v>
      </c>
      <c r="D109" s="146" t="n">
        <f aca="false">Oheads!D58</f>
        <v>0</v>
      </c>
      <c r="E109" s="146" t="n">
        <f aca="false">Oheads!E58</f>
        <v>0</v>
      </c>
      <c r="F109" s="146" t="n">
        <f aca="false">Oheads!F58</f>
        <v>0</v>
      </c>
      <c r="G109" s="146" t="n">
        <f aca="false">Oheads!G58</f>
        <v>0</v>
      </c>
      <c r="H109" s="146" t="n">
        <f aca="false">Oheads!H58</f>
        <v>0</v>
      </c>
      <c r="I109" s="146" t="n">
        <f aca="false">Oheads!I58</f>
        <v>0</v>
      </c>
      <c r="J109" s="146" t="n">
        <f aca="false">Oheads!J58</f>
        <v>0</v>
      </c>
      <c r="K109" s="146" t="n">
        <f aca="false">Oheads!K58</f>
        <v>0</v>
      </c>
      <c r="L109" s="146" t="n">
        <f aca="false">Oheads!L58</f>
        <v>0</v>
      </c>
      <c r="M109" s="146" t="n">
        <f aca="false">Oheads!M58</f>
        <v>0</v>
      </c>
      <c r="N109" s="146" t="n">
        <f aca="false">Oheads!N58</f>
        <v>0</v>
      </c>
      <c r="O109" s="146" t="n">
        <f aca="false">SUM(C109:N109)</f>
        <v>0</v>
      </c>
      <c r="Q109" s="293"/>
      <c r="R109" s="146" t="n">
        <f aca="false">Oheads!Q58</f>
        <v>0</v>
      </c>
      <c r="S109" s="146" t="n">
        <f aca="false">Oheads!R58</f>
        <v>0</v>
      </c>
      <c r="T109" s="146" t="n">
        <f aca="false">Oheads!S58</f>
        <v>0</v>
      </c>
      <c r="U109" s="146" t="n">
        <f aca="false">Oheads!T58</f>
        <v>0</v>
      </c>
      <c r="V109" s="146" t="n">
        <f aca="false">Oheads!U58</f>
        <v>0</v>
      </c>
      <c r="W109" s="146" t="n">
        <f aca="false">Oheads!V58</f>
        <v>0</v>
      </c>
      <c r="X109" s="146" t="n">
        <f aca="false">Oheads!W58</f>
        <v>0</v>
      </c>
      <c r="Y109" s="146" t="n">
        <f aca="false">Oheads!X58</f>
        <v>0</v>
      </c>
      <c r="Z109" s="146" t="n">
        <f aca="false">Oheads!Y58</f>
        <v>0</v>
      </c>
      <c r="AA109" s="146" t="n">
        <f aca="false">Oheads!Z58</f>
        <v>0</v>
      </c>
      <c r="AB109" s="146" t="n">
        <f aca="false">Oheads!AA58</f>
        <v>0</v>
      </c>
      <c r="AC109" s="146" t="n">
        <f aca="false">Oheads!AB58</f>
        <v>0</v>
      </c>
      <c r="AD109" s="146" t="n">
        <f aca="false">SUM(R109:AC109)</f>
        <v>0</v>
      </c>
      <c r="AF109" s="293"/>
      <c r="AG109" s="146" t="n">
        <f aca="false">Oheads!AE58</f>
        <v>0</v>
      </c>
      <c r="AH109" s="146" t="n">
        <f aca="false">Oheads!AF58</f>
        <v>0</v>
      </c>
      <c r="AI109" s="146" t="n">
        <f aca="false">Oheads!AG58</f>
        <v>0</v>
      </c>
      <c r="AJ109" s="146" t="n">
        <f aca="false">Oheads!AH58</f>
        <v>0</v>
      </c>
      <c r="AK109" s="146" t="n">
        <f aca="false">Oheads!AI58</f>
        <v>0</v>
      </c>
      <c r="AL109" s="146" t="n">
        <f aca="false">Oheads!AJ58</f>
        <v>0</v>
      </c>
      <c r="AM109" s="146" t="n">
        <f aca="false">Oheads!AK58</f>
        <v>0</v>
      </c>
      <c r="AN109" s="146" t="n">
        <f aca="false">Oheads!AL58</f>
        <v>0</v>
      </c>
      <c r="AO109" s="146" t="n">
        <f aca="false">Oheads!AM58</f>
        <v>0</v>
      </c>
      <c r="AP109" s="146" t="n">
        <f aca="false">Oheads!AN58</f>
        <v>0</v>
      </c>
      <c r="AQ109" s="146" t="n">
        <f aca="false">Oheads!AO58</f>
        <v>0</v>
      </c>
      <c r="AR109" s="146" t="n">
        <f aca="false">Oheads!AP58</f>
        <v>0</v>
      </c>
      <c r="AS109" s="146" t="n">
        <f aca="false">SUM(AG109:AR109)</f>
        <v>0</v>
      </c>
    </row>
    <row r="110" customFormat="false" ht="13.2" hidden="false" customHeight="false" outlineLevel="0" collapsed="false">
      <c r="A110" s="137" t="s">
        <v>931</v>
      </c>
      <c r="B110" s="170" t="str">
        <f aca="false">'P&amp;L$'!B111</f>
        <v>Other Taxes &amp; Fees</v>
      </c>
      <c r="C110" s="146" t="n">
        <f aca="false">Oheads!C59</f>
        <v>1250</v>
      </c>
      <c r="D110" s="146" t="n">
        <f aca="false">Oheads!D59</f>
        <v>1250</v>
      </c>
      <c r="E110" s="146" t="n">
        <f aca="false">Oheads!E59</f>
        <v>1250</v>
      </c>
      <c r="F110" s="146" t="n">
        <f aca="false">Oheads!F59</f>
        <v>1250</v>
      </c>
      <c r="G110" s="146" t="n">
        <f aca="false">Oheads!G59</f>
        <v>1250</v>
      </c>
      <c r="H110" s="146" t="n">
        <f aca="false">Oheads!H59</f>
        <v>1250</v>
      </c>
      <c r="I110" s="146" t="n">
        <f aca="false">Oheads!I59</f>
        <v>1250</v>
      </c>
      <c r="J110" s="146" t="n">
        <f aca="false">Oheads!J59</f>
        <v>1250</v>
      </c>
      <c r="K110" s="146" t="n">
        <f aca="false">Oheads!K59</f>
        <v>1250</v>
      </c>
      <c r="L110" s="146" t="n">
        <f aca="false">Oheads!L59</f>
        <v>1250</v>
      </c>
      <c r="M110" s="146" t="n">
        <f aca="false">Oheads!M59</f>
        <v>1250</v>
      </c>
      <c r="N110" s="146" t="n">
        <f aca="false">Oheads!N59</f>
        <v>1250</v>
      </c>
      <c r="O110" s="146" t="n">
        <f aca="false">SUM(C110:N110)</f>
        <v>15000</v>
      </c>
      <c r="Q110" s="293"/>
      <c r="R110" s="146" t="n">
        <f aca="false">Oheads!Q59</f>
        <v>1300</v>
      </c>
      <c r="S110" s="146" t="n">
        <f aca="false">Oheads!R59</f>
        <v>1300</v>
      </c>
      <c r="T110" s="146" t="n">
        <f aca="false">Oheads!S59</f>
        <v>1300</v>
      </c>
      <c r="U110" s="146" t="n">
        <f aca="false">Oheads!T59</f>
        <v>1300</v>
      </c>
      <c r="V110" s="146" t="n">
        <f aca="false">Oheads!U59</f>
        <v>1300</v>
      </c>
      <c r="W110" s="146" t="n">
        <f aca="false">Oheads!V59</f>
        <v>1300</v>
      </c>
      <c r="X110" s="146" t="n">
        <f aca="false">Oheads!W59</f>
        <v>1300</v>
      </c>
      <c r="Y110" s="146" t="n">
        <f aca="false">Oheads!X59</f>
        <v>1300</v>
      </c>
      <c r="Z110" s="146" t="n">
        <f aca="false">Oheads!Y59</f>
        <v>1300</v>
      </c>
      <c r="AA110" s="146" t="n">
        <f aca="false">Oheads!Z59</f>
        <v>1300</v>
      </c>
      <c r="AB110" s="146" t="n">
        <f aca="false">Oheads!AA59</f>
        <v>1300</v>
      </c>
      <c r="AC110" s="146" t="n">
        <f aca="false">Oheads!AB59</f>
        <v>1300</v>
      </c>
      <c r="AD110" s="146" t="n">
        <f aca="false">SUM(R110:AC110)</f>
        <v>15600</v>
      </c>
      <c r="AF110" s="293"/>
      <c r="AG110" s="146" t="n">
        <f aca="false">Oheads!AE59</f>
        <v>1378</v>
      </c>
      <c r="AH110" s="146" t="n">
        <f aca="false">Oheads!AF59</f>
        <v>1378</v>
      </c>
      <c r="AI110" s="146" t="n">
        <f aca="false">Oheads!AG59</f>
        <v>1378</v>
      </c>
      <c r="AJ110" s="146" t="n">
        <f aca="false">Oheads!AH59</f>
        <v>1378</v>
      </c>
      <c r="AK110" s="146" t="n">
        <f aca="false">Oheads!AI59</f>
        <v>1378</v>
      </c>
      <c r="AL110" s="146" t="n">
        <f aca="false">Oheads!AJ59</f>
        <v>1378</v>
      </c>
      <c r="AM110" s="146" t="n">
        <f aca="false">Oheads!AK59</f>
        <v>1378</v>
      </c>
      <c r="AN110" s="146" t="n">
        <f aca="false">Oheads!AL59</f>
        <v>1378</v>
      </c>
      <c r="AO110" s="146" t="n">
        <f aca="false">Oheads!AM59</f>
        <v>1378</v>
      </c>
      <c r="AP110" s="146" t="n">
        <f aca="false">Oheads!AN59</f>
        <v>1378</v>
      </c>
      <c r="AQ110" s="146" t="n">
        <f aca="false">Oheads!AO59</f>
        <v>1378</v>
      </c>
      <c r="AR110" s="146" t="n">
        <f aca="false">Oheads!AP59</f>
        <v>1378</v>
      </c>
      <c r="AS110" s="146" t="n">
        <f aca="false">SUM(AG110:AR110)</f>
        <v>16536</v>
      </c>
    </row>
    <row r="111" customFormat="false" ht="13.8" hidden="false" customHeight="false" outlineLevel="0" collapsed="false">
      <c r="A111" s="137"/>
      <c r="B111" s="285" t="s">
        <v>66</v>
      </c>
      <c r="C111" s="353" t="n">
        <f aca="false">SUM(C97:C110)</f>
        <v>114181</v>
      </c>
      <c r="D111" s="353" t="n">
        <f aca="false">SUM(D97:D110)</f>
        <v>114181</v>
      </c>
      <c r="E111" s="353" t="n">
        <f aca="false">SUM(E97:E110)</f>
        <v>114181</v>
      </c>
      <c r="F111" s="353" t="n">
        <f aca="false">SUM(F97:F110)</f>
        <v>114181</v>
      </c>
      <c r="G111" s="353" t="n">
        <f aca="false">SUM(G97:G110)</f>
        <v>114181</v>
      </c>
      <c r="H111" s="353" t="n">
        <f aca="false">SUM(H97:H110)</f>
        <v>114181</v>
      </c>
      <c r="I111" s="353" t="n">
        <f aca="false">SUM(I97:I110)</f>
        <v>114181</v>
      </c>
      <c r="J111" s="353" t="n">
        <f aca="false">SUM(J97:J110)</f>
        <v>114181</v>
      </c>
      <c r="K111" s="353" t="n">
        <f aca="false">SUM(K97:K110)</f>
        <v>114181</v>
      </c>
      <c r="L111" s="353" t="n">
        <f aca="false">SUM(L97:L110)</f>
        <v>114181</v>
      </c>
      <c r="M111" s="353" t="n">
        <f aca="false">SUM(M97:M110)</f>
        <v>114181</v>
      </c>
      <c r="N111" s="353" t="n">
        <f aca="false">SUM(N97:N110)</f>
        <v>114181</v>
      </c>
      <c r="O111" s="353" t="n">
        <f aca="false">SUM(O97:O110)</f>
        <v>1370172</v>
      </c>
      <c r="Q111" s="45"/>
      <c r="R111" s="353" t="n">
        <f aca="false">SUM(R97:R110)</f>
        <v>118748.24</v>
      </c>
      <c r="S111" s="364" t="n">
        <f aca="false">SUM(S97:S110)</f>
        <v>118748.24</v>
      </c>
      <c r="T111" s="364" t="n">
        <f aca="false">SUM(T97:T110)</f>
        <v>118748.24</v>
      </c>
      <c r="U111" s="364" t="n">
        <f aca="false">SUM(U97:U110)</f>
        <v>118748.24</v>
      </c>
      <c r="V111" s="364" t="n">
        <f aca="false">SUM(V97:V110)</f>
        <v>118748.24</v>
      </c>
      <c r="W111" s="364" t="n">
        <f aca="false">SUM(W97:W110)</f>
        <v>118748.24</v>
      </c>
      <c r="X111" s="364" t="n">
        <f aca="false">SUM(X97:X110)</f>
        <v>118748.24</v>
      </c>
      <c r="Y111" s="364" t="n">
        <f aca="false">SUM(Y97:Y110)</f>
        <v>118748.24</v>
      </c>
      <c r="Z111" s="364" t="n">
        <f aca="false">SUM(Z97:Z110)</f>
        <v>118748.24</v>
      </c>
      <c r="AA111" s="364" t="n">
        <f aca="false">SUM(AA97:AA110)</f>
        <v>118748.24</v>
      </c>
      <c r="AB111" s="364" t="n">
        <f aca="false">SUM(AB97:AB110)</f>
        <v>118748.24</v>
      </c>
      <c r="AC111" s="364" t="n">
        <f aca="false">SUM(AC97:AC110)</f>
        <v>118748.24</v>
      </c>
      <c r="AD111" s="364" t="n">
        <f aca="false">SUM(AD97:AD110)</f>
        <v>1424978.88</v>
      </c>
      <c r="AF111" s="45"/>
      <c r="AG111" s="353" t="n">
        <f aca="false">SUM(AG97:AG110)</f>
        <v>125873.1344</v>
      </c>
      <c r="AH111" s="364" t="n">
        <f aca="false">SUM(AH97:AH110)</f>
        <v>125873.1344</v>
      </c>
      <c r="AI111" s="364" t="n">
        <f aca="false">SUM(AI97:AI110)</f>
        <v>125873.1344</v>
      </c>
      <c r="AJ111" s="364" t="n">
        <f aca="false">SUM(AJ97:AJ110)</f>
        <v>125873.1344</v>
      </c>
      <c r="AK111" s="364" t="n">
        <f aca="false">SUM(AK97:AK110)</f>
        <v>125873.1344</v>
      </c>
      <c r="AL111" s="364" t="n">
        <f aca="false">SUM(AL97:AL110)</f>
        <v>125873.1344</v>
      </c>
      <c r="AM111" s="364" t="n">
        <f aca="false">SUM(AM97:AM110)</f>
        <v>125873.1344</v>
      </c>
      <c r="AN111" s="364" t="n">
        <f aca="false">SUM(AN97:AN110)</f>
        <v>125873.1344</v>
      </c>
      <c r="AO111" s="364" t="n">
        <f aca="false">SUM(AO97:AO110)</f>
        <v>125873.1344</v>
      </c>
      <c r="AP111" s="364" t="n">
        <f aca="false">SUM(AP97:AP110)</f>
        <v>125873.1344</v>
      </c>
      <c r="AQ111" s="364" t="n">
        <f aca="false">SUM(AQ97:AQ110)</f>
        <v>125873.1344</v>
      </c>
      <c r="AR111" s="364" t="n">
        <f aca="false">SUM(AR97:AR110)</f>
        <v>125873.1344</v>
      </c>
      <c r="AS111" s="364" t="n">
        <f aca="false">SUM(AS97:AS110)</f>
        <v>1510477.6128</v>
      </c>
    </row>
    <row r="112" customFormat="false" ht="13.8" hidden="false" customHeight="false" outlineLevel="0" collapsed="false">
      <c r="A112" s="137"/>
      <c r="B112" s="144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Q112" s="45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F112" s="45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</row>
    <row r="113" customFormat="false" ht="13.2" hidden="false" customHeight="false" outlineLevel="0" collapsed="false">
      <c r="A113" s="141" t="s">
        <v>1039</v>
      </c>
      <c r="B113" s="144" t="str">
        <f aca="false">'P&amp;L$'!B114</f>
        <v>SALARY</v>
      </c>
      <c r="C113" s="153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5"/>
      <c r="Q113" s="144"/>
      <c r="R113" s="357" t="s">
        <v>1040</v>
      </c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5"/>
      <c r="AF113" s="144"/>
      <c r="AG113" s="357" t="s">
        <v>1040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5"/>
    </row>
    <row r="114" customFormat="false" ht="13.2" hidden="false" customHeight="false" outlineLevel="0" collapsed="false">
      <c r="A114" s="137" t="s">
        <v>1041</v>
      </c>
      <c r="B114" s="45" t="str">
        <f aca="false">'P&amp;L$'!B115</f>
        <v>Salaries</v>
      </c>
      <c r="C114" s="146" t="n">
        <f aca="false">employees!D67+employees!D74*Factors!C11+employees!D78-employees!D79</f>
        <v>617821.574801626</v>
      </c>
      <c r="D114" s="146" t="n">
        <f aca="false">employees!E67+employees!E74*Factors!D11+employees!E78</f>
        <v>311147.518199738</v>
      </c>
      <c r="E114" s="146" t="n">
        <f aca="false">employees!F67+employees!F74*Factors!E11+employees!F78</f>
        <v>311242.041382107</v>
      </c>
      <c r="F114" s="146" t="n">
        <f aca="false">employees!G67+employees!G74*Factors!F11+employees!G78</f>
        <v>311336.564564476</v>
      </c>
      <c r="G114" s="146" t="n">
        <f aca="false">employees!H67+employees!H74*Factors!G11+employees!H78</f>
        <v>311431.087746845</v>
      </c>
      <c r="H114" s="146" t="n">
        <f aca="false">employees!I67+employees!I74*Factors!H11+employees!I78</f>
        <v>311525.610929214</v>
      </c>
      <c r="I114" s="146" t="n">
        <f aca="false">employees!J67+employees!J74*Factors!I11+employees!J78</f>
        <v>311620.134111583</v>
      </c>
      <c r="J114" s="146" t="n">
        <f aca="false">employees!K67+employees!K74*Factors!J11+employees!K78</f>
        <v>311714.657293952</v>
      </c>
      <c r="K114" s="146" t="n">
        <f aca="false">employees!L67+employees!L74*Factors!K11+employees!L78</f>
        <v>311809.180476321</v>
      </c>
      <c r="L114" s="146" t="n">
        <f aca="false">employees!M67+employees!M74*Factors!L11+employees!M78</f>
        <v>311903.70365869</v>
      </c>
      <c r="M114" s="146" t="n">
        <f aca="false">employees!N67+employees!N74*Factors!M11+employees!N78</f>
        <v>311998.226841059</v>
      </c>
      <c r="N114" s="146" t="n">
        <f aca="false">employees!O67+employees!O74*Factors!N11+employees!O78</f>
        <v>312092.750023428</v>
      </c>
      <c r="O114" s="146" t="n">
        <f aca="false">SUM(C114:N114)</f>
        <v>4045643.05002904</v>
      </c>
      <c r="Q114" s="45"/>
      <c r="R114" s="146" t="n">
        <f aca="false">employees!T67+employees!T74*Factors!R11</f>
        <v>343616.674695462</v>
      </c>
      <c r="S114" s="146" t="n">
        <f aca="false">employees!U67+employees!U74*Factors!S11</f>
        <v>343931.324365152</v>
      </c>
      <c r="T114" s="146" t="n">
        <f aca="false">employees!V67+employees!V74*Factors!T11</f>
        <v>344245.974034843</v>
      </c>
      <c r="U114" s="146" t="n">
        <f aca="false">employees!W67+employees!W74*Factors!U11</f>
        <v>344560.623704534</v>
      </c>
      <c r="V114" s="146" t="n">
        <f aca="false">employees!X67+employees!X74*Factors!V11</f>
        <v>344875.273374224</v>
      </c>
      <c r="W114" s="146" t="n">
        <f aca="false">employees!Y67+employees!Y74*Factors!W11</f>
        <v>345189.923043915</v>
      </c>
      <c r="X114" s="146" t="n">
        <f aca="false">employees!Z67+employees!Z74*Factors!X11</f>
        <v>345504.572713606</v>
      </c>
      <c r="Y114" s="146" t="n">
        <f aca="false">employees!AA67+employees!AA74*Factors!Y11</f>
        <v>345819.222383297</v>
      </c>
      <c r="Z114" s="146" t="n">
        <f aca="false">employees!AB67+employees!AB74*Factors!Z11</f>
        <v>346133.872052987</v>
      </c>
      <c r="AA114" s="146" t="n">
        <f aca="false">employees!AC67+employees!AC74*Factors!AA11</f>
        <v>346448.521722678</v>
      </c>
      <c r="AB114" s="146" t="n">
        <f aca="false">employees!AD67+employees!AD74*Factors!AB11</f>
        <v>346763.171392369</v>
      </c>
      <c r="AC114" s="146" t="n">
        <f aca="false">employees!AE67+employees!AE74*Factors!AC11</f>
        <v>347077.821062059</v>
      </c>
      <c r="AD114" s="146" t="n">
        <f aca="false">SUM(R114:AC114)</f>
        <v>4144166.97454513</v>
      </c>
      <c r="AF114" s="45"/>
      <c r="AG114" s="146" t="n">
        <f aca="false">employees!AH67+employees!AH74*Factors!AG11</f>
        <v>0</v>
      </c>
      <c r="AH114" s="146" t="n">
        <f aca="false">employees!AI67+employees!AI74*Factors!AH11</f>
        <v>0</v>
      </c>
      <c r="AI114" s="146" t="n">
        <f aca="false">employees!AJ67+employees!AJ74*Factors!AI11</f>
        <v>0</v>
      </c>
      <c r="AJ114" s="146" t="n">
        <f aca="false">employees!AK67+employees!AK74*Factors!AJ11</f>
        <v>0</v>
      </c>
      <c r="AK114" s="146" t="n">
        <f aca="false">employees!AL67+employees!AL74*Factors!AK11</f>
        <v>0</v>
      </c>
      <c r="AL114" s="146" t="n">
        <f aca="false">employees!AM67+employees!AM74*Factors!AL11</f>
        <v>0</v>
      </c>
      <c r="AM114" s="146" t="n">
        <f aca="false">employees!AN67+employees!AN74*Factors!AM11</f>
        <v>0</v>
      </c>
      <c r="AN114" s="146" t="n">
        <f aca="false">employees!AO67+employees!AO74*Factors!AN11</f>
        <v>0</v>
      </c>
      <c r="AO114" s="146" t="n">
        <f aca="false">employees!AP67+employees!AP74*Factors!AO11</f>
        <v>0</v>
      </c>
      <c r="AP114" s="146" t="n">
        <f aca="false">employees!AQ67+employees!AQ74*Factors!AP11</f>
        <v>0</v>
      </c>
      <c r="AQ114" s="146" t="n">
        <f aca="false">employees!AR67+employees!AR74*Factors!AQ11</f>
        <v>0</v>
      </c>
      <c r="AR114" s="146" t="n">
        <f aca="false">employees!AS67+employees!AS74*Factors!AR11</f>
        <v>0</v>
      </c>
      <c r="AS114" s="146" t="n">
        <f aca="false">SUM(AG114:AR114)</f>
        <v>0</v>
      </c>
    </row>
    <row r="115" customFormat="false" ht="13.2" hidden="false" customHeight="false" outlineLevel="0" collapsed="false">
      <c r="A115" s="137" t="s">
        <v>1042</v>
      </c>
      <c r="B115" s="45" t="str">
        <f aca="false">'P&amp;L$'!B116</f>
        <v>Social Insurance</v>
      </c>
      <c r="C115" s="365" t="n">
        <f aca="false">employees!D68+employees!D79</f>
        <v>108240.946094694</v>
      </c>
      <c r="D115" s="365" t="n">
        <f aca="false">employees!E68</f>
        <v>43819.54434</v>
      </c>
      <c r="E115" s="365" t="n">
        <f aca="false">employees!F68</f>
        <v>43819.54434</v>
      </c>
      <c r="F115" s="365" t="n">
        <f aca="false">employees!G68</f>
        <v>43819.54434</v>
      </c>
      <c r="G115" s="365" t="n">
        <f aca="false">employees!H68</f>
        <v>43819.54434</v>
      </c>
      <c r="H115" s="365" t="n">
        <f aca="false">employees!I68</f>
        <v>43819.54434</v>
      </c>
      <c r="I115" s="365" t="n">
        <f aca="false">employees!J68</f>
        <v>43819.54434</v>
      </c>
      <c r="J115" s="365" t="n">
        <f aca="false">employees!K68</f>
        <v>43819.54434</v>
      </c>
      <c r="K115" s="365" t="n">
        <f aca="false">employees!L68</f>
        <v>43819.54434</v>
      </c>
      <c r="L115" s="365" t="n">
        <f aca="false">employees!M68</f>
        <v>43819.54434</v>
      </c>
      <c r="M115" s="365" t="n">
        <f aca="false">employees!N68</f>
        <v>43819.54434</v>
      </c>
      <c r="N115" s="365" t="n">
        <f aca="false">employees!O68</f>
        <v>43819.54434</v>
      </c>
      <c r="O115" s="365" t="n">
        <f aca="false">SUM(C115:N115)</f>
        <v>590255.933834694</v>
      </c>
      <c r="Q115" s="45"/>
      <c r="R115" s="366" t="n">
        <f aca="false">employees!T68</f>
        <v>48201.498774</v>
      </c>
      <c r="S115" s="366" t="n">
        <f aca="false">employees!U68</f>
        <v>48201.498774</v>
      </c>
      <c r="T115" s="366" t="n">
        <f aca="false">employees!V68</f>
        <v>48201.498774</v>
      </c>
      <c r="U115" s="366" t="n">
        <f aca="false">employees!W68</f>
        <v>48201.498774</v>
      </c>
      <c r="V115" s="366" t="n">
        <f aca="false">employees!X68</f>
        <v>48201.498774</v>
      </c>
      <c r="W115" s="366" t="n">
        <f aca="false">employees!Y68</f>
        <v>48201.498774</v>
      </c>
      <c r="X115" s="366" t="n">
        <f aca="false">employees!Z68</f>
        <v>48201.498774</v>
      </c>
      <c r="Y115" s="366" t="n">
        <f aca="false">employees!AA68</f>
        <v>48201.498774</v>
      </c>
      <c r="Z115" s="366" t="n">
        <f aca="false">employees!AB68</f>
        <v>48201.498774</v>
      </c>
      <c r="AA115" s="366" t="n">
        <f aca="false">employees!AC68</f>
        <v>48201.498774</v>
      </c>
      <c r="AB115" s="366" t="n">
        <f aca="false">employees!AD68</f>
        <v>48201.498774</v>
      </c>
      <c r="AC115" s="366" t="n">
        <f aca="false">employees!AE68</f>
        <v>48201.498774</v>
      </c>
      <c r="AD115" s="146" t="n">
        <f aca="false">SUM(R115:AC115)</f>
        <v>578417.985288</v>
      </c>
      <c r="AF115" s="45"/>
      <c r="AG115" s="366" t="n">
        <f aca="false">employees!AH68</f>
        <v>0</v>
      </c>
      <c r="AH115" s="366" t="n">
        <f aca="false">employees!AI68</f>
        <v>0</v>
      </c>
      <c r="AI115" s="366" t="n">
        <f aca="false">employees!AJ68</f>
        <v>0</v>
      </c>
      <c r="AJ115" s="366" t="n">
        <f aca="false">employees!AK68</f>
        <v>0</v>
      </c>
      <c r="AK115" s="366" t="n">
        <f aca="false">employees!AL68</f>
        <v>0</v>
      </c>
      <c r="AL115" s="366" t="n">
        <f aca="false">employees!AM68</f>
        <v>0</v>
      </c>
      <c r="AM115" s="366" t="n">
        <f aca="false">employees!AN68</f>
        <v>0</v>
      </c>
      <c r="AN115" s="366" t="n">
        <f aca="false">employees!AO68</f>
        <v>0</v>
      </c>
      <c r="AO115" s="366" t="n">
        <f aca="false">employees!AP68</f>
        <v>0</v>
      </c>
      <c r="AP115" s="366" t="n">
        <f aca="false">employees!AQ68</f>
        <v>0</v>
      </c>
      <c r="AQ115" s="366" t="n">
        <f aca="false">employees!AR68</f>
        <v>0</v>
      </c>
      <c r="AR115" s="366" t="n">
        <f aca="false">employees!AS68</f>
        <v>0</v>
      </c>
      <c r="AS115" s="146" t="n">
        <f aca="false">SUM(AG115:AR115)</f>
        <v>0</v>
      </c>
    </row>
    <row r="116" customFormat="false" ht="13.2" hidden="true" customHeight="false" outlineLevel="0" collapsed="false">
      <c r="A116" s="137" t="s">
        <v>1043</v>
      </c>
      <c r="B116" s="45" t="str">
        <f aca="false">'P&amp;L$'!B117</f>
        <v>Untaken Holidays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 t="n">
        <f aca="false">SUM(C116:N116)</f>
        <v>0</v>
      </c>
      <c r="Q116" s="45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 t="n">
        <f aca="false">SUM(R116:AC116)</f>
        <v>0</v>
      </c>
      <c r="AF116" s="45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 t="n">
        <f aca="false">SUM(AG116:AR116)</f>
        <v>0</v>
      </c>
    </row>
    <row r="117" customFormat="false" ht="13.2" hidden="false" customHeight="false" outlineLevel="0" collapsed="false">
      <c r="A117" s="137" t="s">
        <v>1044</v>
      </c>
      <c r="B117" s="45" t="str">
        <f aca="false">'P&amp;L$'!B118</f>
        <v>Thirteenth Salary</v>
      </c>
      <c r="C117" s="146" t="n">
        <f aca="false">employees!D69</f>
        <v>23938.4547783333</v>
      </c>
      <c r="D117" s="146" t="n">
        <f aca="false">employees!E69</f>
        <v>23938.4547783333</v>
      </c>
      <c r="E117" s="146" t="n">
        <f aca="false">employees!F69</f>
        <v>23938.4547783333</v>
      </c>
      <c r="F117" s="146" t="n">
        <f aca="false">employees!G69</f>
        <v>23938.4547783333</v>
      </c>
      <c r="G117" s="146" t="n">
        <f aca="false">employees!H69</f>
        <v>23938.4547783333</v>
      </c>
      <c r="H117" s="146" t="n">
        <f aca="false">employees!I69</f>
        <v>23938.4547783333</v>
      </c>
      <c r="I117" s="146" t="n">
        <f aca="false">employees!J69</f>
        <v>23938.4547783333</v>
      </c>
      <c r="J117" s="146" t="n">
        <f aca="false">employees!K69</f>
        <v>23938.4547783333</v>
      </c>
      <c r="K117" s="146" t="n">
        <f aca="false">employees!L69</f>
        <v>23938.4547783333</v>
      </c>
      <c r="L117" s="146" t="n">
        <f aca="false">employees!M69</f>
        <v>23938.4547783333</v>
      </c>
      <c r="M117" s="146" t="n">
        <f aca="false">employees!N69</f>
        <v>23938.4547783333</v>
      </c>
      <c r="N117" s="146" t="n">
        <f aca="false">employees!O69</f>
        <v>23938.4547783333</v>
      </c>
      <c r="O117" s="146" t="n">
        <f aca="false">SUM(C117:N117)</f>
        <v>287261.45734</v>
      </c>
      <c r="Q117" s="45"/>
      <c r="R117" s="146" t="n">
        <f aca="false">employees!T69</f>
        <v>26332.3002561667</v>
      </c>
      <c r="S117" s="146" t="n">
        <f aca="false">employees!U69</f>
        <v>26332.3002561667</v>
      </c>
      <c r="T117" s="146" t="n">
        <f aca="false">employees!V69</f>
        <v>26332.3002561667</v>
      </c>
      <c r="U117" s="146" t="n">
        <f aca="false">employees!W69</f>
        <v>26332.3002561667</v>
      </c>
      <c r="V117" s="146" t="n">
        <f aca="false">employees!X69</f>
        <v>26332.3002561667</v>
      </c>
      <c r="W117" s="146" t="n">
        <f aca="false">employees!Y69</f>
        <v>26332.3002561667</v>
      </c>
      <c r="X117" s="146" t="n">
        <f aca="false">employees!Z69</f>
        <v>26332.3002561667</v>
      </c>
      <c r="Y117" s="146" t="n">
        <f aca="false">employees!AA69</f>
        <v>26332.3002561667</v>
      </c>
      <c r="Z117" s="146" t="n">
        <f aca="false">employees!AB69</f>
        <v>26332.3002561667</v>
      </c>
      <c r="AA117" s="146" t="n">
        <f aca="false">employees!AC69</f>
        <v>26332.3002561667</v>
      </c>
      <c r="AB117" s="146" t="n">
        <f aca="false">employees!AD69</f>
        <v>26332.3002561667</v>
      </c>
      <c r="AC117" s="146" t="n">
        <f aca="false">employees!AE69</f>
        <v>26332.3002561667</v>
      </c>
      <c r="AD117" s="146" t="n">
        <f aca="false">SUM(R117:AC117)</f>
        <v>315987.603074</v>
      </c>
      <c r="AF117" s="45"/>
      <c r="AG117" s="146" t="n">
        <f aca="false">employees!AH69</f>
        <v>0</v>
      </c>
      <c r="AH117" s="146" t="n">
        <f aca="false">employees!AI69</f>
        <v>0</v>
      </c>
      <c r="AI117" s="146" t="n">
        <f aca="false">employees!AJ69</f>
        <v>0</v>
      </c>
      <c r="AJ117" s="146" t="n">
        <f aca="false">employees!AK69</f>
        <v>0</v>
      </c>
      <c r="AK117" s="146" t="n">
        <f aca="false">employees!AL69</f>
        <v>0</v>
      </c>
      <c r="AL117" s="146" t="n">
        <f aca="false">employees!AM69</f>
        <v>0</v>
      </c>
      <c r="AM117" s="146" t="n">
        <f aca="false">employees!AN69</f>
        <v>0</v>
      </c>
      <c r="AN117" s="146" t="n">
        <f aca="false">employees!AO69</f>
        <v>0</v>
      </c>
      <c r="AO117" s="146" t="n">
        <f aca="false">employees!AP69</f>
        <v>0</v>
      </c>
      <c r="AP117" s="146" t="n">
        <f aca="false">employees!AQ69</f>
        <v>0</v>
      </c>
      <c r="AQ117" s="146" t="n">
        <f aca="false">employees!AR69</f>
        <v>0</v>
      </c>
      <c r="AR117" s="146" t="n">
        <f aca="false">employees!AS69</f>
        <v>0</v>
      </c>
      <c r="AS117" s="146" t="n">
        <f aca="false">SUM(AG117:AR117)</f>
        <v>0</v>
      </c>
    </row>
    <row r="118" customFormat="false" ht="13.2" hidden="true" customHeight="false" outlineLevel="0" collapsed="false">
      <c r="A118" s="137" t="s">
        <v>1045</v>
      </c>
      <c r="B118" s="144" t="s">
        <v>1046</v>
      </c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 t="n">
        <f aca="false">SUM(C118:N118)</f>
        <v>0</v>
      </c>
      <c r="Q118" s="45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 t="n">
        <f aca="false">SUM(R118:AC118)</f>
        <v>0</v>
      </c>
      <c r="AF118" s="45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 t="n">
        <f aca="false">SUM(AG118:AR118)</f>
        <v>0</v>
      </c>
    </row>
    <row r="119" customFormat="false" ht="13.8" hidden="false" customHeight="false" outlineLevel="0" collapsed="false">
      <c r="A119" s="137"/>
      <c r="B119" s="285" t="s">
        <v>66</v>
      </c>
      <c r="C119" s="353" t="n">
        <f aca="false">SUM(C114:C118)</f>
        <v>750000.975674653</v>
      </c>
      <c r="D119" s="353" t="n">
        <f aca="false">SUM(D114:D118)</f>
        <v>378905.517318071</v>
      </c>
      <c r="E119" s="353" t="n">
        <f aca="false">SUM(E114:E118)</f>
        <v>379000.04050044</v>
      </c>
      <c r="F119" s="353" t="n">
        <f aca="false">SUM(F114:F118)</f>
        <v>379094.563682809</v>
      </c>
      <c r="G119" s="353" t="n">
        <f aca="false">SUM(G114:G118)</f>
        <v>379189.086865178</v>
      </c>
      <c r="H119" s="353" t="n">
        <f aca="false">SUM(H114:H118)</f>
        <v>379283.610047547</v>
      </c>
      <c r="I119" s="353" t="n">
        <f aca="false">SUM(I114:I118)</f>
        <v>379378.133229916</v>
      </c>
      <c r="J119" s="353" t="n">
        <f aca="false">SUM(J114:J118)</f>
        <v>379472.656412285</v>
      </c>
      <c r="K119" s="353" t="n">
        <f aca="false">SUM(K114:K118)</f>
        <v>379567.179594654</v>
      </c>
      <c r="L119" s="353" t="n">
        <f aca="false">SUM(L114:L118)</f>
        <v>379661.702777023</v>
      </c>
      <c r="M119" s="353" t="n">
        <f aca="false">SUM(M114:M118)</f>
        <v>379756.225959392</v>
      </c>
      <c r="N119" s="353" t="n">
        <f aca="false">SUM(N114:N118)</f>
        <v>379850.749141761</v>
      </c>
      <c r="O119" s="353" t="n">
        <f aca="false">SUM(O114:O118)</f>
        <v>4923160.44120373</v>
      </c>
      <c r="Q119" s="45"/>
      <c r="R119" s="353" t="n">
        <f aca="false">SUM(R114:R118)</f>
        <v>418150.473725628</v>
      </c>
      <c r="S119" s="364" t="n">
        <f aca="false">SUM(S114:S118)</f>
        <v>418465.123395319</v>
      </c>
      <c r="T119" s="364" t="n">
        <f aca="false">SUM(T114:T118)</f>
        <v>418779.77306501</v>
      </c>
      <c r="U119" s="364" t="n">
        <f aca="false">SUM(U114:U118)</f>
        <v>419094.4227347</v>
      </c>
      <c r="V119" s="364" t="n">
        <f aca="false">SUM(V114:V118)</f>
        <v>419409.072404391</v>
      </c>
      <c r="W119" s="364" t="n">
        <f aca="false">SUM(W114:W118)</f>
        <v>419723.722074082</v>
      </c>
      <c r="X119" s="364" t="n">
        <f aca="false">SUM(X114:X118)</f>
        <v>420038.371743773</v>
      </c>
      <c r="Y119" s="364" t="n">
        <f aca="false">SUM(Y114:Y118)</f>
        <v>420353.021413463</v>
      </c>
      <c r="Z119" s="364" t="n">
        <f aca="false">SUM(Z114:Z118)</f>
        <v>420667.671083154</v>
      </c>
      <c r="AA119" s="364" t="n">
        <f aca="false">SUM(AA114:AA118)</f>
        <v>420982.320752845</v>
      </c>
      <c r="AB119" s="364" t="n">
        <f aca="false">SUM(AB114:AB118)</f>
        <v>421296.970422535</v>
      </c>
      <c r="AC119" s="364" t="n">
        <f aca="false">SUM(AC114:AC118)</f>
        <v>421611.620092226</v>
      </c>
      <c r="AD119" s="364" t="n">
        <f aca="false">SUM(AD114:AD118)</f>
        <v>5038572.56290713</v>
      </c>
      <c r="AF119" s="45"/>
      <c r="AG119" s="353" t="n">
        <f aca="false">SUM(AG114:AG118)</f>
        <v>0</v>
      </c>
      <c r="AH119" s="364" t="n">
        <f aca="false">SUM(AH114:AH118)</f>
        <v>0</v>
      </c>
      <c r="AI119" s="364" t="n">
        <f aca="false">SUM(AI114:AI118)</f>
        <v>0</v>
      </c>
      <c r="AJ119" s="364" t="n">
        <f aca="false">SUM(AJ114:AJ118)</f>
        <v>0</v>
      </c>
      <c r="AK119" s="364" t="n">
        <f aca="false">SUM(AK114:AK118)</f>
        <v>0</v>
      </c>
      <c r="AL119" s="364" t="n">
        <f aca="false">SUM(AL114:AL118)</f>
        <v>0</v>
      </c>
      <c r="AM119" s="364" t="n">
        <f aca="false">SUM(AM114:AM118)</f>
        <v>0</v>
      </c>
      <c r="AN119" s="364" t="n">
        <f aca="false">SUM(AN114:AN118)</f>
        <v>0</v>
      </c>
      <c r="AO119" s="364" t="n">
        <f aca="false">SUM(AO114:AO118)</f>
        <v>0</v>
      </c>
      <c r="AP119" s="364" t="n">
        <f aca="false">SUM(AP114:AP118)</f>
        <v>0</v>
      </c>
      <c r="AQ119" s="364" t="n">
        <f aca="false">SUM(AQ114:AQ118)</f>
        <v>0</v>
      </c>
      <c r="AR119" s="364" t="n">
        <f aca="false">SUM(AR114:AR118)</f>
        <v>0</v>
      </c>
      <c r="AS119" s="364" t="n">
        <f aca="false">SUM(AS114:AS118)</f>
        <v>0</v>
      </c>
    </row>
    <row r="120" customFormat="false" ht="13.8" hidden="false" customHeight="false" outlineLevel="0" collapsed="false">
      <c r="A120" s="137"/>
      <c r="B120" s="144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5"/>
      <c r="Q120" s="45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5"/>
      <c r="AF120" s="45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5"/>
    </row>
    <row r="121" customFormat="false" ht="13.2" hidden="false" customHeight="false" outlineLevel="0" collapsed="false">
      <c r="A121" s="141" t="s">
        <v>454</v>
      </c>
      <c r="B121" s="144" t="str">
        <f aca="false">'P&amp;L$'!B122</f>
        <v>EMPLOYEE BENEFITS</v>
      </c>
      <c r="C121" s="146"/>
      <c r="D121" s="153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5"/>
      <c r="Q121" s="144"/>
      <c r="R121" s="146"/>
      <c r="S121" s="357" t="s">
        <v>1040</v>
      </c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5"/>
      <c r="AF121" s="144"/>
      <c r="AG121" s="146"/>
      <c r="AH121" s="357" t="s">
        <v>1040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5"/>
    </row>
    <row r="122" customFormat="false" ht="13.2" hidden="false" customHeight="false" outlineLevel="0" collapsed="false">
      <c r="A122" s="137" t="s">
        <v>456</v>
      </c>
      <c r="B122" s="45" t="str">
        <f aca="false">'P&amp;L$'!B123</f>
        <v>Insurances</v>
      </c>
      <c r="C122" s="367" t="n">
        <f aca="false">employees!D86</f>
        <v>6300</v>
      </c>
      <c r="D122" s="367" t="n">
        <f aca="false">employees!E86</f>
        <v>6300</v>
      </c>
      <c r="E122" s="367" t="n">
        <f aca="false">employees!F86</f>
        <v>6300</v>
      </c>
      <c r="F122" s="367" t="n">
        <f aca="false">employees!G86</f>
        <v>6300</v>
      </c>
      <c r="G122" s="367" t="n">
        <f aca="false">employees!H86</f>
        <v>6300</v>
      </c>
      <c r="H122" s="367" t="n">
        <f aca="false">employees!I86</f>
        <v>6300</v>
      </c>
      <c r="I122" s="367" t="n">
        <f aca="false">employees!J86</f>
        <v>6300</v>
      </c>
      <c r="J122" s="367" t="n">
        <f aca="false">employees!K86</f>
        <v>6300</v>
      </c>
      <c r="K122" s="367" t="n">
        <f aca="false">employees!L86</f>
        <v>6300</v>
      </c>
      <c r="L122" s="367" t="n">
        <f aca="false">employees!M86</f>
        <v>6300</v>
      </c>
      <c r="M122" s="367" t="n">
        <f aca="false">employees!N86</f>
        <v>6300</v>
      </c>
      <c r="N122" s="367" t="n">
        <f aca="false">employees!O86</f>
        <v>6300</v>
      </c>
      <c r="O122" s="361" t="n">
        <f aca="false">SUM(C122:N122)</f>
        <v>75600</v>
      </c>
      <c r="Q122" s="293"/>
      <c r="R122" s="367" t="n">
        <f aca="false">employees!T86</f>
        <v>6300</v>
      </c>
      <c r="S122" s="367" t="n">
        <f aca="false">employees!U86</f>
        <v>6300</v>
      </c>
      <c r="T122" s="367" t="n">
        <f aca="false">employees!V86</f>
        <v>6300</v>
      </c>
      <c r="U122" s="367" t="n">
        <f aca="false">employees!W86</f>
        <v>6300</v>
      </c>
      <c r="V122" s="367" t="n">
        <f aca="false">employees!X86</f>
        <v>6300</v>
      </c>
      <c r="W122" s="367" t="n">
        <f aca="false">employees!Y86</f>
        <v>6300</v>
      </c>
      <c r="X122" s="367" t="n">
        <f aca="false">employees!Z86</f>
        <v>6300</v>
      </c>
      <c r="Y122" s="367" t="n">
        <f aca="false">employees!AA86</f>
        <v>6300</v>
      </c>
      <c r="Z122" s="367" t="n">
        <f aca="false">employees!AB86</f>
        <v>6300</v>
      </c>
      <c r="AA122" s="367" t="n">
        <f aca="false">employees!AC86</f>
        <v>6300</v>
      </c>
      <c r="AB122" s="367" t="n">
        <f aca="false">employees!AD86</f>
        <v>6300</v>
      </c>
      <c r="AC122" s="367" t="n">
        <f aca="false">employees!AE86</f>
        <v>6300</v>
      </c>
      <c r="AD122" s="361" t="n">
        <f aca="false">SUM(R122:AC122)</f>
        <v>75600</v>
      </c>
      <c r="AE122" s="2"/>
      <c r="AF122" s="293"/>
      <c r="AG122" s="367" t="n">
        <f aca="false">employees!AH86</f>
        <v>0</v>
      </c>
      <c r="AH122" s="367" t="n">
        <f aca="false">employees!AI86</f>
        <v>0</v>
      </c>
      <c r="AI122" s="367" t="n">
        <f aca="false">employees!AJ86</f>
        <v>0</v>
      </c>
      <c r="AJ122" s="367" t="n">
        <f aca="false">employees!AK86</f>
        <v>0</v>
      </c>
      <c r="AK122" s="367" t="n">
        <f aca="false">employees!AL86</f>
        <v>0</v>
      </c>
      <c r="AL122" s="367" t="n">
        <f aca="false">employees!AM86</f>
        <v>0</v>
      </c>
      <c r="AM122" s="367" t="n">
        <f aca="false">employees!AN86</f>
        <v>0</v>
      </c>
      <c r="AN122" s="367" t="n">
        <f aca="false">employees!AO86</f>
        <v>0</v>
      </c>
      <c r="AO122" s="367" t="n">
        <f aca="false">employees!AP86</f>
        <v>0</v>
      </c>
      <c r="AP122" s="367" t="n">
        <f aca="false">employees!AQ86</f>
        <v>0</v>
      </c>
      <c r="AQ122" s="367" t="n">
        <f aca="false">employees!AR86</f>
        <v>0</v>
      </c>
      <c r="AR122" s="367" t="n">
        <f aca="false">employees!AS86</f>
        <v>0</v>
      </c>
      <c r="AS122" s="361" t="n">
        <f aca="false">SUM(AG122:AR122)</f>
        <v>0</v>
      </c>
    </row>
    <row r="123" customFormat="false" ht="13.2" hidden="false" customHeight="false" outlineLevel="0" collapsed="false">
      <c r="A123" s="137" t="s">
        <v>459</v>
      </c>
      <c r="B123" s="45" t="str">
        <f aca="false">'P&amp;L$'!B124</f>
        <v>Medical</v>
      </c>
      <c r="C123" s="367" t="n">
        <f aca="false">employees!D87</f>
        <v>13500</v>
      </c>
      <c r="D123" s="367" t="n">
        <f aca="false">employees!E87</f>
        <v>13500</v>
      </c>
      <c r="E123" s="367" t="n">
        <f aca="false">employees!F87</f>
        <v>13500</v>
      </c>
      <c r="F123" s="367" t="n">
        <f aca="false">employees!G87</f>
        <v>13500</v>
      </c>
      <c r="G123" s="367" t="n">
        <f aca="false">employees!H87</f>
        <v>13500</v>
      </c>
      <c r="H123" s="367" t="n">
        <f aca="false">employees!I87</f>
        <v>13500</v>
      </c>
      <c r="I123" s="367" t="n">
        <f aca="false">employees!J87</f>
        <v>13500</v>
      </c>
      <c r="J123" s="367" t="n">
        <f aca="false">employees!K87</f>
        <v>13500</v>
      </c>
      <c r="K123" s="367" t="n">
        <f aca="false">employees!L87</f>
        <v>13500</v>
      </c>
      <c r="L123" s="367" t="n">
        <f aca="false">employees!M87</f>
        <v>13500</v>
      </c>
      <c r="M123" s="367" t="n">
        <f aca="false">employees!N87</f>
        <v>13500</v>
      </c>
      <c r="N123" s="367" t="n">
        <f aca="false">employees!O87</f>
        <v>13500</v>
      </c>
      <c r="O123" s="361" t="n">
        <f aca="false">SUM(C123:N123)</f>
        <v>162000</v>
      </c>
      <c r="Q123" s="45"/>
      <c r="R123" s="367" t="n">
        <f aca="false">employees!T87</f>
        <v>13140</v>
      </c>
      <c r="S123" s="367" t="n">
        <f aca="false">employees!U87</f>
        <v>13140</v>
      </c>
      <c r="T123" s="367" t="n">
        <f aca="false">employees!V87</f>
        <v>13140</v>
      </c>
      <c r="U123" s="367" t="n">
        <f aca="false">employees!W87</f>
        <v>13140</v>
      </c>
      <c r="V123" s="367" t="n">
        <f aca="false">employees!X87</f>
        <v>13140</v>
      </c>
      <c r="W123" s="367" t="n">
        <f aca="false">employees!Y87</f>
        <v>13140</v>
      </c>
      <c r="X123" s="367" t="n">
        <f aca="false">employees!Z87</f>
        <v>13140</v>
      </c>
      <c r="Y123" s="367" t="n">
        <f aca="false">employees!AA87</f>
        <v>13140</v>
      </c>
      <c r="Z123" s="367" t="n">
        <f aca="false">employees!AB87</f>
        <v>13140</v>
      </c>
      <c r="AA123" s="367" t="n">
        <f aca="false">employees!AC87</f>
        <v>13140</v>
      </c>
      <c r="AB123" s="367" t="n">
        <f aca="false">employees!AD87</f>
        <v>13140</v>
      </c>
      <c r="AC123" s="367" t="n">
        <f aca="false">employees!AE87</f>
        <v>13140</v>
      </c>
      <c r="AD123" s="361" t="n">
        <f aca="false">SUM(R123:AC123)</f>
        <v>157680</v>
      </c>
      <c r="AE123" s="2"/>
      <c r="AF123" s="45"/>
      <c r="AG123" s="367" t="n">
        <f aca="false">employees!AH87</f>
        <v>0</v>
      </c>
      <c r="AH123" s="367" t="n">
        <f aca="false">employees!AI87</f>
        <v>0</v>
      </c>
      <c r="AI123" s="367" t="n">
        <f aca="false">employees!AJ87</f>
        <v>0</v>
      </c>
      <c r="AJ123" s="367" t="n">
        <f aca="false">employees!AK87</f>
        <v>0</v>
      </c>
      <c r="AK123" s="367" t="n">
        <f aca="false">employees!AL87</f>
        <v>0</v>
      </c>
      <c r="AL123" s="367" t="n">
        <f aca="false">employees!AM87</f>
        <v>0</v>
      </c>
      <c r="AM123" s="367" t="n">
        <f aca="false">employees!AN87</f>
        <v>0</v>
      </c>
      <c r="AN123" s="367" t="n">
        <f aca="false">employees!AO87</f>
        <v>0</v>
      </c>
      <c r="AO123" s="367" t="n">
        <f aca="false">employees!AP87</f>
        <v>0</v>
      </c>
      <c r="AP123" s="367" t="n">
        <f aca="false">employees!AQ87</f>
        <v>0</v>
      </c>
      <c r="AQ123" s="367" t="n">
        <f aca="false">employees!AR87</f>
        <v>0</v>
      </c>
      <c r="AR123" s="367" t="n">
        <f aca="false">employees!AS87</f>
        <v>0</v>
      </c>
      <c r="AS123" s="361" t="n">
        <f aca="false">SUM(AG123:AR123)</f>
        <v>0</v>
      </c>
    </row>
    <row r="124" customFormat="false" ht="13.2" hidden="false" customHeight="false" outlineLevel="0" collapsed="false">
      <c r="A124" s="137" t="s">
        <v>462</v>
      </c>
      <c r="B124" s="45" t="str">
        <f aca="false">'P&amp;L$'!B125</f>
        <v>Social Fund</v>
      </c>
      <c r="C124" s="367" t="n">
        <f aca="false">employees!D88</f>
        <v>2500</v>
      </c>
      <c r="D124" s="367" t="n">
        <f aca="false">employees!E88</f>
        <v>2500</v>
      </c>
      <c r="E124" s="367" t="n">
        <f aca="false">employees!F88</f>
        <v>2500</v>
      </c>
      <c r="F124" s="367" t="n">
        <f aca="false">employees!G88</f>
        <v>2500</v>
      </c>
      <c r="G124" s="367" t="n">
        <f aca="false">employees!H88</f>
        <v>2500</v>
      </c>
      <c r="H124" s="367" t="n">
        <f aca="false">employees!I88</f>
        <v>2500</v>
      </c>
      <c r="I124" s="367" t="n">
        <f aca="false">employees!J88</f>
        <v>2500</v>
      </c>
      <c r="J124" s="367" t="n">
        <f aca="false">employees!K88</f>
        <v>2500</v>
      </c>
      <c r="K124" s="367" t="n">
        <f aca="false">employees!L88</f>
        <v>2500</v>
      </c>
      <c r="L124" s="367" t="n">
        <f aca="false">employees!M88</f>
        <v>2500</v>
      </c>
      <c r="M124" s="367" t="n">
        <f aca="false">employees!N88</f>
        <v>2500</v>
      </c>
      <c r="N124" s="367" t="n">
        <f aca="false">employees!O88</f>
        <v>2500</v>
      </c>
      <c r="O124" s="361" t="n">
        <f aca="false">SUM(C124:N124)</f>
        <v>30000</v>
      </c>
      <c r="Q124" s="293"/>
      <c r="R124" s="367" t="n">
        <f aca="false">employees!T88</f>
        <v>1000</v>
      </c>
      <c r="S124" s="367" t="n">
        <f aca="false">employees!U88</f>
        <v>1000</v>
      </c>
      <c r="T124" s="367" t="n">
        <f aca="false">employees!V88</f>
        <v>1000</v>
      </c>
      <c r="U124" s="367" t="n">
        <f aca="false">employees!W88</f>
        <v>1000</v>
      </c>
      <c r="V124" s="367" t="n">
        <f aca="false">employees!X88</f>
        <v>1000</v>
      </c>
      <c r="W124" s="367" t="n">
        <f aca="false">employees!Y88</f>
        <v>1000</v>
      </c>
      <c r="X124" s="367" t="n">
        <f aca="false">employees!Z88</f>
        <v>1000</v>
      </c>
      <c r="Y124" s="367" t="n">
        <f aca="false">employees!AA88</f>
        <v>1000</v>
      </c>
      <c r="Z124" s="367" t="n">
        <f aca="false">employees!AB88</f>
        <v>1000</v>
      </c>
      <c r="AA124" s="367" t="n">
        <f aca="false">employees!AC88</f>
        <v>1000</v>
      </c>
      <c r="AB124" s="367" t="n">
        <f aca="false">employees!AD88</f>
        <v>1000</v>
      </c>
      <c r="AC124" s="367" t="n">
        <f aca="false">employees!AE88</f>
        <v>1000</v>
      </c>
      <c r="AD124" s="361" t="n">
        <f aca="false">SUM(R124:AC124)</f>
        <v>12000</v>
      </c>
      <c r="AE124" s="2"/>
      <c r="AF124" s="293"/>
      <c r="AG124" s="367" t="n">
        <f aca="false">employees!AH88</f>
        <v>0</v>
      </c>
      <c r="AH124" s="367" t="n">
        <f aca="false">employees!AI88</f>
        <v>0</v>
      </c>
      <c r="AI124" s="367" t="n">
        <f aca="false">employees!AJ88</f>
        <v>0</v>
      </c>
      <c r="AJ124" s="367" t="n">
        <f aca="false">employees!AK88</f>
        <v>0</v>
      </c>
      <c r="AK124" s="367" t="n">
        <f aca="false">employees!AL88</f>
        <v>0</v>
      </c>
      <c r="AL124" s="367" t="n">
        <f aca="false">employees!AM88</f>
        <v>0</v>
      </c>
      <c r="AM124" s="367" t="n">
        <f aca="false">employees!AN88</f>
        <v>0</v>
      </c>
      <c r="AN124" s="367" t="n">
        <f aca="false">employees!AO88</f>
        <v>0</v>
      </c>
      <c r="AO124" s="367" t="n">
        <f aca="false">employees!AP88</f>
        <v>0</v>
      </c>
      <c r="AP124" s="367" t="n">
        <f aca="false">employees!AQ88</f>
        <v>0</v>
      </c>
      <c r="AQ124" s="367" t="n">
        <f aca="false">employees!AR88</f>
        <v>0</v>
      </c>
      <c r="AR124" s="367" t="n">
        <f aca="false">employees!AS88</f>
        <v>0</v>
      </c>
      <c r="AS124" s="361" t="n">
        <f aca="false">SUM(AG124:AR124)</f>
        <v>0</v>
      </c>
    </row>
    <row r="125" customFormat="false" ht="13.2" hidden="false" customHeight="false" outlineLevel="0" collapsed="false">
      <c r="A125" s="137" t="s">
        <v>465</v>
      </c>
      <c r="B125" s="45" t="str">
        <f aca="false">'P&amp;L$'!B126</f>
        <v>Training</v>
      </c>
      <c r="C125" s="367" t="n">
        <f aca="false">employees!D89</f>
        <v>11000</v>
      </c>
      <c r="D125" s="367" t="n">
        <f aca="false">employees!E89</f>
        <v>11000</v>
      </c>
      <c r="E125" s="367" t="n">
        <f aca="false">employees!F89</f>
        <v>11000</v>
      </c>
      <c r="F125" s="367" t="n">
        <f aca="false">employees!G89</f>
        <v>11000</v>
      </c>
      <c r="G125" s="367" t="n">
        <f aca="false">employees!H89</f>
        <v>11000</v>
      </c>
      <c r="H125" s="367" t="n">
        <f aca="false">employees!I89</f>
        <v>11000</v>
      </c>
      <c r="I125" s="367" t="n">
        <f aca="false">employees!J89</f>
        <v>11000</v>
      </c>
      <c r="J125" s="367" t="n">
        <f aca="false">employees!K89</f>
        <v>11000</v>
      </c>
      <c r="K125" s="367" t="n">
        <f aca="false">employees!L89</f>
        <v>11000</v>
      </c>
      <c r="L125" s="367" t="n">
        <f aca="false">employees!M89</f>
        <v>11000</v>
      </c>
      <c r="M125" s="367" t="n">
        <f aca="false">employees!N89</f>
        <v>11000</v>
      </c>
      <c r="N125" s="367" t="n">
        <f aca="false">employees!O89</f>
        <v>11000</v>
      </c>
      <c r="O125" s="361" t="n">
        <f aca="false">SUM(C125:N125)</f>
        <v>132000</v>
      </c>
      <c r="Q125" s="45"/>
      <c r="R125" s="367" t="n">
        <f aca="false">employees!T89</f>
        <v>5000</v>
      </c>
      <c r="S125" s="367" t="n">
        <f aca="false">employees!U89</f>
        <v>5000</v>
      </c>
      <c r="T125" s="367" t="n">
        <f aca="false">employees!V89</f>
        <v>5000</v>
      </c>
      <c r="U125" s="367" t="n">
        <f aca="false">employees!W89</f>
        <v>5000</v>
      </c>
      <c r="V125" s="367" t="n">
        <f aca="false">employees!X89</f>
        <v>5000</v>
      </c>
      <c r="W125" s="367" t="n">
        <f aca="false">employees!Y89</f>
        <v>5000</v>
      </c>
      <c r="X125" s="367" t="n">
        <f aca="false">employees!Z89</f>
        <v>5000</v>
      </c>
      <c r="Y125" s="367" t="n">
        <f aca="false">employees!AA89</f>
        <v>5000</v>
      </c>
      <c r="Z125" s="367" t="n">
        <f aca="false">employees!AB89</f>
        <v>5000</v>
      </c>
      <c r="AA125" s="367" t="n">
        <f aca="false">employees!AC89</f>
        <v>5000</v>
      </c>
      <c r="AB125" s="367" t="n">
        <f aca="false">employees!AD89</f>
        <v>5000</v>
      </c>
      <c r="AC125" s="367" t="n">
        <f aca="false">employees!AE89</f>
        <v>5000</v>
      </c>
      <c r="AD125" s="361" t="n">
        <f aca="false">SUM(R125:AC125)</f>
        <v>60000</v>
      </c>
      <c r="AE125" s="2"/>
      <c r="AF125" s="45"/>
      <c r="AG125" s="367" t="n">
        <f aca="false">employees!AH89</f>
        <v>0</v>
      </c>
      <c r="AH125" s="367" t="n">
        <f aca="false">employees!AI89</f>
        <v>0</v>
      </c>
      <c r="AI125" s="367" t="n">
        <f aca="false">employees!AJ89</f>
        <v>0</v>
      </c>
      <c r="AJ125" s="367" t="n">
        <f aca="false">employees!AK89</f>
        <v>0</v>
      </c>
      <c r="AK125" s="367" t="n">
        <f aca="false">employees!AL89</f>
        <v>0</v>
      </c>
      <c r="AL125" s="367" t="n">
        <f aca="false">employees!AM89</f>
        <v>0</v>
      </c>
      <c r="AM125" s="367" t="n">
        <f aca="false">employees!AN89</f>
        <v>0</v>
      </c>
      <c r="AN125" s="367" t="n">
        <f aca="false">employees!AO89</f>
        <v>0</v>
      </c>
      <c r="AO125" s="367" t="n">
        <f aca="false">employees!AP89</f>
        <v>0</v>
      </c>
      <c r="AP125" s="367" t="n">
        <f aca="false">employees!AQ89</f>
        <v>0</v>
      </c>
      <c r="AQ125" s="367" t="n">
        <f aca="false">employees!AR89</f>
        <v>0</v>
      </c>
      <c r="AR125" s="367" t="n">
        <f aca="false">employees!AS89</f>
        <v>0</v>
      </c>
      <c r="AS125" s="361" t="n">
        <f aca="false">SUM(AG125:AR125)</f>
        <v>0</v>
      </c>
    </row>
    <row r="126" customFormat="false" ht="13.2" hidden="false" customHeight="false" outlineLevel="0" collapsed="false">
      <c r="A126" s="137" t="s">
        <v>468</v>
      </c>
      <c r="B126" s="45" t="str">
        <f aca="false">'P&amp;L$'!B127</f>
        <v>Other</v>
      </c>
      <c r="C126" s="367" t="n">
        <f aca="false">employees!D90</f>
        <v>1000</v>
      </c>
      <c r="D126" s="367" t="n">
        <f aca="false">employees!E90</f>
        <v>1000</v>
      </c>
      <c r="E126" s="367" t="n">
        <f aca="false">employees!F90</f>
        <v>1000</v>
      </c>
      <c r="F126" s="367" t="n">
        <f aca="false">employees!G90</f>
        <v>1000</v>
      </c>
      <c r="G126" s="367" t="n">
        <f aca="false">employees!H90</f>
        <v>1000</v>
      </c>
      <c r="H126" s="367" t="n">
        <f aca="false">employees!I90</f>
        <v>1000</v>
      </c>
      <c r="I126" s="367" t="n">
        <f aca="false">employees!J90</f>
        <v>1000</v>
      </c>
      <c r="J126" s="367" t="n">
        <f aca="false">employees!K90</f>
        <v>1000</v>
      </c>
      <c r="K126" s="367" t="n">
        <f aca="false">employees!L90</f>
        <v>1000</v>
      </c>
      <c r="L126" s="367" t="n">
        <f aca="false">employees!M90</f>
        <v>1000</v>
      </c>
      <c r="M126" s="367" t="n">
        <f aca="false">employees!N90</f>
        <v>1000</v>
      </c>
      <c r="N126" s="367" t="n">
        <f aca="false">employees!O90</f>
        <v>1000</v>
      </c>
      <c r="O126" s="361" t="n">
        <f aca="false">SUM(C126:N126)</f>
        <v>12000</v>
      </c>
      <c r="Q126" s="45"/>
      <c r="R126" s="367" t="n">
        <f aca="false">employees!T90</f>
        <v>1000</v>
      </c>
      <c r="S126" s="367" t="n">
        <f aca="false">employees!U90</f>
        <v>1000</v>
      </c>
      <c r="T126" s="367" t="n">
        <f aca="false">employees!V90</f>
        <v>1000</v>
      </c>
      <c r="U126" s="367" t="n">
        <f aca="false">employees!W90</f>
        <v>1000</v>
      </c>
      <c r="V126" s="367" t="n">
        <f aca="false">employees!X90</f>
        <v>1000</v>
      </c>
      <c r="W126" s="367" t="n">
        <f aca="false">employees!Y90</f>
        <v>1000</v>
      </c>
      <c r="X126" s="367" t="n">
        <f aca="false">employees!Z90</f>
        <v>1000</v>
      </c>
      <c r="Y126" s="367" t="n">
        <f aca="false">employees!AA90</f>
        <v>1000</v>
      </c>
      <c r="Z126" s="367" t="n">
        <f aca="false">employees!AB90</f>
        <v>1000</v>
      </c>
      <c r="AA126" s="367" t="n">
        <f aca="false">employees!AC90</f>
        <v>1000</v>
      </c>
      <c r="AB126" s="367" t="n">
        <f aca="false">employees!AD90</f>
        <v>1000</v>
      </c>
      <c r="AC126" s="367" t="n">
        <f aca="false">employees!AE90</f>
        <v>1000</v>
      </c>
      <c r="AD126" s="361" t="n">
        <f aca="false">SUM(R126:AC126)</f>
        <v>12000</v>
      </c>
      <c r="AE126" s="2"/>
      <c r="AF126" s="45"/>
      <c r="AG126" s="367" t="n">
        <f aca="false">employees!AH90</f>
        <v>0</v>
      </c>
      <c r="AH126" s="367" t="n">
        <f aca="false">employees!AI90</f>
        <v>0</v>
      </c>
      <c r="AI126" s="367" t="n">
        <f aca="false">employees!AJ90</f>
        <v>0</v>
      </c>
      <c r="AJ126" s="367" t="n">
        <f aca="false">employees!AK90</f>
        <v>0</v>
      </c>
      <c r="AK126" s="367" t="n">
        <f aca="false">employees!AL90</f>
        <v>0</v>
      </c>
      <c r="AL126" s="367" t="n">
        <f aca="false">employees!AM90</f>
        <v>0</v>
      </c>
      <c r="AM126" s="367" t="n">
        <f aca="false">employees!AN90</f>
        <v>0</v>
      </c>
      <c r="AN126" s="367" t="n">
        <f aca="false">employees!AO90</f>
        <v>0</v>
      </c>
      <c r="AO126" s="367" t="n">
        <f aca="false">employees!AP90</f>
        <v>0</v>
      </c>
      <c r="AP126" s="367" t="n">
        <f aca="false">employees!AQ90</f>
        <v>0</v>
      </c>
      <c r="AQ126" s="367" t="n">
        <f aca="false">employees!AR90</f>
        <v>0</v>
      </c>
      <c r="AR126" s="367" t="n">
        <f aca="false">employees!AS90</f>
        <v>0</v>
      </c>
      <c r="AS126" s="361" t="n">
        <f aca="false">SUM(AG126:AR126)</f>
        <v>0</v>
      </c>
    </row>
    <row r="127" customFormat="false" ht="13.8" hidden="false" customHeight="false" outlineLevel="0" collapsed="false">
      <c r="A127" s="137"/>
      <c r="B127" s="285" t="s">
        <v>66</v>
      </c>
      <c r="C127" s="353" t="n">
        <f aca="false">SUM(C122:C126)</f>
        <v>34300</v>
      </c>
      <c r="D127" s="353" t="n">
        <f aca="false">SUM(D122:D126)</f>
        <v>34300</v>
      </c>
      <c r="E127" s="353" t="n">
        <f aca="false">SUM(E122:E126)</f>
        <v>34300</v>
      </c>
      <c r="F127" s="353" t="n">
        <f aca="false">SUM(F122:F126)</f>
        <v>34300</v>
      </c>
      <c r="G127" s="353" t="n">
        <f aca="false">SUM(G122:G126)</f>
        <v>34300</v>
      </c>
      <c r="H127" s="353" t="n">
        <f aca="false">SUM(H122:H126)</f>
        <v>34300</v>
      </c>
      <c r="I127" s="353" t="n">
        <f aca="false">SUM(I122:I126)</f>
        <v>34300</v>
      </c>
      <c r="J127" s="353" t="n">
        <f aca="false">SUM(J122:J126)</f>
        <v>34300</v>
      </c>
      <c r="K127" s="353" t="n">
        <f aca="false">SUM(K122:K126)</f>
        <v>34300</v>
      </c>
      <c r="L127" s="353" t="n">
        <f aca="false">SUM(L122:L126)</f>
        <v>34300</v>
      </c>
      <c r="M127" s="353" t="n">
        <f aca="false">SUM(M122:M126)</f>
        <v>34300</v>
      </c>
      <c r="N127" s="353" t="n">
        <f aca="false">SUM(N122:N126)</f>
        <v>34300</v>
      </c>
      <c r="O127" s="353" t="n">
        <f aca="false">SUM(O122:O126)</f>
        <v>411600</v>
      </c>
      <c r="Q127" s="45"/>
      <c r="R127" s="353" t="n">
        <f aca="false">SUM(R122:R126)</f>
        <v>26440</v>
      </c>
      <c r="S127" s="364" t="n">
        <f aca="false">SUM(S122:S126)</f>
        <v>26440</v>
      </c>
      <c r="T127" s="364" t="n">
        <f aca="false">SUM(T122:T126)</f>
        <v>26440</v>
      </c>
      <c r="U127" s="364" t="n">
        <f aca="false">SUM(U122:U126)</f>
        <v>26440</v>
      </c>
      <c r="V127" s="364" t="n">
        <f aca="false">SUM(V122:V126)</f>
        <v>26440</v>
      </c>
      <c r="W127" s="364" t="n">
        <f aca="false">SUM(W122:W126)</f>
        <v>26440</v>
      </c>
      <c r="X127" s="364" t="n">
        <f aca="false">SUM(X122:X126)</f>
        <v>26440</v>
      </c>
      <c r="Y127" s="364" t="n">
        <f aca="false">SUM(Y122:Y126)</f>
        <v>26440</v>
      </c>
      <c r="Z127" s="364" t="n">
        <f aca="false">SUM(Z122:Z126)</f>
        <v>26440</v>
      </c>
      <c r="AA127" s="364" t="n">
        <f aca="false">SUM(AA122:AA126)</f>
        <v>26440</v>
      </c>
      <c r="AB127" s="364" t="n">
        <f aca="false">SUM(AB122:AB126)</f>
        <v>26440</v>
      </c>
      <c r="AC127" s="364" t="n">
        <f aca="false">SUM(AC122:AC126)</f>
        <v>26440</v>
      </c>
      <c r="AD127" s="364" t="n">
        <f aca="false">SUM(AD122:AD126)</f>
        <v>317280</v>
      </c>
      <c r="AF127" s="45"/>
      <c r="AG127" s="353" t="n">
        <f aca="false">SUM(AG122:AG126)</f>
        <v>0</v>
      </c>
      <c r="AH127" s="364" t="n">
        <f aca="false">SUM(AH122:AH126)</f>
        <v>0</v>
      </c>
      <c r="AI127" s="364" t="n">
        <f aca="false">SUM(AI122:AI126)</f>
        <v>0</v>
      </c>
      <c r="AJ127" s="364" t="n">
        <f aca="false">SUM(AJ122:AJ126)</f>
        <v>0</v>
      </c>
      <c r="AK127" s="364" t="n">
        <f aca="false">SUM(AK122:AK126)</f>
        <v>0</v>
      </c>
      <c r="AL127" s="364" t="n">
        <f aca="false">SUM(AL122:AL126)</f>
        <v>0</v>
      </c>
      <c r="AM127" s="364" t="n">
        <f aca="false">SUM(AM122:AM126)</f>
        <v>0</v>
      </c>
      <c r="AN127" s="364" t="n">
        <f aca="false">SUM(AN122:AN126)</f>
        <v>0</v>
      </c>
      <c r="AO127" s="364" t="n">
        <f aca="false">SUM(AO122:AO126)</f>
        <v>0</v>
      </c>
      <c r="AP127" s="364" t="n">
        <f aca="false">SUM(AP122:AP126)</f>
        <v>0</v>
      </c>
      <c r="AQ127" s="364" t="n">
        <f aca="false">SUM(AQ122:AQ126)</f>
        <v>0</v>
      </c>
      <c r="AR127" s="364" t="n">
        <f aca="false">SUM(AR122:AR126)</f>
        <v>0</v>
      </c>
      <c r="AS127" s="364" t="n">
        <f aca="false">SUM(AS122:AS126)</f>
        <v>0</v>
      </c>
    </row>
    <row r="128" customFormat="false" ht="13.8" hidden="false" customHeight="false" outlineLevel="0" collapsed="false">
      <c r="A128" s="137"/>
      <c r="B128" s="205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Q128" s="45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F128" s="45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</row>
    <row r="129" customFormat="false" ht="13.2" hidden="false" customHeight="false" outlineLevel="0" collapsed="false">
      <c r="A129" s="141" t="s">
        <v>941</v>
      </c>
      <c r="B129" s="205" t="str">
        <f aca="false">'P&amp;L$'!B130</f>
        <v>INSURANCES</v>
      </c>
      <c r="C129" s="366"/>
      <c r="D129" s="366"/>
      <c r="E129" s="366"/>
      <c r="F129" s="366"/>
      <c r="G129" s="366"/>
      <c r="H129" s="366"/>
      <c r="I129" s="366"/>
      <c r="J129" s="366"/>
      <c r="K129" s="366"/>
      <c r="L129" s="366"/>
      <c r="M129" s="366"/>
      <c r="N129" s="366"/>
      <c r="O129" s="366"/>
      <c r="Q129" s="144"/>
      <c r="R129" s="366"/>
      <c r="S129" s="366"/>
      <c r="T129" s="366"/>
      <c r="U129" s="366"/>
      <c r="V129" s="366"/>
      <c r="W129" s="366"/>
      <c r="X129" s="366"/>
      <c r="Y129" s="366"/>
      <c r="Z129" s="366"/>
      <c r="AA129" s="366"/>
      <c r="AB129" s="366"/>
      <c r="AC129" s="366"/>
      <c r="AD129" s="366"/>
      <c r="AF129" s="144"/>
      <c r="AG129" s="366"/>
      <c r="AH129" s="366"/>
      <c r="AI129" s="366"/>
      <c r="AJ129" s="366"/>
      <c r="AK129" s="366"/>
      <c r="AL129" s="366"/>
      <c r="AM129" s="366"/>
      <c r="AN129" s="366"/>
      <c r="AO129" s="366"/>
      <c r="AP129" s="366"/>
      <c r="AQ129" s="366"/>
      <c r="AR129" s="366"/>
      <c r="AS129" s="366"/>
    </row>
    <row r="130" customFormat="false" ht="13.2" hidden="false" customHeight="false" outlineLevel="0" collapsed="false">
      <c r="A130" s="137" t="s">
        <v>943</v>
      </c>
      <c r="B130" s="170" t="str">
        <f aca="false">'P&amp;L$'!B131</f>
        <v>Plant Insurance</v>
      </c>
      <c r="C130" s="146" t="n">
        <f aca="false">Oheads!C71</f>
        <v>181140</v>
      </c>
      <c r="D130" s="146" t="n">
        <f aca="false">Oheads!D71</f>
        <v>181140</v>
      </c>
      <c r="E130" s="146" t="n">
        <f aca="false">Oheads!E71</f>
        <v>181140</v>
      </c>
      <c r="F130" s="146" t="n">
        <f aca="false">Oheads!F71</f>
        <v>181140</v>
      </c>
      <c r="G130" s="146" t="n">
        <f aca="false">Oheads!G71</f>
        <v>181140</v>
      </c>
      <c r="H130" s="146" t="n">
        <f aca="false">Oheads!H71</f>
        <v>181140</v>
      </c>
      <c r="I130" s="146" t="n">
        <f aca="false">Oheads!I71</f>
        <v>199254</v>
      </c>
      <c r="J130" s="146" t="n">
        <f aca="false">Oheads!J71</f>
        <v>199254</v>
      </c>
      <c r="K130" s="146" t="n">
        <f aca="false">Oheads!K71</f>
        <v>199254</v>
      </c>
      <c r="L130" s="146" t="n">
        <f aca="false">Oheads!L71</f>
        <v>199254</v>
      </c>
      <c r="M130" s="146" t="n">
        <f aca="false">Oheads!M71</f>
        <v>199254</v>
      </c>
      <c r="N130" s="146" t="n">
        <f aca="false">Oheads!N71</f>
        <v>199254</v>
      </c>
      <c r="O130" s="146" t="n">
        <f aca="false">SUM(C130:N130)</f>
        <v>2282364</v>
      </c>
      <c r="Q130" s="45"/>
      <c r="R130" s="146" t="n">
        <f aca="false">Oheads!Q71</f>
        <v>172000</v>
      </c>
      <c r="S130" s="146" t="n">
        <f aca="false">Oheads!R71</f>
        <v>172000</v>
      </c>
      <c r="T130" s="146" t="n">
        <f aca="false">Oheads!S71</f>
        <v>172000</v>
      </c>
      <c r="U130" s="146" t="n">
        <f aca="false">Oheads!T71</f>
        <v>172000</v>
      </c>
      <c r="V130" s="146" t="n">
        <f aca="false">Oheads!U71</f>
        <v>172000</v>
      </c>
      <c r="W130" s="146" t="n">
        <f aca="false">Oheads!V71</f>
        <v>172000</v>
      </c>
      <c r="X130" s="146" t="n">
        <f aca="false">Oheads!W71</f>
        <v>189200</v>
      </c>
      <c r="Y130" s="146" t="n">
        <f aca="false">Oheads!X71</f>
        <v>189200</v>
      </c>
      <c r="Z130" s="146" t="n">
        <f aca="false">Oheads!Y71</f>
        <v>189200</v>
      </c>
      <c r="AA130" s="146" t="n">
        <f aca="false">Oheads!Z71</f>
        <v>189200</v>
      </c>
      <c r="AB130" s="146" t="n">
        <f aca="false">Oheads!AA71</f>
        <v>189200</v>
      </c>
      <c r="AC130" s="146" t="n">
        <f aca="false">Oheads!AB71</f>
        <v>189200</v>
      </c>
      <c r="AD130" s="146" t="n">
        <f aca="false">SUM(R130:AC130)</f>
        <v>2167200</v>
      </c>
      <c r="AF130" s="45"/>
      <c r="AG130" s="146" t="n">
        <f aca="false">Oheads!AE71</f>
        <v>172000</v>
      </c>
      <c r="AH130" s="146" t="n">
        <f aca="false">Oheads!AF71</f>
        <v>172000</v>
      </c>
      <c r="AI130" s="146" t="n">
        <f aca="false">Oheads!AG71</f>
        <v>172000</v>
      </c>
      <c r="AJ130" s="146" t="n">
        <f aca="false">Oheads!AH71</f>
        <v>172000</v>
      </c>
      <c r="AK130" s="146" t="n">
        <f aca="false">Oheads!AI71</f>
        <v>172000</v>
      </c>
      <c r="AL130" s="146" t="n">
        <f aca="false">Oheads!AJ71</f>
        <v>172000</v>
      </c>
      <c r="AM130" s="146" t="n">
        <f aca="false">Oheads!AK71</f>
        <v>189200</v>
      </c>
      <c r="AN130" s="146" t="n">
        <f aca="false">Oheads!AL71</f>
        <v>189200</v>
      </c>
      <c r="AO130" s="146" t="n">
        <f aca="false">Oheads!AM71</f>
        <v>189200</v>
      </c>
      <c r="AP130" s="146" t="n">
        <f aca="false">Oheads!AN71</f>
        <v>189200</v>
      </c>
      <c r="AQ130" s="146" t="n">
        <f aca="false">Oheads!AO71</f>
        <v>189200</v>
      </c>
      <c r="AR130" s="146" t="n">
        <f aca="false">Oheads!AP71</f>
        <v>189200</v>
      </c>
      <c r="AS130" s="146" t="n">
        <f aca="false">SUM(AG130:AR130)</f>
        <v>2167200</v>
      </c>
    </row>
    <row r="131" customFormat="false" ht="13.2" hidden="false" customHeight="false" outlineLevel="0" collapsed="false">
      <c r="A131" s="137" t="s">
        <v>947</v>
      </c>
      <c r="B131" s="170" t="str">
        <f aca="false">'P&amp;L$'!B132</f>
        <v>Vehicle Insurance</v>
      </c>
      <c r="C131" s="146" t="n">
        <f aca="false">Oheads!C73</f>
        <v>1700</v>
      </c>
      <c r="D131" s="146" t="n">
        <f aca="false">Oheads!D73</f>
        <v>1700</v>
      </c>
      <c r="E131" s="146" t="n">
        <f aca="false">Oheads!E73</f>
        <v>1700</v>
      </c>
      <c r="F131" s="146" t="n">
        <f aca="false">Oheads!F73</f>
        <v>1700</v>
      </c>
      <c r="G131" s="146" t="n">
        <f aca="false">Oheads!G73</f>
        <v>1700</v>
      </c>
      <c r="H131" s="146" t="n">
        <f aca="false">Oheads!H73</f>
        <v>1700</v>
      </c>
      <c r="I131" s="146" t="n">
        <f aca="false">Oheads!I73</f>
        <v>1870</v>
      </c>
      <c r="J131" s="146" t="n">
        <f aca="false">Oheads!J73</f>
        <v>1870</v>
      </c>
      <c r="K131" s="146" t="n">
        <f aca="false">Oheads!K73</f>
        <v>1870</v>
      </c>
      <c r="L131" s="146" t="n">
        <f aca="false">Oheads!L73</f>
        <v>1870</v>
      </c>
      <c r="M131" s="146" t="n">
        <f aca="false">Oheads!M73</f>
        <v>1870</v>
      </c>
      <c r="N131" s="146" t="n">
        <f aca="false">Oheads!N73</f>
        <v>1870</v>
      </c>
      <c r="O131" s="146" t="n">
        <f aca="false">SUM(C131:N131)</f>
        <v>21420</v>
      </c>
      <c r="Q131" s="293"/>
      <c r="R131" s="146" t="n">
        <f aca="false">Oheads!Q73</f>
        <v>1700</v>
      </c>
      <c r="S131" s="146" t="n">
        <f aca="false">Oheads!R73</f>
        <v>1700</v>
      </c>
      <c r="T131" s="146" t="n">
        <f aca="false">Oheads!S73</f>
        <v>1700</v>
      </c>
      <c r="U131" s="146" t="n">
        <f aca="false">Oheads!T73</f>
        <v>1700</v>
      </c>
      <c r="V131" s="146" t="n">
        <f aca="false">Oheads!U73</f>
        <v>1700</v>
      </c>
      <c r="W131" s="146" t="n">
        <f aca="false">Oheads!V73</f>
        <v>1700</v>
      </c>
      <c r="X131" s="146" t="n">
        <f aca="false">Oheads!W73</f>
        <v>1870</v>
      </c>
      <c r="Y131" s="146" t="n">
        <f aca="false">Oheads!X73</f>
        <v>1870</v>
      </c>
      <c r="Z131" s="146" t="n">
        <f aca="false">Oheads!Y73</f>
        <v>1870</v>
      </c>
      <c r="AA131" s="146" t="n">
        <f aca="false">Oheads!Z73</f>
        <v>1870</v>
      </c>
      <c r="AB131" s="146" t="n">
        <f aca="false">Oheads!AA73</f>
        <v>1870</v>
      </c>
      <c r="AC131" s="146" t="n">
        <f aca="false">Oheads!AB73</f>
        <v>1870</v>
      </c>
      <c r="AD131" s="146" t="n">
        <f aca="false">SUM(R131:AC131)</f>
        <v>21420</v>
      </c>
      <c r="AF131" s="293"/>
      <c r="AG131" s="146" t="n">
        <f aca="false">Oheads!AE73</f>
        <v>1700</v>
      </c>
      <c r="AH131" s="146" t="n">
        <f aca="false">Oheads!AF73</f>
        <v>1700</v>
      </c>
      <c r="AI131" s="146" t="n">
        <f aca="false">Oheads!AG73</f>
        <v>1700</v>
      </c>
      <c r="AJ131" s="146" t="n">
        <f aca="false">Oheads!AH73</f>
        <v>1700</v>
      </c>
      <c r="AK131" s="146" t="n">
        <f aca="false">Oheads!AI73</f>
        <v>1700</v>
      </c>
      <c r="AL131" s="146" t="n">
        <f aca="false">Oheads!AJ73</f>
        <v>1700</v>
      </c>
      <c r="AM131" s="146" t="n">
        <f aca="false">Oheads!AK73</f>
        <v>1870</v>
      </c>
      <c r="AN131" s="146" t="n">
        <f aca="false">Oheads!AL73</f>
        <v>1870</v>
      </c>
      <c r="AO131" s="146" t="n">
        <f aca="false">Oheads!AM73</f>
        <v>1870</v>
      </c>
      <c r="AP131" s="146" t="n">
        <f aca="false">Oheads!AN73</f>
        <v>1870</v>
      </c>
      <c r="AQ131" s="146" t="n">
        <f aca="false">Oheads!AO73</f>
        <v>1870</v>
      </c>
      <c r="AR131" s="146" t="n">
        <f aca="false">Oheads!AP73</f>
        <v>1870</v>
      </c>
      <c r="AS131" s="146" t="n">
        <f aca="false">SUM(AG131:AR131)</f>
        <v>21420</v>
      </c>
    </row>
    <row r="132" customFormat="false" ht="13.2" hidden="true" customHeight="false" outlineLevel="0" collapsed="false">
      <c r="A132" s="137" t="s">
        <v>950</v>
      </c>
      <c r="B132" s="205" t="s">
        <v>951</v>
      </c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 t="n">
        <f aca="false">SUM(C132:N132)</f>
        <v>0</v>
      </c>
      <c r="Q132" s="293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 t="n">
        <f aca="false">SUM(R132:AC132)</f>
        <v>0</v>
      </c>
      <c r="AF132" s="293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 t="n">
        <f aca="false">SUM(AG132:AR132)</f>
        <v>0</v>
      </c>
    </row>
    <row r="133" customFormat="false" ht="13.8" hidden="false" customHeight="false" outlineLevel="0" collapsed="false">
      <c r="A133" s="137"/>
      <c r="B133" s="285" t="s">
        <v>66</v>
      </c>
      <c r="C133" s="353" t="n">
        <f aca="false">SUM(C130:C132)</f>
        <v>182840</v>
      </c>
      <c r="D133" s="353" t="n">
        <f aca="false">SUM(D130:D132)</f>
        <v>182840</v>
      </c>
      <c r="E133" s="353" t="n">
        <f aca="false">SUM(E130:E132)</f>
        <v>182840</v>
      </c>
      <c r="F133" s="353" t="n">
        <f aca="false">SUM(F130:F132)</f>
        <v>182840</v>
      </c>
      <c r="G133" s="353" t="n">
        <f aca="false">SUM(G130:G132)</f>
        <v>182840</v>
      </c>
      <c r="H133" s="353" t="n">
        <f aca="false">SUM(H130:H132)</f>
        <v>182840</v>
      </c>
      <c r="I133" s="353" t="n">
        <f aca="false">SUM(I130:I132)</f>
        <v>201124</v>
      </c>
      <c r="J133" s="353" t="n">
        <f aca="false">SUM(J130:J132)</f>
        <v>201124</v>
      </c>
      <c r="K133" s="353" t="n">
        <f aca="false">SUM(K130:K132)</f>
        <v>201124</v>
      </c>
      <c r="L133" s="353" t="n">
        <f aca="false">SUM(L130:L132)</f>
        <v>201124</v>
      </c>
      <c r="M133" s="353" t="n">
        <f aca="false">SUM(M130:M132)</f>
        <v>201124</v>
      </c>
      <c r="N133" s="353" t="n">
        <f aca="false">SUM(N130:N132)</f>
        <v>201124</v>
      </c>
      <c r="O133" s="353" t="n">
        <f aca="false">SUM(O130:O132)</f>
        <v>2303784</v>
      </c>
      <c r="Q133" s="45"/>
      <c r="R133" s="353" t="n">
        <f aca="false">SUM(R130:R132)</f>
        <v>173700</v>
      </c>
      <c r="S133" s="364" t="n">
        <f aca="false">SUM(S130:S132)</f>
        <v>173700</v>
      </c>
      <c r="T133" s="364" t="n">
        <f aca="false">SUM(T130:T132)</f>
        <v>173700</v>
      </c>
      <c r="U133" s="364" t="n">
        <f aca="false">SUM(U130:U132)</f>
        <v>173700</v>
      </c>
      <c r="V133" s="364" t="n">
        <f aca="false">SUM(V130:V132)</f>
        <v>173700</v>
      </c>
      <c r="W133" s="364" t="n">
        <f aca="false">SUM(W130:W132)</f>
        <v>173700</v>
      </c>
      <c r="X133" s="364" t="n">
        <f aca="false">SUM(X130:X132)</f>
        <v>191070</v>
      </c>
      <c r="Y133" s="364" t="n">
        <f aca="false">SUM(Y130:Y132)</f>
        <v>191070</v>
      </c>
      <c r="Z133" s="364" t="n">
        <f aca="false">SUM(Z130:Z132)</f>
        <v>191070</v>
      </c>
      <c r="AA133" s="364" t="n">
        <f aca="false">SUM(AA130:AA132)</f>
        <v>191070</v>
      </c>
      <c r="AB133" s="364" t="n">
        <f aca="false">SUM(AB130:AB132)</f>
        <v>191070</v>
      </c>
      <c r="AC133" s="364" t="n">
        <f aca="false">SUM(AC130:AC132)</f>
        <v>191070</v>
      </c>
      <c r="AD133" s="364" t="n">
        <f aca="false">SUM(AD130:AD132)</f>
        <v>2188620</v>
      </c>
      <c r="AF133" s="45"/>
      <c r="AG133" s="353" t="n">
        <f aca="false">SUM(AG130:AG132)</f>
        <v>173700</v>
      </c>
      <c r="AH133" s="364" t="n">
        <f aca="false">SUM(AH130:AH132)</f>
        <v>173700</v>
      </c>
      <c r="AI133" s="364" t="n">
        <f aca="false">SUM(AI130:AI132)</f>
        <v>173700</v>
      </c>
      <c r="AJ133" s="364" t="n">
        <f aca="false">SUM(AJ130:AJ132)</f>
        <v>173700</v>
      </c>
      <c r="AK133" s="364" t="n">
        <f aca="false">SUM(AK130:AK132)</f>
        <v>173700</v>
      </c>
      <c r="AL133" s="364" t="n">
        <f aca="false">SUM(AL130:AL132)</f>
        <v>173700</v>
      </c>
      <c r="AM133" s="364" t="n">
        <f aca="false">SUM(AM130:AM132)</f>
        <v>191070</v>
      </c>
      <c r="AN133" s="364" t="n">
        <f aca="false">SUM(AN130:AN132)</f>
        <v>191070</v>
      </c>
      <c r="AO133" s="364" t="n">
        <f aca="false">SUM(AO130:AO132)</f>
        <v>191070</v>
      </c>
      <c r="AP133" s="364" t="n">
        <f aca="false">SUM(AP130:AP132)</f>
        <v>191070</v>
      </c>
      <c r="AQ133" s="364" t="n">
        <f aca="false">SUM(AQ130:AQ132)</f>
        <v>191070</v>
      </c>
      <c r="AR133" s="364" t="n">
        <f aca="false">SUM(AR130:AR132)</f>
        <v>191070</v>
      </c>
      <c r="AS133" s="364" t="n">
        <f aca="false">SUM(AS130:AS132)</f>
        <v>2188620</v>
      </c>
    </row>
    <row r="134" customFormat="false" ht="13.8" hidden="false" customHeight="false" outlineLevel="0" collapsed="false">
      <c r="A134" s="137"/>
      <c r="B134" s="144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5"/>
      <c r="Q134" s="45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5"/>
      <c r="AF134" s="45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5"/>
    </row>
    <row r="135" customFormat="false" ht="13.2" hidden="false" customHeight="false" outlineLevel="0" collapsed="false">
      <c r="A135" s="141" t="s">
        <v>1047</v>
      </c>
      <c r="B135" s="144" t="str">
        <f aca="false">'P&amp;L$'!B136</f>
        <v>OFFICE MATERIALS</v>
      </c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5"/>
      <c r="Q135" s="144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5"/>
      <c r="AF135" s="144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5"/>
    </row>
    <row r="136" customFormat="false" ht="13.2" hidden="false" customHeight="false" outlineLevel="0" collapsed="false">
      <c r="A136" s="137" t="s">
        <v>934</v>
      </c>
      <c r="B136" s="45" t="str">
        <f aca="false">'P&amp;L$'!B137</f>
        <v>Office Materials</v>
      </c>
      <c r="C136" s="146" t="n">
        <f aca="false">Oheads!C64</f>
        <v>16200</v>
      </c>
      <c r="D136" s="146" t="n">
        <f aca="false">Oheads!D64</f>
        <v>16200</v>
      </c>
      <c r="E136" s="146" t="n">
        <f aca="false">Oheads!E64</f>
        <v>16200</v>
      </c>
      <c r="F136" s="146" t="n">
        <f aca="false">Oheads!F64</f>
        <v>16200</v>
      </c>
      <c r="G136" s="146" t="n">
        <f aca="false">Oheads!G64</f>
        <v>16200</v>
      </c>
      <c r="H136" s="146" t="n">
        <f aca="false">Oheads!H64</f>
        <v>16200</v>
      </c>
      <c r="I136" s="146" t="n">
        <f aca="false">Oheads!I64</f>
        <v>16200</v>
      </c>
      <c r="J136" s="146" t="n">
        <f aca="false">Oheads!J64</f>
        <v>16200</v>
      </c>
      <c r="K136" s="146" t="n">
        <f aca="false">Oheads!K64</f>
        <v>16200</v>
      </c>
      <c r="L136" s="146" t="n">
        <f aca="false">Oheads!L64</f>
        <v>16200</v>
      </c>
      <c r="M136" s="146" t="n">
        <f aca="false">Oheads!M64</f>
        <v>16200</v>
      </c>
      <c r="N136" s="146" t="n">
        <f aca="false">Oheads!N64</f>
        <v>16200</v>
      </c>
      <c r="O136" s="146" t="n">
        <f aca="false">SUM(C136:N136)</f>
        <v>194400</v>
      </c>
      <c r="Q136" s="45"/>
      <c r="R136" s="146" t="n">
        <f aca="false">Oheads!Q64</f>
        <v>16848</v>
      </c>
      <c r="S136" s="146" t="n">
        <f aca="false">Oheads!R64</f>
        <v>16848</v>
      </c>
      <c r="T136" s="146" t="n">
        <f aca="false">Oheads!S64</f>
        <v>16848</v>
      </c>
      <c r="U136" s="146" t="n">
        <f aca="false">Oheads!T64</f>
        <v>16848</v>
      </c>
      <c r="V136" s="146" t="n">
        <f aca="false">Oheads!U64</f>
        <v>16848</v>
      </c>
      <c r="W136" s="146" t="n">
        <f aca="false">Oheads!V64</f>
        <v>16848</v>
      </c>
      <c r="X136" s="146" t="n">
        <f aca="false">Oheads!W64</f>
        <v>16848</v>
      </c>
      <c r="Y136" s="146" t="n">
        <f aca="false">Oheads!X64</f>
        <v>16848</v>
      </c>
      <c r="Z136" s="146" t="n">
        <f aca="false">Oheads!Y64</f>
        <v>16848</v>
      </c>
      <c r="AA136" s="146" t="n">
        <f aca="false">Oheads!Z64</f>
        <v>16848</v>
      </c>
      <c r="AB136" s="146" t="n">
        <f aca="false">Oheads!AA64</f>
        <v>16848</v>
      </c>
      <c r="AC136" s="146" t="n">
        <f aca="false">Oheads!AB64</f>
        <v>16848</v>
      </c>
      <c r="AD136" s="146" t="n">
        <f aca="false">SUM(R136:AC136)</f>
        <v>202176</v>
      </c>
      <c r="AF136" s="45"/>
      <c r="AG136" s="146" t="n">
        <f aca="false">Oheads!AE64</f>
        <v>17858.88</v>
      </c>
      <c r="AH136" s="146" t="n">
        <f aca="false">Oheads!AF64</f>
        <v>17858.88</v>
      </c>
      <c r="AI136" s="146" t="n">
        <f aca="false">Oheads!AG64</f>
        <v>17858.88</v>
      </c>
      <c r="AJ136" s="146" t="n">
        <f aca="false">Oheads!AH64</f>
        <v>17858.88</v>
      </c>
      <c r="AK136" s="146" t="n">
        <f aca="false">Oheads!AI64</f>
        <v>17858.88</v>
      </c>
      <c r="AL136" s="146" t="n">
        <f aca="false">Oheads!AJ64</f>
        <v>17858.88</v>
      </c>
      <c r="AM136" s="146" t="n">
        <f aca="false">Oheads!AK64</f>
        <v>17858.88</v>
      </c>
      <c r="AN136" s="146" t="n">
        <f aca="false">Oheads!AL64</f>
        <v>17858.88</v>
      </c>
      <c r="AO136" s="146" t="n">
        <f aca="false">Oheads!AM64</f>
        <v>17858.88</v>
      </c>
      <c r="AP136" s="146" t="n">
        <f aca="false">Oheads!AN64</f>
        <v>17858.88</v>
      </c>
      <c r="AQ136" s="146" t="n">
        <f aca="false">Oheads!AO64</f>
        <v>17858.88</v>
      </c>
      <c r="AR136" s="146" t="n">
        <f aca="false">Oheads!AP64</f>
        <v>17858.88</v>
      </c>
      <c r="AS136" s="146" t="n">
        <f aca="false">SUM(AG136:AR136)</f>
        <v>214306.56</v>
      </c>
    </row>
    <row r="137" customFormat="false" ht="13.2" hidden="true" customHeight="false" outlineLevel="0" collapsed="false">
      <c r="A137" s="137" t="s">
        <v>1048</v>
      </c>
      <c r="B137" s="144" t="str">
        <f aca="false">'P&amp;L$'!B138</f>
        <v>Materiały Gospodarcze</v>
      </c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 t="n">
        <f aca="false">SUM(C137:N137)</f>
        <v>0</v>
      </c>
      <c r="Q137" s="45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 t="n">
        <f aca="false">SUM(R137:AC137)</f>
        <v>0</v>
      </c>
      <c r="AF137" s="45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 t="n">
        <f aca="false">SUM(AG137:AR137)</f>
        <v>0</v>
      </c>
    </row>
    <row r="138" customFormat="false" ht="13.2" hidden="true" customHeight="false" outlineLevel="0" collapsed="false">
      <c r="A138" s="137" t="s">
        <v>1049</v>
      </c>
      <c r="B138" s="144" t="str">
        <f aca="false">'P&amp;L$'!B139</f>
        <v>Środki czystości</v>
      </c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 t="n">
        <f aca="false">SUM(C138:N138)</f>
        <v>0</v>
      </c>
      <c r="Q138" s="45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 t="n">
        <f aca="false">SUM(R138:AC138)</f>
        <v>0</v>
      </c>
      <c r="AF138" s="45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 t="n">
        <f aca="false">SUM(AG138:AR138)</f>
        <v>0</v>
      </c>
    </row>
    <row r="139" customFormat="false" ht="13.2" hidden="true" customHeight="false" outlineLevel="0" collapsed="false">
      <c r="A139" s="137" t="s">
        <v>1050</v>
      </c>
      <c r="B139" s="144" t="str">
        <f aca="false">'P&amp;L$'!B140</f>
        <v>Wyposażenie biura</v>
      </c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 t="n">
        <f aca="false">SUM(C139:N139)</f>
        <v>0</v>
      </c>
      <c r="Q139" s="45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 t="n">
        <f aca="false">SUM(R139:AC139)</f>
        <v>0</v>
      </c>
      <c r="AF139" s="45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 t="n">
        <f aca="false">SUM(AG139:AR139)</f>
        <v>0</v>
      </c>
    </row>
    <row r="140" customFormat="false" ht="13.8" hidden="false" customHeight="false" outlineLevel="0" collapsed="false">
      <c r="A140" s="137"/>
      <c r="B140" s="285" t="s">
        <v>66</v>
      </c>
      <c r="C140" s="353" t="n">
        <f aca="false">SUM(C136:C139)</f>
        <v>16200</v>
      </c>
      <c r="D140" s="353" t="n">
        <f aca="false">SUM(D136:D139)</f>
        <v>16200</v>
      </c>
      <c r="E140" s="353" t="n">
        <f aca="false">SUM(E136:E139)</f>
        <v>16200</v>
      </c>
      <c r="F140" s="353" t="n">
        <f aca="false">SUM(F136:F139)</f>
        <v>16200</v>
      </c>
      <c r="G140" s="353" t="n">
        <f aca="false">SUM(G136:G139)</f>
        <v>16200</v>
      </c>
      <c r="H140" s="353" t="n">
        <f aca="false">SUM(H136:H139)</f>
        <v>16200</v>
      </c>
      <c r="I140" s="353" t="n">
        <f aca="false">SUM(I136:I139)</f>
        <v>16200</v>
      </c>
      <c r="J140" s="353" t="n">
        <f aca="false">SUM(J136:J139)</f>
        <v>16200</v>
      </c>
      <c r="K140" s="353" t="n">
        <f aca="false">SUM(K136:K139)</f>
        <v>16200</v>
      </c>
      <c r="L140" s="353" t="n">
        <f aca="false">SUM(L136:L139)</f>
        <v>16200</v>
      </c>
      <c r="M140" s="353" t="n">
        <f aca="false">SUM(M136:M139)</f>
        <v>16200</v>
      </c>
      <c r="N140" s="353" t="n">
        <f aca="false">SUM(N136:N139)</f>
        <v>16200</v>
      </c>
      <c r="O140" s="353" t="n">
        <f aca="false">SUM(O136:O139)</f>
        <v>194400</v>
      </c>
      <c r="Q140" s="45"/>
      <c r="R140" s="353" t="n">
        <f aca="false">SUM(R136:R139)</f>
        <v>16848</v>
      </c>
      <c r="S140" s="364" t="n">
        <f aca="false">SUM(S136:S139)</f>
        <v>16848</v>
      </c>
      <c r="T140" s="364" t="n">
        <f aca="false">SUM(T136:T139)</f>
        <v>16848</v>
      </c>
      <c r="U140" s="364" t="n">
        <f aca="false">SUM(U136:U139)</f>
        <v>16848</v>
      </c>
      <c r="V140" s="364" t="n">
        <f aca="false">SUM(V136:V139)</f>
        <v>16848</v>
      </c>
      <c r="W140" s="364" t="n">
        <f aca="false">SUM(W136:W139)</f>
        <v>16848</v>
      </c>
      <c r="X140" s="364" t="n">
        <f aca="false">SUM(X136:X139)</f>
        <v>16848</v>
      </c>
      <c r="Y140" s="364" t="n">
        <f aca="false">SUM(Y136:Y139)</f>
        <v>16848</v>
      </c>
      <c r="Z140" s="364" t="n">
        <f aca="false">SUM(Z136:Z139)</f>
        <v>16848</v>
      </c>
      <c r="AA140" s="364" t="n">
        <f aca="false">SUM(AA136:AA139)</f>
        <v>16848</v>
      </c>
      <c r="AB140" s="364" t="n">
        <f aca="false">SUM(AB136:AB139)</f>
        <v>16848</v>
      </c>
      <c r="AC140" s="364" t="n">
        <f aca="false">SUM(AC136:AC139)</f>
        <v>16848</v>
      </c>
      <c r="AD140" s="364" t="n">
        <f aca="false">SUM(AD136:AD139)</f>
        <v>202176</v>
      </c>
      <c r="AF140" s="45"/>
      <c r="AG140" s="353" t="n">
        <f aca="false">SUM(AG136:AG139)</f>
        <v>17858.88</v>
      </c>
      <c r="AH140" s="364" t="n">
        <f aca="false">SUM(AH136:AH139)</f>
        <v>17858.88</v>
      </c>
      <c r="AI140" s="364" t="n">
        <f aca="false">SUM(AI136:AI139)</f>
        <v>17858.88</v>
      </c>
      <c r="AJ140" s="364" t="n">
        <f aca="false">SUM(AJ136:AJ139)</f>
        <v>17858.88</v>
      </c>
      <c r="AK140" s="364" t="n">
        <f aca="false">SUM(AK136:AK139)</f>
        <v>17858.88</v>
      </c>
      <c r="AL140" s="364" t="n">
        <f aca="false">SUM(AL136:AL139)</f>
        <v>17858.88</v>
      </c>
      <c r="AM140" s="364" t="n">
        <f aca="false">SUM(AM136:AM139)</f>
        <v>17858.88</v>
      </c>
      <c r="AN140" s="364" t="n">
        <f aca="false">SUM(AN136:AN139)</f>
        <v>17858.88</v>
      </c>
      <c r="AO140" s="364" t="n">
        <f aca="false">SUM(AO136:AO139)</f>
        <v>17858.88</v>
      </c>
      <c r="AP140" s="364" t="n">
        <f aca="false">SUM(AP136:AP139)</f>
        <v>17858.88</v>
      </c>
      <c r="AQ140" s="364" t="n">
        <f aca="false">SUM(AQ136:AQ139)</f>
        <v>17858.88</v>
      </c>
      <c r="AR140" s="364" t="n">
        <f aca="false">SUM(AR136:AR139)</f>
        <v>17858.88</v>
      </c>
      <c r="AS140" s="364" t="n">
        <f aca="false">SUM(AS136:AS139)</f>
        <v>214306.56</v>
      </c>
    </row>
    <row r="141" customFormat="false" ht="13.8" hidden="false" customHeight="false" outlineLevel="0" collapsed="false">
      <c r="A141" s="137"/>
      <c r="B141" s="144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Q141" s="45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F141" s="45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</row>
    <row r="142" customFormat="false" ht="13.2" hidden="false" customHeight="false" outlineLevel="0" collapsed="false">
      <c r="A142" s="141" t="s">
        <v>1051</v>
      </c>
      <c r="B142" s="144" t="str">
        <f aca="false">'P&amp;L$'!B143</f>
        <v>COMPANY VEHICLES</v>
      </c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Q142" s="144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F142" s="144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</row>
    <row r="143" customFormat="false" ht="13.2" hidden="false" customHeight="false" outlineLevel="0" collapsed="false">
      <c r="A143" s="137" t="s">
        <v>953</v>
      </c>
      <c r="B143" s="45" t="str">
        <f aca="false">'P&amp;L$'!B144</f>
        <v>Fuel</v>
      </c>
      <c r="C143" s="146" t="n">
        <f aca="false">Oheads!C78</f>
        <v>8500</v>
      </c>
      <c r="D143" s="146" t="n">
        <f aca="false">Oheads!D78</f>
        <v>8500</v>
      </c>
      <c r="E143" s="146" t="n">
        <f aca="false">Oheads!E78</f>
        <v>8500</v>
      </c>
      <c r="F143" s="146" t="n">
        <f aca="false">Oheads!F78</f>
        <v>8500</v>
      </c>
      <c r="G143" s="146" t="n">
        <f aca="false">Oheads!G78</f>
        <v>8500</v>
      </c>
      <c r="H143" s="146" t="n">
        <f aca="false">Oheads!H78</f>
        <v>8500</v>
      </c>
      <c r="I143" s="146" t="n">
        <f aca="false">Oheads!I78</f>
        <v>8500</v>
      </c>
      <c r="J143" s="146" t="n">
        <f aca="false">Oheads!J78</f>
        <v>8500</v>
      </c>
      <c r="K143" s="146" t="n">
        <f aca="false">Oheads!K78</f>
        <v>8500</v>
      </c>
      <c r="L143" s="146" t="n">
        <f aca="false">Oheads!L78</f>
        <v>8500</v>
      </c>
      <c r="M143" s="146" t="n">
        <f aca="false">Oheads!M78</f>
        <v>8500</v>
      </c>
      <c r="N143" s="146" t="n">
        <f aca="false">Oheads!N78</f>
        <v>8500</v>
      </c>
      <c r="O143" s="146" t="n">
        <f aca="false">SUM(C143:N143)</f>
        <v>102000</v>
      </c>
      <c r="Q143" s="45"/>
      <c r="R143" s="146" t="n">
        <f aca="false">Oheads!Q78</f>
        <v>8500</v>
      </c>
      <c r="S143" s="146" t="n">
        <f aca="false">Oheads!R78</f>
        <v>8500</v>
      </c>
      <c r="T143" s="146" t="n">
        <f aca="false">Oheads!S78</f>
        <v>8500</v>
      </c>
      <c r="U143" s="146" t="n">
        <f aca="false">Oheads!T78</f>
        <v>8500</v>
      </c>
      <c r="V143" s="146" t="n">
        <f aca="false">Oheads!U78</f>
        <v>8500</v>
      </c>
      <c r="W143" s="146" t="n">
        <f aca="false">Oheads!V78</f>
        <v>8500</v>
      </c>
      <c r="X143" s="146" t="n">
        <f aca="false">Oheads!W78</f>
        <v>8500</v>
      </c>
      <c r="Y143" s="146" t="n">
        <f aca="false">Oheads!X78</f>
        <v>8500</v>
      </c>
      <c r="Z143" s="146" t="n">
        <f aca="false">Oheads!Y78</f>
        <v>8500</v>
      </c>
      <c r="AA143" s="146" t="n">
        <f aca="false">Oheads!Z78</f>
        <v>8500</v>
      </c>
      <c r="AB143" s="146" t="n">
        <f aca="false">Oheads!AA78</f>
        <v>8500</v>
      </c>
      <c r="AC143" s="146" t="n">
        <f aca="false">Oheads!AB78</f>
        <v>8500</v>
      </c>
      <c r="AD143" s="146" t="n">
        <f aca="false">SUM(R143:AC143)</f>
        <v>102000</v>
      </c>
      <c r="AF143" s="45"/>
      <c r="AG143" s="146" t="n">
        <f aca="false">Oheads!AE78</f>
        <v>8500</v>
      </c>
      <c r="AH143" s="146" t="n">
        <f aca="false">Oheads!AF78</f>
        <v>8500</v>
      </c>
      <c r="AI143" s="146" t="n">
        <f aca="false">Oheads!AG78</f>
        <v>8500</v>
      </c>
      <c r="AJ143" s="146" t="n">
        <f aca="false">Oheads!AH78</f>
        <v>8500</v>
      </c>
      <c r="AK143" s="146" t="n">
        <f aca="false">Oheads!AI78</f>
        <v>8500</v>
      </c>
      <c r="AL143" s="146" t="n">
        <f aca="false">Oheads!AJ78</f>
        <v>8500</v>
      </c>
      <c r="AM143" s="146" t="n">
        <f aca="false">Oheads!AK78</f>
        <v>8500</v>
      </c>
      <c r="AN143" s="146" t="n">
        <f aca="false">Oheads!AL78</f>
        <v>8500</v>
      </c>
      <c r="AO143" s="146" t="n">
        <f aca="false">Oheads!AM78</f>
        <v>8500</v>
      </c>
      <c r="AP143" s="146" t="n">
        <f aca="false">Oheads!AN78</f>
        <v>8500</v>
      </c>
      <c r="AQ143" s="146" t="n">
        <f aca="false">Oheads!AO78</f>
        <v>8500</v>
      </c>
      <c r="AR143" s="146" t="n">
        <f aca="false">Oheads!AP78</f>
        <v>8500</v>
      </c>
      <c r="AS143" s="146" t="n">
        <f aca="false">SUM(AG143:AR143)</f>
        <v>102000</v>
      </c>
    </row>
    <row r="144" customFormat="false" ht="13.2" hidden="false" customHeight="false" outlineLevel="0" collapsed="false">
      <c r="A144" s="137" t="s">
        <v>956</v>
      </c>
      <c r="B144" s="45" t="str">
        <f aca="false">'P&amp;L$'!B145</f>
        <v>Repair/Maintenace</v>
      </c>
      <c r="C144" s="146" t="n">
        <f aca="false">Oheads!C79</f>
        <v>5200</v>
      </c>
      <c r="D144" s="146" t="n">
        <f aca="false">Oheads!D79</f>
        <v>5200</v>
      </c>
      <c r="E144" s="146" t="n">
        <f aca="false">Oheads!E79</f>
        <v>5200</v>
      </c>
      <c r="F144" s="146" t="n">
        <f aca="false">Oheads!F79</f>
        <v>5200</v>
      </c>
      <c r="G144" s="146" t="n">
        <f aca="false">Oheads!G79</f>
        <v>5200</v>
      </c>
      <c r="H144" s="146" t="n">
        <f aca="false">Oheads!H79</f>
        <v>5200</v>
      </c>
      <c r="I144" s="146" t="n">
        <f aca="false">Oheads!I79</f>
        <v>5200</v>
      </c>
      <c r="J144" s="146" t="n">
        <f aca="false">Oheads!J79</f>
        <v>5200</v>
      </c>
      <c r="K144" s="146" t="n">
        <f aca="false">Oheads!K79</f>
        <v>5200</v>
      </c>
      <c r="L144" s="146" t="n">
        <f aca="false">Oheads!L79</f>
        <v>5200</v>
      </c>
      <c r="M144" s="146" t="n">
        <f aca="false">Oheads!M79</f>
        <v>5200</v>
      </c>
      <c r="N144" s="146" t="n">
        <f aca="false">Oheads!N79</f>
        <v>5200</v>
      </c>
      <c r="O144" s="146" t="n">
        <f aca="false">SUM(C144:N144)</f>
        <v>62400</v>
      </c>
      <c r="Q144" s="45"/>
      <c r="R144" s="146" t="n">
        <f aca="false">Oheads!Q79</f>
        <v>5200</v>
      </c>
      <c r="S144" s="146" t="n">
        <f aca="false">Oheads!R79</f>
        <v>5200</v>
      </c>
      <c r="T144" s="146" t="n">
        <f aca="false">Oheads!S79</f>
        <v>5200</v>
      </c>
      <c r="U144" s="146" t="n">
        <f aca="false">Oheads!T79</f>
        <v>5200</v>
      </c>
      <c r="V144" s="146" t="n">
        <f aca="false">Oheads!U79</f>
        <v>5200</v>
      </c>
      <c r="W144" s="146" t="n">
        <f aca="false">Oheads!V79</f>
        <v>5200</v>
      </c>
      <c r="X144" s="146" t="n">
        <f aca="false">Oheads!W79</f>
        <v>5200</v>
      </c>
      <c r="Y144" s="146" t="n">
        <f aca="false">Oheads!X79</f>
        <v>5200</v>
      </c>
      <c r="Z144" s="146" t="n">
        <f aca="false">Oheads!Y79</f>
        <v>5200</v>
      </c>
      <c r="AA144" s="146" t="n">
        <f aca="false">Oheads!Z79</f>
        <v>5200</v>
      </c>
      <c r="AB144" s="146" t="n">
        <f aca="false">Oheads!AA79</f>
        <v>5200</v>
      </c>
      <c r="AC144" s="146" t="n">
        <f aca="false">Oheads!AB79</f>
        <v>5200</v>
      </c>
      <c r="AD144" s="146" t="n">
        <f aca="false">SUM(R144:AC144)</f>
        <v>62400</v>
      </c>
      <c r="AF144" s="45"/>
      <c r="AG144" s="146" t="n">
        <f aca="false">Oheads!AE79</f>
        <v>5200</v>
      </c>
      <c r="AH144" s="146" t="n">
        <f aca="false">Oheads!AF79</f>
        <v>5200</v>
      </c>
      <c r="AI144" s="146" t="n">
        <f aca="false">Oheads!AG79</f>
        <v>5200</v>
      </c>
      <c r="AJ144" s="146" t="n">
        <f aca="false">Oheads!AH79</f>
        <v>5200</v>
      </c>
      <c r="AK144" s="146" t="n">
        <f aca="false">Oheads!AI79</f>
        <v>5200</v>
      </c>
      <c r="AL144" s="146" t="n">
        <f aca="false">Oheads!AJ79</f>
        <v>5200</v>
      </c>
      <c r="AM144" s="146" t="n">
        <f aca="false">Oheads!AK79</f>
        <v>5200</v>
      </c>
      <c r="AN144" s="146" t="n">
        <f aca="false">Oheads!AL79</f>
        <v>5200</v>
      </c>
      <c r="AO144" s="146" t="n">
        <f aca="false">Oheads!AM79</f>
        <v>5200</v>
      </c>
      <c r="AP144" s="146" t="n">
        <f aca="false">Oheads!AN79</f>
        <v>5200</v>
      </c>
      <c r="AQ144" s="146" t="n">
        <f aca="false">Oheads!AO79</f>
        <v>5200</v>
      </c>
      <c r="AR144" s="146" t="n">
        <f aca="false">Oheads!AP79</f>
        <v>5200</v>
      </c>
      <c r="AS144" s="146" t="n">
        <f aca="false">SUM(AG144:AR144)</f>
        <v>62400</v>
      </c>
    </row>
    <row r="145" customFormat="false" ht="13.8" hidden="false" customHeight="false" outlineLevel="0" collapsed="false">
      <c r="A145" s="137"/>
      <c r="B145" s="285" t="s">
        <v>66</v>
      </c>
      <c r="C145" s="353" t="n">
        <f aca="false">SUM(C143:C144)</f>
        <v>13700</v>
      </c>
      <c r="D145" s="353" t="n">
        <f aca="false">SUM(D143:D144)</f>
        <v>13700</v>
      </c>
      <c r="E145" s="353" t="n">
        <f aca="false">SUM(E143:E144)</f>
        <v>13700</v>
      </c>
      <c r="F145" s="353" t="n">
        <f aca="false">SUM(F143:F144)</f>
        <v>13700</v>
      </c>
      <c r="G145" s="353" t="n">
        <f aca="false">SUM(G143:G144)</f>
        <v>13700</v>
      </c>
      <c r="H145" s="353" t="n">
        <f aca="false">SUM(H143:H144)</f>
        <v>13700</v>
      </c>
      <c r="I145" s="353" t="n">
        <f aca="false">SUM(I143:I144)</f>
        <v>13700</v>
      </c>
      <c r="J145" s="353" t="n">
        <f aca="false">SUM(J143:J144)</f>
        <v>13700</v>
      </c>
      <c r="K145" s="353" t="n">
        <f aca="false">SUM(K143:K144)</f>
        <v>13700</v>
      </c>
      <c r="L145" s="353" t="n">
        <f aca="false">SUM(L143:L144)</f>
        <v>13700</v>
      </c>
      <c r="M145" s="353" t="n">
        <f aca="false">SUM(M143:M144)</f>
        <v>13700</v>
      </c>
      <c r="N145" s="353" t="n">
        <f aca="false">SUM(N143:N144)</f>
        <v>13700</v>
      </c>
      <c r="O145" s="353" t="n">
        <f aca="false">SUM(O143:O144)</f>
        <v>164400</v>
      </c>
      <c r="Q145" s="45"/>
      <c r="R145" s="353" t="n">
        <f aca="false">SUM(R143:R144)</f>
        <v>13700</v>
      </c>
      <c r="S145" s="364" t="n">
        <f aca="false">SUM(S143:S144)</f>
        <v>13700</v>
      </c>
      <c r="T145" s="364" t="n">
        <f aca="false">SUM(T143:T144)</f>
        <v>13700</v>
      </c>
      <c r="U145" s="364" t="n">
        <f aca="false">SUM(U143:U144)</f>
        <v>13700</v>
      </c>
      <c r="V145" s="364" t="n">
        <f aca="false">SUM(V143:V144)</f>
        <v>13700</v>
      </c>
      <c r="W145" s="364" t="n">
        <f aca="false">SUM(W143:W144)</f>
        <v>13700</v>
      </c>
      <c r="X145" s="364" t="n">
        <f aca="false">SUM(X143:X144)</f>
        <v>13700</v>
      </c>
      <c r="Y145" s="364" t="n">
        <f aca="false">SUM(Y143:Y144)</f>
        <v>13700</v>
      </c>
      <c r="Z145" s="364" t="n">
        <f aca="false">SUM(Z143:Z144)</f>
        <v>13700</v>
      </c>
      <c r="AA145" s="364" t="n">
        <f aca="false">SUM(AA143:AA144)</f>
        <v>13700</v>
      </c>
      <c r="AB145" s="364" t="n">
        <f aca="false">SUM(AB143:AB144)</f>
        <v>13700</v>
      </c>
      <c r="AC145" s="364" t="n">
        <f aca="false">SUM(AC143:AC144)</f>
        <v>13700</v>
      </c>
      <c r="AD145" s="364" t="n">
        <f aca="false">SUM(AD143:AD144)</f>
        <v>164400</v>
      </c>
      <c r="AF145" s="45"/>
      <c r="AG145" s="353" t="n">
        <f aca="false">SUM(AG143:AG144)</f>
        <v>13700</v>
      </c>
      <c r="AH145" s="364" t="n">
        <f aca="false">SUM(AH143:AH144)</f>
        <v>13700</v>
      </c>
      <c r="AI145" s="364" t="n">
        <f aca="false">SUM(AI143:AI144)</f>
        <v>13700</v>
      </c>
      <c r="AJ145" s="364" t="n">
        <f aca="false">SUM(AJ143:AJ144)</f>
        <v>13700</v>
      </c>
      <c r="AK145" s="364" t="n">
        <f aca="false">SUM(AK143:AK144)</f>
        <v>13700</v>
      </c>
      <c r="AL145" s="364" t="n">
        <f aca="false">SUM(AL143:AL144)</f>
        <v>13700</v>
      </c>
      <c r="AM145" s="364" t="n">
        <f aca="false">SUM(AM143:AM144)</f>
        <v>13700</v>
      </c>
      <c r="AN145" s="364" t="n">
        <f aca="false">SUM(AN143:AN144)</f>
        <v>13700</v>
      </c>
      <c r="AO145" s="364" t="n">
        <f aca="false">SUM(AO143:AO144)</f>
        <v>13700</v>
      </c>
      <c r="AP145" s="364" t="n">
        <f aca="false">SUM(AP143:AP144)</f>
        <v>13700</v>
      </c>
      <c r="AQ145" s="364" t="n">
        <f aca="false">SUM(AQ143:AQ144)</f>
        <v>13700</v>
      </c>
      <c r="AR145" s="364" t="n">
        <f aca="false">SUM(AR143:AR144)</f>
        <v>13700</v>
      </c>
      <c r="AS145" s="364" t="n">
        <f aca="false">SUM(AS143:AS144)</f>
        <v>164400</v>
      </c>
    </row>
    <row r="146" customFormat="false" ht="13.8" hidden="false" customHeight="false" outlineLevel="0" collapsed="false">
      <c r="A146" s="137"/>
      <c r="B146" s="144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5"/>
      <c r="Q146" s="45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5"/>
      <c r="AF146" s="45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5"/>
    </row>
    <row r="147" customFormat="false" ht="13.2" hidden="false" customHeight="false" outlineLevel="0" collapsed="false">
      <c r="A147" s="141" t="s">
        <v>959</v>
      </c>
      <c r="B147" s="144" t="str">
        <f aca="false">'P&amp;L$'!B148</f>
        <v>BUSINESS TRAVELS</v>
      </c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5"/>
      <c r="Q147" s="144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5"/>
      <c r="AF147" s="144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5"/>
    </row>
    <row r="148" customFormat="false" ht="13.2" hidden="false" customHeight="false" outlineLevel="0" collapsed="false">
      <c r="A148" s="137" t="s">
        <v>962</v>
      </c>
      <c r="B148" s="45" t="str">
        <f aca="false">'P&amp;L$'!B149</f>
        <v>Domestic Travel</v>
      </c>
      <c r="C148" s="146" t="n">
        <f aca="false">Oheads!C83</f>
        <v>5800</v>
      </c>
      <c r="D148" s="146" t="n">
        <f aca="false">Oheads!D83</f>
        <v>5800</v>
      </c>
      <c r="E148" s="146" t="n">
        <f aca="false">Oheads!E83</f>
        <v>5800</v>
      </c>
      <c r="F148" s="146" t="n">
        <f aca="false">Oheads!F83</f>
        <v>5800</v>
      </c>
      <c r="G148" s="146" t="n">
        <f aca="false">Oheads!G83</f>
        <v>5800</v>
      </c>
      <c r="H148" s="146" t="n">
        <f aca="false">Oheads!H83</f>
        <v>5800</v>
      </c>
      <c r="I148" s="146" t="n">
        <f aca="false">Oheads!I83</f>
        <v>5800</v>
      </c>
      <c r="J148" s="146" t="n">
        <f aca="false">Oheads!J83</f>
        <v>5800</v>
      </c>
      <c r="K148" s="146" t="n">
        <f aca="false">Oheads!K83</f>
        <v>5800</v>
      </c>
      <c r="L148" s="146" t="n">
        <f aca="false">Oheads!L83</f>
        <v>5800</v>
      </c>
      <c r="M148" s="146" t="n">
        <f aca="false">Oheads!M83</f>
        <v>5800</v>
      </c>
      <c r="N148" s="146" t="n">
        <f aca="false">Oheads!N83</f>
        <v>5800</v>
      </c>
      <c r="O148" s="146" t="n">
        <f aca="false">SUM(C148:N148)</f>
        <v>69600</v>
      </c>
      <c r="Q148" s="293"/>
      <c r="R148" s="146" t="n">
        <f aca="false">Oheads!Q83</f>
        <v>5800</v>
      </c>
      <c r="S148" s="146" t="n">
        <f aca="false">Oheads!R83</f>
        <v>5800</v>
      </c>
      <c r="T148" s="146" t="n">
        <f aca="false">Oheads!S83</f>
        <v>5800</v>
      </c>
      <c r="U148" s="146" t="n">
        <f aca="false">Oheads!T83</f>
        <v>5800</v>
      </c>
      <c r="V148" s="146" t="n">
        <f aca="false">Oheads!U83</f>
        <v>5800</v>
      </c>
      <c r="W148" s="146" t="n">
        <f aca="false">Oheads!V83</f>
        <v>5800</v>
      </c>
      <c r="X148" s="146" t="n">
        <f aca="false">Oheads!W83</f>
        <v>5800</v>
      </c>
      <c r="Y148" s="146" t="n">
        <f aca="false">Oheads!X83</f>
        <v>5800</v>
      </c>
      <c r="Z148" s="146" t="n">
        <f aca="false">Oheads!Y83</f>
        <v>5800</v>
      </c>
      <c r="AA148" s="146" t="n">
        <f aca="false">Oheads!Z83</f>
        <v>5800</v>
      </c>
      <c r="AB148" s="146" t="n">
        <f aca="false">Oheads!AA83</f>
        <v>5800</v>
      </c>
      <c r="AC148" s="146" t="n">
        <f aca="false">Oheads!AB83</f>
        <v>5800</v>
      </c>
      <c r="AD148" s="146" t="n">
        <f aca="false">SUM(R148:AC148)</f>
        <v>69600</v>
      </c>
      <c r="AF148" s="293"/>
      <c r="AG148" s="146" t="n">
        <f aca="false">Oheads!AE83</f>
        <v>5800</v>
      </c>
      <c r="AH148" s="146" t="n">
        <f aca="false">Oheads!AF83</f>
        <v>5800</v>
      </c>
      <c r="AI148" s="146" t="n">
        <f aca="false">Oheads!AG83</f>
        <v>5800</v>
      </c>
      <c r="AJ148" s="146" t="n">
        <f aca="false">Oheads!AH83</f>
        <v>5800</v>
      </c>
      <c r="AK148" s="146" t="n">
        <f aca="false">Oheads!AI83</f>
        <v>5800</v>
      </c>
      <c r="AL148" s="146" t="n">
        <f aca="false">Oheads!AJ83</f>
        <v>5800</v>
      </c>
      <c r="AM148" s="146" t="n">
        <f aca="false">Oheads!AK83</f>
        <v>5800</v>
      </c>
      <c r="AN148" s="146" t="n">
        <f aca="false">Oheads!AL83</f>
        <v>5800</v>
      </c>
      <c r="AO148" s="146" t="n">
        <f aca="false">Oheads!AM83</f>
        <v>5800</v>
      </c>
      <c r="AP148" s="146" t="n">
        <f aca="false">Oheads!AN83</f>
        <v>5800</v>
      </c>
      <c r="AQ148" s="146" t="n">
        <f aca="false">Oheads!AO83</f>
        <v>5800</v>
      </c>
      <c r="AR148" s="146" t="n">
        <f aca="false">Oheads!AP83</f>
        <v>5800</v>
      </c>
      <c r="AS148" s="146" t="n">
        <f aca="false">SUM(AG148:AR148)</f>
        <v>69600</v>
      </c>
    </row>
    <row r="149" customFormat="false" ht="13.2" hidden="false" customHeight="false" outlineLevel="0" collapsed="false">
      <c r="A149" s="137" t="s">
        <v>965</v>
      </c>
      <c r="B149" s="45" t="str">
        <f aca="false">'P&amp;L$'!B150</f>
        <v>Foreign travel</v>
      </c>
      <c r="C149" s="146" t="n">
        <f aca="false">Oheads!C84</f>
        <v>2100</v>
      </c>
      <c r="D149" s="146" t="n">
        <f aca="false">Oheads!D84</f>
        <v>2100</v>
      </c>
      <c r="E149" s="146" t="n">
        <f aca="false">Oheads!E84</f>
        <v>2100</v>
      </c>
      <c r="F149" s="146" t="n">
        <f aca="false">Oheads!F84</f>
        <v>2100</v>
      </c>
      <c r="G149" s="146" t="n">
        <f aca="false">Oheads!G84</f>
        <v>2100</v>
      </c>
      <c r="H149" s="146" t="n">
        <f aca="false">Oheads!H84</f>
        <v>2100</v>
      </c>
      <c r="I149" s="146" t="n">
        <f aca="false">Oheads!I84</f>
        <v>2100</v>
      </c>
      <c r="J149" s="146" t="n">
        <f aca="false">Oheads!J84</f>
        <v>2100</v>
      </c>
      <c r="K149" s="146" t="n">
        <f aca="false">Oheads!K84</f>
        <v>2100</v>
      </c>
      <c r="L149" s="146" t="n">
        <f aca="false">Oheads!L84</f>
        <v>2100</v>
      </c>
      <c r="M149" s="146" t="n">
        <f aca="false">Oheads!M84</f>
        <v>2100</v>
      </c>
      <c r="N149" s="146" t="n">
        <f aca="false">Oheads!N84</f>
        <v>2100</v>
      </c>
      <c r="O149" s="146" t="n">
        <f aca="false">SUM(C149:N149)</f>
        <v>25200</v>
      </c>
      <c r="Q149" s="293"/>
      <c r="R149" s="146" t="n">
        <f aca="false">Oheads!Q84</f>
        <v>2100</v>
      </c>
      <c r="S149" s="146" t="n">
        <f aca="false">Oheads!R84</f>
        <v>2100</v>
      </c>
      <c r="T149" s="146" t="n">
        <f aca="false">Oheads!S84</f>
        <v>2100</v>
      </c>
      <c r="U149" s="146" t="n">
        <f aca="false">Oheads!T84</f>
        <v>2100</v>
      </c>
      <c r="V149" s="146" t="n">
        <f aca="false">Oheads!U84</f>
        <v>2100</v>
      </c>
      <c r="W149" s="146" t="n">
        <f aca="false">Oheads!V84</f>
        <v>2100</v>
      </c>
      <c r="X149" s="146" t="n">
        <f aca="false">Oheads!W84</f>
        <v>2100</v>
      </c>
      <c r="Y149" s="146" t="n">
        <f aca="false">Oheads!X84</f>
        <v>2100</v>
      </c>
      <c r="Z149" s="146" t="n">
        <f aca="false">Oheads!Y84</f>
        <v>2100</v>
      </c>
      <c r="AA149" s="146" t="n">
        <f aca="false">Oheads!Z84</f>
        <v>2100</v>
      </c>
      <c r="AB149" s="146" t="n">
        <f aca="false">Oheads!AA84</f>
        <v>2100</v>
      </c>
      <c r="AC149" s="146" t="n">
        <f aca="false">Oheads!AB84</f>
        <v>2100</v>
      </c>
      <c r="AD149" s="146" t="n">
        <f aca="false">SUM(R149:AC149)</f>
        <v>25200</v>
      </c>
      <c r="AF149" s="293"/>
      <c r="AG149" s="146" t="n">
        <f aca="false">Oheads!AE84</f>
        <v>2100</v>
      </c>
      <c r="AH149" s="146" t="n">
        <f aca="false">Oheads!AF84</f>
        <v>2100</v>
      </c>
      <c r="AI149" s="146" t="n">
        <f aca="false">Oheads!AG84</f>
        <v>2100</v>
      </c>
      <c r="AJ149" s="146" t="n">
        <f aca="false">Oheads!AH84</f>
        <v>2100</v>
      </c>
      <c r="AK149" s="146" t="n">
        <f aca="false">Oheads!AI84</f>
        <v>2100</v>
      </c>
      <c r="AL149" s="146" t="n">
        <f aca="false">Oheads!AJ84</f>
        <v>2100</v>
      </c>
      <c r="AM149" s="146" t="n">
        <f aca="false">Oheads!AK84</f>
        <v>2100</v>
      </c>
      <c r="AN149" s="146" t="n">
        <f aca="false">Oheads!AL84</f>
        <v>2100</v>
      </c>
      <c r="AO149" s="146" t="n">
        <f aca="false">Oheads!AM84</f>
        <v>2100</v>
      </c>
      <c r="AP149" s="146" t="n">
        <f aca="false">Oheads!AN84</f>
        <v>2100</v>
      </c>
      <c r="AQ149" s="146" t="n">
        <f aca="false">Oheads!AO84</f>
        <v>2100</v>
      </c>
      <c r="AR149" s="146" t="n">
        <f aca="false">Oheads!AP84</f>
        <v>2100</v>
      </c>
      <c r="AS149" s="146" t="n">
        <f aca="false">SUM(AG149:AR149)</f>
        <v>25200</v>
      </c>
    </row>
    <row r="150" customFormat="false" ht="13.2" hidden="true" customHeight="false" outlineLevel="0" collapsed="false">
      <c r="A150" s="137" t="s">
        <v>1052</v>
      </c>
      <c r="B150" s="205" t="s">
        <v>1053</v>
      </c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 t="n">
        <f aca="false">SUM(C150:N150)</f>
        <v>0</v>
      </c>
      <c r="Q150" s="293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 t="n">
        <f aca="false">SUM(R150:AC150)</f>
        <v>0</v>
      </c>
      <c r="AF150" s="293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 t="n">
        <f aca="false">SUM(AG150:AR150)</f>
        <v>0</v>
      </c>
    </row>
    <row r="151" customFormat="false" ht="13.8" hidden="false" customHeight="false" outlineLevel="0" collapsed="false">
      <c r="A151" s="137"/>
      <c r="B151" s="285" t="s">
        <v>66</v>
      </c>
      <c r="C151" s="353" t="n">
        <f aca="false">SUM(C148:C150)</f>
        <v>7900</v>
      </c>
      <c r="D151" s="353" t="n">
        <f aca="false">SUM(D148:D150)</f>
        <v>7900</v>
      </c>
      <c r="E151" s="353" t="n">
        <f aca="false">SUM(E148:E150)</f>
        <v>7900</v>
      </c>
      <c r="F151" s="353" t="n">
        <f aca="false">SUM(F148:F150)</f>
        <v>7900</v>
      </c>
      <c r="G151" s="353" t="n">
        <f aca="false">SUM(G148:G150)</f>
        <v>7900</v>
      </c>
      <c r="H151" s="353" t="n">
        <f aca="false">SUM(H148:H150)</f>
        <v>7900</v>
      </c>
      <c r="I151" s="353" t="n">
        <f aca="false">SUM(I148:I150)</f>
        <v>7900</v>
      </c>
      <c r="J151" s="353" t="n">
        <f aca="false">SUM(J148:J150)</f>
        <v>7900</v>
      </c>
      <c r="K151" s="353" t="n">
        <f aca="false">SUM(K148:K150)</f>
        <v>7900</v>
      </c>
      <c r="L151" s="353" t="n">
        <f aca="false">SUM(L148:L150)</f>
        <v>7900</v>
      </c>
      <c r="M151" s="353" t="n">
        <f aca="false">SUM(M148:M150)</f>
        <v>7900</v>
      </c>
      <c r="N151" s="353" t="n">
        <f aca="false">SUM(N148:N150)</f>
        <v>7900</v>
      </c>
      <c r="O151" s="353" t="n">
        <f aca="false">SUM(O148:O150)</f>
        <v>94800</v>
      </c>
      <c r="Q151" s="45"/>
      <c r="R151" s="353" t="n">
        <f aca="false">SUM(R148:R150)</f>
        <v>7900</v>
      </c>
      <c r="S151" s="353" t="n">
        <f aca="false">SUM(S148:S150)</f>
        <v>7900</v>
      </c>
      <c r="T151" s="353" t="n">
        <f aca="false">SUM(T148:T150)</f>
        <v>7900</v>
      </c>
      <c r="U151" s="353" t="n">
        <f aca="false">SUM(U148:U150)</f>
        <v>7900</v>
      </c>
      <c r="V151" s="353" t="n">
        <f aca="false">SUM(V148:V150)</f>
        <v>7900</v>
      </c>
      <c r="W151" s="353" t="n">
        <f aca="false">SUM(W148:W150)</f>
        <v>7900</v>
      </c>
      <c r="X151" s="353" t="n">
        <f aca="false">SUM(X148:X150)</f>
        <v>7900</v>
      </c>
      <c r="Y151" s="353" t="n">
        <f aca="false">SUM(Y148:Y150)</f>
        <v>7900</v>
      </c>
      <c r="Z151" s="353" t="n">
        <f aca="false">SUM(Z148:Z150)</f>
        <v>7900</v>
      </c>
      <c r="AA151" s="353" t="n">
        <f aca="false">SUM(AA148:AA150)</f>
        <v>7900</v>
      </c>
      <c r="AB151" s="353" t="n">
        <f aca="false">SUM(AB148:AB150)</f>
        <v>7900</v>
      </c>
      <c r="AC151" s="353" t="n">
        <f aca="false">SUM(AC148:AC150)</f>
        <v>7900</v>
      </c>
      <c r="AD151" s="353" t="n">
        <f aca="false">SUM(AD148:AD150)</f>
        <v>94800</v>
      </c>
      <c r="AF151" s="45"/>
      <c r="AG151" s="353" t="n">
        <f aca="false">SUM(AG148:AG150)</f>
        <v>7900</v>
      </c>
      <c r="AH151" s="353" t="n">
        <f aca="false">SUM(AH148:AH150)</f>
        <v>7900</v>
      </c>
      <c r="AI151" s="353" t="n">
        <f aca="false">SUM(AI148:AI150)</f>
        <v>7900</v>
      </c>
      <c r="AJ151" s="353" t="n">
        <f aca="false">SUM(AJ148:AJ150)</f>
        <v>7900</v>
      </c>
      <c r="AK151" s="353" t="n">
        <f aca="false">SUM(AK148:AK150)</f>
        <v>7900</v>
      </c>
      <c r="AL151" s="353" t="n">
        <f aca="false">SUM(AL148:AL150)</f>
        <v>7900</v>
      </c>
      <c r="AM151" s="353" t="n">
        <f aca="false">SUM(AM148:AM150)</f>
        <v>7900</v>
      </c>
      <c r="AN151" s="353" t="n">
        <f aca="false">SUM(AN148:AN150)</f>
        <v>7900</v>
      </c>
      <c r="AO151" s="353" t="n">
        <f aca="false">SUM(AO148:AO150)</f>
        <v>7900</v>
      </c>
      <c r="AP151" s="353" t="n">
        <f aca="false">SUM(AP148:AP150)</f>
        <v>7900</v>
      </c>
      <c r="AQ151" s="353" t="n">
        <f aca="false">SUM(AQ148:AQ150)</f>
        <v>7900</v>
      </c>
      <c r="AR151" s="353" t="n">
        <f aca="false">SUM(AR148:AR150)</f>
        <v>7900</v>
      </c>
      <c r="AS151" s="353" t="n">
        <f aca="false">SUM(AS148:AS150)</f>
        <v>94800</v>
      </c>
    </row>
    <row r="152" customFormat="false" ht="13.8" hidden="false" customHeight="false" outlineLevel="0" collapsed="false">
      <c r="A152" s="137"/>
      <c r="B152" s="144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5"/>
      <c r="Q152" s="45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5"/>
      <c r="AF152" s="45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5"/>
    </row>
    <row r="153" customFormat="false" ht="13.2" hidden="false" customHeight="false" outlineLevel="0" collapsed="false">
      <c r="A153" s="141" t="s">
        <v>1054</v>
      </c>
      <c r="B153" s="144" t="str">
        <f aca="false">'P&amp;L$'!B154</f>
        <v>REPRESENTATION AND ADVERTISING</v>
      </c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5"/>
      <c r="Q153" s="144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5"/>
      <c r="AF153" s="144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5"/>
    </row>
    <row r="154" customFormat="false" ht="13.2" hidden="false" customHeight="false" outlineLevel="0" collapsed="false">
      <c r="A154" s="137" t="s">
        <v>969</v>
      </c>
      <c r="B154" s="45" t="str">
        <f aca="false">'P&amp;L$'!B155</f>
        <v>Representation &amp; Adverising</v>
      </c>
      <c r="C154" s="139" t="n">
        <f aca="false">Oheads!C88</f>
        <v>9000</v>
      </c>
      <c r="D154" s="139" t="n">
        <f aca="false">Oheads!D88</f>
        <v>9000</v>
      </c>
      <c r="E154" s="139" t="n">
        <f aca="false">Oheads!E88</f>
        <v>9000</v>
      </c>
      <c r="F154" s="139" t="n">
        <f aca="false">Oheads!F88</f>
        <v>9000</v>
      </c>
      <c r="G154" s="139" t="n">
        <f aca="false">Oheads!G88</f>
        <v>9000</v>
      </c>
      <c r="H154" s="139" t="n">
        <f aca="false">Oheads!H88</f>
        <v>9000</v>
      </c>
      <c r="I154" s="139" t="n">
        <f aca="false">Oheads!I88</f>
        <v>9000</v>
      </c>
      <c r="J154" s="139" t="n">
        <f aca="false">Oheads!J88</f>
        <v>9000</v>
      </c>
      <c r="K154" s="139" t="n">
        <f aca="false">Oheads!K88</f>
        <v>9000</v>
      </c>
      <c r="L154" s="139" t="n">
        <f aca="false">Oheads!L88</f>
        <v>9000</v>
      </c>
      <c r="M154" s="139" t="n">
        <f aca="false">Oheads!M88</f>
        <v>9000</v>
      </c>
      <c r="N154" s="139" t="n">
        <f aca="false">Oheads!N88</f>
        <v>9000</v>
      </c>
      <c r="O154" s="146" t="n">
        <f aca="false">SUM(C154:N154)</f>
        <v>108000</v>
      </c>
      <c r="Q154" s="45"/>
      <c r="R154" s="139" t="n">
        <f aca="false">Oheads!Q88</f>
        <v>9000</v>
      </c>
      <c r="S154" s="139" t="n">
        <f aca="false">Oheads!R88</f>
        <v>9000</v>
      </c>
      <c r="T154" s="139" t="n">
        <f aca="false">Oheads!S88</f>
        <v>9000</v>
      </c>
      <c r="U154" s="139" t="n">
        <f aca="false">Oheads!T88</f>
        <v>9000</v>
      </c>
      <c r="V154" s="139" t="n">
        <f aca="false">Oheads!U88</f>
        <v>9000</v>
      </c>
      <c r="W154" s="139" t="n">
        <f aca="false">Oheads!V88</f>
        <v>9000</v>
      </c>
      <c r="X154" s="139" t="n">
        <f aca="false">Oheads!W88</f>
        <v>9000</v>
      </c>
      <c r="Y154" s="139" t="n">
        <f aca="false">Oheads!X88</f>
        <v>9000</v>
      </c>
      <c r="Z154" s="139" t="n">
        <f aca="false">Oheads!Y88</f>
        <v>9000</v>
      </c>
      <c r="AA154" s="139" t="n">
        <f aca="false">Oheads!Z88</f>
        <v>9000</v>
      </c>
      <c r="AB154" s="139" t="n">
        <f aca="false">Oheads!AA88</f>
        <v>9000</v>
      </c>
      <c r="AC154" s="139" t="n">
        <f aca="false">Oheads!AB88</f>
        <v>9000</v>
      </c>
      <c r="AD154" s="146" t="n">
        <f aca="false">SUM(R154:AC154)</f>
        <v>108000</v>
      </c>
      <c r="AF154" s="45"/>
      <c r="AG154" s="139" t="n">
        <f aca="false">Oheads!AE88</f>
        <v>9000</v>
      </c>
      <c r="AH154" s="139" t="n">
        <f aca="false">Oheads!AF88</f>
        <v>9000</v>
      </c>
      <c r="AI154" s="139" t="n">
        <f aca="false">Oheads!AG88</f>
        <v>9000</v>
      </c>
      <c r="AJ154" s="139" t="n">
        <f aca="false">Oheads!AH88</f>
        <v>9000</v>
      </c>
      <c r="AK154" s="139" t="n">
        <f aca="false">Oheads!AI88</f>
        <v>9000</v>
      </c>
      <c r="AL154" s="139" t="n">
        <f aca="false">Oheads!AJ88</f>
        <v>9000</v>
      </c>
      <c r="AM154" s="139" t="n">
        <f aca="false">Oheads!AK88</f>
        <v>9000</v>
      </c>
      <c r="AN154" s="139" t="n">
        <f aca="false">Oheads!AL88</f>
        <v>9000</v>
      </c>
      <c r="AO154" s="139" t="n">
        <f aca="false">Oheads!AM88</f>
        <v>9000</v>
      </c>
      <c r="AP154" s="139" t="n">
        <f aca="false">Oheads!AN88</f>
        <v>9000</v>
      </c>
      <c r="AQ154" s="139" t="n">
        <f aca="false">Oheads!AO88</f>
        <v>9000</v>
      </c>
      <c r="AR154" s="139" t="n">
        <f aca="false">Oheads!AP88</f>
        <v>9000</v>
      </c>
      <c r="AS154" s="146" t="n">
        <f aca="false">SUM(AG154:AR154)</f>
        <v>108000</v>
      </c>
    </row>
    <row r="155" customFormat="false" ht="13.8" hidden="false" customHeight="false" outlineLevel="0" collapsed="false">
      <c r="A155" s="137"/>
      <c r="B155" s="358" t="s">
        <v>66</v>
      </c>
      <c r="C155" s="353" t="n">
        <f aca="false">C154</f>
        <v>9000</v>
      </c>
      <c r="D155" s="353" t="n">
        <f aca="false">D154</f>
        <v>9000</v>
      </c>
      <c r="E155" s="353" t="n">
        <f aca="false">E154</f>
        <v>9000</v>
      </c>
      <c r="F155" s="353" t="n">
        <f aca="false">F154</f>
        <v>9000</v>
      </c>
      <c r="G155" s="353" t="n">
        <f aca="false">G154</f>
        <v>9000</v>
      </c>
      <c r="H155" s="353" t="n">
        <f aca="false">H154</f>
        <v>9000</v>
      </c>
      <c r="I155" s="353" t="n">
        <f aca="false">I154</f>
        <v>9000</v>
      </c>
      <c r="J155" s="353" t="n">
        <f aca="false">J154</f>
        <v>9000</v>
      </c>
      <c r="K155" s="353" t="n">
        <f aca="false">K154</f>
        <v>9000</v>
      </c>
      <c r="L155" s="353" t="n">
        <f aca="false">L154</f>
        <v>9000</v>
      </c>
      <c r="M155" s="353" t="n">
        <f aca="false">M154</f>
        <v>9000</v>
      </c>
      <c r="N155" s="353" t="n">
        <f aca="false">N154</f>
        <v>9000</v>
      </c>
      <c r="O155" s="353" t="n">
        <f aca="false">O154</f>
        <v>108000</v>
      </c>
      <c r="Q155" s="45"/>
      <c r="R155" s="353" t="n">
        <f aca="false">R154</f>
        <v>9000</v>
      </c>
      <c r="S155" s="353" t="n">
        <f aca="false">S154</f>
        <v>9000</v>
      </c>
      <c r="T155" s="353" t="n">
        <f aca="false">T154</f>
        <v>9000</v>
      </c>
      <c r="U155" s="353" t="n">
        <f aca="false">U154</f>
        <v>9000</v>
      </c>
      <c r="V155" s="353" t="n">
        <f aca="false">V154</f>
        <v>9000</v>
      </c>
      <c r="W155" s="353" t="n">
        <f aca="false">W154</f>
        <v>9000</v>
      </c>
      <c r="X155" s="353" t="n">
        <f aca="false">X154</f>
        <v>9000</v>
      </c>
      <c r="Y155" s="353" t="n">
        <f aca="false">Y154</f>
        <v>9000</v>
      </c>
      <c r="Z155" s="353" t="n">
        <f aca="false">Z154</f>
        <v>9000</v>
      </c>
      <c r="AA155" s="353" t="n">
        <f aca="false">AA154</f>
        <v>9000</v>
      </c>
      <c r="AB155" s="353" t="n">
        <f aca="false">AB154</f>
        <v>9000</v>
      </c>
      <c r="AC155" s="353" t="n">
        <f aca="false">AC154</f>
        <v>9000</v>
      </c>
      <c r="AD155" s="353" t="n">
        <f aca="false">AD154</f>
        <v>108000</v>
      </c>
      <c r="AF155" s="45"/>
      <c r="AG155" s="353" t="n">
        <f aca="false">AG154</f>
        <v>9000</v>
      </c>
      <c r="AH155" s="353" t="n">
        <f aca="false">AH154</f>
        <v>9000</v>
      </c>
      <c r="AI155" s="353" t="n">
        <f aca="false">AI154</f>
        <v>9000</v>
      </c>
      <c r="AJ155" s="353" t="n">
        <f aca="false">AJ154</f>
        <v>9000</v>
      </c>
      <c r="AK155" s="353" t="n">
        <f aca="false">AK154</f>
        <v>9000</v>
      </c>
      <c r="AL155" s="353" t="n">
        <f aca="false">AL154</f>
        <v>9000</v>
      </c>
      <c r="AM155" s="353" t="n">
        <f aca="false">AM154</f>
        <v>9000</v>
      </c>
      <c r="AN155" s="353" t="n">
        <f aca="false">AN154</f>
        <v>9000</v>
      </c>
      <c r="AO155" s="353" t="n">
        <f aca="false">AO154</f>
        <v>9000</v>
      </c>
      <c r="AP155" s="353" t="n">
        <f aca="false">AP154</f>
        <v>9000</v>
      </c>
      <c r="AQ155" s="353" t="n">
        <f aca="false">AQ154</f>
        <v>9000</v>
      </c>
      <c r="AR155" s="353" t="n">
        <f aca="false">AR154</f>
        <v>9000</v>
      </c>
      <c r="AS155" s="353" t="n">
        <f aca="false">AS154</f>
        <v>108000</v>
      </c>
    </row>
    <row r="156" customFormat="false" ht="13.8" hidden="false" customHeight="false" outlineLevel="0" collapsed="false">
      <c r="A156" s="137"/>
      <c r="B156" s="45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Q156" s="45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F156" s="45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</row>
    <row r="157" customFormat="false" ht="13.2" hidden="false" customHeight="false" outlineLevel="0" collapsed="false">
      <c r="A157" s="145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Q157" s="145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F157" s="145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</row>
    <row r="158" customFormat="false" ht="13.8" hidden="false" customHeight="false" outlineLevel="0" collapsed="false">
      <c r="A158" s="145"/>
      <c r="B158" s="285" t="str">
        <f aca="false">'P&amp;L$'!B159</f>
        <v>TOTAL COSTS</v>
      </c>
      <c r="C158" s="189" t="n">
        <f aca="false">C31+C36+C39+C49+C57+C63+C74+C94+C111+C119+C127+C133+C140+C145+C151+C155</f>
        <v>15854030.165554</v>
      </c>
      <c r="D158" s="189" t="n">
        <f aca="false">D31+D36+D39+D49+D57+D63+D74+D94+D111+D119+D127+D133+D140+D145+D151+D155</f>
        <v>14471861.0205982</v>
      </c>
      <c r="E158" s="189" t="n">
        <f aca="false">E31+E36+E39+E49+E57+E63+E74+E94+E111+E119+E127+E133+E140+E145+E151+E155</f>
        <v>15338302.1798954</v>
      </c>
      <c r="F158" s="189" t="n">
        <f aca="false">F31+F36+F39+F49+F57+F63+F74+F94+F111+F119+F127+F133+F140+F145+F151+F155</f>
        <v>14411915.8756077</v>
      </c>
      <c r="G158" s="189" t="n">
        <f aca="false">G31+G36+G39+G49+G57+G63+G74+G94+G111+G119+G127+G133+G140+G145+G151+G155</f>
        <v>14700719.1731184</v>
      </c>
      <c r="H158" s="189" t="n">
        <f aca="false">H31+H36+H39+H49+H57+H63+H74+H94+H111+H119+H127+H133+H140+H145+H151+H155</f>
        <v>14324637.9199336</v>
      </c>
      <c r="I158" s="189" t="n">
        <f aca="false">I31+I36+I39+I49+I57+I63+I74+I94+I111+I119+I127+I133+I140+I145+I151+I155</f>
        <v>15320549.5892904</v>
      </c>
      <c r="J158" s="189" t="n">
        <f aca="false">J31+J36+J39+J49+J57+J63+J74+J94+J111+J119+J127+J133+J140+J145+J151+J155</f>
        <v>15010231.0204184</v>
      </c>
      <c r="K158" s="189" t="n">
        <f aca="false">K31+K36+K39+K49+K57+K63+K74+K94+K111+K119+K127+K133+K140+K145+K151+K155</f>
        <v>14907561.6653429</v>
      </c>
      <c r="L158" s="189" t="n">
        <f aca="false">L31+L36+L39+L49+L57+L63+L74+L94+L111+L119+L127+L133+L140+L145+L151+L155</f>
        <v>16176635.0282009</v>
      </c>
      <c r="M158" s="189" t="n">
        <f aca="false">M31+M36+M39+M49+M57+M63+M74+M94+M111+M119+M127+M133+M140+M145+M151+M155</f>
        <v>15164764.3475442</v>
      </c>
      <c r="N158" s="189" t="n">
        <f aca="false">N31+N36+N39+N49+N57+N63+N74+N94+N111+N119+N127+N133+N140+N145+N151+N155</f>
        <v>15408354.6352059</v>
      </c>
      <c r="O158" s="189" t="n">
        <f aca="false">O31+O36+O39+O49+O57+O63+O74+O94+O111+O119+O127+O133+O140+O145+O151+O155</f>
        <v>181089562.62071</v>
      </c>
      <c r="P158" s="139"/>
      <c r="Q158" s="145"/>
      <c r="R158" s="146" t="n">
        <f aca="false">R31+R36+R39+R49+R57+R63+R74+R94+R111+R119+R127+R133+R140+R145+R151+R155</f>
        <v>13754645.0094994</v>
      </c>
      <c r="S158" s="146" t="n">
        <f aca="false">S31+S36+S39+S49+S57+S63+S74+S94+S111+S119+S127+S133+S140+S145+S151+S155</f>
        <v>12727860.4214963</v>
      </c>
      <c r="T158" s="146" t="n">
        <f aca="false">T31+T36+T39+T49+T57+T63+T74+T94+T111+T119+T127+T133+T140+T145+T151+T155</f>
        <v>13647481.5824592</v>
      </c>
      <c r="U158" s="146" t="n">
        <f aca="false">U31+U36+U39+U49+U57+U63+U74+U94+U111+U119+U127+U133+U140+U145+U151+U155</f>
        <v>12793922.3262051</v>
      </c>
      <c r="V158" s="146" t="n">
        <f aca="false">V31+V36+V39+V49+V57+V63+V74+V94+V111+V119+V127+V133+V140+V145+V151+V155</f>
        <v>12906633.8626631</v>
      </c>
      <c r="W158" s="146" t="n">
        <f aca="false">W31+W36+W39+W49+W57+W63+W74+W94+W111+W119+W127+W133+W140+W145+W151+W155</f>
        <v>12749575.9310601</v>
      </c>
      <c r="X158" s="146" t="n">
        <f aca="false">X31+X36+X39+X49+X57+X63+X74+X94+X111+X119+X127+X133+X140+X145+X151+X155</f>
        <v>13541985.1881231</v>
      </c>
      <c r="Y158" s="146" t="n">
        <f aca="false">Y31+Y36+Y39+Y49+Y57+Y63+Y74+Y94+Y111+Y119+Y127+Y133+Y140+Y145+Y151+Y155</f>
        <v>13249741.0634906</v>
      </c>
      <c r="Z158" s="146" t="n">
        <f aca="false">Z31+Z36+Z39+Z49+Z57+Z63+Z74+Z94+Z111+Z119+Z127+Z133+Z140+Z145+Z151+Z155</f>
        <v>13062301.9854463</v>
      </c>
      <c r="AA158" s="146" t="n">
        <f aca="false">AA31+AA36+AA39+AA49+AA57+AA63+AA74+AA94+AA111+AA119+AA127+AA133+AA140+AA145+AA151+AA155</f>
        <v>14627752.1540673</v>
      </c>
      <c r="AB158" s="146" t="n">
        <f aca="false">AB31+AB36+AB39+AB49+AB57+AB63+AB74+AB94+AB111+AB119+AB127+AB133+AB140+AB145+AB151+AB155</f>
        <v>13793863.6301754</v>
      </c>
      <c r="AC158" s="146" t="n">
        <f aca="false">AC31+AC36+AC39+AC49+AC57+AC63+AC74+AC94+AC111+AC119+AC127+AC133+AC140+AC145+AC151+AC155</f>
        <v>14208278.5891523</v>
      </c>
      <c r="AD158" s="146" t="n">
        <f aca="false">SUM(R158:AC158)</f>
        <v>161064041.743838</v>
      </c>
      <c r="AF158" s="145"/>
      <c r="AG158" s="146" t="n">
        <f aca="false">AG31+AG36+AG39+AG49+AG57+AG63+AG74+AG94+AG111+AG119+AG127+AG133+AG140+AG145+AG151+AG155</f>
        <v>14045962.5028554</v>
      </c>
      <c r="AH158" s="146" t="n">
        <f aca="false">AH31+AH36+AH39+AH49+AH57+AH63+AH74+AH94+AH111+AH119+AH127+AH133+AH140+AH145+AH151+AH155</f>
        <v>12967758.5019814</v>
      </c>
      <c r="AI158" s="146" t="n">
        <f aca="false">AI31+AI36+AI39+AI49+AI57+AI63+AI74+AI94+AI111+AI119+AI127+AI133+AI140+AI145+AI151+AI155</f>
        <v>13943713.3913513</v>
      </c>
      <c r="AJ158" s="146" t="n">
        <f aca="false">AJ31+AJ36+AJ39+AJ49+AJ57+AJ63+AJ74+AJ94+AJ111+AJ119+AJ127+AJ133+AJ140+AJ145+AJ151+AJ155</f>
        <v>13049012.2320967</v>
      </c>
      <c r="AK158" s="146" t="n">
        <f aca="false">AK31+AK36+AK39+AK49+AK57+AK63+AK74+AK94+AK111+AK119+AK127+AK133+AK140+AK145+AK151+AK155</f>
        <v>13156412.9638547</v>
      </c>
      <c r="AL158" s="146" t="n">
        <f aca="false">AL31+AL36+AL39+AL49+AL57+AL63+AL74+AL94+AL111+AL119+AL127+AL133+AL140+AL145+AL151+AL155</f>
        <v>12991663.1287705</v>
      </c>
      <c r="AM158" s="146" t="n">
        <f aca="false">AM31+AM36+AM39+AM49+AM57+AM63+AM74+AM94+AM111+AM119+AM127+AM133+AM140+AM145+AM151+AM155</f>
        <v>13823555.8254495</v>
      </c>
      <c r="AN158" s="146" t="n">
        <f aca="false">AN31+AN36+AN39+AN49+AN57+AN63+AN74+AN94+AN111+AN119+AN127+AN133+AN140+AN145+AN151+AN155</f>
        <v>13516741.7303285</v>
      </c>
      <c r="AO158" s="146" t="n">
        <f aca="false">AO31+AO36+AO39+AO49+AO57+AO63+AO74+AO94+AO111+AO119+AO127+AO133+AO140+AO145+AO151+AO155</f>
        <v>13311292.3246632</v>
      </c>
      <c r="AP158" s="146" t="n">
        <f aca="false">AP31+AP36+AP39+AP49+AP57+AP63+AP74+AP94+AP111+AP119+AP127+AP133+AP140+AP145+AP151+AP155</f>
        <v>14954952.3809097</v>
      </c>
      <c r="AQ158" s="146" t="n">
        <f aca="false">AQ31+AQ36+AQ39+AQ49+AQ57+AQ63+AQ74+AQ94+AQ111+AQ119+AQ127+AQ133+AQ140+AQ145+AQ151+AQ155</f>
        <v>14868700.9083003</v>
      </c>
      <c r="AR158" s="146" t="n">
        <f aca="false">AR31+AR36+AR39+AR49+AR57+AR63+AR74+AR94+AR111+AR119+AR127+AR133+AR140+AR145+AR151+AR155</f>
        <v>14310014.6801823</v>
      </c>
      <c r="AS158" s="146" t="n">
        <f aca="false">SUM(AG158:AR158)</f>
        <v>164939780.570743</v>
      </c>
    </row>
    <row r="159" customFormat="false" ht="13.8" hidden="false" customHeight="false" outlineLevel="0" collapsed="false">
      <c r="A159" s="145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39"/>
      <c r="Q159" s="145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F159" s="145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</row>
    <row r="160" customFormat="false" ht="16.2" hidden="false" customHeight="false" outlineLevel="0" collapsed="false">
      <c r="A160" s="174"/>
      <c r="B160" s="368" t="str">
        <f aca="false">'P&amp;L$'!B161</f>
        <v>OPERATING PROFIT</v>
      </c>
      <c r="C160" s="369" t="n">
        <f aca="false">C12-C158</f>
        <v>70550.1781643909</v>
      </c>
      <c r="D160" s="369" t="n">
        <f aca="false">D12-D158</f>
        <v>537239.333882192</v>
      </c>
      <c r="E160" s="369" t="n">
        <f aca="false">E12-E158</f>
        <v>172815.771408765</v>
      </c>
      <c r="F160" s="369" t="n">
        <f aca="false">F12-F158</f>
        <v>167953.540220261</v>
      </c>
      <c r="G160" s="369" t="n">
        <f aca="false">G12-G158</f>
        <v>-626923.369103454</v>
      </c>
      <c r="H160" s="369" t="n">
        <f aca="false">H12-H158</f>
        <v>-427812.656007852</v>
      </c>
      <c r="I160" s="369" t="n">
        <f aca="false">I12-I158</f>
        <v>2056063.02772669</v>
      </c>
      <c r="J160" s="369" t="n">
        <f aca="false">J12-J158</f>
        <v>2067673.36851276</v>
      </c>
      <c r="K160" s="369" t="n">
        <f aca="false">K12-K158</f>
        <v>2144347.82354574</v>
      </c>
      <c r="L160" s="369" t="n">
        <f aca="false">L12-L158</f>
        <v>2416556.44806985</v>
      </c>
      <c r="M160" s="369" t="n">
        <f aca="false">M12-M158</f>
        <v>2715729.78136793</v>
      </c>
      <c r="N160" s="369" t="n">
        <f aca="false">N12-N158</f>
        <v>2849146.8637202</v>
      </c>
      <c r="O160" s="369" t="n">
        <f aca="false">SUM(C160:N160)</f>
        <v>14143340.1115075</v>
      </c>
      <c r="P160" s="370"/>
      <c r="Q160" s="174"/>
      <c r="R160" s="371" t="n">
        <f aca="false">R12-R158</f>
        <v>3227561.82354588</v>
      </c>
      <c r="S160" s="371" t="n">
        <f aca="false">S12-S158</f>
        <v>3268918.96678749</v>
      </c>
      <c r="T160" s="371" t="n">
        <f aca="false">T12-T158</f>
        <v>2897115.85166503</v>
      </c>
      <c r="U160" s="371" t="n">
        <f aca="false">U12-U158</f>
        <v>2480712.25322401</v>
      </c>
      <c r="V160" s="371" t="n">
        <f aca="false">V12-V158</f>
        <v>1982061.33706117</v>
      </c>
      <c r="W160" s="371" t="n">
        <f aca="false">W12-W158</f>
        <v>-143268.941376625</v>
      </c>
      <c r="X160" s="371" t="n">
        <f aca="false">X12-X158</f>
        <v>4697914.32814507</v>
      </c>
      <c r="Y160" s="371" t="n">
        <f aca="false">Y12-Y158</f>
        <v>4504866.36907452</v>
      </c>
      <c r="Z160" s="371" t="n">
        <f aca="false">Z12-Z158</f>
        <v>3411899.53578749</v>
      </c>
      <c r="AA160" s="371" t="n">
        <f aca="false">AA12-AA158</f>
        <v>5358565.28078952</v>
      </c>
      <c r="AB160" s="371" t="n">
        <f aca="false">AB12-AB158</f>
        <v>5349723.16001745</v>
      </c>
      <c r="AC160" s="371" t="n">
        <f aca="false">AC12-AC158</f>
        <v>5754970.0792809</v>
      </c>
      <c r="AD160" s="371" t="n">
        <f aca="false">SUM(R160:AC160)</f>
        <v>42791040.0440019</v>
      </c>
      <c r="AE160" s="372"/>
      <c r="AF160" s="174"/>
      <c r="AG160" s="371" t="n">
        <f aca="false">AG12-AG158</f>
        <v>3348067.77962676</v>
      </c>
      <c r="AH160" s="371" t="n">
        <f aca="false">AH12-AH158</f>
        <v>3748055.18510119</v>
      </c>
      <c r="AI160" s="371" t="n">
        <f aca="false">AI12-AI158</f>
        <v>3517850.69794389</v>
      </c>
      <c r="AJ160" s="371" t="n">
        <f aca="false">AJ12-AJ158</f>
        <v>2987920.41240852</v>
      </c>
      <c r="AK160" s="371" t="n">
        <f aca="false">AK12-AK158</f>
        <v>1731015.54332042</v>
      </c>
      <c r="AL160" s="371" t="n">
        <f aca="false">AL12-AL158</f>
        <v>2158530.01658176</v>
      </c>
      <c r="AM160" s="371" t="n">
        <f aca="false">AM12-AM158</f>
        <v>5160256.8726648</v>
      </c>
      <c r="AN160" s="371" t="n">
        <f aca="false">AN12-AN158</f>
        <v>5474767.40101747</v>
      </c>
      <c r="AO160" s="371" t="n">
        <f aca="false">AO12-AO158</f>
        <v>5709700.05095298</v>
      </c>
      <c r="AP160" s="371" t="n">
        <f aca="false">AP12-AP158</f>
        <v>5292171.54474665</v>
      </c>
      <c r="AQ160" s="371" t="n">
        <f aca="false">AQ12-AQ158</f>
        <v>5178666.12961095</v>
      </c>
      <c r="AR160" s="371" t="n">
        <f aca="false">AR12-AR158</f>
        <v>6762307.10572129</v>
      </c>
      <c r="AS160" s="371" t="n">
        <f aca="false">SUM(AG160:AR160)</f>
        <v>51069308.7396967</v>
      </c>
    </row>
    <row r="161" customFormat="false" ht="13.8" hidden="false" customHeight="false" outlineLevel="0" collapsed="false"/>
    <row r="164" customFormat="false" ht="13.2" hidden="false" customHeight="false" outlineLevel="0" collapsed="false">
      <c r="A164" s="141" t="s">
        <v>1055</v>
      </c>
      <c r="B164" s="144" t="str">
        <f aca="false">'P&amp;L$'!B165</f>
        <v>FINANCIAL COSTS</v>
      </c>
      <c r="Q164" s="144"/>
      <c r="AF164" s="144"/>
    </row>
    <row r="165" customFormat="false" ht="13.2" hidden="false" customHeight="false" outlineLevel="0" collapsed="false">
      <c r="A165" s="137" t="s">
        <v>1056</v>
      </c>
      <c r="B165" s="45" t="str">
        <f aca="false">'P&amp;L$'!B166</f>
        <v>Bank Expenses</v>
      </c>
      <c r="C165" s="139" t="n">
        <f aca="false">'P&amp;L$'!C166*Factors!C$11</f>
        <v>15843.1038845768</v>
      </c>
      <c r="D165" s="139" t="n">
        <f aca="false">'P&amp;L$'!D166*Factors!D$11</f>
        <v>14329.9061350465</v>
      </c>
      <c r="E165" s="139" t="n">
        <f aca="false">'P&amp;L$'!E166*Factors!E$11</f>
        <v>15887.4025573118</v>
      </c>
      <c r="F165" s="139" t="n">
        <f aca="false">'P&amp;L$'!F166*Factors!F$11</f>
        <v>15396.3405422703</v>
      </c>
      <c r="G165" s="139" t="n">
        <f aca="false">'P&amp;L$'!G166*Factors!G$11</f>
        <v>15931.7012300468</v>
      </c>
      <c r="H165" s="139" t="n">
        <f aca="false">'P&amp;L$'!H166*Factors!H$11</f>
        <v>15105.8516070459</v>
      </c>
      <c r="I165" s="139" t="n">
        <f aca="false">'P&amp;L$'!I166*Factors!I$11</f>
        <v>15631.0510887427</v>
      </c>
      <c r="J165" s="139" t="n">
        <f aca="false">'P&amp;L$'!J166*Factors!J$11</f>
        <v>15652.7221835379</v>
      </c>
      <c r="K165" s="139" t="n">
        <f aca="false">'P&amp;L$'!K166*Factors!K$11</f>
        <v>15168.7676887095</v>
      </c>
      <c r="L165" s="139" t="n">
        <f aca="false">'P&amp;L$'!L166*Factors!L$11</f>
        <v>15696.0643731284</v>
      </c>
      <c r="M165" s="139" t="n">
        <f aca="false">'P&amp;L$'!M166*Factors!M$11</f>
        <v>15210.7117431519</v>
      </c>
      <c r="N165" s="139" t="n">
        <f aca="false">'P&amp;L$'!N166*Factors!N$11</f>
        <v>15378.1039641441</v>
      </c>
      <c r="O165" s="139" t="n">
        <f aca="false">SUM(C165:N165)</f>
        <v>185231.726997713</v>
      </c>
      <c r="P165" s="139"/>
      <c r="Q165" s="45"/>
      <c r="R165" s="139" t="n">
        <f aca="false">'P&amp;L$'!R166*Factors!R$11</f>
        <v>15442.179397328</v>
      </c>
      <c r="S165" s="139" t="n">
        <f aca="false">'P&amp;L$'!S166*Factors!S$11</f>
        <v>14005.6495243334</v>
      </c>
      <c r="T165" s="139" t="n">
        <f aca="false">'P&amp;L$'!T166*Factors!T$11</f>
        <v>15570.3302636959</v>
      </c>
      <c r="U165" s="139" t="n">
        <f aca="false">'P&amp;L$'!U166*Factors!U$11</f>
        <v>15130.0700292385</v>
      </c>
      <c r="V165" s="139" t="n">
        <f aca="false">'P&amp;L$'!V166*Factors!V$11</f>
        <v>15698.4811300637</v>
      </c>
      <c r="W165" s="139" t="n">
        <f aca="false">'P&amp;L$'!W166*Factors!W$11</f>
        <v>14881.2835262121</v>
      </c>
      <c r="X165" s="139" t="n">
        <f aca="false">'P&amp;L$'!X166*Factors!X$11</f>
        <v>15439.8357669656</v>
      </c>
      <c r="Y165" s="139" t="n">
        <f aca="false">'P&amp;L$'!Y166*Factors!Y$11</f>
        <v>15502.345223512</v>
      </c>
      <c r="Z165" s="139" t="n">
        <f aca="false">'P&amp;L$'!Z166*Factors!Z$11</f>
        <v>15062.762593605</v>
      </c>
      <c r="AA165" s="139" t="n">
        <f aca="false">'P&amp;L$'!AA166*Factors!AA$11</f>
        <v>15627.3641366049</v>
      </c>
      <c r="AB165" s="139" t="n">
        <f aca="false">'P&amp;L$'!AB166*Factors!AB$11</f>
        <v>15183.7486385335</v>
      </c>
      <c r="AC165" s="139" t="n">
        <f aca="false">'P&amp;L$'!AC166*Factors!AC$11</f>
        <v>15341.7630885909</v>
      </c>
      <c r="AD165" s="139" t="n">
        <f aca="false">SUM(R165:AC165)</f>
        <v>182885.813318684</v>
      </c>
      <c r="AF165" s="45"/>
      <c r="AG165" s="139" t="n">
        <f aca="false">'P&amp;L$'!AG166*Factors!AG$11</f>
        <v>15405.68710146</v>
      </c>
      <c r="AH165" s="139" t="n">
        <f aca="false">'P&amp;L$'!AH166*Factors!AH$11</f>
        <v>13972.5519742328</v>
      </c>
      <c r="AI165" s="139" t="n">
        <f aca="false">'P&amp;L$'!AI166*Factors!AI$11</f>
        <v>15533.5351271983</v>
      </c>
      <c r="AJ165" s="139" t="n">
        <f aca="false">'P&amp;L$'!AJ166*Factors!AJ$11</f>
        <v>15094.3152968394</v>
      </c>
      <c r="AK165" s="139" t="n">
        <f aca="false">'P&amp;L$'!AK166*Factors!AK$11</f>
        <v>15661.3831529365</v>
      </c>
      <c r="AL165" s="139" t="n">
        <f aca="false">'P&amp;L$'!AL166*Factors!AL$11</f>
        <v>14794.5114333855</v>
      </c>
      <c r="AM165" s="139" t="n">
        <f aca="false">'P&amp;L$'!AM166*Factors!AM$11</f>
        <v>15349.8067812239</v>
      </c>
      <c r="AN165" s="139" t="n">
        <f aca="false">'P&amp;L$'!AN166*Factors!AN$11</f>
        <v>15411.9517479495</v>
      </c>
      <c r="AO165" s="139" t="n">
        <f aca="false">'P&amp;L$'!AO166*Factors!AO$11</f>
        <v>14974.9323045243</v>
      </c>
      <c r="AP165" s="139" t="n">
        <f aca="false">'P&amp;L$'!AP166*Factors!AP$11</f>
        <v>15536.2416814007</v>
      </c>
      <c r="AQ165" s="139" t="n">
        <f aca="false">'P&amp;L$'!AQ166*Factors!AQ$11</f>
        <v>15095.2128852836</v>
      </c>
      <c r="AR165" s="139" t="n">
        <f aca="false">'P&amp;L$'!AR166*Factors!AR$11</f>
        <v>15194.1787915449</v>
      </c>
      <c r="AS165" s="139" t="n">
        <f aca="false">SUM(AG165:AR165)</f>
        <v>182024.308277979</v>
      </c>
    </row>
    <row r="166" customFormat="false" ht="13.2" hidden="false" customHeight="false" outlineLevel="0" collapsed="false">
      <c r="A166" s="137" t="s">
        <v>303</v>
      </c>
      <c r="B166" s="45" t="str">
        <f aca="false">'P&amp;L$'!B167</f>
        <v>Agency Fee</v>
      </c>
      <c r="C166" s="139" t="n">
        <f aca="false">'P&amp;L$'!C167*Factors!C$11</f>
        <v>8965.45075</v>
      </c>
      <c r="D166" s="139" t="n">
        <f aca="false">'P&amp;L$'!D167*Factors!D$11</f>
        <v>8977.98483333333</v>
      </c>
      <c r="E166" s="139" t="n">
        <f aca="false">'P&amp;L$'!E167*Factors!E$11</f>
        <v>8990.51891666667</v>
      </c>
      <c r="F166" s="139" t="n">
        <f aca="false">'P&amp;L$'!F167*Factors!F$11</f>
        <v>9003.053</v>
      </c>
      <c r="G166" s="139" t="n">
        <f aca="false">'P&amp;L$'!G167*Factors!G$11</f>
        <v>9015.58708333334</v>
      </c>
      <c r="H166" s="139" t="n">
        <f aca="false">'P&amp;L$'!H167*Factors!H$11</f>
        <v>9028.12116666667</v>
      </c>
      <c r="I166" s="139" t="n">
        <f aca="false">'P&amp;L$'!I167*Factors!I$11</f>
        <v>9040.65525</v>
      </c>
      <c r="J166" s="139" t="n">
        <f aca="false">'P&amp;L$'!J167*Factors!J$11</f>
        <v>9053.18933333334</v>
      </c>
      <c r="K166" s="139" t="n">
        <f aca="false">'P&amp;L$'!K167*Factors!K$11</f>
        <v>9065.72341666667</v>
      </c>
      <c r="L166" s="139" t="n">
        <f aca="false">'P&amp;L$'!L167*Factors!L$11</f>
        <v>9078.25750000001</v>
      </c>
      <c r="M166" s="139" t="n">
        <f aca="false">'P&amp;L$'!M167*Factors!M$11</f>
        <v>9090.79158333334</v>
      </c>
      <c r="N166" s="139" t="n">
        <f aca="false">'P&amp;L$'!N167*Factors!N$11</f>
        <v>9103.32566666667</v>
      </c>
      <c r="O166" s="139" t="n">
        <f aca="false">SUM(C166:N166)</f>
        <v>108412.6585</v>
      </c>
      <c r="P166" s="139"/>
      <c r="Q166" s="45"/>
      <c r="R166" s="139" t="n">
        <f aca="false">'P&amp;L$'!R167*Factors!R$11</f>
        <v>9141.25619027779</v>
      </c>
      <c r="S166" s="139" t="n">
        <f aca="false">'P&amp;L$'!S167*Factors!S$11</f>
        <v>9179.1867138889</v>
      </c>
      <c r="T166" s="139" t="n">
        <f aca="false">'P&amp;L$'!T167*Factors!T$11</f>
        <v>9217.11723750001</v>
      </c>
      <c r="U166" s="139" t="n">
        <f aca="false">'P&amp;L$'!U167*Factors!U$11</f>
        <v>9255.04776111112</v>
      </c>
      <c r="V166" s="139" t="n">
        <f aca="false">'P&amp;L$'!V167*Factors!V$11</f>
        <v>9292.97828472223</v>
      </c>
      <c r="W166" s="139" t="n">
        <f aca="false">'P&amp;L$'!W167*Factors!W$11</f>
        <v>9330.90880833334</v>
      </c>
      <c r="X166" s="139" t="n">
        <f aca="false">'P&amp;L$'!X167*Factors!X$11</f>
        <v>9368.83933194445</v>
      </c>
      <c r="Y166" s="139" t="n">
        <f aca="false">'P&amp;L$'!Y167*Factors!Y$11</f>
        <v>9406.76985555556</v>
      </c>
      <c r="Z166" s="139" t="n">
        <f aca="false">'P&amp;L$'!Z167*Factors!Z$11</f>
        <v>9444.70037916667</v>
      </c>
      <c r="AA166" s="139" t="n">
        <f aca="false">'P&amp;L$'!AA167*Factors!AA$11</f>
        <v>9482.63090277778</v>
      </c>
      <c r="AB166" s="139" t="n">
        <f aca="false">'P&amp;L$'!AB167*Factors!AB$11</f>
        <v>9520.56142638889</v>
      </c>
      <c r="AC166" s="139" t="n">
        <f aca="false">'P&amp;L$'!AC167*Factors!AC$11</f>
        <v>9558.49195</v>
      </c>
      <c r="AD166" s="139" t="n">
        <f aca="false">SUM(R166:AC166)</f>
        <v>112198.488841667</v>
      </c>
      <c r="AF166" s="45"/>
      <c r="AG166" s="139" t="n">
        <f aca="false">'P&amp;L$'!AG167*Factors!AG$11</f>
        <v>9598.31899979167</v>
      </c>
      <c r="AH166" s="139" t="n">
        <f aca="false">'P&amp;L$'!AH167*Factors!AH$11</f>
        <v>9638.14604958334</v>
      </c>
      <c r="AI166" s="139" t="n">
        <f aca="false">'P&amp;L$'!AI167*Factors!AI$11</f>
        <v>9677.973099375</v>
      </c>
      <c r="AJ166" s="139" t="n">
        <f aca="false">'P&amp;L$'!AJ167*Factors!AJ$11</f>
        <v>9717.80014916667</v>
      </c>
      <c r="AK166" s="139" t="n">
        <f aca="false">'P&amp;L$'!AK167*Factors!AK$11</f>
        <v>9757.62719895834</v>
      </c>
      <c r="AL166" s="139" t="n">
        <f aca="false">'P&amp;L$'!AL167*Factors!AL$11</f>
        <v>9797.45424875</v>
      </c>
      <c r="AM166" s="139" t="n">
        <f aca="false">'P&amp;L$'!AM167*Factors!AM$11</f>
        <v>9837.28129854167</v>
      </c>
      <c r="AN166" s="139" t="n">
        <f aca="false">'P&amp;L$'!AN167*Factors!AN$11</f>
        <v>9877.10834833334</v>
      </c>
      <c r="AO166" s="139" t="n">
        <f aca="false">'P&amp;L$'!AO167*Factors!AO$11</f>
        <v>9916.935398125</v>
      </c>
      <c r="AP166" s="139" t="n">
        <f aca="false">'P&amp;L$'!AP167*Factors!AP$11</f>
        <v>9956.76244791667</v>
      </c>
      <c r="AQ166" s="139" t="n">
        <f aca="false">'P&amp;L$'!AQ167*Factors!AQ$11</f>
        <v>9996.58949770834</v>
      </c>
      <c r="AR166" s="139" t="n">
        <f aca="false">'P&amp;L$'!AR167*Factors!AR$11</f>
        <v>10036.4165475</v>
      </c>
      <c r="AS166" s="139" t="n">
        <f aca="false">SUM(AG166:AR166)</f>
        <v>117808.41328375</v>
      </c>
    </row>
    <row r="167" customFormat="false" ht="13.2" hidden="false" customHeight="false" outlineLevel="0" collapsed="false">
      <c r="A167" s="137" t="s">
        <v>298</v>
      </c>
      <c r="B167" s="45" t="str">
        <f aca="false">'P&amp;L$'!B168</f>
        <v>WestLB Interest</v>
      </c>
      <c r="C167" s="139" t="n">
        <f aca="false">'P&amp;L$'!C168*Factors!C$11</f>
        <v>1584310.38845768</v>
      </c>
      <c r="D167" s="139" t="n">
        <f aca="false">'P&amp;L$'!D168*Factors!D$11</f>
        <v>1432990.61350465</v>
      </c>
      <c r="E167" s="139" t="n">
        <f aca="false">'P&amp;L$'!E168*Factors!E$11</f>
        <v>1588740.25573118</v>
      </c>
      <c r="F167" s="139" t="n">
        <f aca="false">'P&amp;L$'!F168*Factors!F$11</f>
        <v>1539634.05422703</v>
      </c>
      <c r="G167" s="139" t="n">
        <f aca="false">'P&amp;L$'!G168*Factors!G$11</f>
        <v>1593170.12300468</v>
      </c>
      <c r="H167" s="139" t="n">
        <f aca="false">'P&amp;L$'!H168*Factors!H$11</f>
        <v>1510585.16070459</v>
      </c>
      <c r="I167" s="139" t="n">
        <f aca="false">'P&amp;L$'!I168*Factors!I$11</f>
        <v>1563105.10887427</v>
      </c>
      <c r="J167" s="139" t="n">
        <f aca="false">'P&amp;L$'!J168*Factors!J$11</f>
        <v>1565272.21835379</v>
      </c>
      <c r="K167" s="139" t="n">
        <f aca="false">'P&amp;L$'!K168*Factors!K$11</f>
        <v>1516876.76887095</v>
      </c>
      <c r="L167" s="139" t="n">
        <f aca="false">'P&amp;L$'!L168*Factors!L$11</f>
        <v>1569606.43731284</v>
      </c>
      <c r="M167" s="139" t="n">
        <f aca="false">'P&amp;L$'!M168*Factors!M$11</f>
        <v>1521071.17431519</v>
      </c>
      <c r="N167" s="139" t="n">
        <f aca="false">'P&amp;L$'!N168*Factors!N$11</f>
        <v>1537810.39641441</v>
      </c>
      <c r="O167" s="139" t="n">
        <f aca="false">SUM(C167:N167)</f>
        <v>18523172.6997713</v>
      </c>
      <c r="P167" s="139"/>
      <c r="Q167" s="45"/>
      <c r="R167" s="139" t="n">
        <f aca="false">'P&amp;L$'!R168*Factors!R$11</f>
        <v>1544217.9397328</v>
      </c>
      <c r="S167" s="139" t="n">
        <f aca="false">'P&amp;L$'!S168*Factors!S$11</f>
        <v>1400564.95243334</v>
      </c>
      <c r="T167" s="139" t="n">
        <f aca="false">'P&amp;L$'!T168*Factors!T$11</f>
        <v>1557033.02636959</v>
      </c>
      <c r="U167" s="139" t="n">
        <f aca="false">'P&amp;L$'!U168*Factors!U$11</f>
        <v>1513007.00292385</v>
      </c>
      <c r="V167" s="139" t="n">
        <f aca="false">'P&amp;L$'!V168*Factors!V$11</f>
        <v>1569848.11300637</v>
      </c>
      <c r="W167" s="139" t="n">
        <f aca="false">'P&amp;L$'!W168*Factors!W$11</f>
        <v>1488128.35262121</v>
      </c>
      <c r="X167" s="139" t="n">
        <f aca="false">'P&amp;L$'!X168*Factors!X$11</f>
        <v>1543983.57669656</v>
      </c>
      <c r="Y167" s="139" t="n">
        <f aca="false">'P&amp;L$'!Y168*Factors!Y$11</f>
        <v>1550234.5223512</v>
      </c>
      <c r="Z167" s="139" t="n">
        <f aca="false">'P&amp;L$'!Z168*Factors!Z$11</f>
        <v>1506276.2593605</v>
      </c>
      <c r="AA167" s="139" t="n">
        <f aca="false">'P&amp;L$'!AA168*Factors!AA$11</f>
        <v>1562736.41366049</v>
      </c>
      <c r="AB167" s="139" t="n">
        <f aca="false">'P&amp;L$'!AB168*Factors!AB$11</f>
        <v>1518374.86385335</v>
      </c>
      <c r="AC167" s="139" t="n">
        <f aca="false">'P&amp;L$'!AC168*Factors!AC$11</f>
        <v>1534176.30885909</v>
      </c>
      <c r="AD167" s="139" t="n">
        <f aca="false">SUM(R167:AC167)</f>
        <v>18288581.3318684</v>
      </c>
      <c r="AF167" s="45"/>
      <c r="AG167" s="139" t="n">
        <f aca="false">'P&amp;L$'!AG168*Factors!AG$11</f>
        <v>1540568.710146</v>
      </c>
      <c r="AH167" s="139" t="n">
        <f aca="false">'P&amp;L$'!AH168*Factors!AH$11</f>
        <v>1397255.19742328</v>
      </c>
      <c r="AI167" s="139" t="n">
        <f aca="false">'P&amp;L$'!AI168*Factors!AI$11</f>
        <v>1553353.51271983</v>
      </c>
      <c r="AJ167" s="139" t="n">
        <f aca="false">'P&amp;L$'!AJ168*Factors!AJ$11</f>
        <v>1509431.52968394</v>
      </c>
      <c r="AK167" s="139" t="n">
        <f aca="false">'P&amp;L$'!AK168*Factors!AK$11</f>
        <v>1566138.31529365</v>
      </c>
      <c r="AL167" s="139" t="n">
        <f aca="false">'P&amp;L$'!AL168*Factors!AL$11</f>
        <v>1479451.14333855</v>
      </c>
      <c r="AM167" s="139" t="n">
        <f aca="false">'P&amp;L$'!AM168*Factors!AM$11</f>
        <v>1534980.67812239</v>
      </c>
      <c r="AN167" s="139" t="n">
        <f aca="false">'P&amp;L$'!AN168*Factors!AN$11</f>
        <v>1541195.17479495</v>
      </c>
      <c r="AO167" s="139" t="n">
        <f aca="false">'P&amp;L$'!AO168*Factors!AO$11</f>
        <v>1497493.23045243</v>
      </c>
      <c r="AP167" s="139" t="n">
        <f aca="false">'P&amp;L$'!AP168*Factors!AP$11</f>
        <v>1553624.16814007</v>
      </c>
      <c r="AQ167" s="139" t="n">
        <f aca="false">'P&amp;L$'!AQ168*Factors!AQ$11</f>
        <v>1509521.28852836</v>
      </c>
      <c r="AR167" s="139" t="n">
        <f aca="false">'P&amp;L$'!AR168*Factors!AR$11</f>
        <v>1519417.87915449</v>
      </c>
      <c r="AS167" s="139" t="n">
        <f aca="false">SUM(AG167:AR167)</f>
        <v>18202430.8277979</v>
      </c>
    </row>
    <row r="168" customFormat="false" ht="13.2" hidden="false" customHeight="false" outlineLevel="0" collapsed="false">
      <c r="A168" s="137" t="s">
        <v>301</v>
      </c>
      <c r="B168" s="45" t="str">
        <f aca="false">'P&amp;L$'!B169</f>
        <v>EPI Interest</v>
      </c>
      <c r="C168" s="139" t="n">
        <f aca="false">'P&amp;L$'!C169*Factors!C$11</f>
        <v>75734.45011604</v>
      </c>
      <c r="D168" s="139" t="n">
        <f aca="false">'P&amp;L$'!D169*Factors!D$11</f>
        <v>68500.9433289594</v>
      </c>
      <c r="E168" s="139" t="n">
        <f aca="false">'P&amp;L$'!E169*Factors!E$11</f>
        <v>75946.2101123701</v>
      </c>
      <c r="F168" s="139" t="n">
        <f aca="false">'P&amp;L$'!F169*Factors!F$11</f>
        <v>73598.796881163</v>
      </c>
      <c r="G168" s="139" t="n">
        <f aca="false">'P&amp;L$'!G169*Factors!G$11</f>
        <v>76157.9701087001</v>
      </c>
      <c r="H168" s="139" t="n">
        <f aca="false">'P&amp;L$'!H169*Factors!H$11</f>
        <v>73803.7259098695</v>
      </c>
      <c r="I168" s="139" t="n">
        <f aca="false">'P&amp;L$'!I169*Factors!I$11</f>
        <v>76369.7301050302</v>
      </c>
      <c r="J168" s="139" t="n">
        <f aca="false">'P&amp;L$'!J169*Factors!J$11</f>
        <v>76475.6101031952</v>
      </c>
      <c r="K168" s="139" t="n">
        <f aca="false">'P&amp;L$'!K169*Factors!K$11</f>
        <v>74111.1194529293</v>
      </c>
      <c r="L168" s="139" t="n">
        <f aca="false">'P&amp;L$'!L169*Factors!L$11</f>
        <v>76687.3700995253</v>
      </c>
      <c r="M168" s="139" t="n">
        <f aca="false">'P&amp;L$'!M169*Factors!M$11</f>
        <v>74316.0484816358</v>
      </c>
      <c r="N168" s="139" t="n">
        <f aca="false">'P&amp;L$'!N169*Factors!N$11</f>
        <v>76899.1300958554</v>
      </c>
      <c r="O168" s="139" t="n">
        <f aca="false">SUM(C168:N168)</f>
        <v>898601.104795273</v>
      </c>
      <c r="P168" s="139"/>
      <c r="Q168" s="45"/>
      <c r="R168" s="139" t="n">
        <f aca="false">'P&amp;L$'!R169*Factors!R$11</f>
        <v>77219.5431379214</v>
      </c>
      <c r="S168" s="139" t="n">
        <f aca="false">'P&amp;L$'!S169*Factors!S$11</f>
        <v>70036.0894528919</v>
      </c>
      <c r="T168" s="139" t="n">
        <f aca="false">'P&amp;L$'!T169*Factors!T$11</f>
        <v>77860.3692220535</v>
      </c>
      <c r="U168" s="139" t="n">
        <f aca="false">'P&amp;L$'!U169*Factors!U$11</f>
        <v>75658.8215459222</v>
      </c>
      <c r="V168" s="139" t="n">
        <f aca="false">'P&amp;L$'!V169*Factors!V$11</f>
        <v>78501.1953061857</v>
      </c>
      <c r="W168" s="139" t="n">
        <f aca="false">'P&amp;L$'!W169*Factors!W$11</f>
        <v>76278.9758208888</v>
      </c>
      <c r="X168" s="139" t="n">
        <f aca="false">'P&amp;L$'!X169*Factors!X$11</f>
        <v>79142.0213903178</v>
      </c>
      <c r="Y168" s="139" t="n">
        <f aca="false">'P&amp;L$'!Y169*Factors!Y$11</f>
        <v>79462.4344323838</v>
      </c>
      <c r="Z168" s="139" t="n">
        <f aca="false">'P&amp;L$'!Z169*Factors!Z$11</f>
        <v>77209.2072333387</v>
      </c>
      <c r="AA168" s="139" t="n">
        <f aca="false">'P&amp;L$'!AA169*Factors!AA$11</f>
        <v>80103.260516516</v>
      </c>
      <c r="AB168" s="139" t="n">
        <f aca="false">'P&amp;L$'!AB169*Factors!AB$11</f>
        <v>77829.3615083052</v>
      </c>
      <c r="AC168" s="139" t="n">
        <f aca="false">'P&amp;L$'!AC169*Factors!AC$11</f>
        <v>80744.0866006481</v>
      </c>
      <c r="AD168" s="139" t="n">
        <f aca="false">SUM(R168:AC168)</f>
        <v>930045.366167373</v>
      </c>
      <c r="AF168" s="45"/>
      <c r="AG168" s="139" t="n">
        <f aca="false">'P&amp;L$'!AG169*Factors!AG$11</f>
        <v>81080.5202948175</v>
      </c>
      <c r="AH168" s="139" t="n">
        <f aca="false">'P&amp;L$'!AH169*Factors!AH$11</f>
        <v>73537.8939255365</v>
      </c>
      <c r="AI168" s="139" t="n">
        <f aca="false">'P&amp;L$'!AI169*Factors!AI$11</f>
        <v>81753.3876831562</v>
      </c>
      <c r="AJ168" s="139" t="n">
        <f aca="false">'P&amp;L$'!AJ169*Factors!AJ$11</f>
        <v>79441.7626232183</v>
      </c>
      <c r="AK168" s="139" t="n">
        <f aca="false">'P&amp;L$'!AK169*Factors!AK$11</f>
        <v>82426.2550714949</v>
      </c>
      <c r="AL168" s="139" t="n">
        <f aca="false">'P&amp;L$'!AL169*Factors!AL$11</f>
        <v>80092.9246119332</v>
      </c>
      <c r="AM168" s="139" t="n">
        <f aca="false">'P&amp;L$'!AM169*Factors!AM$11</f>
        <v>83099.1224598337</v>
      </c>
      <c r="AN168" s="139" t="n">
        <f aca="false">'P&amp;L$'!AN169*Factors!AN$11</f>
        <v>83435.556154003</v>
      </c>
      <c r="AO168" s="139" t="n">
        <f aca="false">'P&amp;L$'!AO169*Factors!AO$11</f>
        <v>81069.6675950056</v>
      </c>
      <c r="AP168" s="139" t="n">
        <f aca="false">'P&amp;L$'!AP169*Factors!AP$11</f>
        <v>84108.4235423418</v>
      </c>
      <c r="AQ168" s="139" t="n">
        <f aca="false">'P&amp;L$'!AQ169*Factors!AQ$11</f>
        <v>81720.8295837205</v>
      </c>
      <c r="AR168" s="139" t="n">
        <f aca="false">'P&amp;L$'!AR169*Factors!AR$11</f>
        <v>84781.2909306805</v>
      </c>
      <c r="AS168" s="139" t="n">
        <f aca="false">SUM(AG168:AR168)</f>
        <v>976547.634475742</v>
      </c>
    </row>
    <row r="169" customFormat="false" ht="13.2" hidden="true" customHeight="false" outlineLevel="0" collapsed="false">
      <c r="A169" s="137" t="s">
        <v>1057</v>
      </c>
      <c r="B169" s="45" t="str">
        <f aca="false">'P&amp;L$'!B170</f>
        <v>Late Payment Interest</v>
      </c>
      <c r="C169" s="139" t="n">
        <f aca="false">'P&amp;L$'!C170*Factors!C$11</f>
        <v>0</v>
      </c>
      <c r="D169" s="139" t="n">
        <f aca="false">'P&amp;L$'!D170*Factors!D$11</f>
        <v>0</v>
      </c>
      <c r="E169" s="139" t="n">
        <f aca="false">'P&amp;L$'!E170*Factors!E$11</f>
        <v>0</v>
      </c>
      <c r="F169" s="139" t="n">
        <f aca="false">'P&amp;L$'!F170*Factors!F$11</f>
        <v>0</v>
      </c>
      <c r="G169" s="139" t="n">
        <f aca="false">'P&amp;L$'!G170*Factors!G$11</f>
        <v>0</v>
      </c>
      <c r="H169" s="139" t="n">
        <f aca="false">'P&amp;L$'!H170*Factors!H$11</f>
        <v>0</v>
      </c>
      <c r="I169" s="139" t="n">
        <f aca="false">'P&amp;L$'!I170*Factors!I$11</f>
        <v>0</v>
      </c>
      <c r="J169" s="139" t="n">
        <f aca="false">'P&amp;L$'!J170*Factors!J$11</f>
        <v>0</v>
      </c>
      <c r="K169" s="139" t="n">
        <f aca="false">'P&amp;L$'!K170*Factors!K$11</f>
        <v>0</v>
      </c>
      <c r="L169" s="139" t="n">
        <f aca="false">'P&amp;L$'!L170*Factors!L$11</f>
        <v>0</v>
      </c>
      <c r="M169" s="139" t="n">
        <f aca="false">'P&amp;L$'!M170*Factors!M$11</f>
        <v>0</v>
      </c>
      <c r="N169" s="139" t="n">
        <f aca="false">'P&amp;L$'!N170*Factors!N$11</f>
        <v>0</v>
      </c>
      <c r="O169" s="139" t="n">
        <f aca="false">SUM(C169:N169)</f>
        <v>0</v>
      </c>
      <c r="P169" s="139"/>
      <c r="Q169" s="45"/>
      <c r="R169" s="139" t="n">
        <f aca="false">'P&amp;L$'!R170*Factors!R$11</f>
        <v>0</v>
      </c>
      <c r="S169" s="139" t="n">
        <f aca="false">'P&amp;L$'!S170*Factors!S$11</f>
        <v>0</v>
      </c>
      <c r="T169" s="139" t="n">
        <f aca="false">'P&amp;L$'!T170*Factors!T$11</f>
        <v>0</v>
      </c>
      <c r="U169" s="139" t="n">
        <f aca="false">'P&amp;L$'!U170*Factors!U$11</f>
        <v>0</v>
      </c>
      <c r="V169" s="139" t="n">
        <f aca="false">'P&amp;L$'!V170*Factors!V$11</f>
        <v>0</v>
      </c>
      <c r="W169" s="139" t="n">
        <f aca="false">'P&amp;L$'!W170*Factors!W$11</f>
        <v>0</v>
      </c>
      <c r="X169" s="139" t="n">
        <f aca="false">'P&amp;L$'!X170*Factors!X$11</f>
        <v>0</v>
      </c>
      <c r="Y169" s="139" t="n">
        <f aca="false">'P&amp;L$'!Y170*Factors!Y$11</f>
        <v>0</v>
      </c>
      <c r="Z169" s="139" t="n">
        <f aca="false">'P&amp;L$'!Z170*Factors!Z$11</f>
        <v>0</v>
      </c>
      <c r="AA169" s="139" t="n">
        <f aca="false">'P&amp;L$'!AA170*Factors!AA$11</f>
        <v>0</v>
      </c>
      <c r="AB169" s="139" t="n">
        <f aca="false">'P&amp;L$'!AB170*Factors!AB$11</f>
        <v>0</v>
      </c>
      <c r="AC169" s="139" t="n">
        <f aca="false">'P&amp;L$'!AC170*Factors!AC$11</f>
        <v>0</v>
      </c>
      <c r="AD169" s="139" t="n">
        <f aca="false">SUM(R169:AC169)</f>
        <v>0</v>
      </c>
      <c r="AF169" s="45"/>
      <c r="AG169" s="139" t="n">
        <f aca="false">'P&amp;L$'!AG170*Factors!AG$11</f>
        <v>0</v>
      </c>
      <c r="AH169" s="139" t="n">
        <f aca="false">'P&amp;L$'!AH170*Factors!AH$11</f>
        <v>0</v>
      </c>
      <c r="AI169" s="139" t="n">
        <f aca="false">'P&amp;L$'!AI170*Factors!AI$11</f>
        <v>0</v>
      </c>
      <c r="AJ169" s="139" t="n">
        <f aca="false">'P&amp;L$'!AJ170*Factors!AJ$11</f>
        <v>0</v>
      </c>
      <c r="AK169" s="139" t="n">
        <f aca="false">'P&amp;L$'!AK170*Factors!AK$11</f>
        <v>0</v>
      </c>
      <c r="AL169" s="139" t="n">
        <f aca="false">'P&amp;L$'!AL170*Factors!AL$11</f>
        <v>0</v>
      </c>
      <c r="AM169" s="139" t="n">
        <f aca="false">'P&amp;L$'!AM170*Factors!AM$11</f>
        <v>0</v>
      </c>
      <c r="AN169" s="139" t="n">
        <f aca="false">'P&amp;L$'!AN170*Factors!AN$11</f>
        <v>0</v>
      </c>
      <c r="AO169" s="139" t="n">
        <f aca="false">'P&amp;L$'!AO170*Factors!AO$11</f>
        <v>0</v>
      </c>
      <c r="AP169" s="139" t="n">
        <f aca="false">'P&amp;L$'!AP170*Factors!AP$11</f>
        <v>0</v>
      </c>
      <c r="AQ169" s="139" t="n">
        <f aca="false">'P&amp;L$'!AQ170*Factors!AQ$11</f>
        <v>0</v>
      </c>
      <c r="AR169" s="139" t="n">
        <f aca="false">'P&amp;L$'!AR170*Factors!AR$11</f>
        <v>0</v>
      </c>
      <c r="AS169" s="139" t="n">
        <f aca="false">SUM(AG169:AR169)</f>
        <v>0</v>
      </c>
    </row>
    <row r="170" customFormat="false" ht="13.2" hidden="false" customHeight="false" outlineLevel="0" collapsed="false">
      <c r="A170" s="137" t="s">
        <v>365</v>
      </c>
      <c r="B170" s="45" t="str">
        <f aca="false">'P&amp;L$'!B171</f>
        <v>SWAP costs</v>
      </c>
      <c r="C170" s="139" t="n">
        <f aca="false">'P&amp;L$'!C171*Factors!C$11</f>
        <v>1417258.27513145</v>
      </c>
      <c r="D170" s="139" t="n">
        <f aca="false">'P&amp;L$'!D171*Factors!D$11</f>
        <v>1515220.70398948</v>
      </c>
      <c r="E170" s="139" t="n">
        <f aca="false">'P&amp;L$'!E171*Factors!E$11</f>
        <v>1421221.05041641</v>
      </c>
      <c r="F170" s="139" t="n">
        <f aca="false">'P&amp;L$'!F171*Factors!F$11</f>
        <v>1421878.96079424</v>
      </c>
      <c r="G170" s="139" t="n">
        <f aca="false">'P&amp;L$'!G171*Factors!G$11</f>
        <v>1392468.32718563</v>
      </c>
      <c r="H170" s="139" t="n">
        <f aca="false">'P&amp;L$'!H171*Factors!H$11</f>
        <v>1425838.05097943</v>
      </c>
      <c r="I170" s="139" t="n">
        <f aca="false">'P&amp;L$'!I171*Factors!I$11</f>
        <v>1396340.13584116</v>
      </c>
      <c r="J170" s="139" t="n">
        <f aca="false">'P&amp;L$'!J171*Factors!J$11</f>
        <v>1398276.04016893</v>
      </c>
      <c r="K170" s="139" t="n">
        <f aca="false">'P&amp;L$'!K171*Factors!K$11</f>
        <v>1431776.68625721</v>
      </c>
      <c r="L170" s="139" t="n">
        <f aca="false">'P&amp;L$'!L171*Factors!L$11</f>
        <v>1367879.94577264</v>
      </c>
      <c r="M170" s="139" t="n">
        <f aca="false">'P&amp;L$'!M171*Factors!M$11</f>
        <v>1400646.99858177</v>
      </c>
      <c r="N170" s="139" t="n">
        <f aca="false">'P&amp;L$'!N171*Factors!N$11</f>
        <v>1371657.12905485</v>
      </c>
      <c r="O170" s="139" t="n">
        <f aca="false">SUM(C170:N170)</f>
        <v>16960462.3041732</v>
      </c>
      <c r="P170" s="139"/>
      <c r="Q170" s="45"/>
      <c r="R170" s="139" t="n">
        <f aca="false">'P&amp;L$'!R171*Factors!R$11</f>
        <v>1377372.36709258</v>
      </c>
      <c r="S170" s="139" t="n">
        <f aca="false">'P&amp;L$'!S171*Factors!S$11</f>
        <v>1476623.7371274</v>
      </c>
      <c r="T170" s="139" t="n">
        <f aca="false">'P&amp;L$'!T171*Factors!T$11</f>
        <v>1388802.84316804</v>
      </c>
      <c r="U170" s="139" t="n">
        <f aca="false">'P&amp;L$'!U171*Factors!U$11</f>
        <v>1388796.34992196</v>
      </c>
      <c r="V170" s="139" t="n">
        <f aca="false">'P&amp;L$'!V171*Factors!V$11</f>
        <v>1363745.45441765</v>
      </c>
      <c r="W170" s="139" t="n">
        <f aca="false">'P&amp;L$'!W171*Factors!W$11</f>
        <v>1400179.92656067</v>
      </c>
      <c r="X170" s="139" t="n">
        <f aca="false">'P&amp;L$'!X171*Factors!X$11</f>
        <v>1374878.07037208</v>
      </c>
      <c r="Y170" s="139" t="n">
        <f aca="false">'P&amp;L$'!Y171*Factors!Y$11</f>
        <v>1380444.3783493</v>
      </c>
      <c r="Z170" s="139" t="n">
        <f aca="false">'P&amp;L$'!Z171*Factors!Z$11</f>
        <v>1417255.29151872</v>
      </c>
      <c r="AA170" s="139" t="n">
        <f aca="false">'P&amp;L$'!AA171*Factors!AA$11</f>
        <v>1352848.85985372</v>
      </c>
      <c r="AB170" s="139" t="n">
        <f aca="false">'P&amp;L$'!AB171*Factors!AB$11</f>
        <v>1388879.28719785</v>
      </c>
      <c r="AC170" s="139" t="n">
        <f aca="false">'P&amp;L$'!AC171*Factors!AC$11</f>
        <v>1363671.65073255</v>
      </c>
      <c r="AD170" s="139" t="n">
        <f aca="false">SUM(R170:AC170)</f>
        <v>16673498.2163125</v>
      </c>
      <c r="AF170" s="45"/>
      <c r="AG170" s="139" t="n">
        <f aca="false">'P&amp;L$'!AG171*Factors!AG$11</f>
        <v>1369353.61594393</v>
      </c>
      <c r="AH170" s="139" t="n">
        <f aca="false">'P&amp;L$'!AH171*Factors!AH$11</f>
        <v>1468027.16689621</v>
      </c>
      <c r="AI170" s="139" t="n">
        <f aca="false">'P&amp;L$'!AI171*Factors!AI$11</f>
        <v>1380717.54636671</v>
      </c>
      <c r="AJ170" s="139" t="n">
        <f aca="false">'P&amp;L$'!AJ171*Factors!AJ$11</f>
        <v>1375437.18409401</v>
      </c>
      <c r="AK170" s="139" t="n">
        <f aca="false">'P&amp;L$'!AK171*Factors!AK$11</f>
        <v>1350627.25917347</v>
      </c>
      <c r="AL170" s="139" t="n">
        <f aca="false">'P&amp;L$'!AL171*Factors!AL$11</f>
        <v>1386711.25937347</v>
      </c>
      <c r="AM170" s="139" t="n">
        <f aca="false">'P&amp;L$'!AM171*Factors!AM$11</f>
        <v>1361652.78781978</v>
      </c>
      <c r="AN170" s="139" t="n">
        <f aca="false">'P&amp;L$'!AN171*Factors!AN$11</f>
        <v>1367165.55214294</v>
      </c>
      <c r="AO170" s="139" t="n">
        <f aca="false">'P&amp;L$'!AO171*Factors!AO$11</f>
        <v>1403622.37229266</v>
      </c>
      <c r="AP170" s="139" t="n">
        <f aca="false">'P&amp;L$'!AP171*Factors!AP$11</f>
        <v>1334191.54619656</v>
      </c>
      <c r="AQ170" s="139" t="n">
        <f aca="false">'P&amp;L$'!AQ171*Factors!AQ$11</f>
        <v>1369725.07325559</v>
      </c>
      <c r="AR170" s="139" t="n">
        <f aca="false">'P&amp;L$'!AR171*Factors!AR$11</f>
        <v>1344865.07856614</v>
      </c>
      <c r="AS170" s="139" t="n">
        <f aca="false">SUM(AG170:AR170)</f>
        <v>16512096.4421215</v>
      </c>
    </row>
    <row r="171" customFormat="false" ht="13.2" hidden="true" customHeight="false" outlineLevel="0" collapsed="false">
      <c r="A171" s="137" t="s">
        <v>1058</v>
      </c>
      <c r="B171" s="45" t="str">
        <f aca="false">'P&amp;L$'!B172</f>
        <v>Odsetki Karne Urzędowe</v>
      </c>
      <c r="C171" s="139" t="n">
        <f aca="false">'P&amp;L$'!C172*Factors!C$11</f>
        <v>0</v>
      </c>
      <c r="D171" s="139" t="n">
        <f aca="false">'P&amp;L$'!D172*Factors!D$11</f>
        <v>0</v>
      </c>
      <c r="E171" s="139" t="n">
        <f aca="false">'P&amp;L$'!E172*Factors!E$11</f>
        <v>0</v>
      </c>
      <c r="F171" s="139" t="n">
        <f aca="false">'P&amp;L$'!F172*Factors!F$11</f>
        <v>0</v>
      </c>
      <c r="G171" s="139" t="n">
        <f aca="false">'P&amp;L$'!G172*Factors!G$11</f>
        <v>0</v>
      </c>
      <c r="H171" s="139" t="n">
        <f aca="false">'P&amp;L$'!H172*Factors!H$11</f>
        <v>0</v>
      </c>
      <c r="I171" s="139" t="n">
        <f aca="false">'P&amp;L$'!I172*Factors!I$11</f>
        <v>0</v>
      </c>
      <c r="J171" s="139" t="n">
        <f aca="false">'P&amp;L$'!J172*Factors!J$11</f>
        <v>0</v>
      </c>
      <c r="K171" s="139" t="n">
        <f aca="false">'P&amp;L$'!K172*Factors!K$11</f>
        <v>0</v>
      </c>
      <c r="L171" s="139" t="n">
        <f aca="false">'P&amp;L$'!L172*Factors!L$11</f>
        <v>0</v>
      </c>
      <c r="M171" s="139" t="n">
        <f aca="false">'P&amp;L$'!M172*Factors!M$11</f>
        <v>0</v>
      </c>
      <c r="N171" s="139" t="n">
        <f aca="false">'P&amp;L$'!N172*Factors!N$11</f>
        <v>0</v>
      </c>
      <c r="O171" s="139" t="n">
        <f aca="false">SUM(C171:N171)</f>
        <v>0</v>
      </c>
      <c r="P171" s="139"/>
      <c r="Q171" s="45"/>
      <c r="R171" s="139" t="n">
        <f aca="false">'P&amp;L$'!R172*Factors!R$11</f>
        <v>0</v>
      </c>
      <c r="S171" s="139" t="n">
        <f aca="false">'P&amp;L$'!S172*Factors!S$11</f>
        <v>0</v>
      </c>
      <c r="T171" s="139" t="n">
        <f aca="false">'P&amp;L$'!T172*Factors!T$11</f>
        <v>0</v>
      </c>
      <c r="U171" s="139" t="n">
        <f aca="false">'P&amp;L$'!U172*Factors!U$11</f>
        <v>0</v>
      </c>
      <c r="V171" s="139" t="n">
        <f aca="false">'P&amp;L$'!V172*Factors!V$11</f>
        <v>0</v>
      </c>
      <c r="W171" s="139" t="n">
        <f aca="false">'P&amp;L$'!W172*Factors!W$11</f>
        <v>0</v>
      </c>
      <c r="X171" s="139" t="n">
        <f aca="false">'P&amp;L$'!X172*Factors!X$11</f>
        <v>0</v>
      </c>
      <c r="Y171" s="139" t="n">
        <f aca="false">'P&amp;L$'!Y172*Factors!Y$11</f>
        <v>0</v>
      </c>
      <c r="Z171" s="139" t="n">
        <f aca="false">'P&amp;L$'!Z172*Factors!Z$11</f>
        <v>0</v>
      </c>
      <c r="AA171" s="139" t="n">
        <f aca="false">'P&amp;L$'!AA172*Factors!AA$11</f>
        <v>0</v>
      </c>
      <c r="AB171" s="139" t="n">
        <f aca="false">'P&amp;L$'!AB172*Factors!AB$11</f>
        <v>0</v>
      </c>
      <c r="AC171" s="139" t="n">
        <f aca="false">'P&amp;L$'!AC172*Factors!AC$11</f>
        <v>0</v>
      </c>
      <c r="AD171" s="139" t="n">
        <f aca="false">SUM(R171:AC171)</f>
        <v>0</v>
      </c>
      <c r="AF171" s="45"/>
      <c r="AG171" s="139" t="n">
        <f aca="false">'P&amp;L$'!AG172*Factors!AG$11</f>
        <v>0</v>
      </c>
      <c r="AH171" s="139" t="n">
        <f aca="false">'P&amp;L$'!AH172*Factors!AH$11</f>
        <v>0</v>
      </c>
      <c r="AI171" s="139" t="n">
        <f aca="false">'P&amp;L$'!AI172*Factors!AI$11</f>
        <v>0</v>
      </c>
      <c r="AJ171" s="139" t="n">
        <f aca="false">'P&amp;L$'!AJ172*Factors!AJ$11</f>
        <v>0</v>
      </c>
      <c r="AK171" s="139" t="n">
        <f aca="false">'P&amp;L$'!AK172*Factors!AK$11</f>
        <v>0</v>
      </c>
      <c r="AL171" s="139" t="n">
        <f aca="false">'P&amp;L$'!AL172*Factors!AL$11</f>
        <v>0</v>
      </c>
      <c r="AM171" s="139" t="n">
        <f aca="false">'P&amp;L$'!AM172*Factors!AM$11</f>
        <v>0</v>
      </c>
      <c r="AN171" s="139" t="n">
        <f aca="false">'P&amp;L$'!AN172*Factors!AN$11</f>
        <v>0</v>
      </c>
      <c r="AO171" s="139" t="n">
        <f aca="false">'P&amp;L$'!AO172*Factors!AO$11</f>
        <v>0</v>
      </c>
      <c r="AP171" s="139" t="n">
        <f aca="false">'P&amp;L$'!AP172*Factors!AP$11</f>
        <v>0</v>
      </c>
      <c r="AQ171" s="139" t="n">
        <f aca="false">'P&amp;L$'!AQ172*Factors!AQ$11</f>
        <v>0</v>
      </c>
      <c r="AR171" s="139" t="n">
        <f aca="false">'P&amp;L$'!AR172*Factors!AR$11</f>
        <v>0</v>
      </c>
      <c r="AS171" s="139" t="n">
        <f aca="false">SUM(AG171:AR171)</f>
        <v>0</v>
      </c>
    </row>
    <row r="172" customFormat="false" ht="13.2" hidden="false" customHeight="false" outlineLevel="0" collapsed="false">
      <c r="A172" s="137" t="s">
        <v>1059</v>
      </c>
      <c r="B172" s="45" t="s">
        <v>1060</v>
      </c>
      <c r="C172" s="139" t="n">
        <f aca="false">Swap!C40</f>
        <v>10098.1090670172</v>
      </c>
      <c r="D172" s="139" t="n">
        <f aca="false">Swap!D40</f>
        <v>13464.1454226896</v>
      </c>
      <c r="E172" s="139" t="n">
        <f aca="false">Swap!E40</f>
        <v>16830.1817783639</v>
      </c>
      <c r="F172" s="139" t="n">
        <f aca="false">Swap!F40</f>
        <v>0</v>
      </c>
      <c r="G172" s="139" t="n">
        <f aca="false">Swap!G40</f>
        <v>3288.76803743094</v>
      </c>
      <c r="H172" s="139" t="n">
        <f aca="false">Swap!H40</f>
        <v>6577.53607486002</v>
      </c>
      <c r="I172" s="139" t="n">
        <f aca="false">Swap!I40</f>
        <v>9866.30411229096</v>
      </c>
      <c r="J172" s="139" t="n">
        <f aca="false">Swap!J40</f>
        <v>13155.0721497238</v>
      </c>
      <c r="K172" s="139" t="n">
        <f aca="false">Swap!K40</f>
        <v>16443.840187151</v>
      </c>
      <c r="L172" s="139" t="n">
        <f aca="false">Swap!L40</f>
        <v>0</v>
      </c>
      <c r="M172" s="139" t="n">
        <f aca="false">Swap!M40</f>
        <v>3208.39193132892</v>
      </c>
      <c r="N172" s="139" t="n">
        <f aca="false">Swap!N40</f>
        <v>6416.78386265878</v>
      </c>
      <c r="O172" s="139" t="n">
        <f aca="false">SUM(C172:N172)</f>
        <v>99349.1326235151</v>
      </c>
      <c r="P172" s="139"/>
      <c r="Q172" s="45"/>
      <c r="R172" s="139" t="n">
        <f aca="false">Swap!Q40</f>
        <v>0</v>
      </c>
      <c r="S172" s="139" t="n">
        <f aca="false">Swap!R40</f>
        <v>38836.8204258997</v>
      </c>
      <c r="T172" s="139" t="n">
        <f aca="false">Swap!S40</f>
        <v>48546.0255323742</v>
      </c>
      <c r="U172" s="139" t="n">
        <f aca="false">Swap!T40</f>
        <v>0</v>
      </c>
      <c r="V172" s="139" t="n">
        <f aca="false">Swap!U40</f>
        <v>9456.19858347345</v>
      </c>
      <c r="W172" s="139" t="n">
        <f aca="false">Swap!V40</f>
        <v>18912.3971669488</v>
      </c>
      <c r="X172" s="139" t="n">
        <f aca="false">Swap!W40</f>
        <v>28368.5957504213</v>
      </c>
      <c r="Y172" s="139" t="n">
        <f aca="false">Swap!X40</f>
        <v>37824.7943338975</v>
      </c>
      <c r="Z172" s="139" t="n">
        <f aca="false">Swap!Y40</f>
        <v>47280.9929173719</v>
      </c>
      <c r="AA172" s="139" t="n">
        <f aca="false">Swap!Z40</f>
        <v>0</v>
      </c>
      <c r="AB172" s="139" t="n">
        <f aca="false">Swap!AA40</f>
        <v>9193.02886190917</v>
      </c>
      <c r="AC172" s="139" t="n">
        <f aca="false">Swap!AB40</f>
        <v>18386.0577238202</v>
      </c>
      <c r="AD172" s="139" t="n">
        <f aca="false">SUM(R172:AC172)</f>
        <v>256804.911296116</v>
      </c>
      <c r="AF172" s="45"/>
      <c r="AG172" s="139" t="n">
        <f aca="false">Swap!AE40</f>
        <v>56537.1275007427</v>
      </c>
      <c r="AH172" s="139" t="n">
        <f aca="false">Swap!AF40</f>
        <v>-96526.8030500505</v>
      </c>
      <c r="AI172" s="139" t="n">
        <f aca="false">Swap!AG40</f>
        <v>0</v>
      </c>
      <c r="AJ172" s="139" t="n">
        <f aca="false">Swap!AH40</f>
        <v>-18730.4742738102</v>
      </c>
      <c r="AK172" s="139" t="n">
        <f aca="false">Swap!AI40</f>
        <v>-37460.9485476203</v>
      </c>
      <c r="AL172" s="139" t="n">
        <f aca="false">Swap!AJ40</f>
        <v>-56191.4228214314</v>
      </c>
      <c r="AM172" s="139" t="n">
        <f aca="false">Swap!AK40</f>
        <v>-74921.8970952425</v>
      </c>
      <c r="AN172" s="139" t="n">
        <f aca="false">Swap!AL40</f>
        <v>-93652.3713690545</v>
      </c>
      <c r="AO172" s="139" t="n">
        <f aca="false">Swap!AM40</f>
        <v>0</v>
      </c>
      <c r="AP172" s="139" t="n">
        <f aca="false">Swap!AN40</f>
        <v>-18132.493222971</v>
      </c>
      <c r="AQ172" s="139" t="n">
        <f aca="false">Swap!AO40</f>
        <v>-36264.986445942</v>
      </c>
      <c r="AR172" s="139" t="n">
        <f aca="false">Swap!AP40</f>
        <v>-54397.4796689116</v>
      </c>
      <c r="AS172" s="139" t="n">
        <f aca="false">SUM(AG172:AR172)</f>
        <v>-429741.748994291</v>
      </c>
    </row>
    <row r="173" customFormat="false" ht="13.2" hidden="false" customHeight="false" outlineLevel="0" collapsed="false">
      <c r="A173" s="137" t="s">
        <v>1061</v>
      </c>
      <c r="B173" s="45" t="s">
        <v>1062</v>
      </c>
      <c r="C173" s="139" t="n">
        <f aca="false">IF(Balance!C95,0,loans!B37+loans!B45)</f>
        <v>0</v>
      </c>
      <c r="D173" s="139" t="n">
        <f aca="false">IF(Balance!D95,0,loans!C37+loans!C45)</f>
        <v>0</v>
      </c>
      <c r="E173" s="139" t="n">
        <f aca="false">IF(Balance!E95,0,loans!D37+loans!D45)</f>
        <v>0</v>
      </c>
      <c r="F173" s="139" t="n">
        <f aca="false">IF(Balance!F95,0,loans!E37+loans!E45)</f>
        <v>0</v>
      </c>
      <c r="G173" s="139" t="n">
        <f aca="false">IF(Balance!G95,0,loans!F37+loans!F45)</f>
        <v>0</v>
      </c>
      <c r="H173" s="139" t="n">
        <f aca="false">IF(Balance!H95,0,loans!G37+loans!G45)</f>
        <v>0</v>
      </c>
      <c r="I173" s="139" t="n">
        <f aca="false">IF(Balance!I95,0,loans!H37+loans!H45)</f>
        <v>0</v>
      </c>
      <c r="J173" s="139" t="n">
        <f aca="false">IF(Balance!J95,0,loans!I37+loans!I45)</f>
        <v>0</v>
      </c>
      <c r="K173" s="139" t="n">
        <f aca="false">IF(Balance!K95,0,loans!J37+loans!J45)</f>
        <v>0</v>
      </c>
      <c r="L173" s="139" t="n">
        <f aca="false">IF(Balance!L95,0,loans!K37+loans!K45)</f>
        <v>670256.445295014</v>
      </c>
      <c r="M173" s="139" t="n">
        <f aca="false">IF(Balance!M95,0,loans!L37+loans!L45)</f>
        <v>670256.445294958</v>
      </c>
      <c r="N173" s="139" t="n">
        <f aca="false">IF(Balance!N95,0,loans!M37+loans!M45)</f>
        <v>670256.445294943</v>
      </c>
      <c r="O173" s="139" t="n">
        <f aca="false">SUM(C173:N173)</f>
        <v>2010769.33588491</v>
      </c>
      <c r="P173" s="139"/>
      <c r="Q173" s="45"/>
      <c r="R173" s="139" t="n">
        <f aca="false">loans!P37+loans!P45</f>
        <v>1981762.91887952</v>
      </c>
      <c r="S173" s="139" t="n">
        <f aca="false">loans!Q37+loans!Q45</f>
        <v>1981762.91887952</v>
      </c>
      <c r="T173" s="139" t="n">
        <f aca="false">loans!R37+loans!R45</f>
        <v>1981762.91887946</v>
      </c>
      <c r="U173" s="139" t="n">
        <f aca="false">loans!S37+loans!S45</f>
        <v>1981762.91887952</v>
      </c>
      <c r="V173" s="139" t="n">
        <f aca="false">loans!T37+loans!T45</f>
        <v>1981762.91887946</v>
      </c>
      <c r="W173" s="139" t="n">
        <f aca="false">loans!U37+loans!U45</f>
        <v>1931490.22163833</v>
      </c>
      <c r="X173" s="139" t="n">
        <f aca="false">loans!V37+loans!V45</f>
        <v>1933329.46665934</v>
      </c>
      <c r="Y173" s="139" t="n">
        <f aca="false">loans!W37+loans!W45</f>
        <v>1933329.46665929</v>
      </c>
      <c r="Z173" s="139" t="n">
        <f aca="false">loans!X37+loans!X45</f>
        <v>1933329.46665935</v>
      </c>
      <c r="AA173" s="139" t="n">
        <f aca="false">loans!Y37+loans!Y45</f>
        <v>1933329.46665934</v>
      </c>
      <c r="AB173" s="139" t="n">
        <f aca="false">loans!Z37+loans!Z45</f>
        <v>1933329.46665929</v>
      </c>
      <c r="AC173" s="139" t="n">
        <f aca="false">loans!AA37+loans!AA45</f>
        <v>1881004.04230696</v>
      </c>
      <c r="AD173" s="139" t="n">
        <f aca="false">SUM(R173:AC173)</f>
        <v>23387956.1916394</v>
      </c>
      <c r="AF173" s="45"/>
      <c r="AG173" s="139" t="n">
        <f aca="false">loans!AD37+loans!AD45</f>
        <v>1977080.25281748</v>
      </c>
      <c r="AH173" s="139" t="n">
        <f aca="false">loans!AE37+loans!AE45</f>
        <v>1977080.25281748</v>
      </c>
      <c r="AI173" s="139" t="n">
        <f aca="false">loans!AF37+loans!AF45</f>
        <v>1977080.25281754</v>
      </c>
      <c r="AJ173" s="139" t="n">
        <f aca="false">loans!AG37+loans!AG45</f>
        <v>1977080.25281748</v>
      </c>
      <c r="AK173" s="139" t="n">
        <f aca="false">loans!AH37+loans!AH45</f>
        <v>1977080.25281754</v>
      </c>
      <c r="AL173" s="139" t="n">
        <f aca="false">loans!AI37+loans!AI45</f>
        <v>1864943.97291729</v>
      </c>
      <c r="AM173" s="139" t="n">
        <f aca="false">loans!AJ37+loans!AJ45</f>
        <v>1922056.86081677</v>
      </c>
      <c r="AN173" s="139" t="n">
        <f aca="false">loans!AK37+loans!AK45</f>
        <v>1922056.86081677</v>
      </c>
      <c r="AO173" s="139" t="n">
        <f aca="false">loans!AL37+loans!AL45</f>
        <v>1922056.86081677</v>
      </c>
      <c r="AP173" s="139" t="n">
        <f aca="false">loans!AM37+loans!AM45</f>
        <v>1922056.86081677</v>
      </c>
      <c r="AQ173" s="139" t="n">
        <f aca="false">loans!AN37+loans!AN45</f>
        <v>1922056.86081677</v>
      </c>
      <c r="AR173" s="139" t="n">
        <f aca="false">loans!AO37+loans!AO45</f>
        <v>1805410.01459181</v>
      </c>
      <c r="AS173" s="139" t="n">
        <f aca="false">SUM(AG173:AR173)</f>
        <v>23166039.5556805</v>
      </c>
    </row>
    <row r="174" customFormat="false" ht="13.2" hidden="false" customHeight="false" outlineLevel="0" collapsed="false">
      <c r="A174" s="137" t="s">
        <v>1063</v>
      </c>
      <c r="B174" s="45" t="s">
        <v>1064</v>
      </c>
      <c r="C174" s="139" t="n">
        <f aca="false">IF(Balance!C95,0,loans!B52)</f>
        <v>0</v>
      </c>
      <c r="D174" s="139" t="n">
        <f aca="false">IF(Balance!D95,0,loans!C52)</f>
        <v>0</v>
      </c>
      <c r="E174" s="139" t="n">
        <f aca="false">IF(Balance!E95,0,loans!D52)</f>
        <v>0</v>
      </c>
      <c r="F174" s="139" t="n">
        <f aca="false">IF(Balance!F95,0,loans!E52)</f>
        <v>0</v>
      </c>
      <c r="G174" s="139" t="n">
        <f aca="false">IF(Balance!G95,0,loans!F52)</f>
        <v>0</v>
      </c>
      <c r="H174" s="139" t="n">
        <f aca="false">IF(Balance!H95,0,loans!G52)</f>
        <v>0</v>
      </c>
      <c r="I174" s="139" t="n">
        <f aca="false">IF(Balance!I95,0,loans!H52)</f>
        <v>0</v>
      </c>
      <c r="J174" s="139" t="n">
        <f aca="false">IF(Balance!J95,0,loans!I52)</f>
        <v>0</v>
      </c>
      <c r="K174" s="139" t="n">
        <f aca="false">IF(Balance!K95,0,loans!J52)</f>
        <v>0</v>
      </c>
      <c r="L174" s="139" t="n">
        <f aca="false">IF(Balance!L95,0,loans!K52)</f>
        <v>32788.6445930414</v>
      </c>
      <c r="M174" s="139" t="n">
        <f aca="false">IF(Balance!M95,0,loans!L52)</f>
        <v>32788.6445930414</v>
      </c>
      <c r="N174" s="139" t="n">
        <f aca="false">IF(Balance!N95,0,loans!M52)</f>
        <v>32788.6445930414</v>
      </c>
      <c r="O174" s="139" t="n">
        <f aca="false">SUM(C174:N174)</f>
        <v>98365.9337791242</v>
      </c>
      <c r="P174" s="139"/>
      <c r="Q174" s="45"/>
      <c r="R174" s="139" t="n">
        <f aca="false">loans!P52</f>
        <v>99224.6839946508</v>
      </c>
      <c r="S174" s="139" t="n">
        <f aca="false">loans!Q52</f>
        <v>99224.6839946508</v>
      </c>
      <c r="T174" s="139" t="n">
        <f aca="false">loans!R52</f>
        <v>99224.6839946508</v>
      </c>
      <c r="U174" s="139" t="n">
        <f aca="false">loans!S52</f>
        <v>99224.6839946546</v>
      </c>
      <c r="V174" s="139" t="n">
        <f aca="false">loans!T52</f>
        <v>99224.6839946508</v>
      </c>
      <c r="W174" s="139" t="n">
        <f aca="false">loans!U52</f>
        <v>99224.6839946508</v>
      </c>
      <c r="X174" s="139" t="n">
        <f aca="false">loans!V52</f>
        <v>99224.6839946508</v>
      </c>
      <c r="Y174" s="139" t="n">
        <f aca="false">loans!W52</f>
        <v>99224.6839946508</v>
      </c>
      <c r="Z174" s="139" t="n">
        <f aca="false">loans!X52</f>
        <v>99224.6839946508</v>
      </c>
      <c r="AA174" s="139" t="n">
        <f aca="false">loans!Y52</f>
        <v>99224.6839946508</v>
      </c>
      <c r="AB174" s="139" t="n">
        <f aca="false">loans!Z52</f>
        <v>99224.6839946546</v>
      </c>
      <c r="AC174" s="139" t="n">
        <f aca="false">loans!AA52</f>
        <v>99224.6839946508</v>
      </c>
      <c r="AD174" s="139" t="n">
        <f aca="false">SUM(R174:AC174)</f>
        <v>1190696.20793582</v>
      </c>
      <c r="AF174" s="45"/>
      <c r="AG174" s="139" t="n">
        <f aca="false">loans!AD52</f>
        <v>104185.918194383</v>
      </c>
      <c r="AH174" s="139" t="n">
        <f aca="false">loans!AE52</f>
        <v>104185.918194383</v>
      </c>
      <c r="AI174" s="139" t="n">
        <f aca="false">loans!AF52</f>
        <v>104185.918194387</v>
      </c>
      <c r="AJ174" s="139" t="n">
        <f aca="false">loans!AG52</f>
        <v>104185.918194383</v>
      </c>
      <c r="AK174" s="139" t="n">
        <f aca="false">loans!AH52</f>
        <v>104185.918194387</v>
      </c>
      <c r="AL174" s="139" t="n">
        <f aca="false">loans!AI52</f>
        <v>104185.918194383</v>
      </c>
      <c r="AM174" s="139" t="n">
        <f aca="false">loans!AJ52</f>
        <v>104185.918194383</v>
      </c>
      <c r="AN174" s="139" t="n">
        <f aca="false">loans!AK52</f>
        <v>104185.918194387</v>
      </c>
      <c r="AO174" s="139" t="n">
        <f aca="false">loans!AL52</f>
        <v>104185.918194383</v>
      </c>
      <c r="AP174" s="139" t="n">
        <f aca="false">loans!AM52</f>
        <v>104185.918194387</v>
      </c>
      <c r="AQ174" s="139" t="n">
        <f aca="false">loans!AN52</f>
        <v>104185.918194383</v>
      </c>
      <c r="AR174" s="139" t="n">
        <f aca="false">loans!AO52</f>
        <v>104185.918194383</v>
      </c>
      <c r="AS174" s="139" t="n">
        <f aca="false">SUM(AG174:AR174)</f>
        <v>1250231.01833262</v>
      </c>
    </row>
    <row r="175" customFormat="false" ht="13.2" hidden="true" customHeight="false" outlineLevel="0" collapsed="false">
      <c r="A175" s="137" t="s">
        <v>1065</v>
      </c>
      <c r="B175" s="144" t="str">
        <f aca="false">'P&amp;L$'!B176</f>
        <v>Inne</v>
      </c>
      <c r="C175" s="139" t="n">
        <f aca="false">'P&amp;L$'!C176*Factors!C$11</f>
        <v>0</v>
      </c>
      <c r="D175" s="139" t="n">
        <f aca="false">'P&amp;L$'!D176*Factors!D$11</f>
        <v>0</v>
      </c>
      <c r="E175" s="139" t="n">
        <f aca="false">'P&amp;L$'!E176*Factors!E$11</f>
        <v>0</v>
      </c>
      <c r="F175" s="139" t="n">
        <f aca="false">'P&amp;L$'!F176*Factors!F$11</f>
        <v>0</v>
      </c>
      <c r="G175" s="139" t="n">
        <f aca="false">'P&amp;L$'!G176*Factors!G$11</f>
        <v>0</v>
      </c>
      <c r="H175" s="139" t="n">
        <f aca="false">'P&amp;L$'!H176*Factors!H$11</f>
        <v>0</v>
      </c>
      <c r="I175" s="139" t="n">
        <f aca="false">'P&amp;L$'!I176*Factors!I$11</f>
        <v>0</v>
      </c>
      <c r="J175" s="139" t="n">
        <f aca="false">'P&amp;L$'!J176*Factors!J$11</f>
        <v>0</v>
      </c>
      <c r="K175" s="139" t="n">
        <f aca="false">'P&amp;L$'!K176*Factors!K$11</f>
        <v>0</v>
      </c>
      <c r="L175" s="139" t="n">
        <f aca="false">'P&amp;L$'!L176*Factors!L$11</f>
        <v>0</v>
      </c>
      <c r="M175" s="139" t="n">
        <f aca="false">'P&amp;L$'!M176*Factors!M$11</f>
        <v>0</v>
      </c>
      <c r="N175" s="139" t="n">
        <f aca="false">'P&amp;L$'!N176*Factors!N$11</f>
        <v>0</v>
      </c>
      <c r="O175" s="139" t="n">
        <f aca="false">SUM(C175:N175)</f>
        <v>0</v>
      </c>
      <c r="P175" s="139"/>
      <c r="Q175" s="45"/>
      <c r="R175" s="139" t="n">
        <f aca="false">'P&amp;L$'!R176*Factors!R$11</f>
        <v>0</v>
      </c>
      <c r="S175" s="139" t="n">
        <f aca="false">'P&amp;L$'!S176*Factors!S$11</f>
        <v>0</v>
      </c>
      <c r="T175" s="139" t="n">
        <f aca="false">'P&amp;L$'!T176*Factors!T$11</f>
        <v>0</v>
      </c>
      <c r="U175" s="139" t="n">
        <f aca="false">'P&amp;L$'!U176*Factors!U$11</f>
        <v>0</v>
      </c>
      <c r="V175" s="139" t="n">
        <f aca="false">'P&amp;L$'!V176*Factors!V$11</f>
        <v>0</v>
      </c>
      <c r="W175" s="139" t="n">
        <f aca="false">'P&amp;L$'!W176*Factors!W$11</f>
        <v>0</v>
      </c>
      <c r="X175" s="139" t="n">
        <f aca="false">'P&amp;L$'!X176*Factors!X$11</f>
        <v>0</v>
      </c>
      <c r="Y175" s="139" t="n">
        <f aca="false">'P&amp;L$'!Y176*Factors!Y$11</f>
        <v>0</v>
      </c>
      <c r="Z175" s="139" t="n">
        <f aca="false">'P&amp;L$'!Z176*Factors!Z$11</f>
        <v>0</v>
      </c>
      <c r="AA175" s="139" t="n">
        <f aca="false">'P&amp;L$'!AA176*Factors!AA$11</f>
        <v>0</v>
      </c>
      <c r="AB175" s="139" t="n">
        <f aca="false">'P&amp;L$'!AB176*Factors!AB$11</f>
        <v>0</v>
      </c>
      <c r="AC175" s="139" t="n">
        <f aca="false">'P&amp;L$'!AC176*Factors!AC$11</f>
        <v>0</v>
      </c>
      <c r="AD175" s="139" t="n">
        <f aca="false">SUM(R175:AC175)</f>
        <v>0</v>
      </c>
      <c r="AF175" s="45"/>
      <c r="AG175" s="139" t="n">
        <f aca="false">'P&amp;L$'!AG176*Factors!AG$11</f>
        <v>0</v>
      </c>
      <c r="AH175" s="139" t="n">
        <f aca="false">'P&amp;L$'!AH176*Factors!AH$11</f>
        <v>0</v>
      </c>
      <c r="AI175" s="139" t="n">
        <f aca="false">'P&amp;L$'!AI176*Factors!AI$11</f>
        <v>0</v>
      </c>
      <c r="AJ175" s="139" t="n">
        <f aca="false">'P&amp;L$'!AJ176*Factors!AJ$11</f>
        <v>0</v>
      </c>
      <c r="AK175" s="139" t="n">
        <f aca="false">'P&amp;L$'!AK176*Factors!AK$11</f>
        <v>0</v>
      </c>
      <c r="AL175" s="139" t="n">
        <f aca="false">'P&amp;L$'!AL176*Factors!AL$11</f>
        <v>0</v>
      </c>
      <c r="AM175" s="139" t="n">
        <f aca="false">'P&amp;L$'!AM176*Factors!AM$11</f>
        <v>0</v>
      </c>
      <c r="AN175" s="139" t="n">
        <f aca="false">'P&amp;L$'!AN176*Factors!AN$11</f>
        <v>0</v>
      </c>
      <c r="AO175" s="139" t="n">
        <f aca="false">'P&amp;L$'!AO176*Factors!AO$11</f>
        <v>0</v>
      </c>
      <c r="AP175" s="139" t="n">
        <f aca="false">'P&amp;L$'!AP176*Factors!AP$11</f>
        <v>0</v>
      </c>
      <c r="AQ175" s="139" t="n">
        <f aca="false">'P&amp;L$'!AQ176*Factors!AQ$11</f>
        <v>0</v>
      </c>
      <c r="AR175" s="139" t="n">
        <f aca="false">'P&amp;L$'!AR176*Factors!AR$11</f>
        <v>0</v>
      </c>
      <c r="AS175" s="139" t="n">
        <f aca="false">SUM(AG175:AR175)</f>
        <v>0</v>
      </c>
    </row>
    <row r="176" customFormat="false" ht="13.8" hidden="false" customHeight="false" outlineLevel="0" collapsed="false">
      <c r="A176" s="137"/>
      <c r="B176" s="285" t="s">
        <v>66</v>
      </c>
      <c r="C176" s="353" t="n">
        <f aca="false">SUM(C165:C175)</f>
        <v>3112209.77740676</v>
      </c>
      <c r="D176" s="353" t="n">
        <f aca="false">SUM(D165:D175)</f>
        <v>3053484.29721416</v>
      </c>
      <c r="E176" s="353" t="n">
        <f aca="false">SUM(E165:E175)</f>
        <v>3127615.61951231</v>
      </c>
      <c r="F176" s="353" t="n">
        <f aca="false">SUM(F165:F175)</f>
        <v>3059511.20544471</v>
      </c>
      <c r="G176" s="353" t="n">
        <f aca="false">SUM(G165:G175)</f>
        <v>3090032.47664982</v>
      </c>
      <c r="H176" s="353" t="n">
        <f aca="false">SUM(H165:H175)</f>
        <v>3040938.44644246</v>
      </c>
      <c r="I176" s="353" t="n">
        <f aca="false">SUM(I165:I175)</f>
        <v>3070352.98527149</v>
      </c>
      <c r="J176" s="353" t="n">
        <f aca="false">SUM(J165:J175)</f>
        <v>3077884.85229251</v>
      </c>
      <c r="K176" s="353" t="n">
        <f aca="false">SUM(K165:K175)</f>
        <v>3063442.90587362</v>
      </c>
      <c r="L176" s="353" t="n">
        <f aca="false">SUM(L165:L175)</f>
        <v>3741993.16494619</v>
      </c>
      <c r="M176" s="353" t="n">
        <f aca="false">SUM(M165:M175)</f>
        <v>3726589.20652442</v>
      </c>
      <c r="N176" s="353" t="n">
        <f aca="false">SUM(N165:N175)</f>
        <v>3720309.95894657</v>
      </c>
      <c r="O176" s="353" t="n">
        <f aca="false">SUM(O165:O175)</f>
        <v>38884364.896525</v>
      </c>
      <c r="P176" s="139"/>
      <c r="Q176" s="45"/>
      <c r="R176" s="353" t="n">
        <f aca="false">SUM(R165:R175)</f>
        <v>5104380.88842508</v>
      </c>
      <c r="S176" s="353" t="n">
        <f aca="false">SUM(S165:S175)</f>
        <v>5090234.03855192</v>
      </c>
      <c r="T176" s="353" t="n">
        <f aca="false">SUM(T165:T175)</f>
        <v>5178017.31466736</v>
      </c>
      <c r="U176" s="353" t="n">
        <f aca="false">SUM(U165:U175)</f>
        <v>5082834.89505626</v>
      </c>
      <c r="V176" s="353" t="n">
        <f aca="false">SUM(V165:V175)</f>
        <v>5127530.02360259</v>
      </c>
      <c r="W176" s="353" t="n">
        <f aca="false">SUM(W165:W175)</f>
        <v>5038426.75013724</v>
      </c>
      <c r="X176" s="353" t="n">
        <f aca="false">SUM(X165:X175)</f>
        <v>5083735.08996229</v>
      </c>
      <c r="Y176" s="353" t="n">
        <f aca="false">SUM(Y165:Y175)</f>
        <v>5105429.39519979</v>
      </c>
      <c r="Z176" s="353" t="n">
        <f aca="false">SUM(Z165:Z175)</f>
        <v>5105083.3646567</v>
      </c>
      <c r="AA176" s="353" t="n">
        <f aca="false">SUM(AA165:AA175)</f>
        <v>5053352.6797241</v>
      </c>
      <c r="AB176" s="353" t="n">
        <f aca="false">SUM(AB165:AB175)</f>
        <v>5051535.00214028</v>
      </c>
      <c r="AC176" s="353" t="n">
        <f aca="false">SUM(AC165:AC175)</f>
        <v>5002107.08525631</v>
      </c>
      <c r="AD176" s="353" t="n">
        <f aca="false">SUM(AD165:AD175)</f>
        <v>61022666.5273799</v>
      </c>
      <c r="AF176" s="45"/>
      <c r="AG176" s="353" t="n">
        <f aca="false">SUM(AG165:AG175)</f>
        <v>5153810.15099861</v>
      </c>
      <c r="AH176" s="353" t="n">
        <f aca="false">SUM(AH165:AH175)</f>
        <v>4947170.32423066</v>
      </c>
      <c r="AI176" s="353" t="n">
        <f aca="false">SUM(AI165:AI175)</f>
        <v>5122302.12600819</v>
      </c>
      <c r="AJ176" s="353" t="n">
        <f aca="false">SUM(AJ165:AJ175)</f>
        <v>5051658.28858523</v>
      </c>
      <c r="AK176" s="353" t="n">
        <f aca="false">SUM(AK165:AK175)</f>
        <v>5068416.06235482</v>
      </c>
      <c r="AL176" s="353" t="n">
        <f aca="false">SUM(AL165:AL175)</f>
        <v>4883785.76129633</v>
      </c>
      <c r="AM176" s="353" t="n">
        <f aca="false">SUM(AM165:AM175)</f>
        <v>4956240.55839768</v>
      </c>
      <c r="AN176" s="353" t="n">
        <f aca="false">SUM(AN165:AN175)</f>
        <v>4949675.75083028</v>
      </c>
      <c r="AO176" s="353" t="n">
        <f aca="false">SUM(AO165:AO175)</f>
        <v>5033319.91705389</v>
      </c>
      <c r="AP176" s="353" t="n">
        <f aca="false">SUM(AP165:AP175)</f>
        <v>5005527.42779648</v>
      </c>
      <c r="AQ176" s="353" t="n">
        <f aca="false">SUM(AQ165:AQ175)</f>
        <v>4976036.78631587</v>
      </c>
      <c r="AR176" s="353" t="n">
        <f aca="false">SUM(AR165:AR175)</f>
        <v>4829493.29710763</v>
      </c>
      <c r="AS176" s="353" t="n">
        <f aca="false">SUM(AS165:AS175)</f>
        <v>59977436.4509757</v>
      </c>
    </row>
    <row r="177" customFormat="false" ht="13.8" hidden="false" customHeight="false" outlineLevel="0" collapsed="false">
      <c r="A177" s="137"/>
      <c r="B177" s="45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45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F177" s="45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</row>
    <row r="178" customFormat="false" ht="13.2" hidden="false" customHeight="false" outlineLevel="0" collapsed="false">
      <c r="A178" s="141" t="s">
        <v>313</v>
      </c>
      <c r="B178" s="144" t="str">
        <f aca="false">'P&amp;L$'!B179</f>
        <v>FINANCIAL REVENUES</v>
      </c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44"/>
      <c r="R178" s="139"/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  <c r="AF178" s="144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</row>
    <row r="179" customFormat="false" ht="13.2" hidden="false" customHeight="false" outlineLevel="0" collapsed="false">
      <c r="A179" s="137" t="s">
        <v>316</v>
      </c>
      <c r="B179" s="45" t="str">
        <f aca="false">'P&amp;L$'!B180</f>
        <v>Interest Received</v>
      </c>
      <c r="C179" s="139" t="n">
        <f aca="false">Interest!C70</f>
        <v>-30370.75</v>
      </c>
      <c r="D179" s="139" t="n">
        <f aca="false">Interest!D70</f>
        <v>-31836.1701357749</v>
      </c>
      <c r="E179" s="139" t="n">
        <f aca="false">Interest!E70</f>
        <v>-35486.8026795384</v>
      </c>
      <c r="F179" s="139" t="n">
        <f aca="false">Interest!F70</f>
        <v>-22226.6499979953</v>
      </c>
      <c r="G179" s="139" t="n">
        <f aca="false">Interest!G70</f>
        <v>-24844.1678561013</v>
      </c>
      <c r="H179" s="139" t="n">
        <f aca="false">Interest!H70</f>
        <v>-26942.5886029867</v>
      </c>
      <c r="I179" s="139" t="n">
        <f aca="false">Interest!I70</f>
        <v>-18071.932988126</v>
      </c>
      <c r="J179" s="139" t="n">
        <f aca="false">Interest!J70</f>
        <v>-18390.9571963978</v>
      </c>
      <c r="K179" s="139" t="n">
        <f aca="false">Interest!K70</f>
        <v>-22643.9311072403</v>
      </c>
      <c r="L179" s="139" t="n">
        <f aca="false">Interest!L70</f>
        <v>-11411.8875636797</v>
      </c>
      <c r="M179" s="139" t="n">
        <f aca="false">Interest!M70</f>
        <v>-14030.2542063561</v>
      </c>
      <c r="N179" s="139" t="n">
        <f aca="false">Interest!N70</f>
        <v>-19209.8435412066</v>
      </c>
      <c r="O179" s="139" t="n">
        <f aca="false">SUM(C179:N179)</f>
        <v>-275465.935875403</v>
      </c>
      <c r="P179" s="139"/>
      <c r="Q179" s="45"/>
      <c r="R179" s="139" t="n">
        <f aca="false">Interest!Q70</f>
        <v>-85000</v>
      </c>
      <c r="S179" s="139" t="n">
        <f aca="false">Interest!R70</f>
        <v>-85000</v>
      </c>
      <c r="T179" s="139" t="n">
        <f aca="false">Interest!S70</f>
        <v>-85000</v>
      </c>
      <c r="U179" s="139" t="n">
        <f aca="false">Interest!T70</f>
        <v>-85000</v>
      </c>
      <c r="V179" s="139" t="n">
        <f aca="false">Interest!U70</f>
        <v>-85000</v>
      </c>
      <c r="W179" s="139" t="n">
        <f aca="false">Interest!V70</f>
        <v>-85000</v>
      </c>
      <c r="X179" s="139" t="n">
        <f aca="false">Interest!W70</f>
        <v>-85000</v>
      </c>
      <c r="Y179" s="139" t="n">
        <f aca="false">Interest!X70</f>
        <v>-85000</v>
      </c>
      <c r="Z179" s="139" t="n">
        <f aca="false">Interest!Y70</f>
        <v>-85000</v>
      </c>
      <c r="AA179" s="139" t="n">
        <f aca="false">Interest!Z70</f>
        <v>-85000</v>
      </c>
      <c r="AB179" s="139" t="n">
        <f aca="false">Interest!AA70</f>
        <v>-85000</v>
      </c>
      <c r="AC179" s="139" t="n">
        <f aca="false">Interest!AB70</f>
        <v>-85000</v>
      </c>
      <c r="AD179" s="139" t="n">
        <f aca="false">SUM(R179:AC179)</f>
        <v>-1020000</v>
      </c>
      <c r="AF179" s="45"/>
      <c r="AG179" s="139" t="n">
        <f aca="false">Interest!AE70</f>
        <v>-85000</v>
      </c>
      <c r="AH179" s="139" t="n">
        <f aca="false">Interest!AF70</f>
        <v>-85000</v>
      </c>
      <c r="AI179" s="139" t="n">
        <f aca="false">Interest!AG70</f>
        <v>-85000</v>
      </c>
      <c r="AJ179" s="139" t="n">
        <f aca="false">Interest!AH70</f>
        <v>-85000</v>
      </c>
      <c r="AK179" s="139" t="n">
        <f aca="false">Interest!AI70</f>
        <v>-85000</v>
      </c>
      <c r="AL179" s="139" t="n">
        <f aca="false">Interest!AJ70</f>
        <v>-85000</v>
      </c>
      <c r="AM179" s="139" t="n">
        <f aca="false">Interest!AK70</f>
        <v>-85000</v>
      </c>
      <c r="AN179" s="139" t="n">
        <f aca="false">Interest!AL70</f>
        <v>-85000</v>
      </c>
      <c r="AO179" s="139" t="n">
        <f aca="false">Interest!AM70</f>
        <v>-85000</v>
      </c>
      <c r="AP179" s="139" t="n">
        <f aca="false">Interest!AN70</f>
        <v>-85000</v>
      </c>
      <c r="AQ179" s="139" t="n">
        <f aca="false">Interest!AO70</f>
        <v>-85000</v>
      </c>
      <c r="AR179" s="139" t="n">
        <f aca="false">Interest!AP70</f>
        <v>-85000</v>
      </c>
      <c r="AS179" s="139" t="n">
        <f aca="false">SUM(AG179:AR179)</f>
        <v>-1020000</v>
      </c>
    </row>
    <row r="180" customFormat="false" ht="13.2" hidden="true" customHeight="false" outlineLevel="0" collapsed="false">
      <c r="A180" s="137" t="s">
        <v>319</v>
      </c>
      <c r="B180" s="45" t="s">
        <v>320</v>
      </c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 t="n">
        <f aca="false">SUM(C180:N180)</f>
        <v>0</v>
      </c>
      <c r="P180" s="139"/>
      <c r="Q180" s="45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 t="n">
        <f aca="false">SUM(R180:AC180)</f>
        <v>0</v>
      </c>
      <c r="AF180" s="45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 t="n">
        <f aca="false">SUM(AG180:AR180)</f>
        <v>0</v>
      </c>
    </row>
    <row r="181" customFormat="false" ht="13.2" hidden="true" customHeight="false" outlineLevel="0" collapsed="false">
      <c r="A181" s="137" t="s">
        <v>321</v>
      </c>
      <c r="B181" s="45" t="s">
        <v>322</v>
      </c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 t="n">
        <f aca="false">SUM(C181:N181)</f>
        <v>0</v>
      </c>
      <c r="P181" s="139"/>
      <c r="Q181" s="45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 t="n">
        <f aca="false">SUM(R181:AC181)</f>
        <v>0</v>
      </c>
      <c r="AF181" s="45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 t="n">
        <f aca="false">SUM(AG181:AR181)</f>
        <v>0</v>
      </c>
    </row>
    <row r="182" customFormat="false" ht="13.2" hidden="true" customHeight="false" outlineLevel="0" collapsed="false">
      <c r="A182" s="137" t="s">
        <v>323</v>
      </c>
      <c r="B182" s="45" t="s">
        <v>324</v>
      </c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 t="n">
        <f aca="false">SUM(C182:N182)</f>
        <v>0</v>
      </c>
      <c r="P182" s="139"/>
      <c r="Q182" s="45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 t="n">
        <f aca="false">SUM(R182:AC182)</f>
        <v>0</v>
      </c>
      <c r="AF182" s="45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 t="n">
        <f aca="false">SUM(AG182:AR182)</f>
        <v>0</v>
      </c>
    </row>
    <row r="183" customFormat="false" ht="13.2" hidden="true" customHeight="false" outlineLevel="0" collapsed="false">
      <c r="A183" s="137" t="s">
        <v>325</v>
      </c>
      <c r="B183" s="45" t="s">
        <v>326</v>
      </c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 t="n">
        <f aca="false">SUM(C183:N183)</f>
        <v>0</v>
      </c>
      <c r="P183" s="139"/>
      <c r="Q183" s="45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 t="n">
        <f aca="false">SUM(R183:AC183)</f>
        <v>0</v>
      </c>
      <c r="AF183" s="45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 t="n">
        <f aca="false">SUM(AG183:AR183)</f>
        <v>0</v>
      </c>
    </row>
    <row r="184" customFormat="false" ht="13.8" hidden="false" customHeight="false" outlineLevel="0" collapsed="false">
      <c r="A184" s="137"/>
      <c r="B184" s="285" t="s">
        <v>66</v>
      </c>
      <c r="C184" s="353" t="n">
        <f aca="false">SUM(C179:C183)</f>
        <v>-30370.75</v>
      </c>
      <c r="D184" s="353" t="n">
        <f aca="false">SUM(D179:D183)</f>
        <v>-31836.1701357749</v>
      </c>
      <c r="E184" s="353" t="n">
        <f aca="false">SUM(E179:E183)</f>
        <v>-35486.8026795384</v>
      </c>
      <c r="F184" s="353" t="n">
        <f aca="false">SUM(F179:F183)</f>
        <v>-22226.6499979953</v>
      </c>
      <c r="G184" s="353" t="n">
        <f aca="false">SUM(G179:G183)</f>
        <v>-24844.1678561013</v>
      </c>
      <c r="H184" s="353" t="n">
        <f aca="false">SUM(H179:H183)</f>
        <v>-26942.5886029867</v>
      </c>
      <c r="I184" s="353" t="n">
        <f aca="false">SUM(I179:I183)</f>
        <v>-18071.932988126</v>
      </c>
      <c r="J184" s="353" t="n">
        <f aca="false">SUM(J179:J183)</f>
        <v>-18390.9571963978</v>
      </c>
      <c r="K184" s="353" t="n">
        <f aca="false">SUM(K179:K183)</f>
        <v>-22643.9311072403</v>
      </c>
      <c r="L184" s="353" t="n">
        <f aca="false">SUM(L179:L183)</f>
        <v>-11411.8875636797</v>
      </c>
      <c r="M184" s="353" t="n">
        <f aca="false">SUM(M179:M183)</f>
        <v>-14030.2542063561</v>
      </c>
      <c r="N184" s="353" t="n">
        <f aca="false">SUM(N179:N183)</f>
        <v>-19209.8435412066</v>
      </c>
      <c r="O184" s="353" t="n">
        <f aca="false">SUM(O179:O183)</f>
        <v>-275465.935875403</v>
      </c>
      <c r="P184" s="139"/>
      <c r="Q184" s="45"/>
      <c r="R184" s="353" t="n">
        <f aca="false">SUM(R179:R183)</f>
        <v>-85000</v>
      </c>
      <c r="S184" s="353" t="n">
        <f aca="false">SUM(S179:S183)</f>
        <v>-85000</v>
      </c>
      <c r="T184" s="353" t="n">
        <f aca="false">SUM(T179:T183)</f>
        <v>-85000</v>
      </c>
      <c r="U184" s="353" t="n">
        <f aca="false">SUM(U179:U183)</f>
        <v>-85000</v>
      </c>
      <c r="V184" s="353" t="n">
        <f aca="false">SUM(V179:V183)</f>
        <v>-85000</v>
      </c>
      <c r="W184" s="353" t="n">
        <f aca="false">SUM(W179:W183)</f>
        <v>-85000</v>
      </c>
      <c r="X184" s="353" t="n">
        <f aca="false">SUM(X179:X183)</f>
        <v>-85000</v>
      </c>
      <c r="Y184" s="353" t="n">
        <f aca="false">SUM(Y179:Y183)</f>
        <v>-85000</v>
      </c>
      <c r="Z184" s="353" t="n">
        <f aca="false">SUM(Z179:Z183)</f>
        <v>-85000</v>
      </c>
      <c r="AA184" s="353" t="n">
        <f aca="false">SUM(AA179:AA183)</f>
        <v>-85000</v>
      </c>
      <c r="AB184" s="353" t="n">
        <f aca="false">SUM(AB179:AB183)</f>
        <v>-85000</v>
      </c>
      <c r="AC184" s="353" t="n">
        <f aca="false">SUM(AC179:AC183)</f>
        <v>-85000</v>
      </c>
      <c r="AD184" s="353" t="n">
        <f aca="false">SUM(AD179:AD183)</f>
        <v>-1020000</v>
      </c>
      <c r="AF184" s="45"/>
      <c r="AG184" s="353" t="n">
        <f aca="false">SUM(AG179:AG183)</f>
        <v>-85000</v>
      </c>
      <c r="AH184" s="353" t="n">
        <f aca="false">SUM(AH179:AH183)</f>
        <v>-85000</v>
      </c>
      <c r="AI184" s="353" t="n">
        <f aca="false">SUM(AI179:AI183)</f>
        <v>-85000</v>
      </c>
      <c r="AJ184" s="353" t="n">
        <f aca="false">SUM(AJ179:AJ183)</f>
        <v>-85000</v>
      </c>
      <c r="AK184" s="353" t="n">
        <f aca="false">SUM(AK179:AK183)</f>
        <v>-85000</v>
      </c>
      <c r="AL184" s="353" t="n">
        <f aca="false">SUM(AL179:AL183)</f>
        <v>-85000</v>
      </c>
      <c r="AM184" s="353" t="n">
        <f aca="false">SUM(AM179:AM183)</f>
        <v>-85000</v>
      </c>
      <c r="AN184" s="353" t="n">
        <f aca="false">SUM(AN179:AN183)</f>
        <v>-85000</v>
      </c>
      <c r="AO184" s="353" t="n">
        <f aca="false">SUM(AO179:AO183)</f>
        <v>-85000</v>
      </c>
      <c r="AP184" s="353" t="n">
        <f aca="false">SUM(AP179:AP183)</f>
        <v>-85000</v>
      </c>
      <c r="AQ184" s="353" t="n">
        <f aca="false">SUM(AQ179:AQ183)</f>
        <v>-85000</v>
      </c>
      <c r="AR184" s="353" t="n">
        <f aca="false">SUM(AR179:AR183)</f>
        <v>-85000</v>
      </c>
      <c r="AS184" s="353" t="n">
        <f aca="false">SUM(AS179:AS183)</f>
        <v>-1020000</v>
      </c>
    </row>
    <row r="185" customFormat="false" ht="13.8" hidden="false" customHeight="false" outlineLevel="0" collapsed="false">
      <c r="A185" s="137"/>
      <c r="B185" s="45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45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F185" s="45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</row>
    <row r="186" customFormat="false" ht="13.2" hidden="false" customHeight="false" outlineLevel="0" collapsed="false">
      <c r="A186" s="141" t="s">
        <v>327</v>
      </c>
      <c r="B186" s="144" t="str">
        <f aca="false">'P&amp;L$'!B187</f>
        <v>OTHER OPERATING COSTS</v>
      </c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44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F186" s="144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</row>
    <row r="187" customFormat="false" ht="13.2" hidden="true" customHeight="false" outlineLevel="0" collapsed="false">
      <c r="A187" s="137" t="s">
        <v>330</v>
      </c>
      <c r="B187" s="45" t="s">
        <v>331</v>
      </c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 t="n">
        <f aca="false">SUM(C187:N187)</f>
        <v>0</v>
      </c>
      <c r="P187" s="139"/>
      <c r="Q187" s="45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 t="n">
        <f aca="false">SUM(R187:AC187)</f>
        <v>0</v>
      </c>
      <c r="AF187" s="45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 t="n">
        <f aca="false">SUM(AG187:AR187)</f>
        <v>0</v>
      </c>
    </row>
    <row r="188" customFormat="false" ht="13.2" hidden="false" customHeight="false" outlineLevel="0" collapsed="false">
      <c r="A188" s="137" t="s">
        <v>332</v>
      </c>
      <c r="B188" s="45" t="str">
        <f aca="false">'P&amp;L$'!B189</f>
        <v>Bank Charges</v>
      </c>
      <c r="C188" s="139" t="n">
        <f aca="false">Interest!C79</f>
        <v>2600</v>
      </c>
      <c r="D188" s="139" t="n">
        <f aca="false">Interest!D79</f>
        <v>2600</v>
      </c>
      <c r="E188" s="139" t="n">
        <f aca="false">Interest!E79</f>
        <v>2600</v>
      </c>
      <c r="F188" s="139" t="n">
        <f aca="false">Interest!F79</f>
        <v>2600</v>
      </c>
      <c r="G188" s="139" t="n">
        <f aca="false">Interest!G79</f>
        <v>2600</v>
      </c>
      <c r="H188" s="139" t="n">
        <f aca="false">Interest!H79</f>
        <v>2600</v>
      </c>
      <c r="I188" s="139" t="n">
        <f aca="false">Interest!I79</f>
        <v>2600</v>
      </c>
      <c r="J188" s="139" t="n">
        <f aca="false">Interest!J79</f>
        <v>2600</v>
      </c>
      <c r="K188" s="139" t="n">
        <f aca="false">Interest!K79</f>
        <v>2600</v>
      </c>
      <c r="L188" s="139" t="n">
        <f aca="false">Interest!L79</f>
        <v>2600</v>
      </c>
      <c r="M188" s="139" t="n">
        <f aca="false">Interest!M79</f>
        <v>2600</v>
      </c>
      <c r="N188" s="139" t="n">
        <f aca="false">Interest!N79</f>
        <v>2600</v>
      </c>
      <c r="O188" s="139" t="n">
        <f aca="false">SUM(C188:N188)</f>
        <v>31200</v>
      </c>
      <c r="P188" s="139"/>
      <c r="Q188" s="45"/>
      <c r="R188" s="139" t="n">
        <f aca="false">Interest!Q79</f>
        <v>2600</v>
      </c>
      <c r="S188" s="139" t="n">
        <f aca="false">Interest!R79</f>
        <v>2600</v>
      </c>
      <c r="T188" s="139" t="n">
        <f aca="false">Interest!S79</f>
        <v>2600</v>
      </c>
      <c r="U188" s="139" t="n">
        <f aca="false">Interest!T79</f>
        <v>2600</v>
      </c>
      <c r="V188" s="139" t="n">
        <f aca="false">Interest!U79</f>
        <v>2600</v>
      </c>
      <c r="W188" s="139" t="n">
        <f aca="false">Interest!V79</f>
        <v>2600</v>
      </c>
      <c r="X188" s="139" t="n">
        <f aca="false">Interest!W79</f>
        <v>2600</v>
      </c>
      <c r="Y188" s="139" t="n">
        <f aca="false">Interest!X79</f>
        <v>2600</v>
      </c>
      <c r="Z188" s="139" t="n">
        <f aca="false">Interest!Y79</f>
        <v>2600</v>
      </c>
      <c r="AA188" s="139" t="n">
        <f aca="false">Interest!Z79</f>
        <v>2600</v>
      </c>
      <c r="AB188" s="139" t="n">
        <f aca="false">Interest!AA79</f>
        <v>2600</v>
      </c>
      <c r="AC188" s="139" t="n">
        <f aca="false">Interest!AB79</f>
        <v>2600</v>
      </c>
      <c r="AD188" s="139" t="n">
        <f aca="false">SUM(R188:AC188)</f>
        <v>31200</v>
      </c>
      <c r="AF188" s="45"/>
      <c r="AG188" s="139" t="n">
        <f aca="false">Interest!AE79</f>
        <v>2600</v>
      </c>
      <c r="AH188" s="139" t="n">
        <f aca="false">Interest!AF79</f>
        <v>2600</v>
      </c>
      <c r="AI188" s="139" t="n">
        <f aca="false">Interest!AG79</f>
        <v>2600</v>
      </c>
      <c r="AJ188" s="139" t="n">
        <f aca="false">Interest!AH79</f>
        <v>2600</v>
      </c>
      <c r="AK188" s="139" t="n">
        <f aca="false">Interest!AI79</f>
        <v>2600</v>
      </c>
      <c r="AL188" s="139" t="n">
        <f aca="false">Interest!AJ79</f>
        <v>2600</v>
      </c>
      <c r="AM188" s="139" t="n">
        <f aca="false">Interest!AK79</f>
        <v>2600</v>
      </c>
      <c r="AN188" s="139" t="n">
        <f aca="false">Interest!AL79</f>
        <v>2600</v>
      </c>
      <c r="AO188" s="139" t="n">
        <f aca="false">Interest!AM79</f>
        <v>2600</v>
      </c>
      <c r="AP188" s="139" t="n">
        <f aca="false">Interest!AN79</f>
        <v>2600</v>
      </c>
      <c r="AQ188" s="139" t="n">
        <f aca="false">Interest!AO79</f>
        <v>2600</v>
      </c>
      <c r="AR188" s="139" t="n">
        <f aca="false">Interest!AP79</f>
        <v>2600</v>
      </c>
      <c r="AS188" s="139" t="n">
        <f aca="false">SUM(AG188:AR188)</f>
        <v>31200</v>
      </c>
    </row>
    <row r="189" customFormat="false" ht="13.2" hidden="false" customHeight="false" outlineLevel="0" collapsed="false">
      <c r="A189" s="137" t="s">
        <v>1066</v>
      </c>
      <c r="B189" s="45" t="str">
        <f aca="false">'P&amp;L$'!B190</f>
        <v>Donations</v>
      </c>
      <c r="C189" s="139" t="n">
        <f aca="false">Donation!C6</f>
        <v>4500</v>
      </c>
      <c r="D189" s="139" t="n">
        <f aca="false">Donation!D6</f>
        <v>4500</v>
      </c>
      <c r="E189" s="139" t="n">
        <f aca="false">Donation!E6</f>
        <v>4500</v>
      </c>
      <c r="F189" s="139" t="n">
        <f aca="false">Donation!F6</f>
        <v>4500</v>
      </c>
      <c r="G189" s="139" t="n">
        <f aca="false">Donation!G6</f>
        <v>4500</v>
      </c>
      <c r="H189" s="139" t="n">
        <f aca="false">Donation!H6</f>
        <v>4500</v>
      </c>
      <c r="I189" s="139" t="n">
        <f aca="false">Donation!I6</f>
        <v>4500</v>
      </c>
      <c r="J189" s="139" t="n">
        <f aca="false">Donation!J6</f>
        <v>4500</v>
      </c>
      <c r="K189" s="139" t="n">
        <f aca="false">Donation!K6</f>
        <v>4500</v>
      </c>
      <c r="L189" s="139" t="n">
        <f aca="false">Donation!L6</f>
        <v>4500</v>
      </c>
      <c r="M189" s="139" t="n">
        <f aca="false">Donation!M6</f>
        <v>4500</v>
      </c>
      <c r="N189" s="139" t="n">
        <f aca="false">Donation!N6</f>
        <v>4500</v>
      </c>
      <c r="O189" s="139" t="n">
        <f aca="false">SUM(C189:N189)</f>
        <v>54000</v>
      </c>
      <c r="P189" s="139"/>
      <c r="Q189" s="45"/>
      <c r="R189" s="139" t="n">
        <f aca="false">Donation!Q6</f>
        <v>4500</v>
      </c>
      <c r="S189" s="139" t="n">
        <f aca="false">Donation!R6</f>
        <v>4500</v>
      </c>
      <c r="T189" s="139" t="n">
        <f aca="false">Donation!S6</f>
        <v>4500</v>
      </c>
      <c r="U189" s="139" t="n">
        <f aca="false">Donation!T6</f>
        <v>4500</v>
      </c>
      <c r="V189" s="139" t="n">
        <f aca="false">Donation!U6</f>
        <v>4500</v>
      </c>
      <c r="W189" s="139" t="n">
        <f aca="false">Donation!V6</f>
        <v>4500</v>
      </c>
      <c r="X189" s="139" t="n">
        <f aca="false">Donation!W6</f>
        <v>4500</v>
      </c>
      <c r="Y189" s="139" t="n">
        <f aca="false">Donation!X6</f>
        <v>4500</v>
      </c>
      <c r="Z189" s="139" t="n">
        <f aca="false">Donation!Y6</f>
        <v>4500</v>
      </c>
      <c r="AA189" s="139" t="n">
        <f aca="false">Donation!Z6</f>
        <v>4500</v>
      </c>
      <c r="AB189" s="139" t="n">
        <f aca="false">Donation!AA6</f>
        <v>4500</v>
      </c>
      <c r="AC189" s="139" t="n">
        <f aca="false">Donation!AB6</f>
        <v>4500</v>
      </c>
      <c r="AD189" s="139" t="n">
        <f aca="false">SUM(R189:AC189)</f>
        <v>54000</v>
      </c>
      <c r="AF189" s="45"/>
      <c r="AG189" s="139" t="n">
        <f aca="false">Donation!AE6</f>
        <v>4500</v>
      </c>
      <c r="AH189" s="139" t="n">
        <f aca="false">Donation!AF6</f>
        <v>4500</v>
      </c>
      <c r="AI189" s="139" t="n">
        <f aca="false">Donation!AG6</f>
        <v>4500</v>
      </c>
      <c r="AJ189" s="139" t="n">
        <f aca="false">Donation!AH6</f>
        <v>4500</v>
      </c>
      <c r="AK189" s="139" t="n">
        <f aca="false">Donation!AI6</f>
        <v>4500</v>
      </c>
      <c r="AL189" s="139" t="n">
        <f aca="false">Donation!AJ6</f>
        <v>4500</v>
      </c>
      <c r="AM189" s="139" t="n">
        <f aca="false">Donation!AK6</f>
        <v>4500</v>
      </c>
      <c r="AN189" s="139" t="n">
        <f aca="false">Donation!AL6</f>
        <v>4500</v>
      </c>
      <c r="AO189" s="139" t="n">
        <f aca="false">Donation!AM6</f>
        <v>4500</v>
      </c>
      <c r="AP189" s="139" t="n">
        <f aca="false">Donation!AN6</f>
        <v>4500</v>
      </c>
      <c r="AQ189" s="139" t="n">
        <f aca="false">Donation!AO6</f>
        <v>4500</v>
      </c>
      <c r="AR189" s="139" t="n">
        <f aca="false">Donation!AP6</f>
        <v>4500</v>
      </c>
      <c r="AS189" s="139" t="n">
        <f aca="false">SUM(AG189:AR189)</f>
        <v>54000</v>
      </c>
    </row>
    <row r="190" customFormat="false" ht="13.2" hidden="true" customHeight="false" outlineLevel="0" collapsed="false">
      <c r="A190" s="137" t="s">
        <v>335</v>
      </c>
      <c r="B190" s="45" t="s">
        <v>336</v>
      </c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 t="n">
        <f aca="false">SUM(C190:N190)</f>
        <v>0</v>
      </c>
      <c r="P190" s="139"/>
      <c r="Q190" s="45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 t="n">
        <f aca="false">SUM(R190:AC190)</f>
        <v>0</v>
      </c>
      <c r="AF190" s="45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 t="n">
        <f aca="false">SUM(AG190:AR190)</f>
        <v>0</v>
      </c>
    </row>
    <row r="191" customFormat="false" ht="13.2" hidden="true" customHeight="false" outlineLevel="0" collapsed="false">
      <c r="A191" s="137" t="s">
        <v>337</v>
      </c>
      <c r="B191" s="45" t="s">
        <v>338</v>
      </c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 t="n">
        <f aca="false">SUM(C191:N191)</f>
        <v>0</v>
      </c>
      <c r="P191" s="139"/>
      <c r="Q191" s="45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 t="n">
        <f aca="false">SUM(R191:AC191)</f>
        <v>0</v>
      </c>
      <c r="AF191" s="45"/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 t="n">
        <f aca="false">SUM(AG191:AR191)</f>
        <v>0</v>
      </c>
    </row>
    <row r="192" customFormat="false" ht="13.2" hidden="true" customHeight="false" outlineLevel="0" collapsed="false">
      <c r="A192" s="137" t="s">
        <v>339</v>
      </c>
      <c r="B192" s="45" t="s">
        <v>340</v>
      </c>
      <c r="C192" s="139" t="n">
        <f aca="false">C9</f>
        <v>0</v>
      </c>
      <c r="D192" s="139" t="n">
        <f aca="false">D9</f>
        <v>0</v>
      </c>
      <c r="E192" s="139" t="n">
        <f aca="false">E9</f>
        <v>0</v>
      </c>
      <c r="F192" s="139" t="n">
        <f aca="false">F9</f>
        <v>0</v>
      </c>
      <c r="G192" s="139" t="n">
        <f aca="false">G9</f>
        <v>0</v>
      </c>
      <c r="H192" s="139" t="n">
        <f aca="false">H9</f>
        <v>0</v>
      </c>
      <c r="I192" s="139" t="n">
        <f aca="false">I9</f>
        <v>0</v>
      </c>
      <c r="J192" s="139" t="n">
        <f aca="false">J9</f>
        <v>0</v>
      </c>
      <c r="K192" s="139" t="n">
        <f aca="false">K9</f>
        <v>0</v>
      </c>
      <c r="L192" s="139" t="n">
        <f aca="false">L9</f>
        <v>0</v>
      </c>
      <c r="M192" s="139" t="n">
        <f aca="false">M9</f>
        <v>0</v>
      </c>
      <c r="N192" s="139" t="n">
        <f aca="false">N9</f>
        <v>0</v>
      </c>
      <c r="O192" s="139" t="n">
        <f aca="false">SUM(C192:N192)</f>
        <v>0</v>
      </c>
      <c r="P192" s="139"/>
      <c r="Q192" s="45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 t="n">
        <f aca="false">SUM(R192:AC192)</f>
        <v>0</v>
      </c>
      <c r="AF192" s="45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 t="n">
        <f aca="false">SUM(AG192:AR192)</f>
        <v>0</v>
      </c>
    </row>
    <row r="193" customFormat="false" ht="13.8" hidden="false" customHeight="false" outlineLevel="0" collapsed="false">
      <c r="A193" s="137"/>
      <c r="B193" s="285" t="s">
        <v>66</v>
      </c>
      <c r="C193" s="353" t="n">
        <f aca="false">SUM(C187:C192)</f>
        <v>7100</v>
      </c>
      <c r="D193" s="353" t="n">
        <f aca="false">SUM(D187:D192)</f>
        <v>7100</v>
      </c>
      <c r="E193" s="353" t="n">
        <f aca="false">SUM(E187:E192)</f>
        <v>7100</v>
      </c>
      <c r="F193" s="353" t="n">
        <f aca="false">SUM(F187:F192)</f>
        <v>7100</v>
      </c>
      <c r="G193" s="353" t="n">
        <f aca="false">SUM(G187:G192)</f>
        <v>7100</v>
      </c>
      <c r="H193" s="353" t="n">
        <f aca="false">SUM(H187:H192)</f>
        <v>7100</v>
      </c>
      <c r="I193" s="353" t="n">
        <f aca="false">SUM(I187:I192)</f>
        <v>7100</v>
      </c>
      <c r="J193" s="353" t="n">
        <f aca="false">SUM(J187:J192)</f>
        <v>7100</v>
      </c>
      <c r="K193" s="353" t="n">
        <f aca="false">SUM(K187:K192)</f>
        <v>7100</v>
      </c>
      <c r="L193" s="353" t="n">
        <f aca="false">SUM(L187:L192)</f>
        <v>7100</v>
      </c>
      <c r="M193" s="353" t="n">
        <f aca="false">SUM(M187:M192)</f>
        <v>7100</v>
      </c>
      <c r="N193" s="353" t="n">
        <f aca="false">SUM(N187:N192)</f>
        <v>7100</v>
      </c>
      <c r="O193" s="353" t="n">
        <f aca="false">SUM(O187:O192)</f>
        <v>85200</v>
      </c>
      <c r="P193" s="139"/>
      <c r="Q193" s="45"/>
      <c r="R193" s="353" t="n">
        <f aca="false">SUM(R187:R192)</f>
        <v>7100</v>
      </c>
      <c r="S193" s="353" t="n">
        <f aca="false">SUM(S187:S192)</f>
        <v>7100</v>
      </c>
      <c r="T193" s="353" t="n">
        <f aca="false">SUM(T187:T192)</f>
        <v>7100</v>
      </c>
      <c r="U193" s="353" t="n">
        <f aca="false">SUM(U187:U192)</f>
        <v>7100</v>
      </c>
      <c r="V193" s="353" t="n">
        <f aca="false">SUM(V187:V192)</f>
        <v>7100</v>
      </c>
      <c r="W193" s="353" t="n">
        <f aca="false">SUM(W187:W192)</f>
        <v>7100</v>
      </c>
      <c r="X193" s="353" t="n">
        <f aca="false">SUM(X187:X192)</f>
        <v>7100</v>
      </c>
      <c r="Y193" s="353" t="n">
        <f aca="false">SUM(Y187:Y192)</f>
        <v>7100</v>
      </c>
      <c r="Z193" s="353" t="n">
        <f aca="false">SUM(Z187:Z192)</f>
        <v>7100</v>
      </c>
      <c r="AA193" s="353" t="n">
        <f aca="false">SUM(AA187:AA192)</f>
        <v>7100</v>
      </c>
      <c r="AB193" s="353" t="n">
        <f aca="false">SUM(AB187:AB192)</f>
        <v>7100</v>
      </c>
      <c r="AC193" s="353" t="n">
        <f aca="false">SUM(AC187:AC192)</f>
        <v>7100</v>
      </c>
      <c r="AD193" s="353" t="n">
        <f aca="false">SUM(AD187:AD192)</f>
        <v>85200</v>
      </c>
      <c r="AF193" s="45"/>
      <c r="AG193" s="353" t="n">
        <f aca="false">SUM(AG187:AG192)</f>
        <v>7100</v>
      </c>
      <c r="AH193" s="353" t="n">
        <f aca="false">SUM(AH187:AH192)</f>
        <v>7100</v>
      </c>
      <c r="AI193" s="353" t="n">
        <f aca="false">SUM(AI187:AI192)</f>
        <v>7100</v>
      </c>
      <c r="AJ193" s="353" t="n">
        <f aca="false">SUM(AJ187:AJ192)</f>
        <v>7100</v>
      </c>
      <c r="AK193" s="353" t="n">
        <f aca="false">SUM(AK187:AK192)</f>
        <v>7100</v>
      </c>
      <c r="AL193" s="353" t="n">
        <f aca="false">SUM(AL187:AL192)</f>
        <v>7100</v>
      </c>
      <c r="AM193" s="353" t="n">
        <f aca="false">SUM(AM187:AM192)</f>
        <v>7100</v>
      </c>
      <c r="AN193" s="353" t="n">
        <f aca="false">SUM(AN187:AN192)</f>
        <v>7100</v>
      </c>
      <c r="AO193" s="353" t="n">
        <f aca="false">SUM(AO187:AO192)</f>
        <v>7100</v>
      </c>
      <c r="AP193" s="353" t="n">
        <f aca="false">SUM(AP187:AP192)</f>
        <v>7100</v>
      </c>
      <c r="AQ193" s="353" t="n">
        <f aca="false">SUM(AQ187:AQ192)</f>
        <v>7100</v>
      </c>
      <c r="AR193" s="353" t="n">
        <f aca="false">SUM(AR187:AR192)</f>
        <v>7100</v>
      </c>
      <c r="AS193" s="353" t="n">
        <f aca="false">SUM(AS187:AS192)</f>
        <v>85200</v>
      </c>
    </row>
    <row r="194" customFormat="false" ht="13.8" hidden="false" customHeight="false" outlineLevel="0" collapsed="false">
      <c r="A194" s="137"/>
      <c r="B194" s="45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45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F194" s="45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</row>
    <row r="195" customFormat="false" ht="13.2" hidden="true" customHeight="false" outlineLevel="0" collapsed="false">
      <c r="A195" s="141" t="s">
        <v>341</v>
      </c>
      <c r="B195" s="144" t="s">
        <v>342</v>
      </c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44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F195" s="144"/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</row>
    <row r="196" customFormat="false" ht="13.2" hidden="true" customHeight="false" outlineLevel="0" collapsed="false">
      <c r="A196" s="137" t="s">
        <v>343</v>
      </c>
      <c r="B196" s="45" t="s">
        <v>344</v>
      </c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 t="n">
        <f aca="false">SUM(C196:N196)</f>
        <v>0</v>
      </c>
      <c r="P196" s="139"/>
      <c r="Q196" s="45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 t="n">
        <f aca="false">SUM(R196:AC196)</f>
        <v>0</v>
      </c>
      <c r="AF196" s="45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 t="n">
        <f aca="false">SUM(AG196:AR196)</f>
        <v>0</v>
      </c>
    </row>
    <row r="197" customFormat="false" ht="13.2" hidden="true" customHeight="false" outlineLevel="0" collapsed="false">
      <c r="A197" s="137" t="s">
        <v>345</v>
      </c>
      <c r="B197" s="45" t="s">
        <v>346</v>
      </c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 t="n">
        <f aca="false">SUM(C197:N197)</f>
        <v>0</v>
      </c>
      <c r="P197" s="139"/>
      <c r="Q197" s="45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 t="n">
        <f aca="false">SUM(R197:AC197)</f>
        <v>0</v>
      </c>
      <c r="AF197" s="45"/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 t="n">
        <f aca="false">SUM(AG197:AR197)</f>
        <v>0</v>
      </c>
    </row>
    <row r="198" customFormat="false" ht="13.2" hidden="true" customHeight="false" outlineLevel="0" collapsed="false">
      <c r="A198" s="137" t="s">
        <v>347</v>
      </c>
      <c r="B198" s="45" t="s">
        <v>348</v>
      </c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 t="n">
        <f aca="false">SUM(C198:N198)</f>
        <v>0</v>
      </c>
      <c r="P198" s="139"/>
      <c r="Q198" s="45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 t="n">
        <f aca="false">SUM(R198:AC198)</f>
        <v>0</v>
      </c>
      <c r="AF198" s="45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 t="n">
        <f aca="false">SUM(AG198:AR198)</f>
        <v>0</v>
      </c>
    </row>
    <row r="199" customFormat="false" ht="13.8" hidden="true" customHeight="false" outlineLevel="0" collapsed="false">
      <c r="A199" s="137"/>
      <c r="B199" s="45"/>
      <c r="C199" s="353" t="n">
        <f aca="false">SUM(C196:C198)</f>
        <v>0</v>
      </c>
      <c r="D199" s="353" t="n">
        <f aca="false">SUM(D196:D198)</f>
        <v>0</v>
      </c>
      <c r="E199" s="353" t="n">
        <f aca="false">SUM(E196:E198)</f>
        <v>0</v>
      </c>
      <c r="F199" s="353" t="n">
        <f aca="false">SUM(F196:F198)</f>
        <v>0</v>
      </c>
      <c r="G199" s="353" t="n">
        <f aca="false">SUM(G196:G198)</f>
        <v>0</v>
      </c>
      <c r="H199" s="353" t="n">
        <f aca="false">SUM(H196:H198)</f>
        <v>0</v>
      </c>
      <c r="I199" s="353" t="n">
        <f aca="false">SUM(I196:I198)</f>
        <v>0</v>
      </c>
      <c r="J199" s="353" t="n">
        <f aca="false">SUM(J196:J198)</f>
        <v>0</v>
      </c>
      <c r="K199" s="353" t="n">
        <f aca="false">SUM(K196:K198)</f>
        <v>0</v>
      </c>
      <c r="L199" s="353" t="n">
        <f aca="false">SUM(L196:L198)</f>
        <v>0</v>
      </c>
      <c r="M199" s="353" t="n">
        <f aca="false">SUM(M196:M198)</f>
        <v>0</v>
      </c>
      <c r="N199" s="353" t="n">
        <f aca="false">SUM(N196:N198)</f>
        <v>0</v>
      </c>
      <c r="O199" s="353" t="n">
        <f aca="false">SUM(O196:O198)</f>
        <v>0</v>
      </c>
      <c r="P199" s="139"/>
      <c r="Q199" s="45"/>
      <c r="R199" s="353" t="n">
        <f aca="false">SUM(R196:R198)</f>
        <v>0</v>
      </c>
      <c r="S199" s="353" t="n">
        <f aca="false">SUM(S196:S198)</f>
        <v>0</v>
      </c>
      <c r="T199" s="353" t="n">
        <f aca="false">SUM(T196:T198)</f>
        <v>0</v>
      </c>
      <c r="U199" s="353" t="n">
        <f aca="false">SUM(U196:U198)</f>
        <v>0</v>
      </c>
      <c r="V199" s="353" t="n">
        <f aca="false">SUM(V196:V198)</f>
        <v>0</v>
      </c>
      <c r="W199" s="353" t="n">
        <f aca="false">SUM(W196:W198)</f>
        <v>0</v>
      </c>
      <c r="X199" s="353" t="n">
        <f aca="false">SUM(X196:X198)</f>
        <v>0</v>
      </c>
      <c r="Y199" s="353" t="n">
        <f aca="false">SUM(Y196:Y198)</f>
        <v>0</v>
      </c>
      <c r="Z199" s="353" t="n">
        <f aca="false">SUM(Z196:Z198)</f>
        <v>0</v>
      </c>
      <c r="AA199" s="353" t="n">
        <f aca="false">SUM(AA196:AA198)</f>
        <v>0</v>
      </c>
      <c r="AB199" s="353" t="n">
        <f aca="false">SUM(AB196:AB198)</f>
        <v>0</v>
      </c>
      <c r="AC199" s="353" t="n">
        <f aca="false">SUM(AC196:AC198)</f>
        <v>0</v>
      </c>
      <c r="AD199" s="353" t="n">
        <f aca="false">SUM(AD196:AD198)</f>
        <v>0</v>
      </c>
      <c r="AF199" s="45"/>
      <c r="AG199" s="353" t="n">
        <f aca="false">SUM(AG196:AG198)</f>
        <v>0</v>
      </c>
      <c r="AH199" s="353" t="n">
        <f aca="false">SUM(AH196:AH198)</f>
        <v>0</v>
      </c>
      <c r="AI199" s="353" t="n">
        <f aca="false">SUM(AI196:AI198)</f>
        <v>0</v>
      </c>
      <c r="AJ199" s="353" t="n">
        <f aca="false">SUM(AJ196:AJ198)</f>
        <v>0</v>
      </c>
      <c r="AK199" s="353" t="n">
        <f aca="false">SUM(AK196:AK198)</f>
        <v>0</v>
      </c>
      <c r="AL199" s="353" t="n">
        <f aca="false">SUM(AL196:AL198)</f>
        <v>0</v>
      </c>
      <c r="AM199" s="353" t="n">
        <f aca="false">SUM(AM196:AM198)</f>
        <v>0</v>
      </c>
      <c r="AN199" s="353" t="n">
        <f aca="false">SUM(AN196:AN198)</f>
        <v>0</v>
      </c>
      <c r="AO199" s="353" t="n">
        <f aca="false">SUM(AO196:AO198)</f>
        <v>0</v>
      </c>
      <c r="AP199" s="353" t="n">
        <f aca="false">SUM(AP196:AP198)</f>
        <v>0</v>
      </c>
      <c r="AQ199" s="353" t="n">
        <f aca="false">SUM(AQ196:AQ198)</f>
        <v>0</v>
      </c>
      <c r="AR199" s="353" t="n">
        <f aca="false">SUM(AR196:AR198)</f>
        <v>0</v>
      </c>
      <c r="AS199" s="353" t="n">
        <f aca="false">SUM(AS196:AS198)</f>
        <v>0</v>
      </c>
    </row>
    <row r="200" customFormat="false" ht="13.8" hidden="true" customHeight="false" outlineLevel="0" collapsed="false">
      <c r="A200" s="137"/>
      <c r="B200" s="45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45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F200" s="45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</row>
    <row r="201" customFormat="false" ht="13.2" hidden="true" customHeight="false" outlineLevel="0" collapsed="false">
      <c r="A201" s="141" t="s">
        <v>1067</v>
      </c>
      <c r="B201" s="144" t="s">
        <v>1068</v>
      </c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44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F201" s="144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</row>
    <row r="202" customFormat="false" ht="13.2" hidden="true" customHeight="false" outlineLevel="0" collapsed="false">
      <c r="A202" s="137" t="s">
        <v>1069</v>
      </c>
      <c r="B202" s="45" t="s">
        <v>1070</v>
      </c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 t="n">
        <f aca="false">SUM(C202:N202)</f>
        <v>0</v>
      </c>
      <c r="P202" s="139"/>
      <c r="Q202" s="45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 t="n">
        <f aca="false">SUM(R202:AC202)</f>
        <v>0</v>
      </c>
      <c r="AF202" s="45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 t="n">
        <f aca="false">SUM(AG202:AR202)</f>
        <v>0</v>
      </c>
    </row>
    <row r="203" customFormat="false" ht="13.2" hidden="true" customHeight="false" outlineLevel="0" collapsed="false">
      <c r="A203" s="137" t="s">
        <v>1071</v>
      </c>
      <c r="B203" s="45" t="s">
        <v>1072</v>
      </c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 t="n">
        <f aca="false">SUM(C203:N203)</f>
        <v>0</v>
      </c>
      <c r="P203" s="139"/>
      <c r="Q203" s="45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 t="n">
        <f aca="false">SUM(R203:AC203)</f>
        <v>0</v>
      </c>
      <c r="AF203" s="45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 t="n">
        <f aca="false">SUM(AG203:AR203)</f>
        <v>0</v>
      </c>
    </row>
    <row r="204" customFormat="false" ht="13.8" hidden="true" customHeight="false" outlineLevel="0" collapsed="false">
      <c r="C204" s="353" t="n">
        <f aca="false">SUM(C202:C203)</f>
        <v>0</v>
      </c>
      <c r="D204" s="353" t="n">
        <f aca="false">SUM(D202:D203)</f>
        <v>0</v>
      </c>
      <c r="E204" s="353" t="n">
        <f aca="false">SUM(E202:E203)</f>
        <v>0</v>
      </c>
      <c r="F204" s="353" t="n">
        <f aca="false">SUM(F202:F203)</f>
        <v>0</v>
      </c>
      <c r="G204" s="353" t="n">
        <f aca="false">SUM(G202:G203)</f>
        <v>0</v>
      </c>
      <c r="H204" s="353" t="n">
        <f aca="false">SUM(H202:H203)</f>
        <v>0</v>
      </c>
      <c r="I204" s="353" t="n">
        <f aca="false">SUM(I202:I203)</f>
        <v>0</v>
      </c>
      <c r="J204" s="353" t="n">
        <f aca="false">SUM(J202:J203)</f>
        <v>0</v>
      </c>
      <c r="K204" s="353" t="n">
        <f aca="false">SUM(K202:K203)</f>
        <v>0</v>
      </c>
      <c r="L204" s="353" t="n">
        <f aca="false">SUM(L202:L203)</f>
        <v>0</v>
      </c>
      <c r="M204" s="353" t="n">
        <f aca="false">SUM(M202:M203)</f>
        <v>0</v>
      </c>
      <c r="N204" s="353" t="n">
        <f aca="false">SUM(N202:N203)</f>
        <v>0</v>
      </c>
      <c r="O204" s="353" t="n">
        <f aca="false">SUM(O202:O203)</f>
        <v>0</v>
      </c>
      <c r="P204" s="139"/>
      <c r="R204" s="353" t="n">
        <f aca="false">SUM(R202:R203)</f>
        <v>0</v>
      </c>
      <c r="S204" s="353" t="n">
        <f aca="false">SUM(S202:S203)</f>
        <v>0</v>
      </c>
      <c r="T204" s="353" t="n">
        <f aca="false">SUM(T202:T203)</f>
        <v>0</v>
      </c>
      <c r="U204" s="353" t="n">
        <f aca="false">SUM(U202:U203)</f>
        <v>0</v>
      </c>
      <c r="V204" s="353" t="n">
        <f aca="false">SUM(V202:V203)</f>
        <v>0</v>
      </c>
      <c r="W204" s="353" t="n">
        <f aca="false">SUM(W202:W203)</f>
        <v>0</v>
      </c>
      <c r="X204" s="353" t="n">
        <f aca="false">SUM(X202:X203)</f>
        <v>0</v>
      </c>
      <c r="Y204" s="353" t="n">
        <f aca="false">SUM(Y202:Y203)</f>
        <v>0</v>
      </c>
      <c r="Z204" s="353" t="n">
        <f aca="false">SUM(Z202:Z203)</f>
        <v>0</v>
      </c>
      <c r="AA204" s="353" t="n">
        <f aca="false">SUM(AA202:AA203)</f>
        <v>0</v>
      </c>
      <c r="AB204" s="353" t="n">
        <f aca="false">SUM(AB202:AB203)</f>
        <v>0</v>
      </c>
      <c r="AC204" s="353" t="n">
        <f aca="false">SUM(AC202:AC203)</f>
        <v>0</v>
      </c>
      <c r="AD204" s="353" t="n">
        <f aca="false">SUM(AD202:AD203)</f>
        <v>0</v>
      </c>
      <c r="AG204" s="353" t="n">
        <f aca="false">SUM(AG202:AG203)</f>
        <v>0</v>
      </c>
      <c r="AH204" s="353" t="n">
        <f aca="false">SUM(AH202:AH203)</f>
        <v>0</v>
      </c>
      <c r="AI204" s="353" t="n">
        <f aca="false">SUM(AI202:AI203)</f>
        <v>0</v>
      </c>
      <c r="AJ204" s="353" t="n">
        <f aca="false">SUM(AJ202:AJ203)</f>
        <v>0</v>
      </c>
      <c r="AK204" s="353" t="n">
        <f aca="false">SUM(AK202:AK203)</f>
        <v>0</v>
      </c>
      <c r="AL204" s="353" t="n">
        <f aca="false">SUM(AL202:AL203)</f>
        <v>0</v>
      </c>
      <c r="AM204" s="353" t="n">
        <f aca="false">SUM(AM202:AM203)</f>
        <v>0</v>
      </c>
      <c r="AN204" s="353" t="n">
        <f aca="false">SUM(AN202:AN203)</f>
        <v>0</v>
      </c>
      <c r="AO204" s="353" t="n">
        <f aca="false">SUM(AO202:AO203)</f>
        <v>0</v>
      </c>
      <c r="AP204" s="353" t="n">
        <f aca="false">SUM(AP202:AP203)</f>
        <v>0</v>
      </c>
      <c r="AQ204" s="353" t="n">
        <f aca="false">SUM(AQ202:AQ203)</f>
        <v>0</v>
      </c>
      <c r="AR204" s="353" t="n">
        <f aca="false">SUM(AR202:AR203)</f>
        <v>0</v>
      </c>
      <c r="AS204" s="353" t="n">
        <f aca="false">SUM(AS202:AS203)</f>
        <v>0</v>
      </c>
    </row>
    <row r="205" customFormat="false" ht="13.8" hidden="true" customHeight="false" outlineLevel="0" collapsed="false"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</row>
    <row r="206" customFormat="false" ht="13.8" hidden="false" customHeight="false" outlineLevel="0" collapsed="false">
      <c r="B206" s="188" t="str">
        <f aca="false">'P&amp;L$'!B198</f>
        <v>TOTAL FINANCIAL&amp;OPERATIONAL</v>
      </c>
      <c r="C206" s="189" t="n">
        <f aca="false">C176+C184+C193+C199+C204</f>
        <v>3088939.02740676</v>
      </c>
      <c r="D206" s="189" t="n">
        <f aca="false">D176+D184+D193+D199+D204</f>
        <v>3028748.12707838</v>
      </c>
      <c r="E206" s="189" t="n">
        <f aca="false">E176+E184+E193+E199+E204</f>
        <v>3099228.81683277</v>
      </c>
      <c r="F206" s="189" t="n">
        <f aca="false">F176+F184+F193+F199+F204</f>
        <v>3044384.55544671</v>
      </c>
      <c r="G206" s="189" t="n">
        <f aca="false">G176+G184+G193+G199+G204</f>
        <v>3072288.30879372</v>
      </c>
      <c r="H206" s="189" t="n">
        <f aca="false">H176+H184+H193+H199+H204</f>
        <v>3021095.85783948</v>
      </c>
      <c r="I206" s="189" t="n">
        <f aca="false">I176+I184+I193+I199+I204</f>
        <v>3059381.05228336</v>
      </c>
      <c r="J206" s="189" t="n">
        <f aca="false">J176+J184+J193+J199+J204</f>
        <v>3066593.89509611</v>
      </c>
      <c r="K206" s="189" t="n">
        <f aca="false">K176+K184+K193+K199+K204</f>
        <v>3047898.97476638</v>
      </c>
      <c r="L206" s="189" t="n">
        <f aca="false">L176+L184+L193+L199+L204</f>
        <v>3737681.27738251</v>
      </c>
      <c r="M206" s="189" t="n">
        <f aca="false">M176+M184+M193+M199+M204</f>
        <v>3719658.95231806</v>
      </c>
      <c r="N206" s="189" t="n">
        <f aca="false">N176+N184+N193+N199+N204</f>
        <v>3708200.11540536</v>
      </c>
      <c r="O206" s="189" t="n">
        <f aca="false">O176+O184+O193+O199+O204</f>
        <v>38694098.9606496</v>
      </c>
      <c r="P206" s="139"/>
      <c r="Q206" s="181"/>
      <c r="R206" s="139" t="n">
        <f aca="false">R176+R184+R193+R199+R204</f>
        <v>5026480.88842508</v>
      </c>
      <c r="S206" s="139" t="n">
        <f aca="false">S176+S184+S193+S199+S204</f>
        <v>5012334.03855192</v>
      </c>
      <c r="T206" s="139" t="n">
        <f aca="false">T176+T184+T193+T199+T204</f>
        <v>5100117.31466736</v>
      </c>
      <c r="U206" s="139" t="n">
        <f aca="false">U176+U184+U193+U199+U204</f>
        <v>5004934.89505626</v>
      </c>
      <c r="V206" s="139" t="n">
        <f aca="false">V176+V184+V193+V199+V204</f>
        <v>5049630.02360259</v>
      </c>
      <c r="W206" s="139" t="n">
        <f aca="false">W176+W184+W193+W199+W204</f>
        <v>4960526.75013724</v>
      </c>
      <c r="X206" s="139" t="n">
        <f aca="false">X176+X184+X193+X199+X204</f>
        <v>5005835.08996229</v>
      </c>
      <c r="Y206" s="139" t="n">
        <f aca="false">Y176+Y184+Y193+Y199+Y204</f>
        <v>5027529.39519979</v>
      </c>
      <c r="Z206" s="139" t="n">
        <f aca="false">Z176+Z184+Z193+Z199+Z204</f>
        <v>5027183.3646567</v>
      </c>
      <c r="AA206" s="139" t="n">
        <f aca="false">AA176+AA184+AA193+AA199+AA204</f>
        <v>4975452.6797241</v>
      </c>
      <c r="AB206" s="139" t="n">
        <f aca="false">AB176+AB184+AB193+AB199+AB204</f>
        <v>4973635.00214028</v>
      </c>
      <c r="AC206" s="139" t="n">
        <f aca="false">AC176+AC184+AC193+AC199+AC204</f>
        <v>4924207.08525631</v>
      </c>
      <c r="AD206" s="139" t="n">
        <f aca="false">AD176+AD184+AD193+AD199+AD204</f>
        <v>60087866.5273799</v>
      </c>
      <c r="AF206" s="181"/>
      <c r="AG206" s="139" t="n">
        <f aca="false">AG176+AG184+AG193+AG199+AG204</f>
        <v>5075910.15099861</v>
      </c>
      <c r="AH206" s="139" t="n">
        <f aca="false">AH176+AH184+AH193+AH199+AH204</f>
        <v>4869270.32423066</v>
      </c>
      <c r="AI206" s="139" t="n">
        <f aca="false">AI176+AI184+AI193+AI199+AI204</f>
        <v>5044402.12600819</v>
      </c>
      <c r="AJ206" s="139" t="n">
        <f aca="false">AJ176+AJ184+AJ193+AJ199+AJ204</f>
        <v>4973758.28858523</v>
      </c>
      <c r="AK206" s="139" t="n">
        <f aca="false">AK176+AK184+AK193+AK199+AK204</f>
        <v>4990516.06235482</v>
      </c>
      <c r="AL206" s="139" t="n">
        <f aca="false">AL176+AL184+AL193+AL199+AL204</f>
        <v>4805885.76129633</v>
      </c>
      <c r="AM206" s="139" t="n">
        <f aca="false">AM176+AM184+AM193+AM199+AM204</f>
        <v>4878340.55839768</v>
      </c>
      <c r="AN206" s="139" t="n">
        <f aca="false">AN176+AN184+AN193+AN199+AN204</f>
        <v>4871775.75083028</v>
      </c>
      <c r="AO206" s="139" t="n">
        <f aca="false">AO176+AO184+AO193+AO199+AO204</f>
        <v>4955419.91705389</v>
      </c>
      <c r="AP206" s="139" t="n">
        <f aca="false">AP176+AP184+AP193+AP199+AP204</f>
        <v>4927627.42779648</v>
      </c>
      <c r="AQ206" s="139" t="n">
        <f aca="false">AQ176+AQ184+AQ193+AQ199+AQ204</f>
        <v>4898136.78631587</v>
      </c>
      <c r="AR206" s="139" t="n">
        <f aca="false">AR176+AR184+AR193+AR199+AR204</f>
        <v>4751593.29710763</v>
      </c>
      <c r="AS206" s="139" t="n">
        <f aca="false">AS176+AS184+AS193+AS199+AS204</f>
        <v>59042636.4509757</v>
      </c>
    </row>
    <row r="207" customFormat="false" ht="13.8" hidden="false" customHeight="false" outlineLevel="0" collapsed="false"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</row>
    <row r="208" customFormat="false" ht="39.6" hidden="false" customHeight="true" outlineLevel="0" collapsed="false"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</row>
    <row r="209" customFormat="false" ht="16.2" hidden="false" customHeight="false" outlineLevel="0" collapsed="false">
      <c r="A209" s="7"/>
      <c r="B209" s="368" t="str">
        <f aca="false">'P&amp;L$'!B201</f>
        <v>NET PROFIT</v>
      </c>
      <c r="C209" s="369" t="n">
        <f aca="false">C160-C206</f>
        <v>-3018388.84924237</v>
      </c>
      <c r="D209" s="369" t="n">
        <f aca="false">D160-D206</f>
        <v>-2491508.79319619</v>
      </c>
      <c r="E209" s="369" t="n">
        <f aca="false">E160-E206</f>
        <v>-2926413.04542401</v>
      </c>
      <c r="F209" s="369" t="n">
        <f aca="false">F160-F206</f>
        <v>-2876431.01522645</v>
      </c>
      <c r="G209" s="369" t="n">
        <f aca="false">G160-G206</f>
        <v>-3699211.67789717</v>
      </c>
      <c r="H209" s="369" t="n">
        <f aca="false">H160-H206</f>
        <v>-3448908.51384733</v>
      </c>
      <c r="I209" s="369" t="n">
        <f aca="false">I160-I206</f>
        <v>-1003318.02455668</v>
      </c>
      <c r="J209" s="369" t="n">
        <f aca="false">J160-J206</f>
        <v>-998920.526583344</v>
      </c>
      <c r="K209" s="369" t="n">
        <f aca="false">K160-K206</f>
        <v>-903551.151220636</v>
      </c>
      <c r="L209" s="369" t="n">
        <f aca="false">L160-L206</f>
        <v>-1321124.82931266</v>
      </c>
      <c r="M209" s="369" t="n">
        <f aca="false">M160-M206</f>
        <v>-1003929.17095013</v>
      </c>
      <c r="N209" s="369" t="n">
        <f aca="false">N160-N206</f>
        <v>-859053.251685164</v>
      </c>
      <c r="O209" s="369" t="n">
        <f aca="false">O160-O206</f>
        <v>-24550758.8491421</v>
      </c>
      <c r="P209" s="7"/>
      <c r="Q209" s="7"/>
      <c r="R209" s="176" t="n">
        <f aca="false">R160-R206</f>
        <v>-1798919.0648792</v>
      </c>
      <c r="S209" s="176" t="n">
        <f aca="false">S160-S206</f>
        <v>-1743415.07176443</v>
      </c>
      <c r="T209" s="176" t="n">
        <f aca="false">T160-T206</f>
        <v>-2203001.46300233</v>
      </c>
      <c r="U209" s="176" t="n">
        <f aca="false">U160-U206</f>
        <v>-2524222.64183226</v>
      </c>
      <c r="V209" s="176" t="n">
        <f aca="false">V160-V206</f>
        <v>-3067568.68654142</v>
      </c>
      <c r="W209" s="176" t="n">
        <f aca="false">W160-W206</f>
        <v>-5103795.69151387</v>
      </c>
      <c r="X209" s="176" t="n">
        <f aca="false">X160-X206</f>
        <v>-307920.761817218</v>
      </c>
      <c r="Y209" s="176" t="n">
        <f aca="false">Y160-Y206</f>
        <v>-522663.026125269</v>
      </c>
      <c r="Z209" s="176" t="n">
        <f aca="false">Z160-Z206</f>
        <v>-1615283.82886921</v>
      </c>
      <c r="AA209" s="176" t="n">
        <f aca="false">AA160-AA206</f>
        <v>383112.601065416</v>
      </c>
      <c r="AB209" s="176" t="n">
        <f aca="false">AB160-AB206</f>
        <v>376088.157877177</v>
      </c>
      <c r="AC209" s="176" t="n">
        <f aca="false">AC160-AC206</f>
        <v>830762.994024595</v>
      </c>
      <c r="AD209" s="176" t="n">
        <f aca="false">AD160-AD206</f>
        <v>-17296826.483378</v>
      </c>
      <c r="AE209" s="7"/>
      <c r="AF209" s="7"/>
      <c r="AG209" s="176" t="n">
        <f aca="false">AG160-AG206</f>
        <v>-1727842.37137185</v>
      </c>
      <c r="AH209" s="176" t="n">
        <f aca="false">AH160-AH206</f>
        <v>-1121215.13912946</v>
      </c>
      <c r="AI209" s="176" t="n">
        <f aca="false">AI160-AI206</f>
        <v>-1526551.4280643</v>
      </c>
      <c r="AJ209" s="176" t="n">
        <f aca="false">AJ160-AJ206</f>
        <v>-1985837.87617671</v>
      </c>
      <c r="AK209" s="176" t="n">
        <f aca="false">AK160-AK206</f>
        <v>-3259500.5190344</v>
      </c>
      <c r="AL209" s="176" t="n">
        <f aca="false">AL160-AL206</f>
        <v>-2647355.74471456</v>
      </c>
      <c r="AM209" s="176" t="n">
        <f aca="false">AM160-AM206</f>
        <v>281916.314267114</v>
      </c>
      <c r="AN209" s="176" t="n">
        <f aca="false">AN160-AN206</f>
        <v>602991.650187187</v>
      </c>
      <c r="AO209" s="176" t="n">
        <f aca="false">AO160-AO206</f>
        <v>754280.133899083</v>
      </c>
      <c r="AP209" s="176" t="n">
        <f aca="false">AP160-AP206</f>
        <v>364544.116950168</v>
      </c>
      <c r="AQ209" s="176" t="n">
        <f aca="false">AQ160-AQ206</f>
        <v>280529.343295087</v>
      </c>
      <c r="AR209" s="176" t="n">
        <f aca="false">AR160-AR206</f>
        <v>2010713.80861366</v>
      </c>
      <c r="AS209" s="176" t="n">
        <f aca="false">AS160-AS206</f>
        <v>-7973327.71127898</v>
      </c>
    </row>
    <row r="210" customFormat="false" ht="13.8" hidden="false" customHeight="false" outlineLevel="0" collapsed="false"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</row>
    <row r="211" customFormat="false" ht="13.2" hidden="false" customHeight="false" outlineLevel="0" collapsed="false"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</row>
    <row r="212" customFormat="false" ht="13.2" hidden="false" customHeight="false" outlineLevel="0" collapsed="false"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</row>
    <row r="213" customFormat="false" ht="13.2" hidden="false" customHeight="false" outlineLevel="0" collapsed="false"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</row>
    <row r="214" customFormat="false" ht="13.2" hidden="false" customHeight="false" outlineLevel="0" collapsed="false"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</row>
    <row r="215" customFormat="false" ht="13.2" hidden="false" customHeight="false" outlineLevel="0" collapsed="false"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</row>
    <row r="216" customFormat="false" ht="13.2" hidden="false" customHeight="false" outlineLevel="0" collapsed="false"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</row>
    <row r="217" customFormat="false" ht="13.2" hidden="false" customHeight="false" outlineLevel="0" collapsed="false"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</row>
    <row r="218" customFormat="false" ht="13.2" hidden="false" customHeight="false" outlineLevel="0" collapsed="false"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</row>
    <row r="219" customFormat="false" ht="13.2" hidden="false" customHeight="false" outlineLevel="0" collapsed="false"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</row>
    <row r="220" customFormat="false" ht="13.2" hidden="false" customHeight="false" outlineLevel="0" collapsed="false"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</row>
    <row r="221" customFormat="false" ht="13.2" hidden="false" customHeight="false" outlineLevel="0" collapsed="false"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</row>
    <row r="222" customFormat="false" ht="13.2" hidden="false" customHeight="false" outlineLevel="0" collapsed="false"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</row>
    <row r="223" customFormat="false" ht="13.2" hidden="false" customHeight="false" outlineLevel="0" collapsed="false"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</row>
    <row r="224" customFormat="false" ht="13.2" hidden="false" customHeight="false" outlineLevel="0" collapsed="false"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</row>
    <row r="225" customFormat="false" ht="13.2" hidden="false" customHeight="false" outlineLevel="0" collapsed="false"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</row>
    <row r="226" customFormat="false" ht="13.2" hidden="false" customHeight="false" outlineLevel="0" collapsed="false"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</row>
    <row r="227" customFormat="false" ht="13.2" hidden="false" customHeight="false" outlineLevel="0" collapsed="false"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</row>
    <row r="228" customFormat="false" ht="13.2" hidden="false" customHeight="false" outlineLevel="0" collapsed="false"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</row>
    <row r="229" customFormat="false" ht="13.2" hidden="false" customHeight="false" outlineLevel="0" collapsed="false"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</row>
    <row r="230" customFormat="false" ht="13.2" hidden="false" customHeight="false" outlineLevel="0" collapsed="false"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</row>
    <row r="231" customFormat="false" ht="13.2" hidden="false" customHeight="false" outlineLevel="0" collapsed="false"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</row>
    <row r="232" customFormat="false" ht="13.2" hidden="false" customHeight="false" outlineLevel="0" collapsed="false"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</row>
    <row r="233" customFormat="false" ht="13.2" hidden="false" customHeight="false" outlineLevel="0" collapsed="false"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</row>
    <row r="234" customFormat="false" ht="13.2" hidden="false" customHeight="false" outlineLevel="0" collapsed="false"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</row>
    <row r="235" customFormat="false" ht="13.2" hidden="false" customHeight="false" outlineLevel="0" collapsed="false"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</row>
    <row r="236" customFormat="false" ht="13.2" hidden="false" customHeight="false" outlineLevel="0" collapsed="false"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</row>
    <row r="237" customFormat="false" ht="13.2" hidden="false" customHeight="false" outlineLevel="0" collapsed="false"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</row>
    <row r="238" customFormat="false" ht="13.2" hidden="false" customHeight="false" outlineLevel="0" collapsed="false"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</row>
    <row r="239" customFormat="false" ht="13.2" hidden="false" customHeight="false" outlineLevel="0" collapsed="false"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</row>
    <row r="240" customFormat="false" ht="13.2" hidden="false" customHeight="false" outlineLevel="0" collapsed="false"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</row>
    <row r="241" customFormat="false" ht="13.2" hidden="false" customHeight="false" outlineLevel="0" collapsed="false"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</row>
    <row r="242" customFormat="false" ht="13.2" hidden="false" customHeight="false" outlineLevel="0" collapsed="false"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</row>
    <row r="243" customFormat="false" ht="13.2" hidden="false" customHeight="false" outlineLevel="0" collapsed="false"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</row>
    <row r="244" customFormat="false" ht="13.2" hidden="false" customHeight="false" outlineLevel="0" collapsed="false"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</row>
    <row r="245" customFormat="false" ht="13.2" hidden="false" customHeight="false" outlineLevel="0" collapsed="false"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</row>
    <row r="246" customFormat="false" ht="13.2" hidden="false" customHeight="false" outlineLevel="0" collapsed="false"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</row>
    <row r="247" customFormat="false" ht="13.2" hidden="false" customHeight="false" outlineLevel="0" collapsed="false"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</row>
    <row r="248" customFormat="false" ht="13.2" hidden="false" customHeight="false" outlineLevel="0" collapsed="false"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</row>
    <row r="249" customFormat="false" ht="13.2" hidden="false" customHeight="false" outlineLevel="0" collapsed="false"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</row>
    <row r="250" customFormat="false" ht="13.2" hidden="false" customHeight="false" outlineLevel="0" collapsed="false"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</row>
    <row r="251" customFormat="false" ht="13.2" hidden="false" customHeight="false" outlineLevel="0" collapsed="false"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</row>
    <row r="252" customFormat="false" ht="13.2" hidden="false" customHeight="false" outlineLevel="0" collapsed="false"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</row>
    <row r="253" customFormat="false" ht="13.2" hidden="false" customHeight="false" outlineLevel="0" collapsed="false"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</row>
    <row r="254" customFormat="false" ht="13.2" hidden="false" customHeight="false" outlineLevel="0" collapsed="false"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</row>
    <row r="255" customFormat="false" ht="13.2" hidden="false" customHeight="false" outlineLevel="0" collapsed="false"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</row>
    <row r="256" customFormat="false" ht="13.2" hidden="false" customHeight="false" outlineLevel="0" collapsed="false"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</row>
    <row r="257" customFormat="false" ht="13.2" hidden="false" customHeight="false" outlineLevel="0" collapsed="false"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</row>
    <row r="258" customFormat="false" ht="13.2" hidden="false" customHeight="false" outlineLevel="0" collapsed="false"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</row>
    <row r="259" customFormat="false" ht="13.2" hidden="false" customHeight="false" outlineLevel="0" collapsed="false"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</row>
    <row r="260" customFormat="false" ht="13.2" hidden="false" customHeight="false" outlineLevel="0" collapsed="false"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</row>
    <row r="261" customFormat="false" ht="13.2" hidden="false" customHeight="false" outlineLevel="0" collapsed="false"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</row>
    <row r="262" customFormat="false" ht="13.2" hidden="false" customHeight="false" outlineLevel="0" collapsed="false"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</row>
    <row r="263" customFormat="false" ht="13.2" hidden="false" customHeight="false" outlineLevel="0" collapsed="false"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</row>
    <row r="264" customFormat="false" ht="13.2" hidden="false" customHeight="false" outlineLevel="0" collapsed="false"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</row>
    <row r="265" customFormat="false" ht="13.2" hidden="false" customHeight="false" outlineLevel="0" collapsed="false"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</row>
    <row r="266" customFormat="false" ht="13.2" hidden="false" customHeight="false" outlineLevel="0" collapsed="false"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</row>
    <row r="267" customFormat="false" ht="13.2" hidden="false" customHeight="false" outlineLevel="0" collapsed="false"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</row>
    <row r="268" customFormat="false" ht="13.2" hidden="false" customHeight="false" outlineLevel="0" collapsed="false"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</row>
    <row r="269" customFormat="false" ht="13.2" hidden="false" customHeight="false" outlineLevel="0" collapsed="false"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</row>
    <row r="270" customFormat="false" ht="13.2" hidden="false" customHeight="false" outlineLevel="0" collapsed="false"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</row>
    <row r="271" customFormat="false" ht="13.2" hidden="false" customHeight="false" outlineLevel="0" collapsed="false"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</row>
    <row r="272" customFormat="false" ht="13.2" hidden="false" customHeight="false" outlineLevel="0" collapsed="false"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</row>
    <row r="273" customFormat="false" ht="13.2" hidden="false" customHeight="false" outlineLevel="0" collapsed="false"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</row>
    <row r="274" customFormat="false" ht="13.2" hidden="false" customHeight="false" outlineLevel="0" collapsed="false"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</row>
    <row r="275" customFormat="false" ht="13.2" hidden="false" customHeight="false" outlineLevel="0" collapsed="false"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</row>
    <row r="276" customFormat="false" ht="13.2" hidden="false" customHeight="false" outlineLevel="0" collapsed="false"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</row>
    <row r="277" customFormat="false" ht="13.2" hidden="false" customHeight="false" outlineLevel="0" collapsed="false"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</row>
    <row r="278" customFormat="false" ht="13.2" hidden="false" customHeight="false" outlineLevel="0" collapsed="false"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</row>
    <row r="279" customFormat="false" ht="13.2" hidden="false" customHeight="false" outlineLevel="0" collapsed="false"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</row>
    <row r="280" customFormat="false" ht="13.2" hidden="false" customHeight="false" outlineLevel="0" collapsed="false"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</row>
    <row r="281" customFormat="false" ht="13.2" hidden="false" customHeight="false" outlineLevel="0" collapsed="false"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</row>
    <row r="282" customFormat="false" ht="13.2" hidden="false" customHeight="false" outlineLevel="0" collapsed="false"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</row>
    <row r="283" customFormat="false" ht="13.2" hidden="false" customHeight="false" outlineLevel="0" collapsed="false"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</row>
    <row r="284" customFormat="false" ht="13.2" hidden="false" customHeight="false" outlineLevel="0" collapsed="false"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</row>
    <row r="285" customFormat="false" ht="13.2" hidden="false" customHeight="false" outlineLevel="0" collapsed="false"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</row>
    <row r="286" customFormat="false" ht="13.2" hidden="false" customHeight="false" outlineLevel="0" collapsed="false">
      <c r="C286" s="139"/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</row>
    <row r="287" customFormat="false" ht="13.2" hidden="false" customHeight="false" outlineLevel="0" collapsed="false"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</row>
    <row r="288" customFormat="false" ht="13.2" hidden="false" customHeight="false" outlineLevel="0" collapsed="false"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</row>
    <row r="289" customFormat="false" ht="13.2" hidden="false" customHeight="false" outlineLevel="0" collapsed="false"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</row>
    <row r="290" customFormat="false" ht="13.2" hidden="false" customHeight="false" outlineLevel="0" collapsed="false"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</row>
    <row r="291" customFormat="false" ht="13.2" hidden="false" customHeight="false" outlineLevel="0" collapsed="false"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</row>
    <row r="292" customFormat="false" ht="13.2" hidden="false" customHeight="false" outlineLevel="0" collapsed="false">
      <c r="C292" s="139"/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</row>
    <row r="293" customFormat="false" ht="13.2" hidden="false" customHeight="false" outlineLevel="0" collapsed="false"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</row>
    <row r="294" customFormat="false" ht="13.2" hidden="false" customHeight="false" outlineLevel="0" collapsed="false">
      <c r="C294" s="139"/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</row>
    <row r="295" customFormat="false" ht="13.2" hidden="false" customHeight="false" outlineLevel="0" collapsed="false"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</row>
    <row r="296" customFormat="false" ht="13.2" hidden="false" customHeight="false" outlineLevel="0" collapsed="false"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</row>
    <row r="297" customFormat="false" ht="13.2" hidden="false" customHeight="false" outlineLevel="0" collapsed="false"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</row>
    <row r="298" customFormat="false" ht="13.2" hidden="false" customHeight="false" outlineLevel="0" collapsed="false"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</row>
    <row r="299" customFormat="false" ht="13.2" hidden="false" customHeight="false" outlineLevel="0" collapsed="false">
      <c r="C299" s="139"/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</row>
    <row r="300" customFormat="false" ht="13.2" hidden="false" customHeight="false" outlineLevel="0" collapsed="false"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</row>
    <row r="301" customFormat="false" ht="13.2" hidden="false" customHeight="false" outlineLevel="0" collapsed="false"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</row>
    <row r="302" customFormat="false" ht="13.2" hidden="false" customHeight="false" outlineLevel="0" collapsed="false"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</row>
    <row r="303" customFormat="false" ht="13.2" hidden="false" customHeight="false" outlineLevel="0" collapsed="false"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</row>
    <row r="304" customFormat="false" ht="13.2" hidden="false" customHeight="false" outlineLevel="0" collapsed="false"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</row>
    <row r="305" customFormat="false" ht="13.2" hidden="false" customHeight="false" outlineLevel="0" collapsed="false"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</row>
    <row r="306" customFormat="false" ht="13.2" hidden="false" customHeight="false" outlineLevel="0" collapsed="false"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</row>
    <row r="307" customFormat="false" ht="13.2" hidden="false" customHeight="false" outlineLevel="0" collapsed="false"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</row>
    <row r="308" customFormat="false" ht="13.2" hidden="false" customHeight="false" outlineLevel="0" collapsed="false"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</row>
    <row r="309" customFormat="false" ht="13.2" hidden="false" customHeight="false" outlineLevel="0" collapsed="false"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</row>
    <row r="310" customFormat="false" ht="13.2" hidden="false" customHeight="false" outlineLevel="0" collapsed="false"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</row>
    <row r="311" customFormat="false" ht="13.2" hidden="false" customHeight="false" outlineLevel="0" collapsed="false"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</row>
    <row r="312" customFormat="false" ht="13.2" hidden="false" customHeight="false" outlineLevel="0" collapsed="false"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</row>
    <row r="313" customFormat="false" ht="13.2" hidden="false" customHeight="false" outlineLevel="0" collapsed="false"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</row>
    <row r="314" customFormat="false" ht="13.2" hidden="false" customHeight="false" outlineLevel="0" collapsed="false"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</row>
    <row r="315" customFormat="false" ht="13.2" hidden="false" customHeight="false" outlineLevel="0" collapsed="false"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</row>
    <row r="316" customFormat="false" ht="13.2" hidden="false" customHeight="false" outlineLevel="0" collapsed="false"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</row>
    <row r="317" customFormat="false" ht="13.2" hidden="false" customHeight="false" outlineLevel="0" collapsed="false"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</row>
    <row r="318" customFormat="false" ht="13.2" hidden="false" customHeight="false" outlineLevel="0" collapsed="false"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</row>
    <row r="319" customFormat="false" ht="13.2" hidden="false" customHeight="false" outlineLevel="0" collapsed="false"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</row>
    <row r="320" customFormat="false" ht="13.2" hidden="false" customHeight="false" outlineLevel="0" collapsed="false"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</row>
    <row r="321" customFormat="false" ht="13.2" hidden="false" customHeight="false" outlineLevel="0" collapsed="false"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</row>
    <row r="322" customFormat="false" ht="13.2" hidden="false" customHeight="false" outlineLevel="0" collapsed="false"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</row>
    <row r="323" customFormat="false" ht="13.2" hidden="false" customHeight="false" outlineLevel="0" collapsed="false"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</row>
    <row r="324" customFormat="false" ht="13.2" hidden="false" customHeight="false" outlineLevel="0" collapsed="false"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</row>
    <row r="325" customFormat="false" ht="13.2" hidden="false" customHeight="false" outlineLevel="0" collapsed="false"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</row>
    <row r="326" customFormat="false" ht="13.2" hidden="false" customHeight="false" outlineLevel="0" collapsed="false"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</row>
    <row r="327" customFormat="false" ht="13.2" hidden="false" customHeight="false" outlineLevel="0" collapsed="false"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</row>
    <row r="328" customFormat="false" ht="13.2" hidden="false" customHeight="false" outlineLevel="0" collapsed="false"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</row>
    <row r="329" customFormat="false" ht="13.2" hidden="false" customHeight="false" outlineLevel="0" collapsed="false"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</row>
    <row r="330" customFormat="false" ht="13.2" hidden="false" customHeight="false" outlineLevel="0" collapsed="false"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</row>
    <row r="331" customFormat="false" ht="13.2" hidden="false" customHeight="false" outlineLevel="0" collapsed="false"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</row>
    <row r="332" customFormat="false" ht="13.2" hidden="false" customHeight="false" outlineLevel="0" collapsed="false"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</row>
    <row r="333" customFormat="false" ht="13.2" hidden="false" customHeight="false" outlineLevel="0" collapsed="false"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</row>
    <row r="334" customFormat="false" ht="13.2" hidden="false" customHeight="false" outlineLevel="0" collapsed="false"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</row>
    <row r="335" customFormat="false" ht="13.2" hidden="false" customHeight="false" outlineLevel="0" collapsed="false"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</row>
    <row r="336" customFormat="false" ht="13.2" hidden="false" customHeight="false" outlineLevel="0" collapsed="false"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</row>
    <row r="337" customFormat="false" ht="13.2" hidden="false" customHeight="false" outlineLevel="0" collapsed="false"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</row>
    <row r="338" customFormat="false" ht="13.2" hidden="false" customHeight="false" outlineLevel="0" collapsed="false"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</row>
    <row r="339" customFormat="false" ht="13.2" hidden="false" customHeight="false" outlineLevel="0" collapsed="false"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</row>
    <row r="340" customFormat="false" ht="13.2" hidden="false" customHeight="false" outlineLevel="0" collapsed="false"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</row>
    <row r="341" customFormat="false" ht="13.2" hidden="false" customHeight="false" outlineLevel="0" collapsed="false"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</row>
    <row r="342" customFormat="false" ht="13.2" hidden="false" customHeight="false" outlineLevel="0" collapsed="false"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</row>
    <row r="343" customFormat="false" ht="13.2" hidden="false" customHeight="false" outlineLevel="0" collapsed="false"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</row>
    <row r="344" customFormat="false" ht="13.2" hidden="false" customHeight="false" outlineLevel="0" collapsed="false">
      <c r="C344" s="139"/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</row>
    <row r="345" customFormat="false" ht="13.2" hidden="false" customHeight="false" outlineLevel="0" collapsed="false">
      <c r="C345" s="139"/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</row>
    <row r="346" customFormat="false" ht="13.2" hidden="false" customHeight="false" outlineLevel="0" collapsed="false">
      <c r="C346" s="139"/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</row>
    <row r="347" customFormat="false" ht="13.2" hidden="false" customHeight="false" outlineLevel="0" collapsed="false">
      <c r="C347" s="139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</row>
    <row r="348" customFormat="false" ht="13.2" hidden="false" customHeight="false" outlineLevel="0" collapsed="false">
      <c r="C348" s="139"/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</row>
    <row r="349" customFormat="false" ht="13.2" hidden="false" customHeight="false" outlineLevel="0" collapsed="false"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</row>
    <row r="350" customFormat="false" ht="13.2" hidden="false" customHeight="false" outlineLevel="0" collapsed="false"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</row>
    <row r="351" customFormat="false" ht="13.2" hidden="false" customHeight="false" outlineLevel="0" collapsed="false"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</row>
    <row r="352" customFormat="false" ht="13.2" hidden="false" customHeight="false" outlineLevel="0" collapsed="false"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</row>
    <row r="353" customFormat="false" ht="13.2" hidden="false" customHeight="false" outlineLevel="0" collapsed="false">
      <c r="C353" s="139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</row>
    <row r="354" customFormat="false" ht="13.2" hidden="false" customHeight="false" outlineLevel="0" collapsed="false">
      <c r="C354" s="139"/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</row>
    <row r="355" customFormat="false" ht="13.2" hidden="false" customHeight="false" outlineLevel="0" collapsed="false">
      <c r="C355" s="139"/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</row>
    <row r="356" customFormat="false" ht="13.2" hidden="false" customHeight="false" outlineLevel="0" collapsed="false">
      <c r="C356" s="139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</row>
    <row r="357" customFormat="false" ht="13.2" hidden="false" customHeight="false" outlineLevel="0" collapsed="false">
      <c r="C357" s="13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</row>
    <row r="358" customFormat="false" ht="13.2" hidden="false" customHeight="false" outlineLevel="0" collapsed="false"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</row>
    <row r="359" customFormat="false" ht="13.2" hidden="false" customHeight="false" outlineLevel="0" collapsed="false"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</row>
    <row r="360" customFormat="false" ht="13.2" hidden="false" customHeight="false" outlineLevel="0" collapsed="false"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</row>
    <row r="361" customFormat="false" ht="13.2" hidden="false" customHeight="false" outlineLevel="0" collapsed="false"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</row>
    <row r="362" customFormat="false" ht="13.2" hidden="false" customHeight="false" outlineLevel="0" collapsed="false"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</row>
    <row r="363" customFormat="false" ht="13.2" hidden="false" customHeight="false" outlineLevel="0" collapsed="false"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</row>
    <row r="364" customFormat="false" ht="13.2" hidden="false" customHeight="false" outlineLevel="0" collapsed="false"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</row>
    <row r="365" customFormat="false" ht="13.2" hidden="false" customHeight="false" outlineLevel="0" collapsed="false"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</row>
    <row r="366" customFormat="false" ht="13.2" hidden="false" customHeight="false" outlineLevel="0" collapsed="false"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</row>
    <row r="367" customFormat="false" ht="13.2" hidden="false" customHeight="false" outlineLevel="0" collapsed="false"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</row>
    <row r="368" customFormat="false" ht="13.2" hidden="false" customHeight="false" outlineLevel="0" collapsed="false"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</row>
    <row r="369" customFormat="false" ht="13.2" hidden="false" customHeight="false" outlineLevel="0" collapsed="false"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</row>
    <row r="370" customFormat="false" ht="13.2" hidden="false" customHeight="false" outlineLevel="0" collapsed="false"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</row>
    <row r="371" customFormat="false" ht="13.2" hidden="false" customHeight="false" outlineLevel="0" collapsed="false"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</row>
    <row r="372" customFormat="false" ht="13.2" hidden="false" customHeight="false" outlineLevel="0" collapsed="false"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</row>
    <row r="373" customFormat="false" ht="13.2" hidden="false" customHeight="false" outlineLevel="0" collapsed="false"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</row>
    <row r="374" customFormat="false" ht="13.2" hidden="false" customHeight="false" outlineLevel="0" collapsed="false"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</row>
    <row r="375" customFormat="false" ht="13.2" hidden="false" customHeight="false" outlineLevel="0" collapsed="false"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</row>
    <row r="376" customFormat="false" ht="13.2" hidden="false" customHeight="false" outlineLevel="0" collapsed="false"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</row>
    <row r="377" customFormat="false" ht="13.2" hidden="false" customHeight="false" outlineLevel="0" collapsed="false"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</row>
    <row r="378" customFormat="false" ht="13.2" hidden="false" customHeight="false" outlineLevel="0" collapsed="false"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</row>
    <row r="379" customFormat="false" ht="13.2" hidden="false" customHeight="false" outlineLevel="0" collapsed="false"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</row>
    <row r="380" customFormat="false" ht="13.2" hidden="false" customHeight="false" outlineLevel="0" collapsed="false"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</row>
    <row r="381" customFormat="false" ht="13.2" hidden="false" customHeight="false" outlineLevel="0" collapsed="false"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</row>
    <row r="382" customFormat="false" ht="13.2" hidden="false" customHeight="false" outlineLevel="0" collapsed="false"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</row>
    <row r="383" customFormat="false" ht="13.2" hidden="false" customHeight="false" outlineLevel="0" collapsed="false"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</row>
    <row r="384" customFormat="false" ht="13.2" hidden="false" customHeight="false" outlineLevel="0" collapsed="false"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</row>
    <row r="385" customFormat="false" ht="13.2" hidden="false" customHeight="false" outlineLevel="0" collapsed="false"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</row>
    <row r="386" customFormat="false" ht="13.2" hidden="false" customHeight="false" outlineLevel="0" collapsed="false"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</row>
    <row r="387" customFormat="false" ht="13.2" hidden="false" customHeight="false" outlineLevel="0" collapsed="false"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</row>
    <row r="388" customFormat="false" ht="13.2" hidden="false" customHeight="false" outlineLevel="0" collapsed="false"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</row>
    <row r="389" customFormat="false" ht="13.2" hidden="false" customHeight="false" outlineLevel="0" collapsed="false"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</row>
    <row r="390" customFormat="false" ht="13.2" hidden="false" customHeight="false" outlineLevel="0" collapsed="false"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</row>
    <row r="391" customFormat="false" ht="13.2" hidden="false" customHeight="false" outlineLevel="0" collapsed="false"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</row>
    <row r="392" customFormat="false" ht="13.2" hidden="false" customHeight="false" outlineLevel="0" collapsed="false"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</row>
    <row r="393" customFormat="false" ht="13.2" hidden="false" customHeight="false" outlineLevel="0" collapsed="false"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</row>
    <row r="394" customFormat="false" ht="13.2" hidden="false" customHeight="false" outlineLevel="0" collapsed="false"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</row>
    <row r="395" customFormat="false" ht="13.2" hidden="false" customHeight="false" outlineLevel="0" collapsed="false"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</row>
    <row r="396" customFormat="false" ht="13.2" hidden="false" customHeight="false" outlineLevel="0" collapsed="false"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</row>
    <row r="397" customFormat="false" ht="13.2" hidden="false" customHeight="false" outlineLevel="0" collapsed="false"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</row>
    <row r="398" customFormat="false" ht="13.2" hidden="false" customHeight="false" outlineLevel="0" collapsed="false"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</row>
    <row r="399" customFormat="false" ht="13.2" hidden="false" customHeight="false" outlineLevel="0" collapsed="false"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</row>
    <row r="400" customFormat="false" ht="13.2" hidden="false" customHeight="false" outlineLevel="0" collapsed="false"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</row>
    <row r="401" customFormat="false" ht="13.2" hidden="false" customHeight="false" outlineLevel="0" collapsed="false"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</row>
    <row r="402" customFormat="false" ht="13.2" hidden="false" customHeight="false" outlineLevel="0" collapsed="false"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</row>
    <row r="403" customFormat="false" ht="13.2" hidden="false" customHeight="false" outlineLevel="0" collapsed="false"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</row>
    <row r="404" customFormat="false" ht="13.2" hidden="false" customHeight="false" outlineLevel="0" collapsed="false"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</row>
    <row r="405" customFormat="false" ht="13.2" hidden="false" customHeight="false" outlineLevel="0" collapsed="false"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</row>
    <row r="406" customFormat="false" ht="13.2" hidden="false" customHeight="false" outlineLevel="0" collapsed="false"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</row>
    <row r="407" customFormat="false" ht="13.2" hidden="false" customHeight="false" outlineLevel="0" collapsed="false"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</row>
    <row r="408" customFormat="false" ht="13.2" hidden="false" customHeight="false" outlineLevel="0" collapsed="false"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</row>
    <row r="409" customFormat="false" ht="13.2" hidden="false" customHeight="false" outlineLevel="0" collapsed="false"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</row>
    <row r="410" customFormat="false" ht="13.2" hidden="false" customHeight="false" outlineLevel="0" collapsed="false"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</row>
    <row r="411" customFormat="false" ht="13.2" hidden="false" customHeight="false" outlineLevel="0" collapsed="false"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</row>
    <row r="412" customFormat="false" ht="13.2" hidden="false" customHeight="false" outlineLevel="0" collapsed="false"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</row>
    <row r="413" customFormat="false" ht="13.2" hidden="false" customHeight="false" outlineLevel="0" collapsed="false"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</row>
    <row r="414" customFormat="false" ht="13.2" hidden="false" customHeight="false" outlineLevel="0" collapsed="false"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</row>
    <row r="415" customFormat="false" ht="13.2" hidden="false" customHeight="false" outlineLevel="0" collapsed="false"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</row>
    <row r="416" customFormat="false" ht="13.2" hidden="false" customHeight="false" outlineLevel="0" collapsed="false"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</row>
    <row r="417" customFormat="false" ht="13.2" hidden="false" customHeight="false" outlineLevel="0" collapsed="false"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</row>
    <row r="418" customFormat="false" ht="13.2" hidden="false" customHeight="false" outlineLevel="0" collapsed="false"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</row>
    <row r="419" customFormat="false" ht="13.2" hidden="false" customHeight="false" outlineLevel="0" collapsed="false"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</row>
    <row r="420" customFormat="false" ht="13.2" hidden="false" customHeight="false" outlineLevel="0" collapsed="false"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</row>
    <row r="421" customFormat="false" ht="13.2" hidden="false" customHeight="false" outlineLevel="0" collapsed="false"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</row>
    <row r="422" customFormat="false" ht="13.2" hidden="false" customHeight="false" outlineLevel="0" collapsed="false"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</row>
    <row r="423" customFormat="false" ht="13.2" hidden="false" customHeight="false" outlineLevel="0" collapsed="false"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</row>
    <row r="424" customFormat="false" ht="13.2" hidden="false" customHeight="false" outlineLevel="0" collapsed="false"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</row>
    <row r="425" customFormat="false" ht="13.2" hidden="false" customHeight="false" outlineLevel="0" collapsed="false"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</row>
    <row r="426" customFormat="false" ht="13.2" hidden="false" customHeight="false" outlineLevel="0" collapsed="false"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</row>
    <row r="427" customFormat="false" ht="13.2" hidden="false" customHeight="false" outlineLevel="0" collapsed="false"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</row>
    <row r="428" customFormat="false" ht="13.2" hidden="false" customHeight="false" outlineLevel="0" collapsed="false"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</row>
    <row r="429" customFormat="false" ht="13.2" hidden="false" customHeight="false" outlineLevel="0" collapsed="false"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</row>
    <row r="430" customFormat="false" ht="13.2" hidden="false" customHeight="false" outlineLevel="0" collapsed="false"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</row>
    <row r="431" customFormat="false" ht="13.2" hidden="false" customHeight="false" outlineLevel="0" collapsed="false"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</row>
    <row r="432" customFormat="false" ht="13.2" hidden="false" customHeight="false" outlineLevel="0" collapsed="false"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</row>
    <row r="433" customFormat="false" ht="13.2" hidden="false" customHeight="false" outlineLevel="0" collapsed="false"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</row>
    <row r="434" customFormat="false" ht="13.2" hidden="false" customHeight="false" outlineLevel="0" collapsed="false"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</row>
    <row r="435" customFormat="false" ht="13.2" hidden="false" customHeight="false" outlineLevel="0" collapsed="false"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</row>
    <row r="436" customFormat="false" ht="13.2" hidden="false" customHeight="false" outlineLevel="0" collapsed="false"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</row>
    <row r="437" customFormat="false" ht="13.2" hidden="false" customHeight="false" outlineLevel="0" collapsed="false"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</row>
    <row r="438" customFormat="false" ht="13.2" hidden="false" customHeight="false" outlineLevel="0" collapsed="false"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</row>
    <row r="439" customFormat="false" ht="13.2" hidden="false" customHeight="false" outlineLevel="0" collapsed="false"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</row>
    <row r="440" customFormat="false" ht="13.2" hidden="false" customHeight="false" outlineLevel="0" collapsed="false"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</row>
    <row r="441" customFormat="false" ht="13.2" hidden="false" customHeight="false" outlineLevel="0" collapsed="false"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</row>
    <row r="442" customFormat="false" ht="13.2" hidden="false" customHeight="false" outlineLevel="0" collapsed="false"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</row>
    <row r="443" customFormat="false" ht="13.2" hidden="false" customHeight="false" outlineLevel="0" collapsed="false"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</row>
    <row r="444" customFormat="false" ht="13.2" hidden="false" customHeight="false" outlineLevel="0" collapsed="false"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</row>
    <row r="445" customFormat="false" ht="13.2" hidden="false" customHeight="false" outlineLevel="0" collapsed="false"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</row>
    <row r="446" customFormat="false" ht="13.2" hidden="false" customHeight="false" outlineLevel="0" collapsed="false"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</row>
    <row r="447" customFormat="false" ht="13.2" hidden="false" customHeight="false" outlineLevel="0" collapsed="false"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</row>
    <row r="448" customFormat="false" ht="13.2" hidden="false" customHeight="false" outlineLevel="0" collapsed="false"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</row>
    <row r="449" customFormat="false" ht="13.2" hidden="false" customHeight="false" outlineLevel="0" collapsed="false"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</row>
    <row r="450" customFormat="false" ht="13.2" hidden="false" customHeight="false" outlineLevel="0" collapsed="false"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</row>
    <row r="451" customFormat="false" ht="13.2" hidden="false" customHeight="false" outlineLevel="0" collapsed="false"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</row>
    <row r="452" customFormat="false" ht="13.2" hidden="false" customHeight="false" outlineLevel="0" collapsed="false"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</row>
    <row r="453" customFormat="false" ht="13.2" hidden="false" customHeight="false" outlineLevel="0" collapsed="false"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</row>
    <row r="454" customFormat="false" ht="13.2" hidden="false" customHeight="false" outlineLevel="0" collapsed="false"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</row>
    <row r="455" customFormat="false" ht="13.2" hidden="false" customHeight="false" outlineLevel="0" collapsed="false"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</row>
    <row r="456" customFormat="false" ht="13.2" hidden="false" customHeight="false" outlineLevel="0" collapsed="false"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</row>
    <row r="457" customFormat="false" ht="13.2" hidden="false" customHeight="false" outlineLevel="0" collapsed="false"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</row>
    <row r="458" customFormat="false" ht="13.2" hidden="false" customHeight="false" outlineLevel="0" collapsed="false"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</row>
    <row r="459" customFormat="false" ht="13.2" hidden="false" customHeight="false" outlineLevel="0" collapsed="false"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</row>
    <row r="460" customFormat="false" ht="13.2" hidden="false" customHeight="false" outlineLevel="0" collapsed="false"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</row>
    <row r="461" customFormat="false" ht="13.2" hidden="false" customHeight="false" outlineLevel="0" collapsed="false"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</row>
    <row r="462" customFormat="false" ht="13.2" hidden="false" customHeight="false" outlineLevel="0" collapsed="false"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</row>
    <row r="463" customFormat="false" ht="13.2" hidden="false" customHeight="false" outlineLevel="0" collapsed="false"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</row>
    <row r="464" customFormat="false" ht="13.2" hidden="false" customHeight="false" outlineLevel="0" collapsed="false"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</row>
    <row r="465" customFormat="false" ht="13.2" hidden="false" customHeight="false" outlineLevel="0" collapsed="false"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</row>
    <row r="466" customFormat="false" ht="13.2" hidden="false" customHeight="false" outlineLevel="0" collapsed="false"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</row>
    <row r="467" customFormat="false" ht="13.2" hidden="false" customHeight="false" outlineLevel="0" collapsed="false"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</row>
    <row r="468" customFormat="false" ht="13.2" hidden="false" customHeight="false" outlineLevel="0" collapsed="false"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</row>
    <row r="469" customFormat="false" ht="13.2" hidden="false" customHeight="false" outlineLevel="0" collapsed="false"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</row>
    <row r="470" customFormat="false" ht="13.2" hidden="false" customHeight="false" outlineLevel="0" collapsed="false"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</row>
    <row r="471" customFormat="false" ht="13.2" hidden="false" customHeight="false" outlineLevel="0" collapsed="false"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</row>
    <row r="472" customFormat="false" ht="13.2" hidden="false" customHeight="false" outlineLevel="0" collapsed="false"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</row>
    <row r="473" customFormat="false" ht="13.2" hidden="false" customHeight="false" outlineLevel="0" collapsed="false"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</row>
    <row r="474" customFormat="false" ht="13.2" hidden="false" customHeight="false" outlineLevel="0" collapsed="false"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</row>
    <row r="475" customFormat="false" ht="13.2" hidden="false" customHeight="false" outlineLevel="0" collapsed="false"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</row>
    <row r="476" customFormat="false" ht="13.2" hidden="false" customHeight="false" outlineLevel="0" collapsed="false"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</row>
    <row r="477" customFormat="false" ht="13.2" hidden="false" customHeight="false" outlineLevel="0" collapsed="false"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</row>
    <row r="478" customFormat="false" ht="13.2" hidden="false" customHeight="false" outlineLevel="0" collapsed="false"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</row>
    <row r="479" customFormat="false" ht="13.2" hidden="false" customHeight="false" outlineLevel="0" collapsed="false"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</row>
    <row r="480" customFormat="false" ht="13.2" hidden="false" customHeight="false" outlineLevel="0" collapsed="false"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</row>
    <row r="481" customFormat="false" ht="13.2" hidden="false" customHeight="false" outlineLevel="0" collapsed="false"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</row>
    <row r="482" customFormat="false" ht="13.2" hidden="false" customHeight="false" outlineLevel="0" collapsed="false"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</row>
    <row r="483" customFormat="false" ht="13.2" hidden="false" customHeight="false" outlineLevel="0" collapsed="false"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</row>
    <row r="484" customFormat="false" ht="13.2" hidden="false" customHeight="false" outlineLevel="0" collapsed="false"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</row>
    <row r="485" customFormat="false" ht="13.2" hidden="false" customHeight="false" outlineLevel="0" collapsed="false"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</row>
    <row r="486" customFormat="false" ht="13.2" hidden="false" customHeight="false" outlineLevel="0" collapsed="false"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</row>
    <row r="487" customFormat="false" ht="13.2" hidden="false" customHeight="false" outlineLevel="0" collapsed="false"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</row>
    <row r="488" customFormat="false" ht="13.2" hidden="false" customHeight="false" outlineLevel="0" collapsed="false"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  <c r="W488" s="139"/>
      <c r="X488" s="139"/>
    </row>
    <row r="489" customFormat="false" ht="13.2" hidden="false" customHeight="false" outlineLevel="0" collapsed="false"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</row>
    <row r="490" customFormat="false" ht="13.2" hidden="false" customHeight="false" outlineLevel="0" collapsed="false"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  <c r="W490" s="139"/>
      <c r="X490" s="139"/>
    </row>
    <row r="491" customFormat="false" ht="13.2" hidden="false" customHeight="false" outlineLevel="0" collapsed="false"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</row>
    <row r="492" customFormat="false" ht="13.2" hidden="false" customHeight="false" outlineLevel="0" collapsed="false"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  <c r="W492" s="139"/>
      <c r="X492" s="139"/>
    </row>
    <row r="493" customFormat="false" ht="13.2" hidden="false" customHeight="false" outlineLevel="0" collapsed="false"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  <c r="X493" s="139"/>
    </row>
    <row r="494" customFormat="false" ht="13.2" hidden="false" customHeight="false" outlineLevel="0" collapsed="false"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  <c r="W494" s="139"/>
      <c r="X494" s="139"/>
    </row>
    <row r="495" customFormat="false" ht="13.2" hidden="false" customHeight="false" outlineLevel="0" collapsed="false"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  <c r="W495" s="139"/>
      <c r="X495" s="139"/>
    </row>
    <row r="496" customFormat="false" ht="13.2" hidden="false" customHeight="false" outlineLevel="0" collapsed="false"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  <c r="X496" s="139"/>
    </row>
    <row r="497" customFormat="false" ht="13.2" hidden="false" customHeight="false" outlineLevel="0" collapsed="false"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  <c r="W497" s="139"/>
      <c r="X497" s="139"/>
    </row>
    <row r="498" customFormat="false" ht="13.2" hidden="false" customHeight="false" outlineLevel="0" collapsed="false"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139"/>
      <c r="U498" s="139"/>
      <c r="V498" s="139"/>
      <c r="W498" s="139"/>
      <c r="X498" s="139"/>
    </row>
    <row r="499" customFormat="false" ht="13.2" hidden="false" customHeight="false" outlineLevel="0" collapsed="false"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  <c r="W499" s="139"/>
      <c r="X499" s="139"/>
    </row>
    <row r="500" customFormat="false" ht="13.2" hidden="false" customHeight="false" outlineLevel="0" collapsed="false"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139"/>
      <c r="U500" s="139"/>
      <c r="V500" s="139"/>
      <c r="W500" s="139"/>
      <c r="X500" s="139"/>
    </row>
    <row r="501" customFormat="false" ht="13.2" hidden="false" customHeight="false" outlineLevel="0" collapsed="false"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  <c r="X501" s="139"/>
    </row>
    <row r="502" customFormat="false" ht="13.2" hidden="false" customHeight="false" outlineLevel="0" collapsed="false"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39"/>
      <c r="U502" s="139"/>
      <c r="V502" s="139"/>
      <c r="W502" s="139"/>
      <c r="X502" s="139"/>
    </row>
    <row r="503" customFormat="false" ht="13.2" hidden="false" customHeight="false" outlineLevel="0" collapsed="false"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  <c r="X503" s="139"/>
    </row>
    <row r="504" customFormat="false" ht="13.2" hidden="false" customHeight="false" outlineLevel="0" collapsed="false"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</row>
    <row r="505" customFormat="false" ht="13.2" hidden="false" customHeight="false" outlineLevel="0" collapsed="false"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</row>
    <row r="506" customFormat="false" ht="13.2" hidden="false" customHeight="false" outlineLevel="0" collapsed="false"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</row>
    <row r="507" customFormat="false" ht="13.2" hidden="false" customHeight="false" outlineLevel="0" collapsed="false"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</row>
    <row r="508" customFormat="false" ht="13.2" hidden="false" customHeight="false" outlineLevel="0" collapsed="false"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</row>
    <row r="509" customFormat="false" ht="13.2" hidden="false" customHeight="false" outlineLevel="0" collapsed="false"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</row>
    <row r="510" customFormat="false" ht="13.2" hidden="false" customHeight="false" outlineLevel="0" collapsed="false"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</row>
    <row r="511" customFormat="false" ht="13.2" hidden="false" customHeight="false" outlineLevel="0" collapsed="false"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</row>
    <row r="512" customFormat="false" ht="13.2" hidden="false" customHeight="false" outlineLevel="0" collapsed="false"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</row>
    <row r="513" customFormat="false" ht="13.2" hidden="false" customHeight="false" outlineLevel="0" collapsed="false"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  <c r="X513" s="139"/>
    </row>
    <row r="514" customFormat="false" ht="13.2" hidden="false" customHeight="false" outlineLevel="0" collapsed="false"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39"/>
      <c r="T514" s="139"/>
      <c r="U514" s="139"/>
      <c r="V514" s="139"/>
      <c r="W514" s="139"/>
      <c r="X514" s="139"/>
    </row>
    <row r="515" customFormat="false" ht="13.2" hidden="false" customHeight="false" outlineLevel="0" collapsed="false"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  <c r="X515" s="139"/>
    </row>
    <row r="516" customFormat="false" ht="13.2" hidden="false" customHeight="false" outlineLevel="0" collapsed="false"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  <c r="X516" s="139"/>
    </row>
    <row r="517" customFormat="false" ht="13.2" hidden="false" customHeight="false" outlineLevel="0" collapsed="false"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39"/>
      <c r="T517" s="139"/>
      <c r="U517" s="139"/>
      <c r="V517" s="139"/>
      <c r="W517" s="139"/>
      <c r="X517" s="139"/>
    </row>
    <row r="518" customFormat="false" ht="13.2" hidden="false" customHeight="false" outlineLevel="0" collapsed="false"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  <c r="X518" s="139"/>
    </row>
    <row r="519" customFormat="false" ht="13.2" hidden="false" customHeight="false" outlineLevel="0" collapsed="false"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  <c r="X519" s="139"/>
    </row>
    <row r="520" customFormat="false" ht="13.2" hidden="false" customHeight="false" outlineLevel="0" collapsed="false"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139"/>
      <c r="U520" s="139"/>
      <c r="V520" s="139"/>
      <c r="W520" s="139"/>
      <c r="X520" s="139"/>
    </row>
    <row r="521" customFormat="false" ht="13.2" hidden="false" customHeight="false" outlineLevel="0" collapsed="false"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39"/>
      <c r="T521" s="139"/>
      <c r="U521" s="139"/>
      <c r="V521" s="139"/>
      <c r="W521" s="139"/>
      <c r="X521" s="139"/>
    </row>
    <row r="522" customFormat="false" ht="13.2" hidden="false" customHeight="false" outlineLevel="0" collapsed="false"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  <c r="X522" s="139"/>
    </row>
    <row r="523" customFormat="false" ht="13.2" hidden="false" customHeight="false" outlineLevel="0" collapsed="false"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  <c r="X523" s="139"/>
    </row>
    <row r="524" customFormat="false" ht="13.2" hidden="false" customHeight="false" outlineLevel="0" collapsed="false"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139"/>
      <c r="U524" s="139"/>
      <c r="V524" s="139"/>
      <c r="W524" s="139"/>
      <c r="X524" s="139"/>
    </row>
    <row r="525" customFormat="false" ht="13.2" hidden="false" customHeight="false" outlineLevel="0" collapsed="false"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39"/>
      <c r="T525" s="139"/>
      <c r="U525" s="139"/>
      <c r="V525" s="139"/>
      <c r="W525" s="139"/>
      <c r="X525" s="139"/>
    </row>
    <row r="526" customFormat="false" ht="13.2" hidden="false" customHeight="false" outlineLevel="0" collapsed="false"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  <c r="X526" s="139"/>
    </row>
    <row r="527" customFormat="false" ht="13.2" hidden="false" customHeight="false" outlineLevel="0" collapsed="false"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39"/>
      <c r="T527" s="139"/>
      <c r="U527" s="139"/>
      <c r="V527" s="139"/>
      <c r="W527" s="139"/>
      <c r="X527" s="139"/>
    </row>
    <row r="528" customFormat="false" ht="13.2" hidden="false" customHeight="false" outlineLevel="0" collapsed="false"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  <c r="X528" s="139"/>
    </row>
    <row r="529" customFormat="false" ht="13.2" hidden="false" customHeight="false" outlineLevel="0" collapsed="false"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  <c r="X529" s="139"/>
    </row>
    <row r="530" customFormat="false" ht="13.2" hidden="false" customHeight="false" outlineLevel="0" collapsed="false"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  <c r="W530" s="139"/>
      <c r="X530" s="139"/>
    </row>
    <row r="531" customFormat="false" ht="13.2" hidden="false" customHeight="false" outlineLevel="0" collapsed="false"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39"/>
      <c r="T531" s="139"/>
      <c r="U531" s="139"/>
      <c r="V531" s="139"/>
      <c r="W531" s="139"/>
      <c r="X531" s="139"/>
    </row>
    <row r="532" customFormat="false" ht="13.2" hidden="false" customHeight="false" outlineLevel="0" collapsed="false"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  <c r="W532" s="139"/>
      <c r="X532" s="139"/>
    </row>
    <row r="533" customFormat="false" ht="13.2" hidden="false" customHeight="false" outlineLevel="0" collapsed="false"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  <c r="W533" s="139"/>
      <c r="X533" s="139"/>
    </row>
    <row r="534" customFormat="false" ht="13.2" hidden="false" customHeight="false" outlineLevel="0" collapsed="false"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</row>
    <row r="535" customFormat="false" ht="13.2" hidden="false" customHeight="false" outlineLevel="0" collapsed="false"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39"/>
      <c r="T535" s="139"/>
      <c r="U535" s="139"/>
      <c r="V535" s="139"/>
      <c r="W535" s="139"/>
      <c r="X535" s="139"/>
    </row>
    <row r="536" customFormat="false" ht="13.2" hidden="false" customHeight="false" outlineLevel="0" collapsed="false"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</row>
    <row r="537" customFormat="false" ht="13.2" hidden="false" customHeight="false" outlineLevel="0" collapsed="false"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</row>
    <row r="538" customFormat="false" ht="13.2" hidden="false" customHeight="false" outlineLevel="0" collapsed="false"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</row>
    <row r="539" customFormat="false" ht="13.2" hidden="false" customHeight="false" outlineLevel="0" collapsed="false"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</row>
    <row r="540" customFormat="false" ht="13.2" hidden="false" customHeight="false" outlineLevel="0" collapsed="false"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  <c r="W540" s="139"/>
      <c r="X540" s="139"/>
    </row>
    <row r="541" customFormat="false" ht="13.2" hidden="false" customHeight="false" outlineLevel="0" collapsed="false"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39"/>
      <c r="T541" s="139"/>
      <c r="U541" s="139"/>
      <c r="V541" s="139"/>
      <c r="W541" s="139"/>
      <c r="X541" s="139"/>
    </row>
    <row r="542" customFormat="false" ht="13.2" hidden="false" customHeight="false" outlineLevel="0" collapsed="false"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  <c r="W542" s="139"/>
      <c r="X542" s="139"/>
    </row>
    <row r="543" customFormat="false" ht="13.2" hidden="false" customHeight="false" outlineLevel="0" collapsed="false"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39"/>
      <c r="T543" s="139"/>
      <c r="U543" s="139"/>
      <c r="V543" s="139"/>
      <c r="W543" s="139"/>
      <c r="X543" s="139"/>
    </row>
    <row r="544" customFormat="false" ht="13.2" hidden="false" customHeight="false" outlineLevel="0" collapsed="false"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139"/>
      <c r="U544" s="139"/>
      <c r="V544" s="139"/>
      <c r="W544" s="139"/>
      <c r="X544" s="139"/>
    </row>
    <row r="545" customFormat="false" ht="13.2" hidden="false" customHeight="false" outlineLevel="0" collapsed="false"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39"/>
      <c r="T545" s="139"/>
      <c r="U545" s="139"/>
      <c r="V545" s="139"/>
      <c r="W545" s="139"/>
      <c r="X545" s="139"/>
    </row>
    <row r="546" customFormat="false" ht="13.2" hidden="false" customHeight="false" outlineLevel="0" collapsed="false"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139"/>
      <c r="U546" s="139"/>
      <c r="V546" s="139"/>
      <c r="W546" s="139"/>
      <c r="X546" s="139"/>
    </row>
    <row r="547" customFormat="false" ht="13.2" hidden="false" customHeight="false" outlineLevel="0" collapsed="false"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</row>
    <row r="548" customFormat="false" ht="13.2" hidden="false" customHeight="false" outlineLevel="0" collapsed="false"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139"/>
      <c r="U548" s="139"/>
      <c r="V548" s="139"/>
      <c r="W548" s="139"/>
      <c r="X548" s="139"/>
    </row>
    <row r="549" customFormat="false" ht="13.2" hidden="false" customHeight="false" outlineLevel="0" collapsed="false"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</row>
    <row r="550" customFormat="false" ht="13.2" hidden="false" customHeight="false" outlineLevel="0" collapsed="false"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</row>
    <row r="551" customFormat="false" ht="13.2" hidden="false" customHeight="false" outlineLevel="0" collapsed="false"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</row>
    <row r="552" customFormat="false" ht="13.2" hidden="false" customHeight="false" outlineLevel="0" collapsed="false"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  <c r="W552" s="139"/>
      <c r="X552" s="139"/>
    </row>
    <row r="553" customFormat="false" ht="13.2" hidden="false" customHeight="false" outlineLevel="0" collapsed="false"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39"/>
      <c r="T553" s="139"/>
      <c r="U553" s="139"/>
      <c r="V553" s="139"/>
      <c r="W553" s="139"/>
      <c r="X553" s="139"/>
    </row>
    <row r="554" customFormat="false" ht="13.2" hidden="false" customHeight="false" outlineLevel="0" collapsed="false"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  <c r="W554" s="139"/>
      <c r="X554" s="139"/>
    </row>
    <row r="555" customFormat="false" ht="13.2" hidden="false" customHeight="false" outlineLevel="0" collapsed="false"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39"/>
      <c r="T555" s="139"/>
      <c r="U555" s="139"/>
      <c r="V555" s="139"/>
      <c r="W555" s="139"/>
      <c r="X555" s="139"/>
    </row>
    <row r="556" customFormat="false" ht="13.2" hidden="false" customHeight="false" outlineLevel="0" collapsed="false"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  <c r="W556" s="139"/>
      <c r="X556" s="139"/>
    </row>
    <row r="557" customFormat="false" ht="13.2" hidden="false" customHeight="false" outlineLevel="0" collapsed="false"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</row>
    <row r="558" customFormat="false" ht="13.2" hidden="false" customHeight="false" outlineLevel="0" collapsed="false"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39"/>
      <c r="T558" s="139"/>
      <c r="U558" s="139"/>
      <c r="V558" s="139"/>
      <c r="W558" s="139"/>
      <c r="X558" s="139"/>
    </row>
    <row r="559" customFormat="false" ht="13.2" hidden="false" customHeight="false" outlineLevel="0" collapsed="false"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  <c r="W559" s="139"/>
      <c r="X559" s="139"/>
    </row>
    <row r="560" customFormat="false" ht="13.2" hidden="false" customHeight="false" outlineLevel="0" collapsed="false"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  <c r="W560" s="139"/>
      <c r="X560" s="139"/>
    </row>
    <row r="561" customFormat="false" ht="13.2" hidden="false" customHeight="false" outlineLevel="0" collapsed="false"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39"/>
      <c r="T561" s="139"/>
      <c r="U561" s="139"/>
      <c r="V561" s="139"/>
      <c r="W561" s="139"/>
      <c r="X561" s="139"/>
    </row>
    <row r="562" customFormat="false" ht="13.2" hidden="false" customHeight="false" outlineLevel="0" collapsed="false"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  <c r="W562" s="139"/>
      <c r="X562" s="139"/>
    </row>
    <row r="563" customFormat="false" ht="13.2" hidden="false" customHeight="false" outlineLevel="0" collapsed="false"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39"/>
      <c r="T563" s="139"/>
      <c r="U563" s="139"/>
      <c r="V563" s="139"/>
      <c r="W563" s="139"/>
      <c r="X563" s="139"/>
    </row>
    <row r="564" customFormat="false" ht="13.2" hidden="false" customHeight="false" outlineLevel="0" collapsed="false"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</row>
    <row r="565" customFormat="false" ht="13.2" hidden="false" customHeight="false" outlineLevel="0" collapsed="false"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  <c r="W565" s="139"/>
      <c r="X565" s="139"/>
    </row>
    <row r="566" customFormat="false" ht="13.2" hidden="false" customHeight="false" outlineLevel="0" collapsed="false"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39"/>
      <c r="T566" s="139"/>
      <c r="U566" s="139"/>
      <c r="V566" s="139"/>
      <c r="W566" s="139"/>
      <c r="X566" s="139"/>
    </row>
    <row r="567" customFormat="false" ht="13.2" hidden="false" customHeight="false" outlineLevel="0" collapsed="false"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139"/>
      <c r="U567" s="139"/>
      <c r="V567" s="139"/>
      <c r="W567" s="139"/>
      <c r="X567" s="139"/>
    </row>
    <row r="568" customFormat="false" ht="13.2" hidden="false" customHeight="false" outlineLevel="0" collapsed="false"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139"/>
      <c r="U568" s="139"/>
      <c r="V568" s="139"/>
      <c r="W568" s="139"/>
      <c r="X568" s="139"/>
    </row>
    <row r="569" customFormat="false" ht="13.2" hidden="false" customHeight="false" outlineLevel="0" collapsed="false"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139"/>
      <c r="U569" s="139"/>
      <c r="V569" s="139"/>
      <c r="W569" s="139"/>
      <c r="X569" s="139"/>
    </row>
    <row r="570" customFormat="false" ht="13.2" hidden="false" customHeight="false" outlineLevel="0" collapsed="false"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139"/>
      <c r="U570" s="139"/>
      <c r="V570" s="139"/>
      <c r="W570" s="139"/>
      <c r="X570" s="139"/>
    </row>
    <row r="571" customFormat="false" ht="13.2" hidden="false" customHeight="false" outlineLevel="0" collapsed="false"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39"/>
      <c r="T571" s="139"/>
      <c r="U571" s="139"/>
      <c r="V571" s="139"/>
      <c r="W571" s="139"/>
      <c r="X571" s="139"/>
    </row>
    <row r="572" customFormat="false" ht="13.2" hidden="false" customHeight="false" outlineLevel="0" collapsed="false"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  <c r="W572" s="139"/>
      <c r="X572" s="139"/>
    </row>
    <row r="573" customFormat="false" ht="13.2" hidden="false" customHeight="false" outlineLevel="0" collapsed="false"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</row>
    <row r="574" customFormat="false" ht="13.2" hidden="false" customHeight="false" outlineLevel="0" collapsed="false"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  <c r="W574" s="139"/>
      <c r="X574" s="139"/>
    </row>
    <row r="575" customFormat="false" ht="13.2" hidden="false" customHeight="false" outlineLevel="0" collapsed="false"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  <c r="W575" s="139"/>
      <c r="X575" s="139"/>
    </row>
    <row r="576" customFormat="false" ht="13.2" hidden="false" customHeight="false" outlineLevel="0" collapsed="false"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39"/>
      <c r="T576" s="139"/>
      <c r="U576" s="139"/>
      <c r="V576" s="139"/>
      <c r="W576" s="139"/>
      <c r="X576" s="139"/>
    </row>
    <row r="577" customFormat="false" ht="13.2" hidden="false" customHeight="false" outlineLevel="0" collapsed="false"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  <c r="W577" s="139"/>
      <c r="X577" s="139"/>
    </row>
    <row r="578" customFormat="false" ht="13.2" hidden="false" customHeight="false" outlineLevel="0" collapsed="false"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  <c r="W578" s="139"/>
      <c r="X578" s="139"/>
    </row>
    <row r="579" customFormat="false" ht="13.2" hidden="false" customHeight="false" outlineLevel="0" collapsed="false"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  <c r="W579" s="139"/>
      <c r="X579" s="139"/>
    </row>
    <row r="580" customFormat="false" ht="13.2" hidden="false" customHeight="false" outlineLevel="0" collapsed="false"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  <c r="W580" s="139"/>
      <c r="X580" s="139"/>
    </row>
    <row r="581" customFormat="false" ht="13.2" hidden="false" customHeight="false" outlineLevel="0" collapsed="false"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39"/>
      <c r="T581" s="139"/>
      <c r="U581" s="139"/>
      <c r="V581" s="139"/>
      <c r="W581" s="139"/>
      <c r="X581" s="139"/>
    </row>
    <row r="582" customFormat="false" ht="13.2" hidden="false" customHeight="false" outlineLevel="0" collapsed="false"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  <c r="W582" s="139"/>
      <c r="X582" s="139"/>
    </row>
    <row r="583" customFormat="false" ht="13.2" hidden="false" customHeight="false" outlineLevel="0" collapsed="false"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  <c r="W583" s="139"/>
      <c r="X583" s="139"/>
    </row>
    <row r="584" customFormat="false" ht="13.2" hidden="false" customHeight="false" outlineLevel="0" collapsed="false"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</row>
    <row r="585" customFormat="false" ht="13.2" hidden="false" customHeight="false" outlineLevel="0" collapsed="false"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</row>
    <row r="586" customFormat="false" ht="13.2" hidden="false" customHeight="false" outlineLevel="0" collapsed="false"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  <c r="W586" s="139"/>
      <c r="X586" s="139"/>
    </row>
    <row r="587" customFormat="false" ht="13.2" hidden="false" customHeight="false" outlineLevel="0" collapsed="false"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  <c r="W587" s="139"/>
      <c r="X587" s="139"/>
    </row>
    <row r="588" customFormat="false" ht="13.2" hidden="false" customHeight="false" outlineLevel="0" collapsed="false"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39"/>
      <c r="T588" s="139"/>
      <c r="U588" s="139"/>
      <c r="V588" s="139"/>
      <c r="W588" s="139"/>
      <c r="X588" s="139"/>
    </row>
    <row r="589" customFormat="false" ht="13.2" hidden="false" customHeight="false" outlineLevel="0" collapsed="false">
      <c r="C589" s="139"/>
      <c r="D589" s="139"/>
      <c r="E589" s="139"/>
      <c r="F589" s="139"/>
      <c r="G589" s="139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39"/>
      <c r="T589" s="139"/>
      <c r="U589" s="139"/>
      <c r="V589" s="139"/>
      <c r="W589" s="139"/>
      <c r="X589" s="139"/>
    </row>
    <row r="590" customFormat="false" ht="13.2" hidden="false" customHeight="false" outlineLevel="0" collapsed="false"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  <c r="W590" s="139"/>
      <c r="X590" s="139"/>
    </row>
    <row r="591" customFormat="false" ht="13.2" hidden="false" customHeight="false" outlineLevel="0" collapsed="false"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39"/>
      <c r="T591" s="139"/>
      <c r="U591" s="139"/>
      <c r="V591" s="139"/>
      <c r="W591" s="139"/>
      <c r="X591" s="139"/>
    </row>
    <row r="592" customFormat="false" ht="13.2" hidden="false" customHeight="false" outlineLevel="0" collapsed="false"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139"/>
      <c r="U592" s="139"/>
      <c r="V592" s="139"/>
      <c r="W592" s="139"/>
      <c r="X592" s="139"/>
    </row>
    <row r="593" customFormat="false" ht="13.2" hidden="false" customHeight="false" outlineLevel="0" collapsed="false"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139"/>
      <c r="U593" s="139"/>
      <c r="V593" s="139"/>
      <c r="W593" s="139"/>
      <c r="X593" s="139"/>
    </row>
    <row r="594" customFormat="false" ht="13.2" hidden="false" customHeight="false" outlineLevel="0" collapsed="false">
      <c r="C594" s="139"/>
      <c r="D594" s="139"/>
      <c r="E594" s="139"/>
      <c r="F594" s="139"/>
      <c r="G594" s="139"/>
      <c r="H594" s="139"/>
      <c r="I594" s="139"/>
      <c r="J594" s="139"/>
      <c r="K594" s="139"/>
      <c r="L594" s="139"/>
      <c r="M594" s="139"/>
      <c r="N594" s="139"/>
      <c r="O594" s="139"/>
      <c r="P594" s="139"/>
      <c r="Q594" s="139"/>
      <c r="R594" s="139"/>
      <c r="S594" s="139"/>
      <c r="T594" s="139"/>
      <c r="U594" s="139"/>
      <c r="V594" s="139"/>
      <c r="W594" s="139"/>
      <c r="X594" s="139"/>
    </row>
    <row r="595" customFormat="false" ht="13.2" hidden="false" customHeight="false" outlineLevel="0" collapsed="false">
      <c r="C595" s="139"/>
      <c r="D595" s="139"/>
      <c r="E595" s="139"/>
      <c r="F595" s="139"/>
      <c r="G595" s="139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39"/>
      <c r="T595" s="139"/>
      <c r="U595" s="139"/>
      <c r="V595" s="139"/>
      <c r="W595" s="139"/>
      <c r="X595" s="139"/>
    </row>
    <row r="596" customFormat="false" ht="13.2" hidden="false" customHeight="false" outlineLevel="0" collapsed="false">
      <c r="C596" s="139"/>
      <c r="D596" s="139"/>
      <c r="E596" s="139"/>
      <c r="F596" s="139"/>
      <c r="G596" s="139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39"/>
      <c r="T596" s="139"/>
      <c r="U596" s="139"/>
      <c r="V596" s="139"/>
      <c r="W596" s="139"/>
      <c r="X596" s="139"/>
    </row>
    <row r="597" customFormat="false" ht="13.2" hidden="false" customHeight="false" outlineLevel="0" collapsed="false">
      <c r="C597" s="139"/>
      <c r="D597" s="139"/>
      <c r="E597" s="139"/>
      <c r="F597" s="139"/>
      <c r="G597" s="139"/>
      <c r="H597" s="139"/>
      <c r="I597" s="139"/>
      <c r="J597" s="139"/>
      <c r="K597" s="139"/>
      <c r="L597" s="139"/>
      <c r="M597" s="139"/>
      <c r="N597" s="139"/>
      <c r="O597" s="139"/>
      <c r="P597" s="139"/>
      <c r="Q597" s="139"/>
      <c r="R597" s="139"/>
      <c r="S597" s="139"/>
      <c r="T597" s="139"/>
      <c r="U597" s="139"/>
      <c r="V597" s="139"/>
      <c r="W597" s="139"/>
      <c r="X597" s="139"/>
    </row>
    <row r="598" customFormat="false" ht="13.2" hidden="false" customHeight="false" outlineLevel="0" collapsed="false"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39"/>
      <c r="T598" s="139"/>
      <c r="U598" s="139"/>
      <c r="V598" s="139"/>
      <c r="W598" s="139"/>
      <c r="X598" s="139"/>
    </row>
    <row r="599" customFormat="false" ht="13.2" hidden="false" customHeight="false" outlineLevel="0" collapsed="false">
      <c r="C599" s="139"/>
      <c r="D599" s="139"/>
      <c r="E599" s="139"/>
      <c r="F599" s="139"/>
      <c r="G599" s="139"/>
      <c r="H599" s="139"/>
      <c r="I599" s="139"/>
      <c r="J599" s="139"/>
      <c r="K599" s="139"/>
      <c r="L599" s="139"/>
      <c r="M599" s="139"/>
      <c r="N599" s="139"/>
      <c r="O599" s="139"/>
      <c r="P599" s="139"/>
      <c r="Q599" s="139"/>
      <c r="R599" s="139"/>
      <c r="S599" s="139"/>
      <c r="T599" s="139"/>
      <c r="U599" s="139"/>
      <c r="V599" s="139"/>
      <c r="W599" s="139"/>
      <c r="X599" s="139"/>
    </row>
    <row r="600" customFormat="false" ht="13.2" hidden="false" customHeight="false" outlineLevel="0" collapsed="false">
      <c r="C600" s="139"/>
      <c r="D600" s="139"/>
      <c r="E600" s="139"/>
      <c r="F600" s="139"/>
      <c r="G600" s="139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39"/>
      <c r="T600" s="139"/>
      <c r="U600" s="139"/>
      <c r="V600" s="139"/>
      <c r="W600" s="139"/>
      <c r="X600" s="139"/>
    </row>
    <row r="601" customFormat="false" ht="13.2" hidden="false" customHeight="false" outlineLevel="0" collapsed="false">
      <c r="C601" s="139"/>
      <c r="D601" s="139"/>
      <c r="E601" s="139"/>
      <c r="F601" s="139"/>
      <c r="G601" s="139"/>
      <c r="H601" s="139"/>
      <c r="I601" s="139"/>
      <c r="J601" s="139"/>
      <c r="K601" s="139"/>
      <c r="L601" s="139"/>
      <c r="M601" s="139"/>
      <c r="N601" s="139"/>
      <c r="O601" s="139"/>
      <c r="P601" s="139"/>
      <c r="Q601" s="139"/>
      <c r="R601" s="139"/>
      <c r="S601" s="139"/>
      <c r="T601" s="139"/>
      <c r="U601" s="139"/>
      <c r="V601" s="139"/>
      <c r="W601" s="139"/>
      <c r="X601" s="139"/>
    </row>
    <row r="602" customFormat="false" ht="13.2" hidden="false" customHeight="false" outlineLevel="0" collapsed="false">
      <c r="C602" s="139"/>
      <c r="D602" s="139"/>
      <c r="E602" s="139"/>
      <c r="F602" s="139"/>
      <c r="G602" s="139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39"/>
      <c r="T602" s="139"/>
      <c r="U602" s="139"/>
      <c r="V602" s="139"/>
      <c r="W602" s="139"/>
      <c r="X602" s="139"/>
    </row>
    <row r="603" customFormat="false" ht="13.2" hidden="false" customHeight="false" outlineLevel="0" collapsed="false"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39"/>
      <c r="T603" s="139"/>
      <c r="U603" s="139"/>
      <c r="V603" s="139"/>
      <c r="W603" s="139"/>
      <c r="X603" s="139"/>
    </row>
    <row r="604" customFormat="false" ht="13.2" hidden="false" customHeight="false" outlineLevel="0" collapsed="false">
      <c r="C604" s="139"/>
      <c r="D604" s="139"/>
      <c r="E604" s="139"/>
      <c r="F604" s="139"/>
      <c r="G604" s="139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39"/>
      <c r="T604" s="139"/>
      <c r="U604" s="139"/>
      <c r="V604" s="139"/>
      <c r="W604" s="139"/>
      <c r="X604" s="139"/>
    </row>
    <row r="605" customFormat="false" ht="13.2" hidden="false" customHeight="false" outlineLevel="0" collapsed="false">
      <c r="C605" s="139"/>
      <c r="D605" s="139"/>
      <c r="E605" s="139"/>
      <c r="F605" s="139"/>
      <c r="G605" s="139"/>
      <c r="H605" s="139"/>
      <c r="I605" s="139"/>
      <c r="J605" s="139"/>
      <c r="K605" s="139"/>
      <c r="L605" s="139"/>
      <c r="M605" s="139"/>
      <c r="N605" s="139"/>
      <c r="O605" s="139"/>
      <c r="P605" s="139"/>
      <c r="Q605" s="139"/>
      <c r="R605" s="139"/>
      <c r="S605" s="139"/>
      <c r="T605" s="139"/>
      <c r="U605" s="139"/>
      <c r="V605" s="139"/>
      <c r="W605" s="139"/>
      <c r="X605" s="139"/>
    </row>
    <row r="606" customFormat="false" ht="13.2" hidden="false" customHeight="false" outlineLevel="0" collapsed="false">
      <c r="C606" s="139"/>
      <c r="D606" s="139"/>
      <c r="E606" s="139"/>
      <c r="F606" s="139"/>
      <c r="G606" s="139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39"/>
      <c r="T606" s="139"/>
      <c r="U606" s="139"/>
      <c r="V606" s="139"/>
      <c r="W606" s="139"/>
      <c r="X606" s="139"/>
    </row>
    <row r="607" customFormat="false" ht="13.2" hidden="false" customHeight="false" outlineLevel="0" collapsed="false">
      <c r="C607" s="139"/>
      <c r="D607" s="139"/>
      <c r="E607" s="139"/>
      <c r="F607" s="139"/>
      <c r="G607" s="139"/>
      <c r="H607" s="139"/>
      <c r="I607" s="139"/>
      <c r="J607" s="139"/>
      <c r="K607" s="139"/>
      <c r="L607" s="139"/>
      <c r="M607" s="139"/>
      <c r="N607" s="139"/>
      <c r="O607" s="139"/>
      <c r="P607" s="139"/>
      <c r="Q607" s="139"/>
      <c r="R607" s="139"/>
      <c r="S607" s="139"/>
      <c r="T607" s="139"/>
      <c r="U607" s="139"/>
      <c r="V607" s="139"/>
      <c r="W607" s="139"/>
      <c r="X607" s="139"/>
    </row>
    <row r="608" customFormat="false" ht="13.2" hidden="false" customHeight="false" outlineLevel="0" collapsed="false"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39"/>
      <c r="T608" s="139"/>
      <c r="U608" s="139"/>
      <c r="V608" s="139"/>
      <c r="W608" s="139"/>
      <c r="X608" s="139"/>
    </row>
    <row r="609" customFormat="false" ht="13.2" hidden="false" customHeight="false" outlineLevel="0" collapsed="false"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39"/>
      <c r="T609" s="139"/>
      <c r="U609" s="139"/>
      <c r="V609" s="139"/>
      <c r="W609" s="139"/>
      <c r="X609" s="139"/>
    </row>
    <row r="610" customFormat="false" ht="13.2" hidden="false" customHeight="false" outlineLevel="0" collapsed="false"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39"/>
      <c r="T610" s="139"/>
      <c r="U610" s="139"/>
      <c r="V610" s="139"/>
      <c r="W610" s="139"/>
      <c r="X610" s="139"/>
    </row>
    <row r="611" customFormat="false" ht="13.2" hidden="false" customHeight="false" outlineLevel="0" collapsed="false"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  <c r="P611" s="139"/>
      <c r="Q611" s="139"/>
      <c r="R611" s="139"/>
      <c r="S611" s="139"/>
      <c r="T611" s="139"/>
      <c r="U611" s="139"/>
      <c r="V611" s="139"/>
      <c r="W611" s="139"/>
      <c r="X611" s="139"/>
    </row>
    <row r="612" customFormat="false" ht="13.2" hidden="false" customHeight="false" outlineLevel="0" collapsed="false">
      <c r="C612" s="139"/>
      <c r="D612" s="139"/>
      <c r="E612" s="139"/>
      <c r="F612" s="139"/>
      <c r="G612" s="139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39"/>
      <c r="T612" s="139"/>
      <c r="U612" s="139"/>
      <c r="V612" s="139"/>
      <c r="W612" s="139"/>
      <c r="X612" s="139"/>
    </row>
    <row r="613" customFormat="false" ht="13.2" hidden="false" customHeight="false" outlineLevel="0" collapsed="false">
      <c r="C613" s="139"/>
      <c r="D613" s="139"/>
      <c r="E613" s="139"/>
      <c r="F613" s="139"/>
      <c r="G613" s="139"/>
      <c r="H613" s="139"/>
      <c r="I613" s="139"/>
      <c r="J613" s="139"/>
      <c r="K613" s="139"/>
      <c r="L613" s="139"/>
      <c r="M613" s="139"/>
      <c r="N613" s="139"/>
      <c r="O613" s="139"/>
      <c r="P613" s="139"/>
      <c r="Q613" s="139"/>
      <c r="R613" s="139"/>
      <c r="S613" s="139"/>
      <c r="T613" s="139"/>
      <c r="U613" s="139"/>
      <c r="V613" s="139"/>
      <c r="W613" s="139"/>
      <c r="X613" s="139"/>
    </row>
    <row r="614" customFormat="false" ht="13.2" hidden="false" customHeight="false" outlineLevel="0" collapsed="false">
      <c r="C614" s="139"/>
      <c r="D614" s="139"/>
      <c r="E614" s="139"/>
      <c r="F614" s="139"/>
      <c r="G614" s="139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39"/>
      <c r="T614" s="139"/>
      <c r="U614" s="139"/>
      <c r="V614" s="139"/>
      <c r="W614" s="139"/>
      <c r="X614" s="139"/>
    </row>
    <row r="615" customFormat="false" ht="13.2" hidden="false" customHeight="false" outlineLevel="0" collapsed="false">
      <c r="C615" s="139"/>
      <c r="D615" s="139"/>
      <c r="E615" s="139"/>
      <c r="F615" s="139"/>
      <c r="G615" s="139"/>
      <c r="H615" s="139"/>
      <c r="I615" s="139"/>
      <c r="J615" s="139"/>
      <c r="K615" s="139"/>
      <c r="L615" s="139"/>
      <c r="M615" s="139"/>
      <c r="N615" s="139"/>
      <c r="O615" s="139"/>
      <c r="P615" s="139"/>
      <c r="Q615" s="139"/>
      <c r="R615" s="139"/>
      <c r="S615" s="139"/>
      <c r="T615" s="139"/>
      <c r="U615" s="139"/>
      <c r="V615" s="139"/>
      <c r="W615" s="139"/>
      <c r="X615" s="139"/>
    </row>
    <row r="616" customFormat="false" ht="13.2" hidden="false" customHeight="false" outlineLevel="0" collapsed="false"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39"/>
      <c r="T616" s="139"/>
      <c r="U616" s="139"/>
      <c r="V616" s="139"/>
      <c r="W616" s="139"/>
      <c r="X616" s="139"/>
    </row>
    <row r="617" customFormat="false" ht="13.2" hidden="false" customHeight="false" outlineLevel="0" collapsed="false"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39"/>
      <c r="T617" s="139"/>
      <c r="U617" s="139"/>
      <c r="V617" s="139"/>
      <c r="W617" s="139"/>
      <c r="X617" s="139"/>
    </row>
    <row r="618" customFormat="false" ht="13.2" hidden="false" customHeight="false" outlineLevel="0" collapsed="false">
      <c r="C618" s="139"/>
      <c r="D618" s="139"/>
      <c r="E618" s="139"/>
      <c r="F618" s="139"/>
      <c r="G618" s="139"/>
      <c r="H618" s="139"/>
      <c r="I618" s="139"/>
      <c r="J618" s="139"/>
      <c r="K618" s="139"/>
      <c r="L618" s="139"/>
      <c r="M618" s="139"/>
      <c r="N618" s="139"/>
      <c r="O618" s="139"/>
      <c r="P618" s="139"/>
      <c r="Q618" s="139"/>
      <c r="R618" s="139"/>
      <c r="S618" s="139"/>
      <c r="T618" s="139"/>
      <c r="U618" s="139"/>
      <c r="V618" s="139"/>
      <c r="W618" s="139"/>
      <c r="X618" s="139"/>
    </row>
    <row r="619" customFormat="false" ht="13.2" hidden="false" customHeight="false" outlineLevel="0" collapsed="false"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</row>
    <row r="620" customFormat="false" ht="13.2" hidden="false" customHeight="false" outlineLevel="0" collapsed="false">
      <c r="C620" s="139"/>
      <c r="D620" s="139"/>
      <c r="E620" s="139"/>
      <c r="F620" s="139"/>
      <c r="G620" s="139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39"/>
      <c r="T620" s="139"/>
      <c r="U620" s="139"/>
      <c r="V620" s="139"/>
      <c r="W620" s="139"/>
      <c r="X620" s="139"/>
    </row>
    <row r="621" customFormat="false" ht="13.2" hidden="false" customHeight="false" outlineLevel="0" collapsed="false">
      <c r="C621" s="139"/>
      <c r="D621" s="139"/>
      <c r="E621" s="139"/>
      <c r="F621" s="139"/>
      <c r="G621" s="139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39"/>
      <c r="T621" s="139"/>
      <c r="U621" s="139"/>
      <c r="V621" s="139"/>
      <c r="W621" s="139"/>
      <c r="X621" s="139"/>
    </row>
    <row r="622" customFormat="false" ht="13.2" hidden="false" customHeight="false" outlineLevel="0" collapsed="false">
      <c r="C622" s="139"/>
      <c r="D622" s="139"/>
      <c r="E622" s="139"/>
      <c r="F622" s="139"/>
      <c r="G622" s="139"/>
      <c r="H622" s="139"/>
      <c r="I622" s="139"/>
      <c r="J622" s="139"/>
      <c r="K622" s="139"/>
      <c r="L622" s="139"/>
      <c r="M622" s="139"/>
      <c r="N622" s="139"/>
      <c r="O622" s="139"/>
      <c r="P622" s="139"/>
      <c r="Q622" s="139"/>
      <c r="R622" s="139"/>
      <c r="S622" s="139"/>
      <c r="T622" s="139"/>
      <c r="U622" s="139"/>
      <c r="V622" s="139"/>
      <c r="W622" s="139"/>
      <c r="X622" s="139"/>
    </row>
    <row r="623" customFormat="false" ht="13.2" hidden="false" customHeight="false" outlineLevel="0" collapsed="false">
      <c r="C623" s="139"/>
      <c r="D623" s="139"/>
      <c r="E623" s="139"/>
      <c r="F623" s="139"/>
      <c r="G623" s="139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39"/>
      <c r="T623" s="139"/>
      <c r="U623" s="139"/>
      <c r="V623" s="139"/>
      <c r="W623" s="139"/>
      <c r="X623" s="139"/>
    </row>
    <row r="624" customFormat="false" ht="13.2" hidden="false" customHeight="false" outlineLevel="0" collapsed="false">
      <c r="C624" s="139"/>
      <c r="D624" s="139"/>
      <c r="E624" s="139"/>
      <c r="F624" s="139"/>
      <c r="G624" s="139"/>
      <c r="H624" s="139"/>
      <c r="I624" s="139"/>
      <c r="J624" s="139"/>
      <c r="K624" s="139"/>
      <c r="L624" s="139"/>
      <c r="M624" s="139"/>
      <c r="N624" s="139"/>
      <c r="O624" s="139"/>
      <c r="P624" s="139"/>
      <c r="Q624" s="139"/>
      <c r="R624" s="139"/>
      <c r="S624" s="139"/>
      <c r="T624" s="139"/>
      <c r="U624" s="139"/>
      <c r="V624" s="139"/>
      <c r="W624" s="139"/>
      <c r="X624" s="139"/>
    </row>
    <row r="625" customFormat="false" ht="13.2" hidden="false" customHeight="false" outlineLevel="0" collapsed="false">
      <c r="C625" s="139"/>
      <c r="D625" s="139"/>
      <c r="E625" s="139"/>
      <c r="F625" s="139"/>
      <c r="G625" s="139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39"/>
      <c r="T625" s="139"/>
      <c r="U625" s="139"/>
      <c r="V625" s="139"/>
      <c r="W625" s="139"/>
      <c r="X625" s="139"/>
    </row>
    <row r="626" customFormat="false" ht="13.2" hidden="false" customHeight="false" outlineLevel="0" collapsed="false">
      <c r="C626" s="139"/>
      <c r="D626" s="139"/>
      <c r="E626" s="139"/>
      <c r="F626" s="139"/>
      <c r="G626" s="139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39"/>
      <c r="T626" s="139"/>
      <c r="U626" s="139"/>
      <c r="V626" s="139"/>
      <c r="W626" s="139"/>
      <c r="X626" s="139"/>
    </row>
    <row r="627" customFormat="false" ht="13.2" hidden="false" customHeight="false" outlineLevel="0" collapsed="false">
      <c r="C627" s="139"/>
      <c r="D627" s="139"/>
      <c r="E627" s="139"/>
      <c r="F627" s="139"/>
      <c r="G627" s="139"/>
      <c r="H627" s="139"/>
      <c r="I627" s="139"/>
      <c r="J627" s="139"/>
      <c r="K627" s="139"/>
      <c r="L627" s="139"/>
      <c r="M627" s="139"/>
      <c r="N627" s="139"/>
      <c r="O627" s="139"/>
      <c r="P627" s="139"/>
      <c r="Q627" s="139"/>
      <c r="R627" s="139"/>
      <c r="S627" s="139"/>
      <c r="T627" s="139"/>
      <c r="U627" s="139"/>
      <c r="V627" s="139"/>
      <c r="W627" s="139"/>
      <c r="X627" s="139"/>
    </row>
    <row r="628" customFormat="false" ht="13.2" hidden="false" customHeight="false" outlineLevel="0" collapsed="false"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39"/>
      <c r="T628" s="139"/>
      <c r="U628" s="139"/>
      <c r="V628" s="139"/>
      <c r="W628" s="139"/>
      <c r="X628" s="139"/>
    </row>
    <row r="629" customFormat="false" ht="13.2" hidden="false" customHeight="false" outlineLevel="0" collapsed="false">
      <c r="C629" s="139"/>
      <c r="D629" s="139"/>
      <c r="E629" s="139"/>
      <c r="F629" s="139"/>
      <c r="G629" s="139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39"/>
      <c r="T629" s="139"/>
      <c r="U629" s="139"/>
      <c r="V629" s="139"/>
      <c r="W629" s="139"/>
      <c r="X629" s="139"/>
    </row>
    <row r="630" customFormat="false" ht="13.2" hidden="false" customHeight="false" outlineLevel="0" collapsed="false">
      <c r="C630" s="139"/>
      <c r="D630" s="139"/>
      <c r="E630" s="139"/>
      <c r="F630" s="139"/>
      <c r="G630" s="139"/>
      <c r="H630" s="139"/>
      <c r="I630" s="139"/>
      <c r="J630" s="139"/>
      <c r="K630" s="139"/>
      <c r="L630" s="139"/>
      <c r="M630" s="139"/>
      <c r="N630" s="139"/>
      <c r="O630" s="139"/>
      <c r="P630" s="139"/>
      <c r="Q630" s="139"/>
      <c r="R630" s="139"/>
      <c r="S630" s="139"/>
      <c r="T630" s="139"/>
      <c r="U630" s="139"/>
      <c r="V630" s="139"/>
      <c r="W630" s="139"/>
      <c r="X630" s="139"/>
    </row>
    <row r="631" customFormat="false" ht="13.2" hidden="false" customHeight="false" outlineLevel="0" collapsed="false">
      <c r="C631" s="139"/>
      <c r="D631" s="139"/>
      <c r="E631" s="139"/>
      <c r="F631" s="139"/>
      <c r="G631" s="139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39"/>
      <c r="T631" s="139"/>
      <c r="U631" s="139"/>
      <c r="V631" s="139"/>
      <c r="W631" s="139"/>
      <c r="X631" s="139"/>
    </row>
    <row r="632" customFormat="false" ht="13.2" hidden="false" customHeight="false" outlineLevel="0" collapsed="false">
      <c r="C632" s="139"/>
      <c r="D632" s="139"/>
      <c r="E632" s="139"/>
      <c r="F632" s="139"/>
      <c r="G632" s="139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39"/>
      <c r="T632" s="139"/>
      <c r="U632" s="139"/>
      <c r="V632" s="139"/>
      <c r="W632" s="139"/>
      <c r="X632" s="139"/>
    </row>
    <row r="633" customFormat="false" ht="13.2" hidden="false" customHeight="false" outlineLevel="0" collapsed="false">
      <c r="C633" s="139"/>
      <c r="D633" s="139"/>
      <c r="E633" s="139"/>
      <c r="F633" s="139"/>
      <c r="G633" s="139"/>
      <c r="H633" s="139"/>
      <c r="I633" s="139"/>
      <c r="J633" s="139"/>
      <c r="K633" s="139"/>
      <c r="L633" s="139"/>
      <c r="M633" s="139"/>
      <c r="N633" s="139"/>
      <c r="O633" s="139"/>
      <c r="P633" s="139"/>
      <c r="Q633" s="139"/>
      <c r="R633" s="139"/>
      <c r="S633" s="139"/>
      <c r="T633" s="139"/>
      <c r="U633" s="139"/>
      <c r="V633" s="139"/>
      <c r="W633" s="139"/>
      <c r="X633" s="139"/>
    </row>
    <row r="634" customFormat="false" ht="13.2" hidden="false" customHeight="false" outlineLevel="0" collapsed="false">
      <c r="C634" s="139"/>
      <c r="D634" s="139"/>
      <c r="E634" s="139"/>
      <c r="F634" s="139"/>
      <c r="G634" s="139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39"/>
      <c r="T634" s="139"/>
      <c r="U634" s="139"/>
      <c r="V634" s="139"/>
      <c r="W634" s="139"/>
      <c r="X634" s="139"/>
    </row>
    <row r="635" customFormat="false" ht="13.2" hidden="false" customHeight="false" outlineLevel="0" collapsed="false">
      <c r="C635" s="139"/>
      <c r="D635" s="139"/>
      <c r="E635" s="139"/>
      <c r="F635" s="139"/>
      <c r="G635" s="139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39"/>
      <c r="T635" s="139"/>
      <c r="U635" s="139"/>
      <c r="V635" s="139"/>
      <c r="W635" s="139"/>
      <c r="X635" s="139"/>
    </row>
    <row r="636" customFormat="false" ht="13.2" hidden="false" customHeight="false" outlineLevel="0" collapsed="false">
      <c r="C636" s="139"/>
      <c r="D636" s="139"/>
      <c r="E636" s="139"/>
      <c r="F636" s="139"/>
      <c r="G636" s="139"/>
      <c r="H636" s="139"/>
      <c r="I636" s="139"/>
      <c r="J636" s="139"/>
      <c r="K636" s="139"/>
      <c r="L636" s="139"/>
      <c r="M636" s="139"/>
      <c r="N636" s="139"/>
      <c r="O636" s="139"/>
      <c r="P636" s="139"/>
      <c r="Q636" s="139"/>
      <c r="R636" s="139"/>
      <c r="S636" s="139"/>
      <c r="T636" s="139"/>
      <c r="U636" s="139"/>
      <c r="V636" s="139"/>
      <c r="W636" s="139"/>
      <c r="X636" s="139"/>
    </row>
    <row r="637" customFormat="false" ht="13.2" hidden="false" customHeight="false" outlineLevel="0" collapsed="false">
      <c r="C637" s="139"/>
      <c r="D637" s="139"/>
      <c r="E637" s="139"/>
      <c r="F637" s="139"/>
      <c r="G637" s="139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39"/>
      <c r="T637" s="139"/>
      <c r="U637" s="139"/>
      <c r="V637" s="139"/>
      <c r="W637" s="139"/>
      <c r="X637" s="139"/>
    </row>
    <row r="638" customFormat="false" ht="13.2" hidden="false" customHeight="false" outlineLevel="0" collapsed="false">
      <c r="C638" s="139"/>
      <c r="D638" s="139"/>
      <c r="E638" s="139"/>
      <c r="F638" s="139"/>
      <c r="G638" s="139"/>
      <c r="H638" s="139"/>
      <c r="I638" s="139"/>
      <c r="J638" s="139"/>
      <c r="K638" s="139"/>
      <c r="L638" s="139"/>
      <c r="M638" s="139"/>
      <c r="N638" s="139"/>
      <c r="O638" s="139"/>
      <c r="P638" s="139"/>
      <c r="Q638" s="139"/>
      <c r="R638" s="139"/>
      <c r="S638" s="139"/>
      <c r="T638" s="139"/>
      <c r="U638" s="139"/>
      <c r="V638" s="139"/>
      <c r="W638" s="139"/>
      <c r="X638" s="139"/>
    </row>
    <row r="639" customFormat="false" ht="13.2" hidden="false" customHeight="false" outlineLevel="0" collapsed="false"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  <c r="W639" s="139"/>
      <c r="X639" s="139"/>
    </row>
    <row r="640" customFormat="false" ht="13.2" hidden="false" customHeight="false" outlineLevel="0" collapsed="false"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39"/>
      <c r="T640" s="139"/>
      <c r="U640" s="139"/>
      <c r="V640" s="139"/>
      <c r="W640" s="139"/>
      <c r="X640" s="139"/>
    </row>
    <row r="641" customFormat="false" ht="13.2" hidden="false" customHeight="false" outlineLevel="0" collapsed="false">
      <c r="C641" s="139"/>
      <c r="D641" s="139"/>
      <c r="E641" s="139"/>
      <c r="F641" s="139"/>
      <c r="G641" s="139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39"/>
      <c r="T641" s="139"/>
      <c r="U641" s="139"/>
      <c r="V641" s="139"/>
      <c r="W641" s="139"/>
      <c r="X641" s="139"/>
    </row>
    <row r="642" customFormat="false" ht="13.2" hidden="false" customHeight="false" outlineLevel="0" collapsed="false">
      <c r="C642" s="139"/>
      <c r="D642" s="139"/>
      <c r="E642" s="139"/>
      <c r="F642" s="139"/>
      <c r="G642" s="139"/>
      <c r="H642" s="139"/>
      <c r="I642" s="139"/>
      <c r="J642" s="139"/>
      <c r="K642" s="139"/>
      <c r="L642" s="139"/>
      <c r="M642" s="139"/>
      <c r="N642" s="139"/>
      <c r="O642" s="139"/>
      <c r="P642" s="139"/>
      <c r="Q642" s="139"/>
      <c r="R642" s="139"/>
      <c r="S642" s="139"/>
      <c r="T642" s="139"/>
      <c r="U642" s="139"/>
      <c r="V642" s="139"/>
      <c r="W642" s="139"/>
      <c r="X642" s="139"/>
    </row>
    <row r="643" customFormat="false" ht="13.2" hidden="false" customHeight="false" outlineLevel="0" collapsed="false"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39"/>
      <c r="T643" s="139"/>
      <c r="U643" s="139"/>
      <c r="V643" s="139"/>
      <c r="W643" s="139"/>
      <c r="X643" s="139"/>
    </row>
    <row r="644" customFormat="false" ht="13.2" hidden="false" customHeight="false" outlineLevel="0" collapsed="false"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</row>
    <row r="645" customFormat="false" ht="13.2" hidden="false" customHeight="false" outlineLevel="0" collapsed="false"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  <c r="W645" s="139"/>
      <c r="X645" s="139"/>
    </row>
    <row r="646" customFormat="false" ht="13.2" hidden="false" customHeight="false" outlineLevel="0" collapsed="false"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  <c r="W646" s="139"/>
      <c r="X646" s="139"/>
    </row>
    <row r="647" customFormat="false" ht="13.2" hidden="false" customHeight="false" outlineLevel="0" collapsed="false"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  <c r="W647" s="139"/>
      <c r="X647" s="139"/>
    </row>
    <row r="648" customFormat="false" ht="13.2" hidden="false" customHeight="false" outlineLevel="0" collapsed="false">
      <c r="C648" s="139"/>
      <c r="D648" s="139"/>
      <c r="E648" s="139"/>
      <c r="F648" s="139"/>
      <c r="G648" s="139"/>
      <c r="H648" s="139"/>
      <c r="I648" s="139"/>
      <c r="J648" s="139"/>
      <c r="K648" s="139"/>
      <c r="L648" s="139"/>
      <c r="M648" s="139"/>
      <c r="N648" s="139"/>
      <c r="O648" s="139"/>
      <c r="P648" s="139"/>
      <c r="Q648" s="139"/>
      <c r="R648" s="139"/>
      <c r="S648" s="139"/>
      <c r="T648" s="139"/>
      <c r="U648" s="139"/>
      <c r="V648" s="139"/>
      <c r="W648" s="139"/>
      <c r="X648" s="139"/>
    </row>
    <row r="649" customFormat="false" ht="13.2" hidden="false" customHeight="false" outlineLevel="0" collapsed="false">
      <c r="C649" s="139"/>
      <c r="D649" s="139"/>
      <c r="E649" s="139"/>
      <c r="F649" s="139"/>
      <c r="G649" s="139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39"/>
      <c r="T649" s="139"/>
      <c r="U649" s="139"/>
      <c r="V649" s="139"/>
      <c r="W649" s="139"/>
      <c r="X649" s="139"/>
    </row>
    <row r="650" customFormat="false" ht="13.2" hidden="false" customHeight="false" outlineLevel="0" collapsed="false">
      <c r="C650" s="139"/>
      <c r="D650" s="139"/>
      <c r="E650" s="139"/>
      <c r="F650" s="139"/>
      <c r="G650" s="139"/>
      <c r="H650" s="139"/>
      <c r="I650" s="139"/>
      <c r="J650" s="139"/>
      <c r="K650" s="139"/>
      <c r="L650" s="139"/>
      <c r="M650" s="139"/>
      <c r="N650" s="139"/>
      <c r="O650" s="139"/>
      <c r="P650" s="139"/>
      <c r="Q650" s="139"/>
      <c r="R650" s="139"/>
      <c r="S650" s="139"/>
      <c r="T650" s="139"/>
      <c r="U650" s="139"/>
      <c r="V650" s="139"/>
      <c r="W650" s="139"/>
      <c r="X650" s="139"/>
    </row>
    <row r="651" customFormat="false" ht="13.2" hidden="false" customHeight="false" outlineLevel="0" collapsed="false">
      <c r="C651" s="139"/>
      <c r="D651" s="139"/>
      <c r="E651" s="139"/>
      <c r="F651" s="139"/>
      <c r="G651" s="139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39"/>
      <c r="T651" s="139"/>
      <c r="U651" s="139"/>
      <c r="V651" s="139"/>
      <c r="W651" s="139"/>
      <c r="X651" s="139"/>
    </row>
    <row r="652" customFormat="false" ht="13.2" hidden="false" customHeight="false" outlineLevel="0" collapsed="false">
      <c r="C652" s="139"/>
      <c r="D652" s="139"/>
      <c r="E652" s="139"/>
      <c r="F652" s="139"/>
      <c r="G652" s="139"/>
      <c r="H652" s="139"/>
      <c r="I652" s="139"/>
      <c r="J652" s="139"/>
      <c r="K652" s="139"/>
      <c r="L652" s="139"/>
      <c r="M652" s="139"/>
      <c r="N652" s="139"/>
      <c r="O652" s="139"/>
      <c r="P652" s="139"/>
      <c r="Q652" s="139"/>
      <c r="R652" s="139"/>
      <c r="S652" s="139"/>
      <c r="T652" s="139"/>
      <c r="U652" s="139"/>
      <c r="V652" s="139"/>
      <c r="W652" s="139"/>
      <c r="X652" s="139"/>
    </row>
    <row r="653" customFormat="false" ht="13.2" hidden="false" customHeight="false" outlineLevel="0" collapsed="false"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</row>
    <row r="654" customFormat="false" ht="13.2" hidden="false" customHeight="false" outlineLevel="0" collapsed="false">
      <c r="C654" s="139"/>
      <c r="D654" s="139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9"/>
      <c r="R654" s="139"/>
      <c r="S654" s="139"/>
      <c r="T654" s="139"/>
      <c r="U654" s="139"/>
      <c r="V654" s="139"/>
      <c r="W654" s="139"/>
      <c r="X654" s="139"/>
    </row>
    <row r="655" customFormat="false" ht="13.2" hidden="false" customHeight="false" outlineLevel="0" collapsed="false">
      <c r="C655" s="139"/>
      <c r="D655" s="139"/>
      <c r="E655" s="139"/>
      <c r="F655" s="139"/>
      <c r="G655" s="139"/>
      <c r="H655" s="139"/>
      <c r="I655" s="139"/>
      <c r="J655" s="139"/>
      <c r="K655" s="139"/>
      <c r="L655" s="139"/>
      <c r="M655" s="139"/>
      <c r="N655" s="139"/>
      <c r="O655" s="139"/>
      <c r="P655" s="139"/>
      <c r="Q655" s="139"/>
      <c r="R655" s="139"/>
      <c r="S655" s="139"/>
      <c r="T655" s="139"/>
      <c r="U655" s="139"/>
      <c r="V655" s="139"/>
      <c r="W655" s="139"/>
      <c r="X655" s="139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4" man="true" max="16383" min="0"/>
    <brk id="134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837"/>
  <sheetViews>
    <sheetView showFormulas="false" showGridLines="true" showRowColHeaders="true" showZeros="true" rightToLeft="false" tabSelected="false" showOutlineSymbols="true" defaultGridColor="true" view="pageBreakPreview" topLeftCell="B63" colorId="64" zoomScale="75" zoomScaleNormal="75" zoomScalePageLayoutView="75" workbookViewId="0">
      <selection pane="topLeft" activeCell="G91" activeCellId="0" sqref="G91"/>
    </sheetView>
  </sheetViews>
  <sheetFormatPr defaultColWidth="8.875" defaultRowHeight="13.2" customHeight="true" zeroHeight="false" outlineLevelRow="0" outlineLevelCol="0"/>
  <cols>
    <col collapsed="false" customWidth="true" hidden="true" outlineLevel="0" max="1" min="1" style="19" width="0.1"/>
    <col collapsed="false" customWidth="true" hidden="false" outlineLevel="0" max="2" min="2" style="33" width="32.66"/>
    <col collapsed="false" customWidth="true" hidden="false" outlineLevel="0" max="3" min="3" style="19" width="13.43"/>
    <col collapsed="false" customWidth="true" hidden="false" outlineLevel="0" max="4" min="4" style="19" width="10.87"/>
    <col collapsed="false" customWidth="true" hidden="false" outlineLevel="0" max="5" min="5" style="19" width="10.99"/>
    <col collapsed="false" customWidth="true" hidden="false" outlineLevel="0" max="6" min="6" style="19" width="11.32"/>
    <col collapsed="false" customWidth="true" hidden="false" outlineLevel="0" max="7" min="7" style="19" width="11.1"/>
    <col collapsed="false" customWidth="true" hidden="false" outlineLevel="0" max="8" min="8" style="19" width="10.43"/>
    <col collapsed="false" customWidth="true" hidden="false" outlineLevel="0" max="9" min="9" style="19" width="10.87"/>
    <col collapsed="false" customWidth="true" hidden="false" outlineLevel="0" max="14" min="10" style="19" width="10.43"/>
    <col collapsed="false" customWidth="true" hidden="false" outlineLevel="0" max="15" min="15" style="19" width="12.1"/>
    <col collapsed="false" customWidth="false" hidden="false" outlineLevel="0" max="257" min="16" style="19" width="8.87"/>
  </cols>
  <sheetData>
    <row r="1" customFormat="false" ht="13.2" hidden="false" customHeight="false" outlineLevel="0" collapsed="false">
      <c r="B1" s="21" t="s">
        <v>32</v>
      </c>
    </row>
    <row r="2" customFormat="false" ht="21" hidden="false" customHeight="false" outlineLevel="0" collapsed="false">
      <c r="B2" s="198" t="s">
        <v>1073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customFormat="false" ht="13.2" hidden="false" customHeight="false" outlineLevel="0" collapsed="false">
      <c r="B3" s="37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74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</row>
    <row r="4" customFormat="false" ht="15.6" hidden="false" customHeight="false" outlineLevel="0" collapsed="false">
      <c r="B4" s="375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</row>
    <row r="5" customFormat="false" ht="13.2" hidden="false" customHeight="false" outlineLevel="0" collapsed="false">
      <c r="B5" s="21" t="s">
        <v>1074</v>
      </c>
      <c r="C5" s="376" t="s">
        <v>52</v>
      </c>
      <c r="D5" s="37" t="s">
        <v>41</v>
      </c>
      <c r="E5" s="37" t="s">
        <v>42</v>
      </c>
      <c r="F5" s="37" t="s">
        <v>43</v>
      </c>
      <c r="G5" s="37" t="s">
        <v>44</v>
      </c>
      <c r="H5" s="37" t="s">
        <v>45</v>
      </c>
      <c r="I5" s="37" t="s">
        <v>46</v>
      </c>
      <c r="J5" s="37" t="s">
        <v>47</v>
      </c>
      <c r="K5" s="37" t="s">
        <v>48</v>
      </c>
      <c r="L5" s="37" t="s">
        <v>49</v>
      </c>
      <c r="M5" s="37" t="s">
        <v>50</v>
      </c>
      <c r="N5" s="37" t="s">
        <v>51</v>
      </c>
      <c r="O5" s="37" t="s">
        <v>52</v>
      </c>
      <c r="P5" s="8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customFormat="false" ht="13.2" hidden="false" customHeight="false" outlineLevel="0" collapsed="false">
      <c r="C6" s="376" t="n">
        <v>2001</v>
      </c>
      <c r="D6" s="215" t="n">
        <v>2002</v>
      </c>
      <c r="E6" s="215" t="n">
        <v>2002</v>
      </c>
      <c r="F6" s="215" t="n">
        <v>2002</v>
      </c>
      <c r="G6" s="215" t="n">
        <v>2002</v>
      </c>
      <c r="H6" s="215" t="n">
        <v>2002</v>
      </c>
      <c r="I6" s="215" t="n">
        <v>2002</v>
      </c>
      <c r="J6" s="215" t="n">
        <v>2002</v>
      </c>
      <c r="K6" s="215" t="n">
        <v>2002</v>
      </c>
      <c r="L6" s="215" t="n">
        <v>2002</v>
      </c>
      <c r="M6" s="215" t="n">
        <v>2002</v>
      </c>
      <c r="N6" s="215" t="n">
        <v>2002</v>
      </c>
      <c r="O6" s="215" t="n">
        <v>2002</v>
      </c>
      <c r="P6" s="214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</row>
    <row r="7" customFormat="false" ht="13.2" hidden="false" customHeight="false" outlineLevel="0" collapsed="false">
      <c r="B7" s="21" t="s">
        <v>1075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</row>
    <row r="8" customFormat="false" ht="13.2" hidden="false" customHeight="false" outlineLevel="0" collapsed="false">
      <c r="B8" s="21" t="s">
        <v>1076</v>
      </c>
      <c r="C8" s="377" t="n">
        <v>1746.4</v>
      </c>
      <c r="D8" s="377" t="n">
        <f aca="false">C8</f>
        <v>1746.4</v>
      </c>
      <c r="E8" s="377" t="n">
        <f aca="false">D8</f>
        <v>1746.4</v>
      </c>
      <c r="F8" s="377" t="n">
        <f aca="false">E8</f>
        <v>1746.4</v>
      </c>
      <c r="G8" s="377" t="n">
        <f aca="false">F8</f>
        <v>1746.4</v>
      </c>
      <c r="H8" s="377" t="n">
        <f aca="false">G8</f>
        <v>1746.4</v>
      </c>
      <c r="I8" s="377" t="n">
        <f aca="false">H8</f>
        <v>1746.4</v>
      </c>
      <c r="J8" s="377" t="n">
        <f aca="false">I8</f>
        <v>1746.4</v>
      </c>
      <c r="K8" s="377" t="n">
        <f aca="false">J8</f>
        <v>1746.4</v>
      </c>
      <c r="L8" s="377" t="n">
        <f aca="false">K8</f>
        <v>1746.4</v>
      </c>
      <c r="M8" s="377" t="n">
        <f aca="false">L8</f>
        <v>1746.4</v>
      </c>
      <c r="N8" s="377" t="n">
        <f aca="false">M8</f>
        <v>1746.4</v>
      </c>
      <c r="O8" s="377" t="n">
        <f aca="false">N8</f>
        <v>1746.4</v>
      </c>
      <c r="P8" s="377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</row>
    <row r="9" customFormat="false" ht="13.2" hidden="false" customHeight="false" outlineLevel="0" collapsed="false"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</row>
    <row r="10" customFormat="false" ht="13.2" hidden="false" customHeight="false" outlineLevel="0" collapsed="false">
      <c r="C10" s="378" t="n">
        <f aca="false">C8</f>
        <v>1746.4</v>
      </c>
      <c r="D10" s="378" t="n">
        <f aca="false">D8</f>
        <v>1746.4</v>
      </c>
      <c r="E10" s="378" t="n">
        <f aca="false">E8</f>
        <v>1746.4</v>
      </c>
      <c r="F10" s="378" t="n">
        <f aca="false">F8</f>
        <v>1746.4</v>
      </c>
      <c r="G10" s="378" t="n">
        <f aca="false">G8</f>
        <v>1746.4</v>
      </c>
      <c r="H10" s="378" t="n">
        <f aca="false">H8</f>
        <v>1746.4</v>
      </c>
      <c r="I10" s="378" t="n">
        <f aca="false">I8</f>
        <v>1746.4</v>
      </c>
      <c r="J10" s="378" t="n">
        <f aca="false">J8</f>
        <v>1746.4</v>
      </c>
      <c r="K10" s="378" t="n">
        <f aca="false">K8</f>
        <v>1746.4</v>
      </c>
      <c r="L10" s="378" t="n">
        <f aca="false">L8</f>
        <v>1746.4</v>
      </c>
      <c r="M10" s="378" t="n">
        <f aca="false">M8</f>
        <v>1746.4</v>
      </c>
      <c r="N10" s="378" t="n">
        <f aca="false">N8</f>
        <v>1746.4</v>
      </c>
      <c r="O10" s="378" t="n">
        <f aca="false">O8</f>
        <v>1746.4</v>
      </c>
      <c r="P10" s="377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</row>
    <row r="11" customFormat="false" ht="13.2" hidden="false" customHeight="false" outlineLevel="0" collapsed="false"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</row>
    <row r="12" customFormat="false" ht="13.2" hidden="false" customHeight="false" outlineLevel="0" collapsed="false"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</row>
    <row r="13" customFormat="false" ht="13.2" hidden="false" customHeight="false" outlineLevel="0" collapsed="false">
      <c r="B13" s="21" t="s">
        <v>1077</v>
      </c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</row>
    <row r="14" customFormat="false" ht="13.2" hidden="false" customHeight="false" outlineLevel="0" collapsed="false">
      <c r="B14" s="33" t="s">
        <v>1078</v>
      </c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</row>
    <row r="15" customFormat="false" ht="13.2" hidden="false" customHeight="false" outlineLevel="0" collapsed="false">
      <c r="B15" s="33" t="s">
        <v>1079</v>
      </c>
      <c r="C15" s="377" t="n">
        <v>136266.3</v>
      </c>
      <c r="D15" s="377" t="n">
        <f aca="false">C15</f>
        <v>136266.3</v>
      </c>
      <c r="E15" s="377" t="n">
        <f aca="false">D15</f>
        <v>136266.3</v>
      </c>
      <c r="F15" s="377" t="n">
        <f aca="false">E15</f>
        <v>136266.3</v>
      </c>
      <c r="G15" s="377" t="n">
        <f aca="false">F15</f>
        <v>136266.3</v>
      </c>
      <c r="H15" s="377" t="n">
        <f aca="false">G15</f>
        <v>136266.3</v>
      </c>
      <c r="I15" s="377" t="n">
        <f aca="false">H15</f>
        <v>136266.3</v>
      </c>
      <c r="J15" s="377" t="n">
        <f aca="false">I15</f>
        <v>136266.3</v>
      </c>
      <c r="K15" s="377" t="n">
        <f aca="false">J15</f>
        <v>136266.3</v>
      </c>
      <c r="L15" s="377" t="n">
        <f aca="false">K15</f>
        <v>136266.3</v>
      </c>
      <c r="M15" s="377" t="n">
        <f aca="false">L15</f>
        <v>136266.3</v>
      </c>
      <c r="N15" s="377" t="n">
        <f aca="false">M15</f>
        <v>136266.3</v>
      </c>
      <c r="O15" s="377" t="n">
        <f aca="false">N15</f>
        <v>136266.3</v>
      </c>
      <c r="P15" s="377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</row>
    <row r="16" customFormat="false" ht="13.2" hidden="false" customHeight="false" outlineLevel="0" collapsed="false">
      <c r="B16" s="33" t="s">
        <v>1080</v>
      </c>
      <c r="C16" s="377" t="n">
        <v>431828</v>
      </c>
      <c r="D16" s="377" t="n">
        <f aca="false">C16+C19+(Depreciation!B21/1000)</f>
        <v>432376.447</v>
      </c>
      <c r="E16" s="377" t="n">
        <f aca="false">D16+D19+(Depreciation!C21/1000)</f>
        <v>432376.447</v>
      </c>
      <c r="F16" s="377" t="n">
        <f aca="false">E16+E19+(Depreciation!D21/1000)</f>
        <v>432411.411285714</v>
      </c>
      <c r="G16" s="377" t="n">
        <f aca="false">F16+F19+(Depreciation!E21/1000)</f>
        <v>432411.411285714</v>
      </c>
      <c r="H16" s="377" t="n">
        <f aca="false">G16+G19+(Depreciation!F21/1000)</f>
        <v>432411.411285714</v>
      </c>
      <c r="I16" s="377" t="n">
        <f aca="false">H16+H19+(Depreciation!G21/1000)</f>
        <v>432472.054142857</v>
      </c>
      <c r="J16" s="377" t="n">
        <f aca="false">I16+I19+(Depreciation!H21/1000)</f>
        <v>432472.054142857</v>
      </c>
      <c r="K16" s="377" t="n">
        <f aca="false">J16+J19+(Depreciation!I21/1000)</f>
        <v>432472.054142857</v>
      </c>
      <c r="L16" s="377" t="n">
        <f aca="false">K16+K19+(Depreciation!J21/1000)</f>
        <v>432472.054142857</v>
      </c>
      <c r="M16" s="377" t="n">
        <f aca="false">L16+L19+(Depreciation!K21/1000)</f>
        <v>432472.054142857</v>
      </c>
      <c r="N16" s="377" t="n">
        <f aca="false">M16+M19+(Depreciation!L21/1000)</f>
        <v>432472.054142857</v>
      </c>
      <c r="O16" s="377" t="n">
        <f aca="false">N16+N19+(Depreciation!M21/1000)</f>
        <v>432472.054142857</v>
      </c>
      <c r="P16" s="377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</row>
    <row r="17" customFormat="false" ht="13.2" hidden="false" customHeight="false" outlineLevel="0" collapsed="false">
      <c r="B17" s="33" t="s">
        <v>1081</v>
      </c>
      <c r="C17" s="377" t="n">
        <v>691.9</v>
      </c>
      <c r="D17" s="377" t="n">
        <v>691.6</v>
      </c>
      <c r="E17" s="377" t="n">
        <v>691.6</v>
      </c>
      <c r="F17" s="377" t="n">
        <v>691.6</v>
      </c>
      <c r="G17" s="377" t="n">
        <v>691.6</v>
      </c>
      <c r="H17" s="377" t="n">
        <v>691.6</v>
      </c>
      <c r="I17" s="377" t="n">
        <v>691.6</v>
      </c>
      <c r="J17" s="377" t="n">
        <v>691.6</v>
      </c>
      <c r="K17" s="377" t="n">
        <v>691.6</v>
      </c>
      <c r="L17" s="377" t="n">
        <v>691.6</v>
      </c>
      <c r="M17" s="377" t="n">
        <v>691.6</v>
      </c>
      <c r="N17" s="377" t="n">
        <v>691.6</v>
      </c>
      <c r="O17" s="377" t="n">
        <v>691.6</v>
      </c>
      <c r="P17" s="377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</row>
    <row r="18" customFormat="false" ht="13.2" hidden="false" customHeight="false" outlineLevel="0" collapsed="false">
      <c r="B18" s="33" t="s">
        <v>1082</v>
      </c>
      <c r="C18" s="377" t="n">
        <v>784.9</v>
      </c>
      <c r="D18" s="377" t="n">
        <v>784.9</v>
      </c>
      <c r="E18" s="377" t="n">
        <v>784.9</v>
      </c>
      <c r="F18" s="377" t="n">
        <v>784.9</v>
      </c>
      <c r="G18" s="377" t="n">
        <v>784.9</v>
      </c>
      <c r="H18" s="377" t="n">
        <v>784.9</v>
      </c>
      <c r="I18" s="377" t="n">
        <v>784.9</v>
      </c>
      <c r="J18" s="377" t="n">
        <v>784.9</v>
      </c>
      <c r="K18" s="377" t="n">
        <v>784.9</v>
      </c>
      <c r="L18" s="377" t="n">
        <v>784.9</v>
      </c>
      <c r="M18" s="377" t="n">
        <v>784.9</v>
      </c>
      <c r="N18" s="377" t="n">
        <v>784.9</v>
      </c>
      <c r="O18" s="377" t="n">
        <v>784.9</v>
      </c>
      <c r="P18" s="377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</row>
    <row r="19" customFormat="false" ht="13.2" hidden="false" customHeight="false" outlineLevel="0" collapsed="false">
      <c r="B19" s="33" t="s">
        <v>1083</v>
      </c>
      <c r="C19" s="377" t="n">
        <v>411.7</v>
      </c>
      <c r="D19" s="377" t="n">
        <v>0</v>
      </c>
      <c r="E19" s="377" t="n">
        <v>0</v>
      </c>
      <c r="F19" s="377" t="n">
        <v>0</v>
      </c>
      <c r="G19" s="377" t="n">
        <v>0</v>
      </c>
      <c r="H19" s="377" t="n">
        <v>0</v>
      </c>
      <c r="I19" s="377" t="n">
        <v>0</v>
      </c>
      <c r="J19" s="377" t="n">
        <v>0</v>
      </c>
      <c r="K19" s="377" t="n">
        <v>0</v>
      </c>
      <c r="L19" s="377" t="n">
        <v>0</v>
      </c>
      <c r="M19" s="377" t="n">
        <v>0</v>
      </c>
      <c r="N19" s="377" t="n">
        <v>0</v>
      </c>
      <c r="O19" s="377" t="n">
        <v>0</v>
      </c>
      <c r="P19" s="377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</row>
    <row r="20" customFormat="false" ht="13.2" hidden="false" customHeight="false" outlineLevel="0" collapsed="false"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</row>
    <row r="21" customFormat="false" ht="13.2" hidden="false" customHeight="false" outlineLevel="0" collapsed="false">
      <c r="C21" s="378" t="n">
        <f aca="false">SUM(C14:C19)</f>
        <v>569982.8</v>
      </c>
      <c r="D21" s="378" t="n">
        <f aca="false">SUM(D14:D19)</f>
        <v>570119.247</v>
      </c>
      <c r="E21" s="378" t="n">
        <f aca="false">SUM(E14:E19)</f>
        <v>570119.247</v>
      </c>
      <c r="F21" s="378" t="n">
        <f aca="false">SUM(F14:F19)</f>
        <v>570154.211285714</v>
      </c>
      <c r="G21" s="378" t="n">
        <f aca="false">SUM(G14:G19)</f>
        <v>570154.211285714</v>
      </c>
      <c r="H21" s="378" t="n">
        <f aca="false">SUM(H14:H19)</f>
        <v>570154.211285714</v>
      </c>
      <c r="I21" s="378" t="n">
        <f aca="false">SUM(I14:I19)</f>
        <v>570214.854142857</v>
      </c>
      <c r="J21" s="378" t="n">
        <f aca="false">SUM(J14:J19)</f>
        <v>570214.854142857</v>
      </c>
      <c r="K21" s="378" t="n">
        <f aca="false">SUM(K14:K19)</f>
        <v>570214.854142857</v>
      </c>
      <c r="L21" s="378" t="n">
        <f aca="false">SUM(L14:L19)</f>
        <v>570214.854142857</v>
      </c>
      <c r="M21" s="378" t="n">
        <f aca="false">SUM(M14:M19)</f>
        <v>570214.854142857</v>
      </c>
      <c r="N21" s="378" t="n">
        <f aca="false">SUM(N14:N19)</f>
        <v>570214.854142857</v>
      </c>
      <c r="O21" s="378" t="n">
        <f aca="false">SUM(O14:O19)</f>
        <v>570214.854142857</v>
      </c>
      <c r="P21" s="377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</row>
    <row r="22" customFormat="false" ht="13.2" hidden="false" customHeight="false" outlineLevel="0" collapsed="false"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</row>
    <row r="23" customFormat="false" ht="13.2" hidden="false" customHeight="false" outlineLevel="0" collapsed="false">
      <c r="B23" s="21" t="s">
        <v>1084</v>
      </c>
      <c r="C23" s="377" t="n">
        <v>-55822.3</v>
      </c>
      <c r="D23" s="377" t="n">
        <f aca="false">C23-'P&amp;LPLN'!C35/1000</f>
        <v>-58761.94097</v>
      </c>
      <c r="E23" s="377" t="n">
        <f aca="false">D23-'P&amp;LPLN'!D35/1000</f>
        <v>-61702.2850474917</v>
      </c>
      <c r="F23" s="377" t="n">
        <f aca="false">E23-'P&amp;LPLN'!E35/1000</f>
        <v>-64642.6291249833</v>
      </c>
      <c r="G23" s="377" t="n">
        <f aca="false">F23-'P&amp;LPLN'!F35/1000</f>
        <v>-67583.1529771774</v>
      </c>
      <c r="H23" s="377" t="n">
        <f aca="false">G23-'P&amp;LPLN'!G35/1000</f>
        <v>-70523.6768293714</v>
      </c>
      <c r="I23" s="377" t="n">
        <f aca="false">H23-'P&amp;LPLN'!H35/1000</f>
        <v>-73464.2006815655</v>
      </c>
      <c r="J23" s="377" t="n">
        <f aca="false">I23-'P&amp;LPLN'!I35/1000</f>
        <v>-76405.0363391167</v>
      </c>
      <c r="K23" s="377" t="n">
        <f aca="false">J23-'P&amp;LPLN'!J35/1000</f>
        <v>-79345.8719966679</v>
      </c>
      <c r="L23" s="377" t="n">
        <f aca="false">K23-'P&amp;LPLN'!K35/1000</f>
        <v>-82286.707654219</v>
      </c>
      <c r="M23" s="377" t="n">
        <f aca="false">L23-'P&amp;LPLN'!L35/1000</f>
        <v>-85227.5433117702</v>
      </c>
      <c r="N23" s="377" t="n">
        <f aca="false">M23-'P&amp;LPLN'!M35/1000</f>
        <v>-88168.3789693214</v>
      </c>
      <c r="O23" s="377" t="n">
        <f aca="false">N23-'P&amp;LPLN'!N35/1000</f>
        <v>-91109.2146268726</v>
      </c>
      <c r="P23" s="377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</row>
    <row r="24" customFormat="false" ht="13.2" hidden="false" customHeight="false" outlineLevel="0" collapsed="false">
      <c r="C24" s="378" t="n">
        <f aca="false">C23</f>
        <v>-55822.3</v>
      </c>
      <c r="D24" s="378" t="n">
        <f aca="false">D23</f>
        <v>-58761.94097</v>
      </c>
      <c r="E24" s="378" t="n">
        <f aca="false">E23</f>
        <v>-61702.2850474917</v>
      </c>
      <c r="F24" s="378" t="n">
        <f aca="false">F23</f>
        <v>-64642.6291249833</v>
      </c>
      <c r="G24" s="378" t="n">
        <f aca="false">G23</f>
        <v>-67583.1529771774</v>
      </c>
      <c r="H24" s="378" t="n">
        <f aca="false">H23</f>
        <v>-70523.6768293714</v>
      </c>
      <c r="I24" s="378" t="n">
        <f aca="false">I23</f>
        <v>-73464.2006815655</v>
      </c>
      <c r="J24" s="378" t="n">
        <f aca="false">J23</f>
        <v>-76405.0363391167</v>
      </c>
      <c r="K24" s="378" t="n">
        <f aca="false">K23</f>
        <v>-79345.8719966679</v>
      </c>
      <c r="L24" s="378" t="n">
        <f aca="false">L23</f>
        <v>-82286.707654219</v>
      </c>
      <c r="M24" s="378" t="n">
        <f aca="false">M23</f>
        <v>-85227.5433117702</v>
      </c>
      <c r="N24" s="378" t="n">
        <f aca="false">N23</f>
        <v>-88168.3789693214</v>
      </c>
      <c r="O24" s="378" t="n">
        <f aca="false">O23</f>
        <v>-91109.2146268726</v>
      </c>
      <c r="P24" s="377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</row>
    <row r="25" customFormat="false" ht="13.2" hidden="false" customHeight="false" outlineLevel="0" collapsed="false"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</row>
    <row r="26" customFormat="false" ht="13.2" hidden="false" customHeight="false" outlineLevel="0" collapsed="false">
      <c r="B26" s="21" t="s">
        <v>1085</v>
      </c>
      <c r="C26" s="377" t="n">
        <f aca="false">C10+C21+C24</f>
        <v>515906.9</v>
      </c>
      <c r="D26" s="377" t="n">
        <f aca="false">D10+D21+D24</f>
        <v>513103.70603</v>
      </c>
      <c r="E26" s="377" t="n">
        <f aca="false">E10+E21+E24</f>
        <v>510163.361952508</v>
      </c>
      <c r="F26" s="377" t="n">
        <f aca="false">F10+F21+F24</f>
        <v>507257.982160731</v>
      </c>
      <c r="G26" s="377" t="n">
        <f aca="false">G10+G21+G24</f>
        <v>504317.458308537</v>
      </c>
      <c r="H26" s="377" t="n">
        <f aca="false">H10+H21+H24</f>
        <v>501376.934456343</v>
      </c>
      <c r="I26" s="377" t="n">
        <f aca="false">I10+I21+I24</f>
        <v>498497.053461292</v>
      </c>
      <c r="J26" s="377" t="n">
        <f aca="false">J10+J21+J24</f>
        <v>495556.21780374</v>
      </c>
      <c r="K26" s="377" t="n">
        <f aca="false">K10+K21+K24</f>
        <v>492615.382146189</v>
      </c>
      <c r="L26" s="377" t="n">
        <f aca="false">L10+L21+L24</f>
        <v>489674.546488638</v>
      </c>
      <c r="M26" s="377" t="n">
        <f aca="false">M10+M21+M24</f>
        <v>486733.710831087</v>
      </c>
      <c r="N26" s="377" t="n">
        <f aca="false">N10+N21+N24</f>
        <v>483792.875173536</v>
      </c>
      <c r="O26" s="377" t="n">
        <f aca="false">O10+O21+O24</f>
        <v>480852.039515985</v>
      </c>
      <c r="P26" s="377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</row>
    <row r="27" customFormat="false" ht="13.2" hidden="false" customHeight="false" outlineLevel="0" collapsed="false"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</row>
    <row r="28" customFormat="false" ht="13.2" hidden="false" customHeight="false" outlineLevel="0" collapsed="false"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</row>
    <row r="29" customFormat="false" ht="13.2" hidden="false" customHeight="false" outlineLevel="0" collapsed="false">
      <c r="B29" s="21" t="s">
        <v>1086</v>
      </c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</row>
    <row r="30" customFormat="false" ht="13.2" hidden="false" customHeight="false" outlineLevel="0" collapsed="false">
      <c r="B30" s="21" t="s">
        <v>1087</v>
      </c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</row>
    <row r="31" customFormat="false" ht="15.6" hidden="false" customHeight="true" outlineLevel="0" collapsed="false">
      <c r="B31" s="33" t="s">
        <v>1088</v>
      </c>
      <c r="C31" s="377" t="n">
        <v>9100</v>
      </c>
      <c r="D31" s="377" t="n">
        <f aca="false">C31-200+124</f>
        <v>9024</v>
      </c>
      <c r="E31" s="377" t="n">
        <f aca="false">D31-200</f>
        <v>8824</v>
      </c>
      <c r="F31" s="379" t="n">
        <f aca="false">E31-200+3614</f>
        <v>12238</v>
      </c>
      <c r="G31" s="377" t="n">
        <f aca="false">F31-200</f>
        <v>12038</v>
      </c>
      <c r="H31" s="377" t="n">
        <f aca="false">G31-200</f>
        <v>11838</v>
      </c>
      <c r="I31" s="377" t="n">
        <f aca="false">H31-200</f>
        <v>11638</v>
      </c>
      <c r="J31" s="377" t="n">
        <f aca="false">I31-200</f>
        <v>11438</v>
      </c>
      <c r="K31" s="377" t="n">
        <f aca="false">J31-200</f>
        <v>11238</v>
      </c>
      <c r="L31" s="377" t="n">
        <f aca="false">K31-200</f>
        <v>11038</v>
      </c>
      <c r="M31" s="377" t="n">
        <f aca="false">L31-200</f>
        <v>10838</v>
      </c>
      <c r="N31" s="377" t="n">
        <f aca="false">M31-200</f>
        <v>10638</v>
      </c>
      <c r="O31" s="377" t="n">
        <f aca="false">N31-200</f>
        <v>10438</v>
      </c>
      <c r="P31" s="377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</row>
    <row r="32" customFormat="false" ht="13.2" hidden="false" customHeight="false" outlineLevel="0" collapsed="false">
      <c r="B32" s="33" t="s">
        <v>1089</v>
      </c>
      <c r="C32" s="377" t="n">
        <v>47</v>
      </c>
      <c r="D32" s="377" t="n">
        <f aca="false">C32</f>
        <v>47</v>
      </c>
      <c r="E32" s="377" t="n">
        <f aca="false">D32</f>
        <v>47</v>
      </c>
      <c r="F32" s="377" t="n">
        <f aca="false">E32</f>
        <v>47</v>
      </c>
      <c r="G32" s="377" t="n">
        <f aca="false">F32</f>
        <v>47</v>
      </c>
      <c r="H32" s="377" t="n">
        <f aca="false">G32</f>
        <v>47</v>
      </c>
      <c r="I32" s="377" t="n">
        <f aca="false">H32</f>
        <v>47</v>
      </c>
      <c r="J32" s="377" t="n">
        <f aca="false">I32</f>
        <v>47</v>
      </c>
      <c r="K32" s="377" t="n">
        <f aca="false">J32</f>
        <v>47</v>
      </c>
      <c r="L32" s="377" t="n">
        <f aca="false">K32</f>
        <v>47</v>
      </c>
      <c r="M32" s="377" t="n">
        <f aca="false">L32</f>
        <v>47</v>
      </c>
      <c r="N32" s="377" t="n">
        <f aca="false">M32</f>
        <v>47</v>
      </c>
      <c r="O32" s="377" t="n">
        <f aca="false">N32</f>
        <v>47</v>
      </c>
      <c r="P32" s="377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</row>
    <row r="33" customFormat="false" ht="13.2" hidden="false" customHeight="false" outlineLevel="0" collapsed="false">
      <c r="B33" s="33" t="s">
        <v>1090</v>
      </c>
      <c r="C33" s="377" t="n">
        <v>12</v>
      </c>
      <c r="D33" s="377" t="n">
        <v>0</v>
      </c>
      <c r="E33" s="377" t="n">
        <v>0</v>
      </c>
      <c r="F33" s="377" t="n">
        <v>0</v>
      </c>
      <c r="G33" s="377" t="n">
        <v>0</v>
      </c>
      <c r="H33" s="377" t="n">
        <v>0</v>
      </c>
      <c r="I33" s="377" t="n">
        <v>0</v>
      </c>
      <c r="J33" s="377" t="n">
        <v>0</v>
      </c>
      <c r="K33" s="377" t="n">
        <v>0</v>
      </c>
      <c r="L33" s="377" t="n">
        <v>0</v>
      </c>
      <c r="M33" s="377" t="n">
        <v>0</v>
      </c>
      <c r="N33" s="377" t="n">
        <v>0</v>
      </c>
      <c r="O33" s="377" t="n">
        <v>0</v>
      </c>
      <c r="P33" s="377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</row>
    <row r="34" customFormat="false" ht="13.2" hidden="false" customHeight="false" outlineLevel="0" collapsed="false"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</row>
    <row r="35" customFormat="false" ht="13.2" hidden="false" customHeight="false" outlineLevel="0" collapsed="false">
      <c r="C35" s="378" t="n">
        <f aca="false">SUM(C31:C33)</f>
        <v>9159</v>
      </c>
      <c r="D35" s="378" t="n">
        <f aca="false">SUM(D31:D33)</f>
        <v>9071</v>
      </c>
      <c r="E35" s="378" t="n">
        <f aca="false">SUM(E31:E33)</f>
        <v>8871</v>
      </c>
      <c r="F35" s="378" t="n">
        <f aca="false">SUM(F31:F33)</f>
        <v>12285</v>
      </c>
      <c r="G35" s="378" t="n">
        <f aca="false">SUM(G31:G33)</f>
        <v>12085</v>
      </c>
      <c r="H35" s="378" t="n">
        <f aca="false">SUM(H31:H33)</f>
        <v>11885</v>
      </c>
      <c r="I35" s="378" t="n">
        <f aca="false">SUM(I31:I33)</f>
        <v>11685</v>
      </c>
      <c r="J35" s="378" t="n">
        <f aca="false">SUM(J31:J33)</f>
        <v>11485</v>
      </c>
      <c r="K35" s="378" t="n">
        <f aca="false">SUM(K31:K33)</f>
        <v>11285</v>
      </c>
      <c r="L35" s="378" t="n">
        <f aca="false">SUM(L31:L33)</f>
        <v>11085</v>
      </c>
      <c r="M35" s="378" t="n">
        <f aca="false">SUM(M31:M33)</f>
        <v>10885</v>
      </c>
      <c r="N35" s="378" t="n">
        <f aca="false">SUM(N31:N33)</f>
        <v>10685</v>
      </c>
      <c r="O35" s="378" t="n">
        <f aca="false">SUM(O31:O33)</f>
        <v>10485</v>
      </c>
      <c r="P35" s="377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</row>
    <row r="36" customFormat="false" ht="13.2" hidden="false" customHeight="false" outlineLevel="0" collapsed="false"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</row>
    <row r="37" customFormat="false" ht="13.2" hidden="false" customHeight="false" outlineLevel="0" collapsed="false">
      <c r="B37" s="21" t="s">
        <v>1091</v>
      </c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</row>
    <row r="38" customFormat="false" ht="13.2" hidden="false" customHeight="false" outlineLevel="0" collapsed="false">
      <c r="B38" s="33" t="s">
        <v>1092</v>
      </c>
      <c r="C38" s="377" t="n">
        <v>44813.6</v>
      </c>
      <c r="D38" s="377" t="n">
        <f aca="false">'P&amp;LPLN'!C12*1.22/1000+25903</f>
        <v>45330.9880193364</v>
      </c>
      <c r="E38" s="377" t="n">
        <f aca="false">'P&amp;LPLN'!D12*1.22/1000+25903+'P&amp;LPLN'!C9/1000</f>
        <v>44214.1024324661</v>
      </c>
      <c r="F38" s="377" t="n">
        <f aca="false">'P&amp;LPLN'!E12*1.22/1000+25903+'P&amp;LPLN'!D9/1000+'P&amp;LPLN'!C9/1000</f>
        <v>44826.5639005911</v>
      </c>
      <c r="G38" s="377" t="n">
        <f aca="false">'P&amp;LPLN'!F12*1.22/1000+25903+'P&amp;LPLN'!E9/1000+'P&amp;LPLN'!D9/1000+'P&amp;LPLN'!C9/1000</f>
        <v>43690.4406873102</v>
      </c>
      <c r="H38" s="377" t="n">
        <f aca="false">'P&amp;LPLN'!G12*1.22/1000+25903+'P&amp;LPLN'!F9/1000+'P&amp;LPLN'!E9/1000+'P&amp;LPLN'!D9/1000+'P&amp;LPLN'!C9/1000</f>
        <v>43073.0308808982</v>
      </c>
      <c r="I38" s="377" t="n">
        <f aca="false">'P&amp;LPLN'!H12*1.22/1000+25903+'P&amp;LPLN'!G9/1000+'P&amp;LPLN'!F9/1000+'P&amp;LPLN'!E9/1000+'P&amp;LPLN'!D9/1000+'P&amp;LPLN'!C9/1000</f>
        <v>42857.1268219894</v>
      </c>
      <c r="J38" s="377" t="n">
        <f aca="false">'P&amp;LPLN'!I12*1.22/1000+25903+'P&amp;LPLN'!H9/1000+'P&amp;LPLN'!G9/1000+'P&amp;LPLN'!F9/1000+'P&amp;LPLN'!E9/1000+'P&amp;LPLN'!D9/1000+'P&amp;LPLN'!C9/1000</f>
        <v>47102.4673927609</v>
      </c>
      <c r="K38" s="377" t="n">
        <f aca="false">'P&amp;LPLN'!J12*1.22/1000+25903+'P&amp;LPLN'!I9/1000+'P&amp;LPLN'!H9/1000+'P&amp;LPLN'!G9/1000+'P&amp;LPLN'!F9/1000+'P&amp;LPLN'!E9/1000+'P&amp;LPLN'!D9/1000+'P&amp;LPLN'!C9/1000</f>
        <v>46738.043354496</v>
      </c>
      <c r="L38" s="377" t="n">
        <f aca="false">'P&amp;LPLN'!K12*1.22/1000+25903+'P&amp;LPLN'!J9/1000+'P&amp;LPLN'!I9/1000+'P&amp;LPLN'!H9/1000+'P&amp;LPLN'!G9/1000+'P&amp;LPLN'!F9/1000+'P&amp;LPLN'!E9/1000+'P&amp;LPLN'!D9/1000+'P&amp;LPLN'!C9/1000</f>
        <v>46706.3295764442</v>
      </c>
      <c r="M38" s="377" t="n">
        <f aca="false">'P&amp;LPLN'!L12*1.22/1000+25903+'P&amp;LPLN'!K9/1000+'P&amp;LPLN'!J9/1000+'P&amp;LPLN'!I9/1000+'P&amp;LPLN'!H9/1000+'P&amp;LPLN'!G9/1000+'P&amp;LPLN'!F9/1000+'P&amp;LPLN'!E9/1000+'P&amp;LPLN'!D9/1000+'P&amp;LPLN'!C9/1000</f>
        <v>48586.6936010503</v>
      </c>
      <c r="N38" s="377" t="n">
        <f aca="false">'P&amp;LPLN'!M12*1.22/1000+25903+'P&amp;LPLN'!L9/1000+'P&amp;LPLN'!K9/1000+'P&amp;LPLN'!J9/1000+'P&amp;LPLN'!I9/1000+'P&amp;LPLN'!H9/1000+'P&amp;LPLN'!G9/1000+'P&amp;LPLN'!F9/1000+'P&amp;LPLN'!E9/1000+'P&amp;LPLN'!D9/1000+'P&amp;LPLN'!C9/1000</f>
        <v>47717.2028372728</v>
      </c>
      <c r="O38" s="377" t="n">
        <f aca="false">'P&amp;LPLN'!N12*1.22/1000+25903+'P&amp;LPLN'!M9/1000+'P&amp;LPLN'!L9/1000+'P&amp;LPLN'!K9/1000+'P&amp;LPLN'!J9/1000+'P&amp;LPLN'!I9/1000+'P&amp;LPLN'!H9/1000+'P&amp;LPLN'!G9/1000+'P&amp;LPLN'!F9/1000+'P&amp;LPLN'!E9/1000+'P&amp;LPLN'!D9/1000+'P&amp;LPLN'!C9/1000</f>
        <v>48177.1518286898</v>
      </c>
      <c r="P38" s="377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</row>
    <row r="39" customFormat="false" ht="13.2" hidden="false" customHeight="false" outlineLevel="0" collapsed="false">
      <c r="B39" s="33" t="s">
        <v>1093</v>
      </c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</row>
    <row r="40" customFormat="false" ht="13.2" hidden="false" customHeight="false" outlineLevel="0" collapsed="false">
      <c r="B40" s="33" t="s">
        <v>1094</v>
      </c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</row>
    <row r="41" customFormat="false" ht="13.2" hidden="false" customHeight="false" outlineLevel="0" collapsed="false">
      <c r="B41" s="33" t="s">
        <v>1095</v>
      </c>
      <c r="C41" s="377" t="n">
        <v>0</v>
      </c>
      <c r="D41" s="377" t="n">
        <v>0</v>
      </c>
      <c r="E41" s="377" t="n">
        <v>0</v>
      </c>
      <c r="F41" s="377" t="n">
        <v>0</v>
      </c>
      <c r="G41" s="377" t="n">
        <v>0</v>
      </c>
      <c r="H41" s="377" t="n">
        <v>0</v>
      </c>
      <c r="I41" s="377" t="n">
        <v>0</v>
      </c>
      <c r="J41" s="377" t="n">
        <v>0</v>
      </c>
      <c r="K41" s="377" t="n">
        <v>0</v>
      </c>
      <c r="L41" s="377" t="n">
        <v>0</v>
      </c>
      <c r="M41" s="377" t="n">
        <v>0</v>
      </c>
      <c r="N41" s="377" t="n">
        <v>0</v>
      </c>
      <c r="O41" s="377" t="n">
        <v>0</v>
      </c>
      <c r="P41" s="377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</row>
    <row r="42" customFormat="false" ht="13.2" hidden="false" customHeight="false" outlineLevel="0" collapsed="false">
      <c r="C42" s="377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</row>
    <row r="43" customFormat="false" ht="13.2" hidden="false" customHeight="false" outlineLevel="0" collapsed="false">
      <c r="C43" s="378" t="n">
        <f aca="false">SUM(C38:C41)</f>
        <v>44813.6</v>
      </c>
      <c r="D43" s="378" t="n">
        <f aca="false">SUM(D38:D41)</f>
        <v>45330.9880193364</v>
      </c>
      <c r="E43" s="378" t="n">
        <f aca="false">SUM(E38:E41)</f>
        <v>44214.1024324661</v>
      </c>
      <c r="F43" s="378" t="n">
        <f aca="false">SUM(F38:F41)</f>
        <v>44826.5639005911</v>
      </c>
      <c r="G43" s="378" t="n">
        <f aca="false">SUM(G38:G41)</f>
        <v>43690.4406873102</v>
      </c>
      <c r="H43" s="378" t="n">
        <f aca="false">SUM(H38:H41)</f>
        <v>43073.0308808982</v>
      </c>
      <c r="I43" s="378" t="n">
        <f aca="false">SUM(I38:I41)</f>
        <v>42857.1268219894</v>
      </c>
      <c r="J43" s="378" t="n">
        <f aca="false">SUM(J38:J41)</f>
        <v>47102.4673927609</v>
      </c>
      <c r="K43" s="378" t="n">
        <f aca="false">SUM(K38:K41)</f>
        <v>46738.043354496</v>
      </c>
      <c r="L43" s="378" t="n">
        <f aca="false">SUM(L38:L41)</f>
        <v>46706.3295764442</v>
      </c>
      <c r="M43" s="378" t="n">
        <f aca="false">SUM(M38:M41)</f>
        <v>48586.6936010503</v>
      </c>
      <c r="N43" s="378" t="n">
        <f aca="false">SUM(N38:N41)</f>
        <v>47717.2028372728</v>
      </c>
      <c r="O43" s="378" t="n">
        <f aca="false">SUM(O38:O41)</f>
        <v>48177.1518286898</v>
      </c>
      <c r="P43" s="377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</row>
    <row r="44" customFormat="false" ht="13.2" hidden="false" customHeight="false" outlineLevel="0" collapsed="false"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</row>
    <row r="45" customFormat="false" ht="13.2" hidden="false" customHeight="false" outlineLevel="0" collapsed="false">
      <c r="B45" s="21" t="s">
        <v>1096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</row>
    <row r="46" customFormat="false" ht="13.2" hidden="false" customHeight="false" outlineLevel="0" collapsed="false">
      <c r="B46" s="33" t="s">
        <v>1097</v>
      </c>
      <c r="C46" s="377" t="n">
        <v>3</v>
      </c>
      <c r="D46" s="377" t="n">
        <v>2</v>
      </c>
      <c r="E46" s="377" t="n">
        <v>2</v>
      </c>
      <c r="F46" s="377" t="n">
        <v>2</v>
      </c>
      <c r="G46" s="377" t="n">
        <v>2</v>
      </c>
      <c r="H46" s="377" t="n">
        <v>2</v>
      </c>
      <c r="I46" s="377" t="n">
        <v>2</v>
      </c>
      <c r="J46" s="377" t="n">
        <v>2</v>
      </c>
      <c r="K46" s="377" t="n">
        <v>2</v>
      </c>
      <c r="L46" s="377" t="n">
        <v>2</v>
      </c>
      <c r="M46" s="377" t="n">
        <v>2</v>
      </c>
      <c r="N46" s="377" t="n">
        <v>2</v>
      </c>
      <c r="O46" s="377" t="n">
        <v>2</v>
      </c>
      <c r="P46" s="377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</row>
    <row r="47" customFormat="false" ht="13.2" hidden="false" customHeight="false" outlineLevel="0" collapsed="false">
      <c r="B47" s="33" t="s">
        <v>1098</v>
      </c>
      <c r="C47" s="377" t="n">
        <v>36441.9</v>
      </c>
      <c r="D47" s="377" t="n">
        <f aca="false">CashFlow!B39-Balance!D46</f>
        <v>38201.4041629299</v>
      </c>
      <c r="E47" s="377" t="n">
        <f aca="false">CashFlow!C39-Balance!E46</f>
        <v>42582.1632154461</v>
      </c>
      <c r="F47" s="377" t="n">
        <f aca="false">CashFlow!D39-Balance!F46</f>
        <v>26669.9799975944</v>
      </c>
      <c r="G47" s="377" t="n">
        <f aca="false">CashFlow!E39-Balance!G46</f>
        <v>29811.0014273216</v>
      </c>
      <c r="H47" s="377" t="n">
        <f aca="false">CashFlow!F39-Balance!H46</f>
        <v>32329.106323584</v>
      </c>
      <c r="I47" s="377" t="n">
        <f aca="false">CashFlow!G39-Balance!I46</f>
        <v>21684.3195857512</v>
      </c>
      <c r="J47" s="377" t="n">
        <f aca="false">CashFlow!H39-Balance!J46</f>
        <v>22067.1486356774</v>
      </c>
      <c r="K47" s="377" t="n">
        <f aca="false">CashFlow!I39-Balance!K46</f>
        <v>27170.7173286883</v>
      </c>
      <c r="L47" s="377" t="n">
        <f aca="false">CashFlow!J39-Balance!L46</f>
        <v>13692.2650764157</v>
      </c>
      <c r="M47" s="377" t="n">
        <f aca="false">CashFlow!K39-Balance!M46</f>
        <v>16834.3050476274</v>
      </c>
      <c r="N47" s="377" t="n">
        <f aca="false">CashFlow!L39-Balance!N46</f>
        <v>23049.8122494479</v>
      </c>
      <c r="O47" s="377" t="n">
        <f aca="false">CashFlow!M39-Balance!O46</f>
        <v>25912.5918046439</v>
      </c>
      <c r="P47" s="377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</row>
    <row r="48" customFormat="false" ht="13.2" hidden="false" customHeight="false" outlineLevel="0" collapsed="false"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7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</row>
    <row r="49" customFormat="false" ht="13.2" hidden="false" customHeight="false" outlineLevel="0" collapsed="false">
      <c r="C49" s="378" t="n">
        <f aca="false">SUM(C46:C47)</f>
        <v>36444.9</v>
      </c>
      <c r="D49" s="378" t="n">
        <f aca="false">SUM(D46:D47)</f>
        <v>38203.4041629299</v>
      </c>
      <c r="E49" s="378" t="n">
        <f aca="false">SUM(E46:E47)</f>
        <v>42584.1632154461</v>
      </c>
      <c r="F49" s="378" t="n">
        <f aca="false">SUM(F46:F47)</f>
        <v>26671.9799975944</v>
      </c>
      <c r="G49" s="378" t="n">
        <f aca="false">SUM(G46:G47)</f>
        <v>29813.0014273216</v>
      </c>
      <c r="H49" s="378" t="n">
        <f aca="false">SUM(H46:H47)</f>
        <v>32331.106323584</v>
      </c>
      <c r="I49" s="378" t="n">
        <f aca="false">SUM(I46:I47)</f>
        <v>21686.3195857512</v>
      </c>
      <c r="J49" s="378" t="n">
        <f aca="false">SUM(J46:J47)</f>
        <v>22069.1486356774</v>
      </c>
      <c r="K49" s="378" t="n">
        <f aca="false">SUM(K46:K47)</f>
        <v>27172.7173286883</v>
      </c>
      <c r="L49" s="378" t="n">
        <f aca="false">SUM(L46:L47)</f>
        <v>13694.2650764157</v>
      </c>
      <c r="M49" s="378" t="n">
        <f aca="false">SUM(M46:M47)</f>
        <v>16836.3050476274</v>
      </c>
      <c r="N49" s="378" t="n">
        <f aca="false">SUM(N46:N47)</f>
        <v>23051.8122494479</v>
      </c>
      <c r="O49" s="378" t="n">
        <f aca="false">SUM(O46:O47)</f>
        <v>25914.5918046439</v>
      </c>
      <c r="P49" s="377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</row>
    <row r="50" customFormat="false" ht="13.2" hidden="false" customHeight="false" outlineLevel="0" collapsed="false">
      <c r="B50" s="21" t="s">
        <v>1099</v>
      </c>
      <c r="C50" s="377" t="n">
        <f aca="false">C35+C43+C49</f>
        <v>90417.5</v>
      </c>
      <c r="D50" s="377" t="n">
        <f aca="false">D35+D43+D49</f>
        <v>92605.3921822663</v>
      </c>
      <c r="E50" s="377" t="n">
        <f aca="false">E35+E43+E49</f>
        <v>95669.2656479121</v>
      </c>
      <c r="F50" s="377" t="n">
        <f aca="false">F35+F43+F49</f>
        <v>83783.5438981854</v>
      </c>
      <c r="G50" s="377" t="n">
        <f aca="false">G35+G43+G49</f>
        <v>85588.4421146318</v>
      </c>
      <c r="H50" s="377" t="n">
        <f aca="false">H35+H43+H49</f>
        <v>87289.1372044822</v>
      </c>
      <c r="I50" s="377" t="n">
        <f aca="false">I35+I43+I49</f>
        <v>76228.4464077405</v>
      </c>
      <c r="J50" s="377" t="n">
        <f aca="false">J35+J43+J49</f>
        <v>80656.6160284383</v>
      </c>
      <c r="K50" s="377" t="n">
        <f aca="false">K35+K43+K49</f>
        <v>85195.7606831843</v>
      </c>
      <c r="L50" s="377" t="n">
        <f aca="false">L35+L43+L49</f>
        <v>71485.5946528598</v>
      </c>
      <c r="M50" s="377" t="n">
        <f aca="false">M35+M43+M49</f>
        <v>76307.9986486776</v>
      </c>
      <c r="N50" s="377" t="n">
        <f aca="false">N35+N43+N49</f>
        <v>81454.0150867207</v>
      </c>
      <c r="O50" s="377" t="n">
        <f aca="false">O35+O43+O49</f>
        <v>84576.7436333337</v>
      </c>
      <c r="P50" s="377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</row>
    <row r="51" customFormat="false" ht="13.2" hidden="false" customHeight="false" outlineLevel="0" collapsed="false"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</row>
    <row r="52" customFormat="false" ht="13.2" hidden="false" customHeight="false" outlineLevel="0" collapsed="false">
      <c r="B52" s="21" t="s">
        <v>1100</v>
      </c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</row>
    <row r="53" customFormat="false" ht="13.2" hidden="false" customHeight="false" outlineLevel="0" collapsed="false">
      <c r="B53" s="33" t="s">
        <v>1101</v>
      </c>
      <c r="C53" s="377" t="n">
        <v>975</v>
      </c>
      <c r="D53" s="377" t="n">
        <f aca="false">C53-'P&amp;LPLN'!C130/1000</f>
        <v>793.86</v>
      </c>
      <c r="E53" s="377" t="n">
        <f aca="false">D53-'P&amp;LPLN'!D130/1000</f>
        <v>612.72</v>
      </c>
      <c r="F53" s="377" t="n">
        <f aca="false">E53-'P&amp;LPLN'!E130/1000</f>
        <v>431.58</v>
      </c>
      <c r="G53" s="377" t="n">
        <f aca="false">F53-'P&amp;LPLN'!F130/1000</f>
        <v>250.44</v>
      </c>
      <c r="H53" s="377" t="n">
        <f aca="false">G53-'P&amp;LPLN'!G130/1000</f>
        <v>69.3000000000001</v>
      </c>
      <c r="I53" s="377" t="n">
        <f aca="false">'P&amp;LPLN'!I130*11/1000</f>
        <v>2191.794</v>
      </c>
      <c r="J53" s="377" t="n">
        <f aca="false">I53-'P&amp;LPLN'!I130/1000</f>
        <v>1992.54</v>
      </c>
      <c r="K53" s="377" t="n">
        <f aca="false">J53-'P&amp;LPLN'!J130/1000</f>
        <v>1793.286</v>
      </c>
      <c r="L53" s="377" t="n">
        <f aca="false">K53-'P&amp;LPLN'!K130/1000</f>
        <v>1594.032</v>
      </c>
      <c r="M53" s="377" t="n">
        <f aca="false">L53-'P&amp;LPLN'!L130/1000</f>
        <v>1394.778</v>
      </c>
      <c r="N53" s="377" t="n">
        <f aca="false">M53-'P&amp;LPLN'!M130/1000</f>
        <v>1195.524</v>
      </c>
      <c r="O53" s="377" t="n">
        <f aca="false">N53-'P&amp;LPLN'!N130/1000</f>
        <v>996.270000000001</v>
      </c>
      <c r="P53" s="377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</row>
    <row r="54" customFormat="false" ht="13.2" hidden="false" customHeight="false" outlineLevel="0" collapsed="false">
      <c r="B54" s="33" t="s">
        <v>1102</v>
      </c>
      <c r="C54" s="377" t="n">
        <v>9000</v>
      </c>
      <c r="D54" s="377" t="n">
        <f aca="false">C54</f>
        <v>9000</v>
      </c>
      <c r="E54" s="377" t="n">
        <f aca="false">D54</f>
        <v>9000</v>
      </c>
      <c r="F54" s="377" t="n">
        <f aca="false">E54</f>
        <v>9000</v>
      </c>
      <c r="G54" s="377" t="n">
        <f aca="false">F54</f>
        <v>9000</v>
      </c>
      <c r="H54" s="377" t="n">
        <f aca="false">G54</f>
        <v>9000</v>
      </c>
      <c r="I54" s="377" t="n">
        <f aca="false">H54</f>
        <v>9000</v>
      </c>
      <c r="J54" s="377" t="n">
        <f aca="false">I54</f>
        <v>9000</v>
      </c>
      <c r="K54" s="377" t="n">
        <f aca="false">J54</f>
        <v>9000</v>
      </c>
      <c r="L54" s="377" t="n">
        <f aca="false">K54</f>
        <v>9000</v>
      </c>
      <c r="M54" s="377" t="n">
        <f aca="false">L54</f>
        <v>9000</v>
      </c>
      <c r="N54" s="377" t="n">
        <f aca="false">M54</f>
        <v>9000</v>
      </c>
      <c r="O54" s="377" t="n">
        <v>0</v>
      </c>
      <c r="P54" s="377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</row>
    <row r="55" customFormat="false" ht="13.2" hidden="false" customHeight="false" outlineLevel="0" collapsed="false"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</row>
    <row r="56" customFormat="false" ht="13.2" hidden="false" customHeight="false" outlineLevel="0" collapsed="false">
      <c r="C56" s="380" t="n">
        <f aca="false">SUM(C53:C54)</f>
        <v>9975</v>
      </c>
      <c r="D56" s="378" t="n">
        <f aca="false">SUM(D53:D54)</f>
        <v>9793.86</v>
      </c>
      <c r="E56" s="378" t="n">
        <f aca="false">SUM(E53:E54)</f>
        <v>9612.72</v>
      </c>
      <c r="F56" s="378" t="n">
        <f aca="false">SUM(F53:F54)</f>
        <v>9431.58</v>
      </c>
      <c r="G56" s="378" t="n">
        <f aca="false">SUM(G53:G54)</f>
        <v>9250.44</v>
      </c>
      <c r="H56" s="378" t="n">
        <f aca="false">SUM(H53:H54)</f>
        <v>9069.3</v>
      </c>
      <c r="I56" s="378" t="n">
        <f aca="false">SUM(I53:I54)</f>
        <v>11191.794</v>
      </c>
      <c r="J56" s="378" t="n">
        <f aca="false">SUM(J53:J54)</f>
        <v>10992.54</v>
      </c>
      <c r="K56" s="378" t="n">
        <f aca="false">SUM(K53:K54)</f>
        <v>10793.286</v>
      </c>
      <c r="L56" s="378" t="n">
        <f aca="false">SUM(L53:L54)</f>
        <v>10594.032</v>
      </c>
      <c r="M56" s="378" t="n">
        <f aca="false">SUM(M53:M54)</f>
        <v>10394.778</v>
      </c>
      <c r="N56" s="378" t="n">
        <f aca="false">SUM(N53:N54)</f>
        <v>10195.524</v>
      </c>
      <c r="O56" s="378" t="n">
        <f aca="false">SUM(O53:O54)</f>
        <v>996.270000000001</v>
      </c>
      <c r="P56" s="377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</row>
    <row r="57" customFormat="false" ht="13.2" hidden="false" customHeight="false" outlineLevel="0" collapsed="false">
      <c r="C57" s="377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77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</row>
    <row r="58" customFormat="false" ht="13.2" hidden="false" customHeight="false" outlineLevel="0" collapsed="false"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</row>
    <row r="59" customFormat="false" ht="19.2" hidden="false" customHeight="true" outlineLevel="0" collapsed="false">
      <c r="B59" s="382" t="s">
        <v>1103</v>
      </c>
      <c r="C59" s="383" t="n">
        <f aca="false">C26+C35+C43+C49+C56</f>
        <v>616299.4</v>
      </c>
      <c r="D59" s="383" t="n">
        <f aca="false">D26+D35+D43+D49+D56</f>
        <v>615502.958212266</v>
      </c>
      <c r="E59" s="383" t="n">
        <f aca="false">E26+E35+E43+E49+E56</f>
        <v>615445.347600421</v>
      </c>
      <c r="F59" s="383" t="n">
        <f aca="false">F26+F35+F43+F49+F56</f>
        <v>600473.106058916</v>
      </c>
      <c r="G59" s="383" t="n">
        <f aca="false">G26+G35+G43+G49+G56</f>
        <v>599156.340423169</v>
      </c>
      <c r="H59" s="383" t="n">
        <f aca="false">H26+H35+H43+H49+H56</f>
        <v>597735.371660825</v>
      </c>
      <c r="I59" s="383" t="n">
        <f aca="false">I26+I35+I43+I49+I56</f>
        <v>585917.293869032</v>
      </c>
      <c r="J59" s="383" t="n">
        <f aca="false">J26+J35+J43+J49+J56</f>
        <v>587205.373832179</v>
      </c>
      <c r="K59" s="383" t="n">
        <f aca="false">K26+K35+K43+K49+K56</f>
        <v>588604.428829374</v>
      </c>
      <c r="L59" s="383" t="n">
        <f aca="false">L26+L35+L43+L49+L56</f>
        <v>571754.173141498</v>
      </c>
      <c r="M59" s="383" t="n">
        <f aca="false">M26+M35+M43+M49+M56</f>
        <v>573436.487479765</v>
      </c>
      <c r="N59" s="383" t="n">
        <f aca="false">N26+N35+N43+N49+N56</f>
        <v>575442.414260256</v>
      </c>
      <c r="O59" s="383" t="n">
        <f aca="false">O26+O35+O43+O49+O56</f>
        <v>566425.053149318</v>
      </c>
      <c r="P59" s="377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</row>
    <row r="60" customFormat="false" ht="13.8" hidden="false" customHeight="false" outlineLevel="0" collapsed="false"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</row>
    <row r="61" customFormat="false" ht="13.2" hidden="false" customHeight="false" outlineLevel="0" collapsed="false">
      <c r="C61" s="377"/>
      <c r="D61" s="377"/>
      <c r="E61" s="377"/>
      <c r="F61" s="377"/>
      <c r="G61" s="377"/>
      <c r="H61" s="377"/>
      <c r="I61" s="377"/>
      <c r="J61" s="377"/>
      <c r="K61" s="377"/>
      <c r="L61" s="377"/>
      <c r="M61" s="377"/>
      <c r="N61" s="377"/>
      <c r="O61" s="377"/>
      <c r="P61" s="377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</row>
    <row r="62" customFormat="false" ht="13.2" hidden="false" customHeight="false" outlineLevel="0" collapsed="false">
      <c r="B62" s="21" t="s">
        <v>1104</v>
      </c>
      <c r="C62" s="384" t="s">
        <v>52</v>
      </c>
      <c r="D62" s="385" t="s">
        <v>41</v>
      </c>
      <c r="E62" s="385" t="s">
        <v>42</v>
      </c>
      <c r="F62" s="385" t="s">
        <v>43</v>
      </c>
      <c r="G62" s="385" t="s">
        <v>44</v>
      </c>
      <c r="H62" s="385" t="s">
        <v>45</v>
      </c>
      <c r="I62" s="385" t="s">
        <v>46</v>
      </c>
      <c r="J62" s="385" t="s">
        <v>47</v>
      </c>
      <c r="K62" s="385" t="s">
        <v>48</v>
      </c>
      <c r="L62" s="385" t="s">
        <v>49</v>
      </c>
      <c r="M62" s="385" t="s">
        <v>50</v>
      </c>
      <c r="N62" s="385" t="s">
        <v>51</v>
      </c>
      <c r="O62" s="385" t="s">
        <v>52</v>
      </c>
      <c r="P62" s="38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  <row r="63" customFormat="false" ht="13.2" hidden="false" customHeight="false" outlineLevel="0" collapsed="false">
      <c r="B63" s="21"/>
      <c r="C63" s="376" t="n">
        <v>2001</v>
      </c>
      <c r="D63" s="215" t="n">
        <v>2002</v>
      </c>
      <c r="E63" s="215" t="n">
        <v>2002</v>
      </c>
      <c r="F63" s="215" t="n">
        <v>2002</v>
      </c>
      <c r="G63" s="215" t="n">
        <v>2002</v>
      </c>
      <c r="H63" s="215" t="n">
        <v>2002</v>
      </c>
      <c r="I63" s="215" t="n">
        <v>2002</v>
      </c>
      <c r="J63" s="215" t="n">
        <v>2002</v>
      </c>
      <c r="K63" s="215" t="n">
        <v>2002</v>
      </c>
      <c r="L63" s="215" t="n">
        <v>2002</v>
      </c>
      <c r="M63" s="215" t="n">
        <v>2002</v>
      </c>
      <c r="N63" s="215" t="n">
        <v>2002</v>
      </c>
      <c r="O63" s="215" t="n">
        <v>2002</v>
      </c>
      <c r="P63" s="379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</row>
    <row r="64" customFormat="false" ht="13.2" hidden="false" customHeight="false" outlineLevel="0" collapsed="false">
      <c r="B64" s="21" t="s">
        <v>1105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</row>
    <row r="65" customFormat="false" ht="13.2" hidden="false" customHeight="false" outlineLevel="0" collapsed="false">
      <c r="B65" s="33" t="s">
        <v>1106</v>
      </c>
      <c r="C65" s="377" t="n">
        <v>57293</v>
      </c>
      <c r="D65" s="377" t="n">
        <f aca="false">C65</f>
        <v>57293</v>
      </c>
      <c r="E65" s="377" t="n">
        <f aca="false">D65</f>
        <v>57293</v>
      </c>
      <c r="F65" s="377" t="n">
        <f aca="false">E65</f>
        <v>57293</v>
      </c>
      <c r="G65" s="377" t="n">
        <f aca="false">F65</f>
        <v>57293</v>
      </c>
      <c r="H65" s="377" t="n">
        <f aca="false">G65</f>
        <v>57293</v>
      </c>
      <c r="I65" s="377" t="n">
        <f aca="false">H65</f>
        <v>57293</v>
      </c>
      <c r="J65" s="377" t="n">
        <f aca="false">I65</f>
        <v>57293</v>
      </c>
      <c r="K65" s="377" t="n">
        <f aca="false">J65</f>
        <v>57293</v>
      </c>
      <c r="L65" s="377" t="n">
        <f aca="false">K65</f>
        <v>57293</v>
      </c>
      <c r="M65" s="377" t="n">
        <f aca="false">L65</f>
        <v>57293</v>
      </c>
      <c r="N65" s="377" t="n">
        <f aca="false">M65</f>
        <v>57293</v>
      </c>
      <c r="O65" s="377" t="n">
        <f aca="false">N65</f>
        <v>57293</v>
      </c>
      <c r="P65" s="377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</row>
    <row r="66" customFormat="false" ht="13.2" hidden="false" customHeight="false" outlineLevel="0" collapsed="false">
      <c r="B66" s="33" t="s">
        <v>1107</v>
      </c>
      <c r="C66" s="377" t="n">
        <f aca="false">-51031.5</f>
        <v>-51031.5</v>
      </c>
      <c r="D66" s="377" t="n">
        <f aca="false">C66</f>
        <v>-51031.5</v>
      </c>
      <c r="E66" s="377" t="n">
        <f aca="false">D66</f>
        <v>-51031.5</v>
      </c>
      <c r="F66" s="377" t="n">
        <f aca="false">E66</f>
        <v>-51031.5</v>
      </c>
      <c r="G66" s="377" t="n">
        <f aca="false">F66</f>
        <v>-51031.5</v>
      </c>
      <c r="H66" s="377" t="n">
        <f aca="false">G66</f>
        <v>-51031.5</v>
      </c>
      <c r="I66" s="377" t="n">
        <f aca="false">H66</f>
        <v>-51031.5</v>
      </c>
      <c r="J66" s="377" t="n">
        <f aca="false">I66</f>
        <v>-51031.5</v>
      </c>
      <c r="K66" s="377" t="n">
        <f aca="false">J66</f>
        <v>-51031.5</v>
      </c>
      <c r="L66" s="377" t="n">
        <f aca="false">K66</f>
        <v>-51031.5</v>
      </c>
      <c r="M66" s="377" t="n">
        <f aca="false">L66</f>
        <v>-51031.5</v>
      </c>
      <c r="N66" s="377" t="n">
        <f aca="false">M66</f>
        <v>-51031.5</v>
      </c>
      <c r="O66" s="377" t="n">
        <f aca="false">N66</f>
        <v>-51031.5</v>
      </c>
      <c r="P66" s="377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</row>
    <row r="67" customFormat="false" ht="13.2" hidden="false" customHeight="false" outlineLevel="0" collapsed="false">
      <c r="B67" s="33" t="s">
        <v>1108</v>
      </c>
      <c r="C67" s="377" t="n">
        <v>0</v>
      </c>
      <c r="D67" s="377" t="n">
        <f aca="false">'P&amp;LPLN'!C209/1000+Balance!C67</f>
        <v>-3018.38884924237</v>
      </c>
      <c r="E67" s="377" t="n">
        <f aca="false">'P&amp;LPLN'!D209/1000+Balance!D67</f>
        <v>-5509.89764243856</v>
      </c>
      <c r="F67" s="377" t="n">
        <f aca="false">'P&amp;LPLN'!E209/1000+Balance!E67</f>
        <v>-8436.31068786257</v>
      </c>
      <c r="G67" s="377" t="n">
        <f aca="false">'P&amp;LPLN'!F209/1000+Balance!F67</f>
        <v>-11312.741703089</v>
      </c>
      <c r="H67" s="377" t="n">
        <f aca="false">'P&amp;LPLN'!G209/1000+Balance!G67</f>
        <v>-15011.9533809862</v>
      </c>
      <c r="I67" s="377" t="n">
        <f aca="false">'P&amp;LPLN'!H209/1000+Balance!H67</f>
        <v>-18460.8618948335</v>
      </c>
      <c r="J67" s="377" t="n">
        <f aca="false">'P&amp;LPLN'!I209/1000+Balance!I67</f>
        <v>-19464.1799193902</v>
      </c>
      <c r="K67" s="377" t="n">
        <f aca="false">'P&amp;LPLN'!J209/1000+Balance!J67</f>
        <v>-20463.1004459735</v>
      </c>
      <c r="L67" s="377" t="n">
        <f aca="false">'P&amp;LPLN'!K209/1000+Balance!K67</f>
        <v>-21366.6515971942</v>
      </c>
      <c r="M67" s="377" t="n">
        <f aca="false">'P&amp;LPLN'!L209/1000+Balance!L67</f>
        <v>-22687.7764265068</v>
      </c>
      <c r="N67" s="377" t="n">
        <f aca="false">'P&amp;LPLN'!M209/1000+Balance!M67</f>
        <v>-23691.705597457</v>
      </c>
      <c r="O67" s="377" t="n">
        <f aca="false">'P&amp;LPLN'!N209/1000+Balance!N67</f>
        <v>-24550.7588491421</v>
      </c>
      <c r="P67" s="377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</row>
    <row r="68" customFormat="false" ht="13.2" hidden="false" customHeight="false" outlineLevel="0" collapsed="false"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</row>
    <row r="69" customFormat="false" ht="13.2" hidden="false" customHeight="false" outlineLevel="0" collapsed="false">
      <c r="C69" s="378" t="n">
        <f aca="false">SUM(C65:C67)</f>
        <v>6261.5</v>
      </c>
      <c r="D69" s="378" t="n">
        <f aca="false">SUM(D65:D67)</f>
        <v>3243.11115075763</v>
      </c>
      <c r="E69" s="378" t="n">
        <f aca="false">SUM(E65:E67)</f>
        <v>751.602357561436</v>
      </c>
      <c r="F69" s="378" t="n">
        <f aca="false">SUM(F65:F67)</f>
        <v>-2174.81068786257</v>
      </c>
      <c r="G69" s="378" t="n">
        <f aca="false">SUM(G65:G67)</f>
        <v>-5051.24170308902</v>
      </c>
      <c r="H69" s="378" t="n">
        <f aca="false">SUM(H65:H67)</f>
        <v>-8750.4533809862</v>
      </c>
      <c r="I69" s="378" t="n">
        <f aca="false">SUM(I65:I67)</f>
        <v>-12199.3618948335</v>
      </c>
      <c r="J69" s="378" t="n">
        <f aca="false">SUM(J65:J67)</f>
        <v>-13202.6799193902</v>
      </c>
      <c r="K69" s="378" t="n">
        <f aca="false">SUM(K65:K67)</f>
        <v>-14201.6004459735</v>
      </c>
      <c r="L69" s="378" t="n">
        <f aca="false">SUM(L65:L67)</f>
        <v>-15105.1515971942</v>
      </c>
      <c r="M69" s="378" t="n">
        <f aca="false">SUM(M65:M67)</f>
        <v>-16426.2764265068</v>
      </c>
      <c r="N69" s="378" t="n">
        <f aca="false">SUM(N65:N67)</f>
        <v>-17430.205597457</v>
      </c>
      <c r="O69" s="378" t="n">
        <f aca="false">SUM(O65:O67)</f>
        <v>-18289.2588491421</v>
      </c>
      <c r="P69" s="377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</row>
    <row r="70" customFormat="false" ht="13.2" hidden="false" customHeight="false" outlineLevel="0" collapsed="false"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</row>
    <row r="71" customFormat="false" ht="13.2" hidden="false" customHeight="false" outlineLevel="0" collapsed="false">
      <c r="B71" s="21" t="s">
        <v>1109</v>
      </c>
      <c r="C71" s="377"/>
      <c r="D71" s="377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</row>
    <row r="72" customFormat="false" ht="13.2" hidden="false" customHeight="false" outlineLevel="0" collapsed="false">
      <c r="B72" s="33" t="s">
        <v>1110</v>
      </c>
      <c r="C72" s="377" t="n">
        <v>23423</v>
      </c>
      <c r="D72" s="377" t="n">
        <f aca="false">C72</f>
        <v>23423</v>
      </c>
      <c r="E72" s="377" t="n">
        <f aca="false">D72</f>
        <v>23423</v>
      </c>
      <c r="F72" s="377" t="n">
        <f aca="false">E72</f>
        <v>23423</v>
      </c>
      <c r="G72" s="377" t="n">
        <f aca="false">F72</f>
        <v>23423</v>
      </c>
      <c r="H72" s="377" t="n">
        <f aca="false">G72</f>
        <v>23423</v>
      </c>
      <c r="I72" s="377" t="n">
        <f aca="false">H72</f>
        <v>23423</v>
      </c>
      <c r="J72" s="377" t="n">
        <f aca="false">I72</f>
        <v>23423</v>
      </c>
      <c r="K72" s="377" t="n">
        <f aca="false">J72</f>
        <v>23423</v>
      </c>
      <c r="L72" s="377" t="n">
        <f aca="false">K72</f>
        <v>23423</v>
      </c>
      <c r="M72" s="377" t="n">
        <f aca="false">L72</f>
        <v>23423</v>
      </c>
      <c r="N72" s="377" t="n">
        <f aca="false">M72</f>
        <v>23423</v>
      </c>
      <c r="O72" s="377" t="n">
        <f aca="false">N72</f>
        <v>23423</v>
      </c>
      <c r="P72" s="377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</row>
    <row r="73" customFormat="false" ht="13.2" hidden="false" customHeight="false" outlineLevel="0" collapsed="false">
      <c r="B73" s="33" t="s">
        <v>1111</v>
      </c>
      <c r="C73" s="377" t="n">
        <v>7342.7</v>
      </c>
      <c r="D73" s="377" t="n">
        <f aca="false">Swap!C41/1000</f>
        <v>9630.71087591576</v>
      </c>
      <c r="E73" s="377" t="n">
        <f aca="false">Swap!D41/1000</f>
        <v>12055.2187766731</v>
      </c>
      <c r="F73" s="377" t="n">
        <f aca="false">Swap!E41/1000</f>
        <v>0</v>
      </c>
      <c r="G73" s="377" t="n">
        <f aca="false">Swap!F41/1000</f>
        <v>2362.27509888568</v>
      </c>
      <c r="H73" s="377" t="n">
        <f aca="false">Swap!G41/1000</f>
        <v>4731.12773384621</v>
      </c>
      <c r="I73" s="377" t="n">
        <f aca="false">Swap!H41/1000</f>
        <v>7106.55790488161</v>
      </c>
      <c r="J73" s="377" t="n">
        <f aca="false">Swap!I41/1000</f>
        <v>9488.56561199187</v>
      </c>
      <c r="K73" s="377" t="n">
        <f aca="false">Swap!J41/1000</f>
        <v>11877.150855177</v>
      </c>
      <c r="L73" s="377" t="n">
        <f aca="false">Swap!K41/1000</f>
        <v>0</v>
      </c>
      <c r="M73" s="377" t="n">
        <f aca="false">Swap!L41/1000</f>
        <v>2323.7924416913</v>
      </c>
      <c r="N73" s="377" t="n">
        <f aca="false">Swap!M41/1000</f>
        <v>4654.00166724526</v>
      </c>
      <c r="O73" s="377" t="n">
        <f aca="false">Swap!N41/1000</f>
        <v>6990.62767666188</v>
      </c>
      <c r="P73" s="377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</row>
    <row r="74" customFormat="false" ht="13.2" hidden="false" customHeight="false" outlineLevel="0" collapsed="false">
      <c r="C74" s="377"/>
      <c r="D74" s="377"/>
      <c r="E74" s="377"/>
      <c r="F74" s="377"/>
      <c r="G74" s="377"/>
      <c r="H74" s="377"/>
      <c r="I74" s="377"/>
      <c r="J74" s="377"/>
      <c r="K74" s="377"/>
      <c r="L74" s="377"/>
      <c r="M74" s="377"/>
      <c r="N74" s="377"/>
      <c r="O74" s="377"/>
      <c r="P74" s="377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</row>
    <row r="75" customFormat="false" ht="13.2" hidden="false" customHeight="false" outlineLevel="0" collapsed="false">
      <c r="C75" s="378" t="n">
        <f aca="false">SUM(C72:C73)</f>
        <v>30765.7</v>
      </c>
      <c r="D75" s="378" t="n">
        <f aca="false">SUM(D72:D73)</f>
        <v>33053.7108759158</v>
      </c>
      <c r="E75" s="378" t="n">
        <f aca="false">SUM(E72:E73)</f>
        <v>35478.2187766731</v>
      </c>
      <c r="F75" s="378" t="n">
        <f aca="false">SUM(F72:F73)</f>
        <v>23423</v>
      </c>
      <c r="G75" s="378" t="n">
        <f aca="false">SUM(G72:G73)</f>
        <v>25785.2750988857</v>
      </c>
      <c r="H75" s="378" t="n">
        <f aca="false">SUM(H72:H73)</f>
        <v>28154.1277338462</v>
      </c>
      <c r="I75" s="378" t="n">
        <f aca="false">SUM(I72:I73)</f>
        <v>30529.5579048816</v>
      </c>
      <c r="J75" s="378" t="n">
        <f aca="false">SUM(J72:J73)</f>
        <v>32911.5656119919</v>
      </c>
      <c r="K75" s="378" t="n">
        <f aca="false">SUM(K72:K73)</f>
        <v>35300.150855177</v>
      </c>
      <c r="L75" s="378" t="n">
        <f aca="false">SUM(L72:L73)</f>
        <v>23423</v>
      </c>
      <c r="M75" s="378" t="n">
        <f aca="false">SUM(M72:M73)</f>
        <v>25746.7924416913</v>
      </c>
      <c r="N75" s="378" t="n">
        <f aca="false">SUM(N72:N73)</f>
        <v>28077.0016672453</v>
      </c>
      <c r="O75" s="378" t="n">
        <f aca="false">SUM(O72:O73)</f>
        <v>30413.6276766619</v>
      </c>
      <c r="P75" s="377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</row>
    <row r="76" customFormat="false" ht="13.2" hidden="false" customHeight="false" outlineLevel="0" collapsed="false">
      <c r="C76" s="377"/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</row>
    <row r="77" customFormat="false" ht="13.2" hidden="false" customHeight="false" outlineLevel="0" collapsed="false">
      <c r="B77" s="21" t="s">
        <v>1112</v>
      </c>
      <c r="C77" s="377"/>
      <c r="D77" s="377"/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</row>
    <row r="78" customFormat="false" ht="13.2" hidden="false" customHeight="false" outlineLevel="0" collapsed="false">
      <c r="B78" s="33" t="s">
        <v>1113</v>
      </c>
      <c r="C78" s="377" t="n">
        <v>469077.9</v>
      </c>
      <c r="D78" s="377" t="n">
        <f aca="false">(loans!B38+loans!B46)/1000-D88</f>
        <v>468419.524854274</v>
      </c>
      <c r="E78" s="377" t="n">
        <f aca="false">(loans!C38+loans!C46)/1000-E88</f>
        <v>469074.395370347</v>
      </c>
      <c r="F78" s="377" t="n">
        <f aca="false">(loans!D38+loans!D46)/1000-F88</f>
        <v>469729.265886421</v>
      </c>
      <c r="G78" s="377" t="n">
        <f aca="false">(loans!E38+loans!E46)/1000-G88</f>
        <v>470384.136402494</v>
      </c>
      <c r="H78" s="377" t="n">
        <f aca="false">(loans!F38+loans!F46)/1000-H88</f>
        <v>471039.006918568</v>
      </c>
      <c r="I78" s="377" t="n">
        <f aca="false">(loans!G38+loans!G46)/1000-I88</f>
        <v>459117.784096941</v>
      </c>
      <c r="J78" s="377" t="n">
        <f aca="false">(loans!H38+loans!H46)/1000-J88</f>
        <v>459755.194745231</v>
      </c>
      <c r="K78" s="377" t="n">
        <f aca="false">(loans!I38+loans!I46)/1000-K88</f>
        <v>460392.605393521</v>
      </c>
      <c r="L78" s="377" t="n">
        <f aca="false">(loans!J38+loans!J46)/1000-L88</f>
        <v>461030.016041811</v>
      </c>
      <c r="M78" s="377" t="n">
        <f aca="false">(loans!K38+loans!K46)/1000-M88</f>
        <v>461667.426690101</v>
      </c>
      <c r="N78" s="377" t="n">
        <f aca="false">(loans!L38+loans!L46)/1000-N88</f>
        <v>462304.837338391</v>
      </c>
      <c r="O78" s="377" t="n">
        <f aca="false">(loans!M38+loans!M46)/1000-O88</f>
        <v>451767.667392124</v>
      </c>
      <c r="P78" s="377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</row>
    <row r="79" customFormat="false" ht="13.2" hidden="false" customHeight="false" outlineLevel="0" collapsed="false">
      <c r="B79" s="33" t="s">
        <v>1114</v>
      </c>
      <c r="C79" s="377" t="n">
        <v>1400</v>
      </c>
      <c r="D79" s="377" t="n">
        <f aca="false">C79-24</f>
        <v>1376</v>
      </c>
      <c r="E79" s="377" t="n">
        <f aca="false">D79-24</f>
        <v>1352</v>
      </c>
      <c r="F79" s="377" t="n">
        <f aca="false">E79-24</f>
        <v>1328</v>
      </c>
      <c r="G79" s="377" t="n">
        <f aca="false">F79-24</f>
        <v>1304</v>
      </c>
      <c r="H79" s="377" t="n">
        <f aca="false">G79-24</f>
        <v>1280</v>
      </c>
      <c r="I79" s="377" t="n">
        <f aca="false">H79-24</f>
        <v>1256</v>
      </c>
      <c r="J79" s="377" t="n">
        <f aca="false">I79-24</f>
        <v>1232</v>
      </c>
      <c r="K79" s="377" t="n">
        <f aca="false">J79-24</f>
        <v>1208</v>
      </c>
      <c r="L79" s="377" t="n">
        <f aca="false">K79-24</f>
        <v>1184</v>
      </c>
      <c r="M79" s="377" t="n">
        <f aca="false">L79-24</f>
        <v>1160</v>
      </c>
      <c r="N79" s="377" t="n">
        <f aca="false">M79-24</f>
        <v>1136</v>
      </c>
      <c r="O79" s="377" t="n">
        <f aca="false">N79-24</f>
        <v>1112</v>
      </c>
      <c r="P79" s="377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</row>
    <row r="80" customFormat="false" ht="13.2" hidden="false" customHeight="false" outlineLevel="0" collapsed="false">
      <c r="C80" s="377"/>
      <c r="D80" s="377"/>
      <c r="E80" s="377"/>
      <c r="F80" s="377"/>
      <c r="G80" s="377"/>
      <c r="H80" s="377"/>
      <c r="I80" s="377"/>
      <c r="J80" s="377"/>
      <c r="K80" s="377"/>
      <c r="L80" s="377"/>
      <c r="M80" s="377"/>
      <c r="N80" s="377"/>
      <c r="O80" s="377"/>
      <c r="P80" s="377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</row>
    <row r="81" customFormat="false" ht="13.2" hidden="false" customHeight="false" outlineLevel="0" collapsed="false">
      <c r="C81" s="378" t="n">
        <f aca="false">SUM(C78:C80)</f>
        <v>470477.9</v>
      </c>
      <c r="D81" s="378" t="n">
        <f aca="false">SUM(D78:D79)</f>
        <v>469795.524854274</v>
      </c>
      <c r="E81" s="378" t="n">
        <f aca="false">SUM(E78:E79)</f>
        <v>470426.395370347</v>
      </c>
      <c r="F81" s="378" t="n">
        <f aca="false">SUM(F78:F79)</f>
        <v>471057.265886421</v>
      </c>
      <c r="G81" s="378" t="n">
        <f aca="false">SUM(G78:G79)</f>
        <v>471688.136402494</v>
      </c>
      <c r="H81" s="378" t="n">
        <f aca="false">SUM(H78:H79)</f>
        <v>472319.006918568</v>
      </c>
      <c r="I81" s="378" t="n">
        <f aca="false">SUM(I78:I79)</f>
        <v>460373.784096941</v>
      </c>
      <c r="J81" s="378" t="n">
        <f aca="false">SUM(J78:J79)</f>
        <v>460987.194745231</v>
      </c>
      <c r="K81" s="378" t="n">
        <f aca="false">SUM(K78:K79)</f>
        <v>461600.605393521</v>
      </c>
      <c r="L81" s="378" t="n">
        <f aca="false">SUM(L78:L79)</f>
        <v>462214.016041811</v>
      </c>
      <c r="M81" s="378" t="n">
        <f aca="false">SUM(M78:M79)</f>
        <v>462827.426690101</v>
      </c>
      <c r="N81" s="378" t="n">
        <f aca="false">SUM(N78:N79)</f>
        <v>463440.837338391</v>
      </c>
      <c r="O81" s="378" t="n">
        <f aca="false">SUM(O78:O79)</f>
        <v>452879.667392124</v>
      </c>
      <c r="P81" s="377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</row>
    <row r="82" customFormat="false" ht="13.2" hidden="false" customHeight="false" outlineLevel="0" collapsed="false"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</row>
    <row r="83" customFormat="false" ht="13.2" hidden="false" customHeight="false" outlineLevel="0" collapsed="false">
      <c r="B83" s="21" t="s">
        <v>1115</v>
      </c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</row>
    <row r="84" customFormat="false" ht="13.2" hidden="false" customHeight="false" outlineLevel="0" collapsed="false">
      <c r="B84" s="33" t="s">
        <v>1116</v>
      </c>
      <c r="C84" s="377" t="n">
        <v>23434.6</v>
      </c>
      <c r="D84" s="377" t="n">
        <f aca="false">5549914*Factors!C11/1000</f>
        <v>23883.590704193</v>
      </c>
      <c r="E84" s="377" t="n">
        <f aca="false">5549914*Factors!D11/1000</f>
        <v>23916.9809847861</v>
      </c>
      <c r="F84" s="377" t="n">
        <f aca="false">5549914*Factors!E11/1000</f>
        <v>23950.3712653791</v>
      </c>
      <c r="G84" s="377" t="n">
        <f aca="false">5549914*Factors!F11/1000</f>
        <v>23983.7615459722</v>
      </c>
      <c r="H84" s="377" t="n">
        <f aca="false">5549914*Factors!G11/1000</f>
        <v>24017.1518265652</v>
      </c>
      <c r="I84" s="377" t="n">
        <f aca="false">5549914*Factors!H11/1000</f>
        <v>24050.5421071582</v>
      </c>
      <c r="J84" s="377" t="n">
        <f aca="false">5549914*Factors!I11/1000</f>
        <v>24083.9323877513</v>
      </c>
      <c r="K84" s="377" t="n">
        <f aca="false">5549914*Factors!J11/1000</f>
        <v>24117.3226683443</v>
      </c>
      <c r="L84" s="377" t="n">
        <f aca="false">5549914*Factors!K11/1000</f>
        <v>24150.7129489374</v>
      </c>
      <c r="M84" s="377" t="n">
        <f aca="false">5549914*Factors!L11/1000</f>
        <v>24184.1032295304</v>
      </c>
      <c r="N84" s="377" t="n">
        <f aca="false">5549914*Factors!M11/1000</f>
        <v>24217.4935101235</v>
      </c>
      <c r="O84" s="377" t="n">
        <f aca="false">5549914*Factors!N11/1000</f>
        <v>24250.8837907165</v>
      </c>
      <c r="P84" s="377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</row>
    <row r="85" customFormat="false" ht="13.2" hidden="false" customHeight="false" outlineLevel="0" collapsed="false">
      <c r="B85" s="33" t="s">
        <v>1117</v>
      </c>
      <c r="C85" s="377" t="n">
        <f aca="false">41331.9+4700+2000</f>
        <v>48031.9</v>
      </c>
      <c r="D85" s="377" t="n">
        <f aca="false">C85</f>
        <v>48031.9</v>
      </c>
      <c r="E85" s="377" t="n">
        <f aca="false">D85</f>
        <v>48031.9</v>
      </c>
      <c r="F85" s="377" t="n">
        <f aca="false">E85</f>
        <v>48031.9</v>
      </c>
      <c r="G85" s="377" t="n">
        <f aca="false">F85</f>
        <v>48031.9</v>
      </c>
      <c r="H85" s="377" t="n">
        <f aca="false">G85</f>
        <v>48031.9</v>
      </c>
      <c r="I85" s="377" t="n">
        <f aca="false">H85</f>
        <v>48031.9</v>
      </c>
      <c r="J85" s="377" t="n">
        <f aca="false">I85</f>
        <v>48031.9</v>
      </c>
      <c r="K85" s="377" t="n">
        <f aca="false">J85</f>
        <v>48031.9</v>
      </c>
      <c r="L85" s="377" t="n">
        <f aca="false">K85</f>
        <v>48031.9</v>
      </c>
      <c r="M85" s="377" t="n">
        <f aca="false">L85</f>
        <v>48031.9</v>
      </c>
      <c r="N85" s="377" t="n">
        <f aca="false">M85</f>
        <v>48031.9</v>
      </c>
      <c r="O85" s="377" t="n">
        <f aca="false">N85</f>
        <v>48031.9</v>
      </c>
      <c r="P85" s="377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</row>
    <row r="86" customFormat="false" ht="13.2" hidden="false" customHeight="false" outlineLevel="0" collapsed="false">
      <c r="B86" s="33" t="s">
        <v>1118</v>
      </c>
      <c r="C86" s="377"/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7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</row>
    <row r="87" customFormat="false" ht="13.2" hidden="false" customHeight="false" outlineLevel="0" collapsed="false">
      <c r="B87" s="33" t="s">
        <v>1119</v>
      </c>
      <c r="C87" s="377" t="n">
        <v>31.2</v>
      </c>
      <c r="D87" s="377" t="n">
        <f aca="false">C87</f>
        <v>31.2</v>
      </c>
      <c r="E87" s="377" t="n">
        <f aca="false">D87</f>
        <v>31.2</v>
      </c>
      <c r="F87" s="377" t="n">
        <f aca="false">E87</f>
        <v>31.2</v>
      </c>
      <c r="G87" s="377" t="n">
        <f aca="false">F87</f>
        <v>31.2</v>
      </c>
      <c r="H87" s="377" t="n">
        <f aca="false">G87</f>
        <v>31.2</v>
      </c>
      <c r="I87" s="377" t="n">
        <f aca="false">H87</f>
        <v>31.2</v>
      </c>
      <c r="J87" s="377" t="n">
        <f aca="false">I87</f>
        <v>31.2</v>
      </c>
      <c r="K87" s="377" t="n">
        <f aca="false">J87</f>
        <v>31.2</v>
      </c>
      <c r="L87" s="377" t="n">
        <f aca="false">K87</f>
        <v>31.2</v>
      </c>
      <c r="M87" s="377" t="n">
        <f aca="false">L87</f>
        <v>31.2</v>
      </c>
      <c r="N87" s="377" t="n">
        <f aca="false">M87</f>
        <v>31.2</v>
      </c>
      <c r="O87" s="377" t="n">
        <f aca="false">N87</f>
        <v>31.2</v>
      </c>
      <c r="P87" s="377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</row>
    <row r="88" customFormat="false" ht="13.2" hidden="false" customHeight="false" outlineLevel="0" collapsed="false">
      <c r="B88" s="33" t="s">
        <v>1120</v>
      </c>
      <c r="C88" s="377" t="n">
        <v>20733</v>
      </c>
      <c r="D88" s="377" t="n">
        <f aca="false">118500000*(0.020747+0.021581)/1000*Factors!C11</f>
        <v>21585.3684108005</v>
      </c>
      <c r="E88" s="377" t="n">
        <f aca="false">118500000*(0.020747+0.021581)/1000*Factors!D11</f>
        <v>21615.545678401</v>
      </c>
      <c r="F88" s="377" t="n">
        <f aca="false">118500000*(0.020747+0.021581)/1000*Factors!E11</f>
        <v>21645.7229460015</v>
      </c>
      <c r="G88" s="377" t="n">
        <f aca="false">118500000*(0.020747+0.021581)/1000*Factors!F11</f>
        <v>21675.9002136019</v>
      </c>
      <c r="H88" s="377" t="n">
        <f aca="false">118500000*(0.020747+0.021581)/1000*Factors!G11</f>
        <v>21706.0774812024</v>
      </c>
      <c r="I88" s="377" t="n">
        <f aca="false">118500000*(0.02449+0.021581)/1000*Factors!H11</f>
        <v>23658.3583569292</v>
      </c>
      <c r="J88" s="377" t="n">
        <f aca="false">118500000*(0.02449+0.021581)/1000*Factors!I11</f>
        <v>23691.204153934</v>
      </c>
      <c r="K88" s="377" t="n">
        <f aca="false">118500000*(0.02449+0.021581)/1000*Factors!J11</f>
        <v>23724.0499509389</v>
      </c>
      <c r="L88" s="377" t="n">
        <f aca="false">118500000*(0.02449+0.021581)/1000*Factors!K11</f>
        <v>23756.8957479438</v>
      </c>
      <c r="M88" s="377" t="n">
        <f aca="false">118500000*(0.02449+0.021581)/1000*Factors!L11</f>
        <v>23789.7415449486</v>
      </c>
      <c r="N88" s="377" t="n">
        <f aca="false">118500000*(0.02449+0.021581)/1000*Factors!M11</f>
        <v>23822.5873419535</v>
      </c>
      <c r="O88" s="377" t="n">
        <f aca="false">118500000*(0.02449+0.021581)/1000*Factors!N11</f>
        <v>23855.4331389583</v>
      </c>
      <c r="P88" s="377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</row>
    <row r="89" customFormat="false" ht="13.2" hidden="false" customHeight="false" outlineLevel="0" collapsed="false">
      <c r="B89" s="33" t="s">
        <v>1121</v>
      </c>
      <c r="C89" s="377" t="n">
        <v>4500</v>
      </c>
      <c r="D89" s="377" t="n">
        <f aca="false">C89</f>
        <v>4500</v>
      </c>
      <c r="E89" s="377" t="n">
        <f aca="false">D89</f>
        <v>4500</v>
      </c>
      <c r="F89" s="377" t="n">
        <f aca="false">E89</f>
        <v>4500</v>
      </c>
      <c r="G89" s="377" t="n">
        <f aca="false">F89</f>
        <v>4500</v>
      </c>
      <c r="H89" s="377" t="n">
        <f aca="false">G89</f>
        <v>4500</v>
      </c>
      <c r="I89" s="377" t="n">
        <f aca="false">H89</f>
        <v>4500</v>
      </c>
      <c r="J89" s="377" t="n">
        <f aca="false">I89</f>
        <v>4500</v>
      </c>
      <c r="K89" s="377" t="n">
        <f aca="false">J89</f>
        <v>4500</v>
      </c>
      <c r="L89" s="377" t="n">
        <f aca="false">K89</f>
        <v>4500</v>
      </c>
      <c r="M89" s="377" t="n">
        <f aca="false">L89</f>
        <v>4500</v>
      </c>
      <c r="N89" s="377" t="n">
        <f aca="false">M89</f>
        <v>4500</v>
      </c>
      <c r="O89" s="377" t="n">
        <f aca="false">N89</f>
        <v>4500</v>
      </c>
      <c r="P89" s="377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</row>
    <row r="90" customFormat="false" ht="13.2" hidden="false" customHeight="false" outlineLevel="0" collapsed="false">
      <c r="C90" s="377"/>
      <c r="D90" s="377"/>
      <c r="E90" s="377"/>
      <c r="F90" s="377"/>
      <c r="G90" s="377"/>
      <c r="H90" s="377"/>
      <c r="I90" s="377"/>
      <c r="J90" s="377"/>
      <c r="K90" s="377"/>
      <c r="L90" s="377"/>
      <c r="M90" s="377"/>
      <c r="N90" s="377"/>
      <c r="O90" s="377"/>
      <c r="P90" s="377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</row>
    <row r="91" customFormat="false" ht="13.2" hidden="false" customHeight="false" outlineLevel="0" collapsed="false">
      <c r="C91" s="378" t="n">
        <f aca="false">SUM(C84:C89)</f>
        <v>96730.7</v>
      </c>
      <c r="D91" s="378" t="n">
        <f aca="false">SUM(D84:D89)</f>
        <v>98032.0591149935</v>
      </c>
      <c r="E91" s="378" t="n">
        <f aca="false">SUM(E84:E89)</f>
        <v>98095.6266631871</v>
      </c>
      <c r="F91" s="378" t="n">
        <f aca="false">SUM(F84:F89)</f>
        <v>98159.1942113806</v>
      </c>
      <c r="G91" s="378" t="n">
        <f aca="false">SUM(G84:G89)</f>
        <v>98222.7617595741</v>
      </c>
      <c r="H91" s="378" t="n">
        <f aca="false">SUM(H84:H89)</f>
        <v>98286.3293077676</v>
      </c>
      <c r="I91" s="378" t="n">
        <f aca="false">SUM(I84:I89)</f>
        <v>100272.000464087</v>
      </c>
      <c r="J91" s="378" t="n">
        <f aca="false">SUM(J84:J89)</f>
        <v>100338.236541685</v>
      </c>
      <c r="K91" s="378" t="n">
        <f aca="false">SUM(K84:K89)</f>
        <v>100404.472619283</v>
      </c>
      <c r="L91" s="378" t="n">
        <f aca="false">SUM(L84:L89)</f>
        <v>100470.708696881</v>
      </c>
      <c r="M91" s="378" t="n">
        <f aca="false">SUM(M84:M89)</f>
        <v>100536.944774479</v>
      </c>
      <c r="N91" s="378" t="n">
        <f aca="false">SUM(N84:N89)</f>
        <v>100603.180852077</v>
      </c>
      <c r="O91" s="378" t="n">
        <f aca="false">SUM(O84:O89)</f>
        <v>100669.416929675</v>
      </c>
      <c r="P91" s="377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</row>
    <row r="92" customFormat="false" ht="13.2" hidden="false" customHeight="false" outlineLevel="0" collapsed="false">
      <c r="C92" s="377"/>
      <c r="D92" s="377"/>
      <c r="E92" s="377"/>
      <c r="F92" s="377"/>
      <c r="G92" s="377"/>
      <c r="H92" s="377"/>
      <c r="I92" s="377"/>
      <c r="J92" s="377"/>
      <c r="K92" s="377"/>
      <c r="L92" s="377"/>
      <c r="M92" s="377"/>
      <c r="N92" s="377"/>
      <c r="O92" s="377"/>
      <c r="P92" s="377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</row>
    <row r="93" customFormat="false" ht="13.2" hidden="false" customHeight="false" outlineLevel="0" collapsed="false">
      <c r="B93" s="21" t="s">
        <v>1122</v>
      </c>
      <c r="C93" s="377"/>
      <c r="D93" s="377"/>
      <c r="E93" s="377"/>
      <c r="F93" s="377"/>
      <c r="G93" s="377"/>
      <c r="H93" s="377"/>
      <c r="I93" s="377"/>
      <c r="J93" s="377"/>
      <c r="K93" s="377"/>
      <c r="L93" s="377"/>
      <c r="M93" s="377"/>
      <c r="N93" s="377"/>
      <c r="O93" s="377"/>
      <c r="P93" s="377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</row>
    <row r="94" customFormat="false" ht="13.2" hidden="false" customHeight="false" outlineLevel="0" collapsed="false">
      <c r="B94" s="33" t="s">
        <v>1123</v>
      </c>
      <c r="C94" s="377" t="n">
        <f aca="false">8763.6-4700-2000</f>
        <v>2063.6</v>
      </c>
      <c r="D94" s="377" t="n">
        <f aca="false">C94</f>
        <v>2063.6</v>
      </c>
      <c r="E94" s="377" t="n">
        <f aca="false">D94</f>
        <v>2063.6</v>
      </c>
      <c r="F94" s="377" t="n">
        <f aca="false">E94</f>
        <v>2063.6</v>
      </c>
      <c r="G94" s="377" t="n">
        <f aca="false">F94-812</f>
        <v>1251.6</v>
      </c>
      <c r="H94" s="377" t="n">
        <f aca="false">G94-100</f>
        <v>1151.6</v>
      </c>
      <c r="I94" s="377" t="n">
        <f aca="false">H94-100</f>
        <v>1051.6</v>
      </c>
      <c r="J94" s="377" t="n">
        <f aca="false">I94-100</f>
        <v>951.6</v>
      </c>
      <c r="K94" s="377" t="n">
        <f aca="false">J94</f>
        <v>951.6</v>
      </c>
      <c r="L94" s="377" t="n">
        <f aca="false">K94-200</f>
        <v>751.6</v>
      </c>
      <c r="M94" s="377" t="n">
        <f aca="false">L94</f>
        <v>751.6</v>
      </c>
      <c r="N94" s="377" t="n">
        <f aca="false">M94</f>
        <v>751.6</v>
      </c>
      <c r="O94" s="377" t="n">
        <f aca="false">N94</f>
        <v>751.6</v>
      </c>
      <c r="P94" s="377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</row>
    <row r="95" customFormat="false" ht="13.2" hidden="false" customHeight="false" outlineLevel="0" collapsed="false">
      <c r="B95" s="33" t="s">
        <v>1124</v>
      </c>
      <c r="C95" s="377" t="n">
        <v>10000</v>
      </c>
      <c r="D95" s="377" t="n">
        <f aca="false">C95-loans!B37/1000-loans!B45/1000</f>
        <v>9314.95221632596</v>
      </c>
      <c r="E95" s="377" t="n">
        <f aca="false">D95-loans!C37/1000-loans!C45/1000</f>
        <v>8629.90443265199</v>
      </c>
      <c r="F95" s="377" t="n">
        <f aca="false">E95-loans!D37/1000-loans!D45/1000</f>
        <v>7944.85664897801</v>
      </c>
      <c r="G95" s="377" t="n">
        <f aca="false">F95-loans!E37/1000-loans!E45/1000</f>
        <v>7259.80886530404</v>
      </c>
      <c r="H95" s="377" t="n">
        <f aca="false">G95-loans!F37/1000-loans!F45/1000</f>
        <v>6574.76108163</v>
      </c>
      <c r="I95" s="377" t="n">
        <f aca="false">H95-loans!G37/1000-loans!G45/1000</f>
        <v>5889.71329795602</v>
      </c>
      <c r="J95" s="377" t="n">
        <f aca="false">I95-loans!H37/1000-loans!H45/1000</f>
        <v>5219.45685266106</v>
      </c>
      <c r="K95" s="377" t="n">
        <f aca="false">J95-loans!I37/1000-loans!I45/1000</f>
        <v>4549.20040736611</v>
      </c>
      <c r="L95" s="377" t="n">
        <v>0</v>
      </c>
      <c r="M95" s="377" t="n">
        <v>0</v>
      </c>
      <c r="N95" s="377" t="n">
        <v>0</v>
      </c>
      <c r="O95" s="377" t="n">
        <v>0</v>
      </c>
      <c r="P95" s="377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</row>
    <row r="96" customFormat="false" ht="13.2" hidden="false" customHeight="false" outlineLevel="0" collapsed="false">
      <c r="C96" s="377"/>
      <c r="D96" s="377"/>
      <c r="E96" s="377"/>
      <c r="F96" s="377"/>
      <c r="G96" s="377"/>
      <c r="H96" s="377"/>
      <c r="I96" s="377"/>
      <c r="J96" s="377"/>
      <c r="K96" s="377"/>
      <c r="L96" s="377"/>
      <c r="M96" s="377"/>
      <c r="N96" s="377"/>
      <c r="O96" s="377"/>
      <c r="P96" s="377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</row>
    <row r="97" customFormat="false" ht="13.2" hidden="false" customHeight="false" outlineLevel="0" collapsed="false">
      <c r="C97" s="378" t="n">
        <f aca="false">SUM(C94:C95)</f>
        <v>12063.6</v>
      </c>
      <c r="D97" s="378" t="n">
        <f aca="false">SUM(D94:D95)</f>
        <v>11378.552216326</v>
      </c>
      <c r="E97" s="378" t="n">
        <f aca="false">SUM(E94:E95)</f>
        <v>10693.504432652</v>
      </c>
      <c r="F97" s="378" t="n">
        <f aca="false">SUM(F94:F95)</f>
        <v>10008.456648978</v>
      </c>
      <c r="G97" s="378" t="n">
        <f aca="false">SUM(G94:G95)</f>
        <v>8511.40886530404</v>
      </c>
      <c r="H97" s="378" t="n">
        <f aca="false">SUM(H94:H95)</f>
        <v>7726.36108163</v>
      </c>
      <c r="I97" s="378" t="n">
        <f aca="false">SUM(I94:I95)</f>
        <v>6941.31329795602</v>
      </c>
      <c r="J97" s="378" t="n">
        <f aca="false">SUM(J94:J95)</f>
        <v>6171.05685266106</v>
      </c>
      <c r="K97" s="378" t="n">
        <f aca="false">SUM(K94:K95)</f>
        <v>5500.80040736611</v>
      </c>
      <c r="L97" s="378" t="n">
        <f aca="false">SUM(L94:L95)</f>
        <v>751.6</v>
      </c>
      <c r="M97" s="378" t="n">
        <f aca="false">SUM(M94:M95)</f>
        <v>751.6</v>
      </c>
      <c r="N97" s="378" t="n">
        <f aca="false">SUM(N94:N95)</f>
        <v>751.6</v>
      </c>
      <c r="O97" s="378" t="n">
        <f aca="false">SUM(O94:O95)</f>
        <v>751.6</v>
      </c>
      <c r="P97" s="377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</row>
    <row r="98" customFormat="false" ht="25.2" hidden="false" customHeight="true" outlineLevel="0" collapsed="false">
      <c r="B98" s="184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</row>
    <row r="99" customFormat="false" ht="19.2" hidden="false" customHeight="true" outlineLevel="0" collapsed="false">
      <c r="B99" s="54" t="s">
        <v>1125</v>
      </c>
      <c r="C99" s="383" t="n">
        <f aca="false">C97+C91+C81+C75+C69</f>
        <v>616299.4</v>
      </c>
      <c r="D99" s="383" t="n">
        <f aca="false">D97+D91+D81+D75+D69</f>
        <v>615502.958212266</v>
      </c>
      <c r="E99" s="383" t="n">
        <f aca="false">E97+E91+E81+E75+E69</f>
        <v>615445.347600421</v>
      </c>
      <c r="F99" s="383" t="n">
        <f aca="false">F97+F91+F81+F75+F69</f>
        <v>600473.106058917</v>
      </c>
      <c r="G99" s="383" t="n">
        <f aca="false">G97+G91+G81+G75+G69</f>
        <v>599156.340423169</v>
      </c>
      <c r="H99" s="383" t="n">
        <f aca="false">H97+H91+H81+H75+H69</f>
        <v>597735.371660825</v>
      </c>
      <c r="I99" s="383" t="n">
        <f aca="false">I97+I91+I81+I75+I69</f>
        <v>585917.293869032</v>
      </c>
      <c r="J99" s="383" t="n">
        <f aca="false">J97+J91+J81+J75+J69</f>
        <v>587205.373832179</v>
      </c>
      <c r="K99" s="383" t="n">
        <f aca="false">K97+K91+K81+K75+K69</f>
        <v>588604.428829374</v>
      </c>
      <c r="L99" s="383" t="n">
        <f aca="false">L97+L91+L81+L75+L69</f>
        <v>571754.173141498</v>
      </c>
      <c r="M99" s="383" t="n">
        <f aca="false">M97+M91+M81+M75+M69</f>
        <v>573436.487479765</v>
      </c>
      <c r="N99" s="383" t="n">
        <f aca="false">N97+N91+N81+N75+N69</f>
        <v>575442.414260256</v>
      </c>
      <c r="O99" s="383" t="n">
        <f aca="false">O97+O91+O81+O75+O69</f>
        <v>566425.053149318</v>
      </c>
      <c r="P99" s="377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</row>
    <row r="100" customFormat="false" ht="13.8" hidden="false" customHeight="false" outlineLevel="0" collapsed="false">
      <c r="B100" s="21"/>
      <c r="C100" s="377" t="n">
        <f aca="false">C99-C59</f>
        <v>0</v>
      </c>
      <c r="D100" s="377" t="n">
        <f aca="false">D99-D59</f>
        <v>0</v>
      </c>
      <c r="E100" s="377" t="n">
        <f aca="false">E99-E59</f>
        <v>0</v>
      </c>
      <c r="F100" s="377" t="n">
        <f aca="false">F99-F59</f>
        <v>0</v>
      </c>
      <c r="G100" s="377" t="n">
        <f aca="false">G99-G59</f>
        <v>0</v>
      </c>
      <c r="H100" s="377" t="n">
        <f aca="false">H99-H59</f>
        <v>0</v>
      </c>
      <c r="I100" s="377" t="n">
        <f aca="false">I99-I59</f>
        <v>0</v>
      </c>
      <c r="J100" s="377" t="n">
        <f aca="false">J99-J59</f>
        <v>0</v>
      </c>
      <c r="K100" s="377" t="n">
        <f aca="false">K99-K59</f>
        <v>0</v>
      </c>
      <c r="L100" s="377" t="n">
        <f aca="false">L99-L59</f>
        <v>0</v>
      </c>
      <c r="M100" s="377" t="n">
        <f aca="false">M99-M59</f>
        <v>0</v>
      </c>
      <c r="N100" s="377" t="n">
        <f aca="false">N99-N59</f>
        <v>0</v>
      </c>
      <c r="O100" s="377" t="n">
        <f aca="false">O99-O59</f>
        <v>0</v>
      </c>
      <c r="P100" s="377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</row>
    <row r="101" customFormat="false" ht="13.2" hidden="false" customHeight="false" outlineLevel="0" collapsed="false">
      <c r="C101" s="387"/>
      <c r="D101" s="377"/>
      <c r="E101" s="377"/>
      <c r="F101" s="377"/>
      <c r="G101" s="377"/>
      <c r="H101" s="377"/>
      <c r="I101" s="377"/>
      <c r="J101" s="377"/>
      <c r="K101" s="377"/>
      <c r="L101" s="377"/>
      <c r="M101" s="377"/>
      <c r="N101" s="377"/>
      <c r="O101" s="377"/>
      <c r="P101" s="377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</row>
    <row r="102" customFormat="false" ht="13.2" hidden="false" customHeight="false" outlineLevel="0" collapsed="false">
      <c r="C102" s="377"/>
      <c r="D102" s="377"/>
      <c r="E102" s="377"/>
      <c r="F102" s="377"/>
      <c r="G102" s="377"/>
      <c r="H102" s="377"/>
      <c r="I102" s="377"/>
      <c r="J102" s="377"/>
      <c r="K102" s="377"/>
      <c r="L102" s="377"/>
      <c r="M102" s="377"/>
      <c r="N102" s="377"/>
      <c r="O102" s="377"/>
      <c r="P102" s="377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</row>
    <row r="103" customFormat="false" ht="13.2" hidden="false" customHeight="false" outlineLevel="0" collapsed="false">
      <c r="C103" s="377"/>
      <c r="D103" s="377"/>
      <c r="E103" s="377"/>
      <c r="F103" s="377"/>
      <c r="G103" s="377"/>
      <c r="H103" s="377"/>
      <c r="I103" s="377"/>
      <c r="J103" s="377"/>
      <c r="K103" s="377"/>
      <c r="L103" s="377"/>
      <c r="M103" s="377"/>
      <c r="N103" s="377"/>
      <c r="O103" s="377"/>
      <c r="P103" s="377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</row>
    <row r="104" customFormat="false" ht="13.2" hidden="false" customHeight="false" outlineLevel="0" collapsed="false">
      <c r="C104" s="377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</row>
    <row r="105" customFormat="false" ht="13.2" hidden="false" customHeight="false" outlineLevel="0" collapsed="false">
      <c r="C105" s="377"/>
      <c r="D105" s="377"/>
      <c r="E105" s="377"/>
      <c r="F105" s="377"/>
      <c r="G105" s="377"/>
      <c r="H105" s="377"/>
      <c r="I105" s="377"/>
      <c r="J105" s="377"/>
      <c r="K105" s="377"/>
      <c r="L105" s="377"/>
      <c r="M105" s="377"/>
      <c r="N105" s="377"/>
      <c r="O105" s="377"/>
      <c r="P105" s="377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</row>
    <row r="106" customFormat="false" ht="13.2" hidden="false" customHeight="false" outlineLevel="0" collapsed="false"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7"/>
      <c r="N106" s="377"/>
      <c r="O106" s="377"/>
      <c r="P106" s="377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</row>
    <row r="107" customFormat="false" ht="13.2" hidden="false" customHeight="false" outlineLevel="0" collapsed="false"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</row>
    <row r="108" customFormat="false" ht="13.2" hidden="false" customHeight="false" outlineLevel="0" collapsed="false"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</row>
    <row r="109" customFormat="false" ht="13.2" hidden="false" customHeight="false" outlineLevel="0" collapsed="false"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</row>
    <row r="110" customFormat="false" ht="13.2" hidden="false" customHeight="false" outlineLevel="0" collapsed="false"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</row>
    <row r="111" customFormat="false" ht="13.2" hidden="false" customHeight="false" outlineLevel="0" collapsed="false"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</row>
    <row r="112" customFormat="false" ht="13.2" hidden="false" customHeight="false" outlineLevel="0" collapsed="false"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</row>
    <row r="113" customFormat="false" ht="13.2" hidden="false" customHeight="false" outlineLevel="0" collapsed="false">
      <c r="B113" s="388"/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</row>
    <row r="114" customFormat="false" ht="13.2" hidden="false" customHeight="false" outlineLevel="0" collapsed="false">
      <c r="B114" s="388"/>
      <c r="C114" s="377"/>
      <c r="D114" s="377"/>
      <c r="E114" s="377"/>
      <c r="F114" s="377"/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</row>
    <row r="115" customFormat="false" ht="13.2" hidden="false" customHeight="false" outlineLevel="0" collapsed="false">
      <c r="B115" s="388"/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</row>
    <row r="116" customFormat="false" ht="13.2" hidden="false" customHeight="false" outlineLevel="0" collapsed="false">
      <c r="B116" s="388"/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</row>
    <row r="117" customFormat="false" ht="13.2" hidden="false" customHeight="false" outlineLevel="0" collapsed="false">
      <c r="B117" s="204"/>
      <c r="C117" s="377"/>
      <c r="D117" s="377"/>
      <c r="E117" s="377"/>
      <c r="F117" s="377"/>
      <c r="G117" s="377"/>
      <c r="H117" s="377"/>
      <c r="I117" s="377"/>
      <c r="J117" s="377"/>
      <c r="K117" s="377"/>
      <c r="L117" s="377"/>
      <c r="M117" s="377"/>
      <c r="N117" s="377"/>
      <c r="O117" s="377"/>
      <c r="P117" s="377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</row>
    <row r="118" customFormat="false" ht="13.2" hidden="false" customHeight="false" outlineLevel="0" collapsed="false">
      <c r="B118" s="204"/>
      <c r="C118" s="377"/>
      <c r="D118" s="377"/>
      <c r="E118" s="377"/>
      <c r="F118" s="377"/>
      <c r="G118" s="377"/>
      <c r="H118" s="377"/>
      <c r="I118" s="377"/>
      <c r="J118" s="377"/>
      <c r="K118" s="377"/>
      <c r="L118" s="377"/>
      <c r="M118" s="377"/>
      <c r="N118" s="377"/>
      <c r="O118" s="377"/>
      <c r="P118" s="377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</row>
    <row r="119" customFormat="false" ht="13.2" hidden="false" customHeight="false" outlineLevel="0" collapsed="false">
      <c r="B119" s="204"/>
      <c r="C119" s="377"/>
      <c r="D119" s="377"/>
      <c r="E119" s="377"/>
      <c r="F119" s="377"/>
      <c r="G119" s="377"/>
      <c r="H119" s="377"/>
      <c r="I119" s="377"/>
      <c r="J119" s="377"/>
      <c r="K119" s="377"/>
      <c r="L119" s="377"/>
      <c r="M119" s="377"/>
      <c r="N119" s="377"/>
      <c r="O119" s="377"/>
      <c r="P119" s="377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</row>
    <row r="120" customFormat="false" ht="13.2" hidden="false" customHeight="false" outlineLevel="0" collapsed="false">
      <c r="B120" s="204"/>
      <c r="C120" s="377"/>
      <c r="D120" s="377"/>
      <c r="E120" s="377"/>
      <c r="F120" s="377"/>
      <c r="G120" s="377"/>
      <c r="H120" s="377"/>
      <c r="I120" s="377"/>
      <c r="J120" s="377"/>
      <c r="K120" s="377"/>
      <c r="L120" s="377"/>
      <c r="M120" s="377"/>
      <c r="N120" s="377"/>
      <c r="O120" s="377"/>
      <c r="P120" s="377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</row>
    <row r="121" customFormat="false" ht="13.2" hidden="false" customHeight="false" outlineLevel="0" collapsed="false">
      <c r="B121" s="204"/>
      <c r="C121" s="377"/>
      <c r="D121" s="377"/>
      <c r="E121" s="377"/>
      <c r="F121" s="377"/>
      <c r="G121" s="377"/>
      <c r="H121" s="377"/>
      <c r="I121" s="377"/>
      <c r="J121" s="377"/>
      <c r="K121" s="377"/>
      <c r="L121" s="377"/>
      <c r="M121" s="377"/>
      <c r="N121" s="377"/>
      <c r="O121" s="377"/>
      <c r="P121" s="377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</row>
    <row r="122" customFormat="false" ht="13.2" hidden="false" customHeight="false" outlineLevel="0" collapsed="false">
      <c r="B122" s="204"/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M122" s="377"/>
      <c r="N122" s="377"/>
      <c r="O122" s="377"/>
      <c r="P122" s="377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</row>
    <row r="123" customFormat="false" ht="13.2" hidden="false" customHeight="false" outlineLevel="0" collapsed="false">
      <c r="B123" s="204"/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7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</row>
    <row r="124" customFormat="false" ht="13.2" hidden="false" customHeight="false" outlineLevel="0" collapsed="false">
      <c r="B124" s="388"/>
      <c r="C124" s="377"/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7"/>
      <c r="P124" s="377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</row>
    <row r="125" customFormat="false" ht="13.2" hidden="false" customHeight="false" outlineLevel="0" collapsed="false">
      <c r="B125" s="204"/>
      <c r="C125" s="377"/>
      <c r="D125" s="377"/>
      <c r="E125" s="377"/>
      <c r="F125" s="377"/>
      <c r="G125" s="377"/>
      <c r="H125" s="377"/>
      <c r="I125" s="377"/>
      <c r="J125" s="377"/>
      <c r="K125" s="377"/>
      <c r="L125" s="377"/>
      <c r="M125" s="377"/>
      <c r="N125" s="377"/>
      <c r="O125" s="377"/>
      <c r="P125" s="377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</row>
    <row r="126" customFormat="false" ht="13.2" hidden="false" customHeight="false" outlineLevel="0" collapsed="false">
      <c r="B126" s="204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</row>
    <row r="127" customFormat="false" ht="13.2" hidden="false" customHeight="false" outlineLevel="0" collapsed="false">
      <c r="B127" s="204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</row>
    <row r="128" customFormat="false" ht="13.2" hidden="false" customHeight="false" outlineLevel="0" collapsed="false">
      <c r="B128" s="204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</row>
    <row r="129" customFormat="false" ht="13.2" hidden="false" customHeight="false" outlineLevel="0" collapsed="false">
      <c r="B129" s="204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</row>
    <row r="130" customFormat="false" ht="13.2" hidden="false" customHeight="false" outlineLevel="0" collapsed="false">
      <c r="B130" s="204"/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</row>
    <row r="131" customFormat="false" ht="13.2" hidden="false" customHeight="false" outlineLevel="0" collapsed="false">
      <c r="B131" s="388"/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</row>
    <row r="132" customFormat="false" ht="13.2" hidden="false" customHeight="false" outlineLevel="0" collapsed="false">
      <c r="B132" s="388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</row>
    <row r="133" customFormat="false" ht="13.2" hidden="false" customHeight="false" outlineLevel="0" collapsed="false">
      <c r="B133" s="204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</row>
    <row r="134" customFormat="false" ht="13.2" hidden="false" customHeight="false" outlineLevel="0" collapsed="false">
      <c r="B134" s="204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</row>
    <row r="135" customFormat="false" ht="13.2" hidden="false" customHeight="false" outlineLevel="0" collapsed="false">
      <c r="B135" s="388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</row>
    <row r="136" customFormat="false" ht="13.2" hidden="false" customHeight="false" outlineLevel="0" collapsed="false">
      <c r="B136" s="204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</row>
    <row r="137" customFormat="false" ht="13.2" hidden="false" customHeight="false" outlineLevel="0" collapsed="false">
      <c r="B137" s="204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</row>
    <row r="138" customFormat="false" ht="13.2" hidden="false" customHeight="false" outlineLevel="0" collapsed="false">
      <c r="B138" s="204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</row>
    <row r="139" customFormat="false" ht="13.2" hidden="false" customHeight="false" outlineLevel="0" collapsed="false">
      <c r="B139" s="204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</row>
    <row r="140" customFormat="false" ht="13.2" hidden="false" customHeight="false" outlineLevel="0" collapsed="false">
      <c r="B140" s="204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</row>
    <row r="141" customFormat="false" ht="13.2" hidden="false" customHeight="false" outlineLevel="0" collapsed="false">
      <c r="B141" s="388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</row>
    <row r="142" customFormat="false" ht="13.2" hidden="false" customHeight="false" outlineLevel="0" collapsed="false">
      <c r="B142" s="388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</row>
    <row r="143" customFormat="false" ht="13.2" hidden="false" customHeight="false" outlineLevel="0" collapsed="false">
      <c r="B143" s="204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</row>
    <row r="144" customFormat="false" ht="13.2" hidden="false" customHeight="false" outlineLevel="0" collapsed="false">
      <c r="B144" s="204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</row>
    <row r="145" customFormat="false" ht="13.2" hidden="false" customHeight="false" outlineLevel="0" collapsed="false">
      <c r="B145" s="204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</row>
    <row r="146" customFormat="false" ht="13.2" hidden="false" customHeight="false" outlineLevel="0" collapsed="false">
      <c r="B146" s="204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</row>
    <row r="147" customFormat="false" ht="13.2" hidden="false" customHeight="false" outlineLevel="0" collapsed="false">
      <c r="B147" s="388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</row>
    <row r="148" customFormat="false" ht="13.2" hidden="false" customHeight="false" outlineLevel="0" collapsed="false">
      <c r="B148" s="204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</row>
    <row r="149" customFormat="false" ht="13.2" hidden="false" customHeight="false" outlineLevel="0" collapsed="false">
      <c r="B149" s="204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</row>
    <row r="150" customFormat="false" ht="13.2" hidden="false" customHeight="false" outlineLevel="0" collapsed="false">
      <c r="B150" s="388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</row>
    <row r="151" customFormat="false" ht="13.2" hidden="false" customHeight="false" outlineLevel="0" collapsed="false">
      <c r="B151" s="204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</row>
    <row r="152" customFormat="false" ht="13.2" hidden="false" customHeight="false" outlineLevel="0" collapsed="false">
      <c r="B152" s="204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</row>
    <row r="153" customFormat="false" ht="13.2" hidden="false" customHeight="false" outlineLevel="0" collapsed="false">
      <c r="B153" s="204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</row>
    <row r="154" customFormat="false" ht="13.2" hidden="false" customHeight="false" outlineLevel="0" collapsed="false">
      <c r="B154" s="204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</row>
    <row r="155" customFormat="false" ht="13.2" hidden="false" customHeight="false" outlineLevel="0" collapsed="false">
      <c r="B155" s="204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</row>
    <row r="156" customFormat="false" ht="13.2" hidden="false" customHeight="false" outlineLevel="0" collapsed="false">
      <c r="B156" s="204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</row>
    <row r="157" customFormat="false" ht="13.2" hidden="false" customHeight="false" outlineLevel="0" collapsed="false">
      <c r="B157" s="204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</row>
    <row r="158" customFormat="false" ht="13.2" hidden="false" customHeight="false" outlineLevel="0" collapsed="false">
      <c r="B158" s="204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</row>
    <row r="159" customFormat="false" ht="13.2" hidden="false" customHeight="false" outlineLevel="0" collapsed="false">
      <c r="B159" s="204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</row>
    <row r="160" customFormat="false" ht="13.2" hidden="false" customHeight="false" outlineLevel="0" collapsed="false">
      <c r="B160" s="388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</row>
    <row r="161" customFormat="false" ht="13.2" hidden="false" customHeight="false" outlineLevel="0" collapsed="false">
      <c r="B161" s="388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</row>
    <row r="162" customFormat="false" ht="13.2" hidden="false" customHeight="false" outlineLevel="0" collapsed="false">
      <c r="B162" s="204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</row>
    <row r="163" customFormat="false" ht="13.2" hidden="false" customHeight="false" outlineLevel="0" collapsed="false">
      <c r="B163" s="204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</row>
    <row r="164" customFormat="false" ht="13.2" hidden="false" customHeight="false" outlineLevel="0" collapsed="false">
      <c r="B164" s="204"/>
      <c r="C164" s="152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</row>
    <row r="165" customFormat="false" ht="13.2" hidden="false" customHeight="false" outlineLevel="0" collapsed="false">
      <c r="B165" s="204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</row>
    <row r="166" customFormat="false" ht="13.2" hidden="false" customHeight="false" outlineLevel="0" collapsed="false">
      <c r="B166" s="204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</row>
    <row r="167" customFormat="false" ht="13.2" hidden="false" customHeight="false" outlineLevel="0" collapsed="false">
      <c r="B167" s="204"/>
      <c r="C167" s="152"/>
      <c r="D167" s="152"/>
      <c r="E167" s="152"/>
      <c r="F167" s="152"/>
      <c r="G167" s="152"/>
      <c r="H167" s="152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</row>
    <row r="168" customFormat="false" ht="13.2" hidden="false" customHeight="false" outlineLevel="0" collapsed="false">
      <c r="B168" s="204"/>
      <c r="C168" s="152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</row>
    <row r="169" customFormat="false" ht="13.2" hidden="false" customHeight="false" outlineLevel="0" collapsed="false">
      <c r="B169" s="204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</row>
    <row r="170" customFormat="false" ht="13.2" hidden="false" customHeight="false" outlineLevel="0" collapsed="false">
      <c r="B170" s="388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</row>
    <row r="171" customFormat="false" ht="13.2" hidden="false" customHeight="false" outlineLevel="0" collapsed="false">
      <c r="B171" s="388"/>
      <c r="C171" s="152"/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</row>
    <row r="172" customFormat="false" ht="13.2" hidden="false" customHeight="false" outlineLevel="0" collapsed="false">
      <c r="B172" s="204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</row>
    <row r="173" customFormat="false" ht="13.2" hidden="false" customHeight="false" outlineLevel="0" collapsed="false">
      <c r="B173" s="204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</row>
    <row r="174" customFormat="false" ht="13.2" hidden="false" customHeight="false" outlineLevel="0" collapsed="false">
      <c r="B174" s="204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</row>
    <row r="175" customFormat="false" ht="13.2" hidden="false" customHeight="false" outlineLevel="0" collapsed="false">
      <c r="B175" s="204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</row>
    <row r="176" customFormat="false" ht="13.2" hidden="false" customHeight="false" outlineLevel="0" collapsed="false">
      <c r="B176" s="388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</row>
    <row r="177" customFormat="false" ht="13.2" hidden="false" customHeight="false" outlineLevel="0" collapsed="false">
      <c r="B177" s="388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</row>
    <row r="178" customFormat="false" ht="13.2" hidden="false" customHeight="false" outlineLevel="0" collapsed="false">
      <c r="B178" s="388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</row>
    <row r="179" customFormat="false" ht="13.2" hidden="false" customHeight="false" outlineLevel="0" collapsed="false"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</row>
    <row r="180" customFormat="false" ht="13.2" hidden="false" customHeight="false" outlineLevel="0" collapsed="false"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</row>
    <row r="181" customFormat="false" ht="13.2" hidden="false" customHeight="false" outlineLevel="0" collapsed="false"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</row>
    <row r="182" customFormat="false" ht="13.2" hidden="false" customHeight="false" outlineLevel="0" collapsed="false"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</row>
    <row r="183" customFormat="false" ht="13.2" hidden="false" customHeight="false" outlineLevel="0" collapsed="false"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</row>
    <row r="184" customFormat="false" ht="13.2" hidden="false" customHeight="false" outlineLevel="0" collapsed="false"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</row>
    <row r="185" customFormat="false" ht="13.2" hidden="false" customHeight="false" outlineLevel="0" collapsed="false"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</row>
    <row r="186" customFormat="false" ht="13.2" hidden="false" customHeight="false" outlineLevel="0" collapsed="false"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</row>
    <row r="187" customFormat="false" ht="13.2" hidden="false" customHeight="false" outlineLevel="0" collapsed="false"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</row>
    <row r="188" customFormat="false" ht="13.2" hidden="false" customHeight="false" outlineLevel="0" collapsed="false"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</row>
    <row r="189" customFormat="false" ht="13.2" hidden="false" customHeight="false" outlineLevel="0" collapsed="false"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</row>
    <row r="190" customFormat="false" ht="13.2" hidden="false" customHeight="false" outlineLevel="0" collapsed="false"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</row>
    <row r="191" customFormat="false" ht="13.2" hidden="false" customHeight="false" outlineLevel="0" collapsed="false"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</row>
    <row r="192" customFormat="false" ht="13.2" hidden="false" customHeight="false" outlineLevel="0" collapsed="false"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</row>
    <row r="193" customFormat="false" ht="13.2" hidden="false" customHeight="false" outlineLevel="0" collapsed="false"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</row>
    <row r="194" customFormat="false" ht="13.2" hidden="false" customHeight="false" outlineLevel="0" collapsed="false"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</row>
    <row r="195" customFormat="false" ht="13.2" hidden="false" customHeight="false" outlineLevel="0" collapsed="false"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</row>
    <row r="196" customFormat="false" ht="13.2" hidden="false" customHeight="false" outlineLevel="0" collapsed="false"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</row>
    <row r="197" customFormat="false" ht="13.2" hidden="false" customHeight="false" outlineLevel="0" collapsed="false"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</row>
    <row r="198" customFormat="false" ht="13.2" hidden="false" customHeight="false" outlineLevel="0" collapsed="false"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</row>
    <row r="199" customFormat="false" ht="13.2" hidden="false" customHeight="false" outlineLevel="0" collapsed="false"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</row>
    <row r="200" customFormat="false" ht="13.2" hidden="false" customHeight="false" outlineLevel="0" collapsed="false"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</row>
    <row r="201" customFormat="false" ht="13.2" hidden="false" customHeight="false" outlineLevel="0" collapsed="false"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</row>
    <row r="202" customFormat="false" ht="13.2" hidden="false" customHeight="false" outlineLevel="0" collapsed="false"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</row>
    <row r="203" customFormat="false" ht="13.2" hidden="false" customHeight="false" outlineLevel="0" collapsed="false"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</row>
    <row r="204" customFormat="false" ht="13.2" hidden="false" customHeight="false" outlineLevel="0" collapsed="false"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</row>
    <row r="205" customFormat="false" ht="13.2" hidden="false" customHeight="false" outlineLevel="0" collapsed="false"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</row>
    <row r="206" customFormat="false" ht="13.2" hidden="false" customHeight="false" outlineLevel="0" collapsed="false">
      <c r="B206" s="152"/>
      <c r="C206" s="152"/>
      <c r="D206" s="152"/>
      <c r="E206" s="152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</row>
    <row r="207" customFormat="false" ht="13.2" hidden="false" customHeight="false" outlineLevel="0" collapsed="false">
      <c r="B207" s="152"/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</row>
    <row r="208" customFormat="false" ht="13.2" hidden="false" customHeight="false" outlineLevel="0" collapsed="false">
      <c r="B208" s="152"/>
      <c r="C208" s="152"/>
      <c r="D208" s="152"/>
      <c r="E208" s="152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</row>
    <row r="209" customFormat="false" ht="13.2" hidden="false" customHeight="false" outlineLevel="0" collapsed="false">
      <c r="B209" s="152"/>
      <c r="C209" s="152"/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</row>
    <row r="210" customFormat="false" ht="13.2" hidden="false" customHeight="false" outlineLevel="0" collapsed="false">
      <c r="B210" s="152"/>
      <c r="C210" s="152"/>
      <c r="D210" s="152"/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</row>
    <row r="211" customFormat="false" ht="13.2" hidden="false" customHeight="false" outlineLevel="0" collapsed="false"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</row>
    <row r="212" customFormat="false" ht="13.2" hidden="false" customHeight="false" outlineLevel="0" collapsed="false">
      <c r="B212" s="152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</row>
    <row r="213" customFormat="false" ht="13.2" hidden="false" customHeight="false" outlineLevel="0" collapsed="false">
      <c r="B213" s="152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</row>
    <row r="214" customFormat="false" ht="13.2" hidden="false" customHeight="false" outlineLevel="0" collapsed="false"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</row>
    <row r="215" customFormat="false" ht="13.2" hidden="false" customHeight="false" outlineLevel="0" collapsed="false">
      <c r="B215" s="152"/>
      <c r="C215" s="152"/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</row>
    <row r="216" customFormat="false" ht="13.2" hidden="false" customHeight="false" outlineLevel="0" collapsed="false">
      <c r="B216" s="152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</row>
    <row r="217" customFormat="false" ht="13.2" hidden="false" customHeight="false" outlineLevel="0" collapsed="false"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</row>
    <row r="218" customFormat="false" ht="13.2" hidden="false" customHeight="false" outlineLevel="0" collapsed="false"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</row>
    <row r="219" customFormat="false" ht="13.2" hidden="false" customHeight="false" outlineLevel="0" collapsed="false"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</row>
    <row r="220" customFormat="false" ht="13.2" hidden="false" customHeight="false" outlineLevel="0" collapsed="false"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</row>
    <row r="221" customFormat="false" ht="13.2" hidden="false" customHeight="false" outlineLevel="0" collapsed="false"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</row>
    <row r="222" customFormat="false" ht="13.2" hidden="false" customHeight="false" outlineLevel="0" collapsed="false"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</row>
    <row r="223" customFormat="false" ht="13.2" hidden="false" customHeight="false" outlineLevel="0" collapsed="false"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</row>
    <row r="224" customFormat="false" ht="13.2" hidden="false" customHeight="false" outlineLevel="0" collapsed="false"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</row>
    <row r="225" customFormat="false" ht="13.2" hidden="false" customHeight="false" outlineLevel="0" collapsed="false"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</row>
    <row r="226" customFormat="false" ht="13.2" hidden="false" customHeight="false" outlineLevel="0" collapsed="false"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</row>
    <row r="227" customFormat="false" ht="13.2" hidden="false" customHeight="false" outlineLevel="0" collapsed="false"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</row>
    <row r="228" customFormat="false" ht="13.2" hidden="false" customHeight="false" outlineLevel="0" collapsed="false"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</row>
    <row r="229" customFormat="false" ht="13.2" hidden="false" customHeight="false" outlineLevel="0" collapsed="false"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</row>
    <row r="230" customFormat="false" ht="13.2" hidden="false" customHeight="false" outlineLevel="0" collapsed="false"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</row>
    <row r="231" customFormat="false" ht="13.2" hidden="false" customHeight="false" outlineLevel="0" collapsed="false"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</row>
    <row r="232" customFormat="false" ht="13.2" hidden="false" customHeight="false" outlineLevel="0" collapsed="false"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</row>
    <row r="233" customFormat="false" ht="13.2" hidden="false" customHeight="false" outlineLevel="0" collapsed="false"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</row>
    <row r="234" customFormat="false" ht="13.2" hidden="false" customHeight="false" outlineLevel="0" collapsed="false"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</row>
    <row r="235" customFormat="false" ht="13.2" hidden="false" customHeight="false" outlineLevel="0" collapsed="false"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</row>
    <row r="236" customFormat="false" ht="13.2" hidden="false" customHeight="false" outlineLevel="0" collapsed="false"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152"/>
      <c r="AB236" s="152"/>
      <c r="AC236" s="152"/>
    </row>
    <row r="237" customFormat="false" ht="13.2" hidden="false" customHeight="false" outlineLevel="0" collapsed="false"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</row>
    <row r="238" customFormat="false" ht="13.2" hidden="false" customHeight="false" outlineLevel="0" collapsed="false"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  <c r="AA238" s="152"/>
      <c r="AB238" s="152"/>
      <c r="AC238" s="152"/>
    </row>
    <row r="239" customFormat="false" ht="13.2" hidden="false" customHeight="false" outlineLevel="0" collapsed="false"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</row>
    <row r="240" customFormat="false" ht="13.2" hidden="false" customHeight="false" outlineLevel="0" collapsed="false"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</row>
    <row r="241" customFormat="false" ht="13.2" hidden="false" customHeight="false" outlineLevel="0" collapsed="false"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</row>
    <row r="242" customFormat="false" ht="13.2" hidden="false" customHeight="false" outlineLevel="0" collapsed="false"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</row>
    <row r="243" customFormat="false" ht="13.2" hidden="false" customHeight="false" outlineLevel="0" collapsed="false"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</row>
    <row r="244" customFormat="false" ht="13.2" hidden="false" customHeight="false" outlineLevel="0" collapsed="false"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</row>
    <row r="245" customFormat="false" ht="13.2" hidden="false" customHeight="false" outlineLevel="0" collapsed="false"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</row>
    <row r="246" customFormat="false" ht="13.2" hidden="false" customHeight="false" outlineLevel="0" collapsed="false"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</row>
    <row r="247" customFormat="false" ht="13.2" hidden="false" customHeight="false" outlineLevel="0" collapsed="false"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</row>
    <row r="248" customFormat="false" ht="13.2" hidden="false" customHeight="false" outlineLevel="0" collapsed="false"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</row>
    <row r="249" customFormat="false" ht="13.2" hidden="false" customHeight="false" outlineLevel="0" collapsed="false">
      <c r="B249" s="152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</row>
    <row r="250" customFormat="false" ht="13.2" hidden="false" customHeight="false" outlineLevel="0" collapsed="false"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</row>
    <row r="251" customFormat="false" ht="13.2" hidden="false" customHeight="false" outlineLevel="0" collapsed="false">
      <c r="B251" s="152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</row>
    <row r="252" customFormat="false" ht="13.2" hidden="false" customHeight="false" outlineLevel="0" collapsed="false">
      <c r="B252" s="152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</row>
    <row r="253" customFormat="false" ht="13.2" hidden="false" customHeight="false" outlineLevel="0" collapsed="false">
      <c r="B253" s="152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</row>
    <row r="254" customFormat="false" ht="13.2" hidden="false" customHeight="false" outlineLevel="0" collapsed="false">
      <c r="B254" s="152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</row>
    <row r="255" customFormat="false" ht="13.2" hidden="false" customHeight="false" outlineLevel="0" collapsed="false"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</row>
    <row r="256" customFormat="false" ht="13.2" hidden="false" customHeight="false" outlineLevel="0" collapsed="false"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</row>
    <row r="257" customFormat="false" ht="13.2" hidden="false" customHeight="false" outlineLevel="0" collapsed="false">
      <c r="B257" s="152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</row>
    <row r="258" customFormat="false" ht="13.2" hidden="false" customHeight="false" outlineLevel="0" collapsed="false">
      <c r="B258" s="152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</row>
    <row r="259" customFormat="false" ht="13.2" hidden="false" customHeight="false" outlineLevel="0" collapsed="false"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</row>
    <row r="260" customFormat="false" ht="13.2" hidden="false" customHeight="false" outlineLevel="0" collapsed="false"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</row>
    <row r="261" customFormat="false" ht="13.2" hidden="false" customHeight="false" outlineLevel="0" collapsed="false"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</row>
    <row r="262" customFormat="false" ht="13.2" hidden="false" customHeight="false" outlineLevel="0" collapsed="false"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</row>
    <row r="263" customFormat="false" ht="13.2" hidden="false" customHeight="false" outlineLevel="0" collapsed="false"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</row>
    <row r="264" customFormat="false" ht="13.2" hidden="false" customHeight="false" outlineLevel="0" collapsed="false"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</row>
    <row r="265" customFormat="false" ht="13.2" hidden="false" customHeight="false" outlineLevel="0" collapsed="false"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</row>
    <row r="266" customFormat="false" ht="13.2" hidden="false" customHeight="false" outlineLevel="0" collapsed="false"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</row>
    <row r="267" customFormat="false" ht="13.2" hidden="false" customHeight="false" outlineLevel="0" collapsed="false"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</row>
    <row r="268" customFormat="false" ht="13.2" hidden="false" customHeight="false" outlineLevel="0" collapsed="false"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</row>
    <row r="269" customFormat="false" ht="13.2" hidden="false" customHeight="false" outlineLevel="0" collapsed="false"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</row>
    <row r="270" customFormat="false" ht="13.2" hidden="false" customHeight="false" outlineLevel="0" collapsed="false"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</row>
    <row r="271" customFormat="false" ht="13.2" hidden="false" customHeight="false" outlineLevel="0" collapsed="false"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</row>
    <row r="272" customFormat="false" ht="13.2" hidden="false" customHeight="false" outlineLevel="0" collapsed="false"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</row>
    <row r="273" customFormat="false" ht="13.2" hidden="false" customHeight="false" outlineLevel="0" collapsed="false"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</row>
    <row r="274" customFormat="false" ht="13.2" hidden="false" customHeight="false" outlineLevel="0" collapsed="false"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</row>
    <row r="275" customFormat="false" ht="13.2" hidden="false" customHeight="false" outlineLevel="0" collapsed="false"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</row>
    <row r="276" customFormat="false" ht="13.2" hidden="false" customHeight="false" outlineLevel="0" collapsed="false"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</row>
    <row r="277" customFormat="false" ht="13.2" hidden="false" customHeight="false" outlineLevel="0" collapsed="false"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</row>
    <row r="278" customFormat="false" ht="13.2" hidden="false" customHeight="false" outlineLevel="0" collapsed="false"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</row>
    <row r="279" customFormat="false" ht="13.2" hidden="false" customHeight="false" outlineLevel="0" collapsed="false"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</row>
    <row r="280" customFormat="false" ht="13.2" hidden="false" customHeight="false" outlineLevel="0" collapsed="false"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</row>
    <row r="281" customFormat="false" ht="13.2" hidden="false" customHeight="false" outlineLevel="0" collapsed="false"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</row>
    <row r="282" customFormat="false" ht="13.2" hidden="false" customHeight="false" outlineLevel="0" collapsed="false"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</row>
    <row r="283" customFormat="false" ht="13.2" hidden="false" customHeight="false" outlineLevel="0" collapsed="false"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</row>
    <row r="284" customFormat="false" ht="13.2" hidden="false" customHeight="false" outlineLevel="0" collapsed="false"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</row>
    <row r="285" customFormat="false" ht="13.2" hidden="false" customHeight="false" outlineLevel="0" collapsed="false"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</row>
    <row r="286" customFormat="false" ht="13.2" hidden="false" customHeight="false" outlineLevel="0" collapsed="false"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</row>
    <row r="287" customFormat="false" ht="13.2" hidden="false" customHeight="false" outlineLevel="0" collapsed="false"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</row>
    <row r="288" customFormat="false" ht="13.2" hidden="false" customHeight="false" outlineLevel="0" collapsed="false"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  <c r="AA288" s="152"/>
      <c r="AB288" s="152"/>
      <c r="AC288" s="152"/>
    </row>
    <row r="289" customFormat="false" ht="13.2" hidden="false" customHeight="false" outlineLevel="0" collapsed="false"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  <c r="AA289" s="152"/>
      <c r="AB289" s="152"/>
      <c r="AC289" s="152"/>
    </row>
    <row r="290" customFormat="false" ht="13.2" hidden="false" customHeight="false" outlineLevel="0" collapsed="false"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  <c r="AA290" s="152"/>
      <c r="AB290" s="152"/>
      <c r="AC290" s="152"/>
    </row>
    <row r="291" customFormat="false" ht="13.2" hidden="false" customHeight="false" outlineLevel="0" collapsed="false">
      <c r="B291" s="152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</row>
    <row r="292" customFormat="false" ht="13.2" hidden="false" customHeight="false" outlineLevel="0" collapsed="false">
      <c r="B292" s="152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</row>
    <row r="293" customFormat="false" ht="13.2" hidden="false" customHeight="false" outlineLevel="0" collapsed="false">
      <c r="B293" s="152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</row>
    <row r="294" customFormat="false" ht="13.2" hidden="false" customHeight="false" outlineLevel="0" collapsed="false">
      <c r="B294" s="152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</row>
    <row r="295" customFormat="false" ht="13.2" hidden="false" customHeight="false" outlineLevel="0" collapsed="false"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</row>
    <row r="296" customFormat="false" ht="13.2" hidden="false" customHeight="false" outlineLevel="0" collapsed="false">
      <c r="B296" s="152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</row>
    <row r="297" customFormat="false" ht="13.2" hidden="false" customHeight="false" outlineLevel="0" collapsed="false"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</row>
    <row r="298" customFormat="false" ht="13.2" hidden="false" customHeight="false" outlineLevel="0" collapsed="false">
      <c r="B298" s="152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</row>
    <row r="299" customFormat="false" ht="13.2" hidden="false" customHeight="false" outlineLevel="0" collapsed="false">
      <c r="B299" s="152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</row>
    <row r="300" customFormat="false" ht="13.2" hidden="false" customHeight="false" outlineLevel="0" collapsed="false">
      <c r="B300" s="152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</row>
    <row r="301" customFormat="false" ht="13.2" hidden="false" customHeight="false" outlineLevel="0" collapsed="false">
      <c r="B301" s="152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</row>
    <row r="302" customFormat="false" ht="13.2" hidden="false" customHeight="false" outlineLevel="0" collapsed="false">
      <c r="B302" s="152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</row>
    <row r="303" customFormat="false" ht="13.2" hidden="false" customHeight="false" outlineLevel="0" collapsed="false"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</row>
    <row r="304" customFormat="false" ht="13.2" hidden="false" customHeight="false" outlineLevel="0" collapsed="false"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</row>
    <row r="305" customFormat="false" ht="13.2" hidden="false" customHeight="false" outlineLevel="0" collapsed="false"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</row>
    <row r="306" customFormat="false" ht="13.2" hidden="false" customHeight="false" outlineLevel="0" collapsed="false"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</row>
    <row r="307" customFormat="false" ht="13.2" hidden="false" customHeight="false" outlineLevel="0" collapsed="false"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  <c r="AA307" s="152"/>
      <c r="AB307" s="152"/>
      <c r="AC307" s="152"/>
    </row>
    <row r="308" customFormat="false" ht="13.2" hidden="false" customHeight="false" outlineLevel="0" collapsed="false"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  <c r="AA308" s="152"/>
      <c r="AB308" s="152"/>
      <c r="AC308" s="152"/>
    </row>
    <row r="309" customFormat="false" ht="13.2" hidden="false" customHeight="false" outlineLevel="0" collapsed="false">
      <c r="B309" s="152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  <c r="AA309" s="152"/>
      <c r="AB309" s="152"/>
      <c r="AC309" s="152"/>
    </row>
    <row r="310" customFormat="false" ht="13.2" hidden="false" customHeight="false" outlineLevel="0" collapsed="false">
      <c r="B310" s="152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</row>
    <row r="311" customFormat="false" ht="13.2" hidden="false" customHeight="false" outlineLevel="0" collapsed="false">
      <c r="B311" s="152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  <c r="AA311" s="152"/>
      <c r="AB311" s="152"/>
      <c r="AC311" s="152"/>
    </row>
    <row r="312" customFormat="false" ht="13.2" hidden="false" customHeight="false" outlineLevel="0" collapsed="false">
      <c r="B312" s="152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</row>
    <row r="313" customFormat="false" ht="13.2" hidden="false" customHeight="false" outlineLevel="0" collapsed="false"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</row>
    <row r="314" customFormat="false" ht="13.2" hidden="false" customHeight="false" outlineLevel="0" collapsed="false"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</row>
    <row r="315" customFormat="false" ht="13.2" hidden="false" customHeight="false" outlineLevel="0" collapsed="false"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</row>
    <row r="316" customFormat="false" ht="13.2" hidden="false" customHeight="false" outlineLevel="0" collapsed="false"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</row>
    <row r="317" customFormat="false" ht="13.2" hidden="false" customHeight="false" outlineLevel="0" collapsed="false"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</row>
    <row r="318" customFormat="false" ht="13.2" hidden="false" customHeight="false" outlineLevel="0" collapsed="false">
      <c r="B318" s="152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</row>
    <row r="319" customFormat="false" ht="13.2" hidden="false" customHeight="false" outlineLevel="0" collapsed="false"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</row>
    <row r="320" customFormat="false" ht="13.2" hidden="false" customHeight="false" outlineLevel="0" collapsed="false"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</row>
    <row r="321" customFormat="false" ht="13.2" hidden="false" customHeight="false" outlineLevel="0" collapsed="false">
      <c r="B321" s="152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</row>
    <row r="322" customFormat="false" ht="13.2" hidden="false" customHeight="false" outlineLevel="0" collapsed="false">
      <c r="B322" s="152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</row>
    <row r="323" customFormat="false" ht="13.2" hidden="false" customHeight="false" outlineLevel="0" collapsed="false">
      <c r="B323" s="152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</row>
    <row r="324" customFormat="false" ht="13.2" hidden="false" customHeight="false" outlineLevel="0" collapsed="false"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  <c r="AA324" s="152"/>
      <c r="AB324" s="152"/>
      <c r="AC324" s="152"/>
    </row>
    <row r="325" customFormat="false" ht="13.2" hidden="false" customHeight="false" outlineLevel="0" collapsed="false"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</row>
    <row r="326" customFormat="false" ht="13.2" hidden="false" customHeight="false" outlineLevel="0" collapsed="false"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</row>
    <row r="327" customFormat="false" ht="13.2" hidden="false" customHeight="false" outlineLevel="0" collapsed="false">
      <c r="B327" s="152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</row>
    <row r="328" customFormat="false" ht="13.2" hidden="false" customHeight="false" outlineLevel="0" collapsed="false">
      <c r="B328" s="152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</row>
    <row r="329" customFormat="false" ht="13.2" hidden="false" customHeight="false" outlineLevel="0" collapsed="false">
      <c r="B329" s="152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</row>
    <row r="330" customFormat="false" ht="13.2" hidden="false" customHeight="false" outlineLevel="0" collapsed="false">
      <c r="B330" s="152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</row>
    <row r="331" customFormat="false" ht="13.2" hidden="false" customHeight="false" outlineLevel="0" collapsed="false"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</row>
    <row r="332" customFormat="false" ht="13.2" hidden="false" customHeight="false" outlineLevel="0" collapsed="false">
      <c r="B332" s="152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</row>
    <row r="333" customFormat="false" ht="13.2" hidden="false" customHeight="false" outlineLevel="0" collapsed="false"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</row>
    <row r="334" customFormat="false" ht="13.2" hidden="false" customHeight="false" outlineLevel="0" collapsed="false">
      <c r="B334" s="152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</row>
    <row r="335" customFormat="false" ht="13.2" hidden="false" customHeight="false" outlineLevel="0" collapsed="false">
      <c r="B335" s="152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</row>
    <row r="336" customFormat="false" ht="13.2" hidden="false" customHeight="false" outlineLevel="0" collapsed="false"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</row>
    <row r="337" customFormat="false" ht="13.2" hidden="false" customHeight="false" outlineLevel="0" collapsed="false"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</row>
    <row r="338" customFormat="false" ht="13.2" hidden="false" customHeight="false" outlineLevel="0" collapsed="false">
      <c r="B338" s="152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</row>
    <row r="339" customFormat="false" ht="13.2" hidden="false" customHeight="false" outlineLevel="0" collapsed="false"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</row>
    <row r="340" customFormat="false" ht="13.2" hidden="false" customHeight="false" outlineLevel="0" collapsed="false">
      <c r="B340" s="152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</row>
    <row r="341" customFormat="false" ht="13.2" hidden="false" customHeight="false" outlineLevel="0" collapsed="false">
      <c r="B341" s="152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  <c r="AA341" s="152"/>
      <c r="AB341" s="152"/>
      <c r="AC341" s="152"/>
    </row>
    <row r="342" customFormat="false" ht="13.2" hidden="false" customHeight="false" outlineLevel="0" collapsed="false">
      <c r="B342" s="152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  <c r="AA342" s="152"/>
      <c r="AB342" s="152"/>
      <c r="AC342" s="152"/>
    </row>
    <row r="343" customFormat="false" ht="13.2" hidden="false" customHeight="false" outlineLevel="0" collapsed="false"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  <c r="AA343" s="152"/>
      <c r="AB343" s="152"/>
      <c r="AC343" s="152"/>
    </row>
    <row r="344" customFormat="false" ht="13.2" hidden="false" customHeight="false" outlineLevel="0" collapsed="false">
      <c r="B344" s="152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  <c r="AA344" s="152"/>
      <c r="AB344" s="152"/>
      <c r="AC344" s="152"/>
    </row>
    <row r="345" customFormat="false" ht="13.2" hidden="false" customHeight="false" outlineLevel="0" collapsed="false">
      <c r="B345" s="152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</row>
    <row r="346" customFormat="false" ht="13.2" hidden="false" customHeight="false" outlineLevel="0" collapsed="false">
      <c r="B346" s="152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52"/>
    </row>
    <row r="347" customFormat="false" ht="13.2" hidden="false" customHeight="false" outlineLevel="0" collapsed="false"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</row>
    <row r="348" customFormat="false" ht="13.2" hidden="false" customHeight="false" outlineLevel="0" collapsed="false"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</row>
    <row r="349" customFormat="false" ht="13.2" hidden="false" customHeight="false" outlineLevel="0" collapsed="false">
      <c r="B349" s="152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</row>
    <row r="350" customFormat="false" ht="13.2" hidden="false" customHeight="false" outlineLevel="0" collapsed="false">
      <c r="B350" s="152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</row>
    <row r="351" customFormat="false" ht="13.2" hidden="false" customHeight="false" outlineLevel="0" collapsed="false">
      <c r="B351" s="152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</row>
    <row r="352" customFormat="false" ht="13.2" hidden="false" customHeight="false" outlineLevel="0" collapsed="false"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</row>
    <row r="353" customFormat="false" ht="13.2" hidden="false" customHeight="false" outlineLevel="0" collapsed="false"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</row>
    <row r="354" customFormat="false" ht="13.2" hidden="false" customHeight="false" outlineLevel="0" collapsed="false">
      <c r="B354" s="152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</row>
    <row r="355" customFormat="false" ht="13.2" hidden="false" customHeight="false" outlineLevel="0" collapsed="false"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</row>
    <row r="356" customFormat="false" ht="13.2" hidden="false" customHeight="false" outlineLevel="0" collapsed="false">
      <c r="B356" s="152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</row>
    <row r="357" customFormat="false" ht="13.2" hidden="false" customHeight="false" outlineLevel="0" collapsed="false"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</row>
    <row r="358" customFormat="false" ht="13.2" hidden="false" customHeight="false" outlineLevel="0" collapsed="false">
      <c r="B358" s="152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</row>
    <row r="359" customFormat="false" ht="13.2" hidden="false" customHeight="false" outlineLevel="0" collapsed="false"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</row>
    <row r="360" customFormat="false" ht="13.2" hidden="false" customHeight="false" outlineLevel="0" collapsed="false"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</row>
    <row r="361" customFormat="false" ht="13.2" hidden="false" customHeight="false" outlineLevel="0" collapsed="false"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</row>
    <row r="362" customFormat="false" ht="13.2" hidden="false" customHeight="false" outlineLevel="0" collapsed="false">
      <c r="B362" s="152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</row>
    <row r="363" customFormat="false" ht="13.2" hidden="false" customHeight="false" outlineLevel="0" collapsed="false"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</row>
    <row r="364" customFormat="false" ht="13.2" hidden="false" customHeight="false" outlineLevel="0" collapsed="false"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</row>
    <row r="365" customFormat="false" ht="13.2" hidden="false" customHeight="false" outlineLevel="0" collapsed="false"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</row>
    <row r="366" customFormat="false" ht="13.2" hidden="false" customHeight="false" outlineLevel="0" collapsed="false">
      <c r="B366" s="152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</row>
    <row r="367" customFormat="false" ht="13.2" hidden="false" customHeight="false" outlineLevel="0" collapsed="false"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</row>
    <row r="368" customFormat="false" ht="13.2" hidden="false" customHeight="false" outlineLevel="0" collapsed="false"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</row>
    <row r="369" customFormat="false" ht="13.2" hidden="false" customHeight="false" outlineLevel="0" collapsed="false"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</row>
    <row r="370" customFormat="false" ht="13.2" hidden="false" customHeight="false" outlineLevel="0" collapsed="false">
      <c r="B370" s="152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</row>
    <row r="371" customFormat="false" ht="13.2" hidden="false" customHeight="false" outlineLevel="0" collapsed="false"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</row>
    <row r="372" customFormat="false" ht="13.2" hidden="false" customHeight="false" outlineLevel="0" collapsed="false"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</row>
    <row r="373" customFormat="false" ht="13.2" hidden="false" customHeight="false" outlineLevel="0" collapsed="false"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</row>
    <row r="374" customFormat="false" ht="13.2" hidden="false" customHeight="false" outlineLevel="0" collapsed="false"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</row>
    <row r="375" customFormat="false" ht="13.2" hidden="false" customHeight="false" outlineLevel="0" collapsed="false"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</row>
    <row r="376" customFormat="false" ht="13.2" hidden="false" customHeight="false" outlineLevel="0" collapsed="false">
      <c r="B376" s="152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  <c r="AA376" s="152"/>
      <c r="AB376" s="152"/>
      <c r="AC376" s="152"/>
    </row>
    <row r="377" customFormat="false" ht="13.2" hidden="false" customHeight="false" outlineLevel="0" collapsed="false"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</row>
    <row r="378" customFormat="false" ht="13.2" hidden="false" customHeight="false" outlineLevel="0" collapsed="false">
      <c r="B378" s="152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</row>
    <row r="379" customFormat="false" ht="13.2" hidden="false" customHeight="false" outlineLevel="0" collapsed="false"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  <c r="AA379" s="152"/>
      <c r="AB379" s="152"/>
      <c r="AC379" s="152"/>
    </row>
    <row r="380" customFormat="false" ht="13.2" hidden="false" customHeight="false" outlineLevel="0" collapsed="false">
      <c r="B380" s="152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</row>
    <row r="381" customFormat="false" ht="13.2" hidden="false" customHeight="false" outlineLevel="0" collapsed="false"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  <c r="AA381" s="152"/>
      <c r="AB381" s="152"/>
      <c r="AC381" s="152"/>
    </row>
    <row r="382" customFormat="false" ht="13.2" hidden="false" customHeight="false" outlineLevel="0" collapsed="false">
      <c r="B382" s="152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  <c r="AA382" s="152"/>
      <c r="AB382" s="152"/>
      <c r="AC382" s="152"/>
    </row>
    <row r="383" customFormat="false" ht="13.2" hidden="false" customHeight="false" outlineLevel="0" collapsed="false"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  <c r="AA383" s="152"/>
      <c r="AB383" s="152"/>
      <c r="AC383" s="152"/>
    </row>
    <row r="384" customFormat="false" ht="13.2" hidden="false" customHeight="false" outlineLevel="0" collapsed="false"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</row>
    <row r="385" customFormat="false" ht="13.2" hidden="false" customHeight="false" outlineLevel="0" collapsed="false"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</row>
    <row r="386" customFormat="false" ht="13.2" hidden="false" customHeight="false" outlineLevel="0" collapsed="false">
      <c r="B386" s="152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</row>
    <row r="387" customFormat="false" ht="13.2" hidden="false" customHeight="false" outlineLevel="0" collapsed="false"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</row>
    <row r="388" customFormat="false" ht="13.2" hidden="false" customHeight="false" outlineLevel="0" collapsed="false">
      <c r="B388" s="152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</row>
    <row r="389" customFormat="false" ht="13.2" hidden="false" customHeight="false" outlineLevel="0" collapsed="false"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</row>
    <row r="390" customFormat="false" ht="13.2" hidden="false" customHeight="false" outlineLevel="0" collapsed="false">
      <c r="B390" s="152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</row>
    <row r="391" customFormat="false" ht="13.2" hidden="false" customHeight="false" outlineLevel="0" collapsed="false"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</row>
    <row r="392" customFormat="false" ht="13.2" hidden="false" customHeight="false" outlineLevel="0" collapsed="false">
      <c r="B392" s="152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</row>
    <row r="393" customFormat="false" ht="13.2" hidden="false" customHeight="false" outlineLevel="0" collapsed="false"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</row>
    <row r="394" customFormat="false" ht="13.2" hidden="false" customHeight="false" outlineLevel="0" collapsed="false">
      <c r="B394" s="152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</row>
    <row r="395" customFormat="false" ht="13.2" hidden="false" customHeight="false" outlineLevel="0" collapsed="false"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</row>
    <row r="396" customFormat="false" ht="13.2" hidden="false" customHeight="false" outlineLevel="0" collapsed="false">
      <c r="B396" s="152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</row>
    <row r="397" customFormat="false" ht="13.2" hidden="false" customHeight="false" outlineLevel="0" collapsed="false"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</row>
    <row r="398" customFormat="false" ht="13.2" hidden="false" customHeight="false" outlineLevel="0" collapsed="false">
      <c r="B398" s="152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</row>
    <row r="399" customFormat="false" ht="13.2" hidden="false" customHeight="false" outlineLevel="0" collapsed="false"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</row>
    <row r="400" customFormat="false" ht="13.2" hidden="false" customHeight="false" outlineLevel="0" collapsed="false">
      <c r="B400" s="152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</row>
    <row r="401" customFormat="false" ht="13.2" hidden="false" customHeight="false" outlineLevel="0" collapsed="false"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</row>
    <row r="402" customFormat="false" ht="13.2" hidden="false" customHeight="false" outlineLevel="0" collapsed="false"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</row>
    <row r="403" customFormat="false" ht="13.2" hidden="false" customHeight="false" outlineLevel="0" collapsed="false"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</row>
    <row r="404" customFormat="false" ht="13.2" hidden="false" customHeight="false" outlineLevel="0" collapsed="false">
      <c r="B404" s="152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</row>
    <row r="405" customFormat="false" ht="13.2" hidden="false" customHeight="false" outlineLevel="0" collapsed="false"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</row>
    <row r="406" customFormat="false" ht="13.2" hidden="false" customHeight="false" outlineLevel="0" collapsed="false">
      <c r="B406" s="152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</row>
    <row r="407" customFormat="false" ht="13.2" hidden="false" customHeight="false" outlineLevel="0" collapsed="false"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</row>
    <row r="408" customFormat="false" ht="13.2" hidden="false" customHeight="false" outlineLevel="0" collapsed="false">
      <c r="B408" s="152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</row>
    <row r="409" customFormat="false" ht="13.2" hidden="false" customHeight="false" outlineLevel="0" collapsed="false"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</row>
    <row r="410" customFormat="false" ht="13.2" hidden="false" customHeight="false" outlineLevel="0" collapsed="false">
      <c r="B410" s="152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</row>
    <row r="411" customFormat="false" ht="13.2" hidden="false" customHeight="false" outlineLevel="0" collapsed="false"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</row>
    <row r="412" customFormat="false" ht="13.2" hidden="false" customHeight="false" outlineLevel="0" collapsed="false">
      <c r="B412" s="152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</row>
    <row r="413" customFormat="false" ht="13.2" hidden="false" customHeight="false" outlineLevel="0" collapsed="false"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</row>
    <row r="414" customFormat="false" ht="13.2" hidden="false" customHeight="false" outlineLevel="0" collapsed="false">
      <c r="B414" s="152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  <c r="AA414" s="152"/>
      <c r="AB414" s="152"/>
      <c r="AC414" s="152"/>
    </row>
    <row r="415" customFormat="false" ht="13.2" hidden="false" customHeight="false" outlineLevel="0" collapsed="false"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</row>
    <row r="416" customFormat="false" ht="13.2" hidden="false" customHeight="false" outlineLevel="0" collapsed="false">
      <c r="B416" s="152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</row>
    <row r="417" customFormat="false" ht="13.2" hidden="false" customHeight="false" outlineLevel="0" collapsed="false"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</row>
    <row r="418" customFormat="false" ht="13.2" hidden="false" customHeight="false" outlineLevel="0" collapsed="false">
      <c r="B418" s="152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</row>
    <row r="419" customFormat="false" ht="13.2" hidden="false" customHeight="false" outlineLevel="0" collapsed="false"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</row>
    <row r="420" customFormat="false" ht="13.2" hidden="false" customHeight="false" outlineLevel="0" collapsed="false">
      <c r="B420" s="152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</row>
    <row r="421" customFormat="false" ht="13.2" hidden="false" customHeight="false" outlineLevel="0" collapsed="false"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</row>
    <row r="422" customFormat="false" ht="13.2" hidden="false" customHeight="false" outlineLevel="0" collapsed="false">
      <c r="B422" s="152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</row>
    <row r="423" customFormat="false" ht="13.2" hidden="false" customHeight="false" outlineLevel="0" collapsed="false"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</row>
    <row r="424" customFormat="false" ht="13.2" hidden="false" customHeight="false" outlineLevel="0" collapsed="false">
      <c r="B424" s="152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</row>
    <row r="425" customFormat="false" ht="13.2" hidden="false" customHeight="false" outlineLevel="0" collapsed="false"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</row>
    <row r="426" customFormat="false" ht="13.2" hidden="false" customHeight="false" outlineLevel="0" collapsed="false">
      <c r="B426" s="152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</row>
    <row r="427" customFormat="false" ht="13.2" hidden="false" customHeight="false" outlineLevel="0" collapsed="false"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</row>
    <row r="428" customFormat="false" ht="13.2" hidden="false" customHeight="false" outlineLevel="0" collapsed="false"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</row>
    <row r="429" customFormat="false" ht="13.2" hidden="false" customHeight="false" outlineLevel="0" collapsed="false"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</row>
    <row r="430" customFormat="false" ht="13.2" hidden="false" customHeight="false" outlineLevel="0" collapsed="false"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</row>
    <row r="431" customFormat="false" ht="13.2" hidden="false" customHeight="false" outlineLevel="0" collapsed="false"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</row>
    <row r="432" customFormat="false" ht="13.2" hidden="false" customHeight="false" outlineLevel="0" collapsed="false">
      <c r="B432" s="152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</row>
    <row r="433" customFormat="false" ht="13.2" hidden="false" customHeight="false" outlineLevel="0" collapsed="false"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</row>
    <row r="434" customFormat="false" ht="13.2" hidden="false" customHeight="false" outlineLevel="0" collapsed="false">
      <c r="B434" s="152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</row>
    <row r="435" customFormat="false" ht="13.2" hidden="false" customHeight="false" outlineLevel="0" collapsed="false"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</row>
    <row r="436" customFormat="false" ht="13.2" hidden="false" customHeight="false" outlineLevel="0" collapsed="false">
      <c r="B436" s="152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</row>
    <row r="437" customFormat="false" ht="13.2" hidden="false" customHeight="false" outlineLevel="0" collapsed="false"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</row>
    <row r="438" customFormat="false" ht="13.2" hidden="false" customHeight="false" outlineLevel="0" collapsed="false">
      <c r="B438" s="152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</row>
    <row r="439" customFormat="false" ht="13.2" hidden="false" customHeight="false" outlineLevel="0" collapsed="false"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</row>
    <row r="440" customFormat="false" ht="13.2" hidden="false" customHeight="false" outlineLevel="0" collapsed="false"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</row>
    <row r="441" customFormat="false" ht="13.2" hidden="false" customHeight="false" outlineLevel="0" collapsed="false"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</row>
    <row r="442" customFormat="false" ht="13.2" hidden="false" customHeight="false" outlineLevel="0" collapsed="false">
      <c r="B442" s="152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</row>
    <row r="443" customFormat="false" ht="13.2" hidden="false" customHeight="false" outlineLevel="0" collapsed="false"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</row>
    <row r="444" customFormat="false" ht="13.2" hidden="false" customHeight="false" outlineLevel="0" collapsed="false">
      <c r="B444" s="152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</row>
    <row r="445" customFormat="false" ht="13.2" hidden="false" customHeight="false" outlineLevel="0" collapsed="false"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</row>
    <row r="446" customFormat="false" ht="13.2" hidden="false" customHeight="false" outlineLevel="0" collapsed="false"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</row>
    <row r="447" customFormat="false" ht="13.2" hidden="false" customHeight="false" outlineLevel="0" collapsed="false"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</row>
    <row r="448" customFormat="false" ht="13.2" hidden="false" customHeight="false" outlineLevel="0" collapsed="false">
      <c r="B448" s="152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</row>
    <row r="449" customFormat="false" ht="13.2" hidden="false" customHeight="false" outlineLevel="0" collapsed="false"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</row>
    <row r="450" customFormat="false" ht="13.2" hidden="false" customHeight="false" outlineLevel="0" collapsed="false">
      <c r="B450" s="152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</row>
    <row r="451" customFormat="false" ht="13.2" hidden="false" customHeight="false" outlineLevel="0" collapsed="false"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  <c r="AA451" s="152"/>
      <c r="AB451" s="152"/>
      <c r="AC451" s="152"/>
    </row>
    <row r="452" customFormat="false" ht="13.2" hidden="false" customHeight="false" outlineLevel="0" collapsed="false">
      <c r="B452" s="152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  <c r="AA452" s="152"/>
      <c r="AB452" s="152"/>
      <c r="AC452" s="152"/>
    </row>
    <row r="453" customFormat="false" ht="13.2" hidden="false" customHeight="false" outlineLevel="0" collapsed="false"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  <c r="AA453" s="152"/>
      <c r="AB453" s="152"/>
      <c r="AC453" s="152"/>
    </row>
    <row r="454" customFormat="false" ht="13.2" hidden="false" customHeight="false" outlineLevel="0" collapsed="false"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</row>
    <row r="455" customFormat="false" ht="13.2" hidden="false" customHeight="false" outlineLevel="0" collapsed="false"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  <c r="AA455" s="152"/>
      <c r="AB455" s="152"/>
      <c r="AC455" s="152"/>
    </row>
    <row r="456" customFormat="false" ht="13.2" hidden="false" customHeight="false" outlineLevel="0" collapsed="false">
      <c r="B456" s="152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</row>
    <row r="457" customFormat="false" ht="13.2" hidden="false" customHeight="false" outlineLevel="0" collapsed="false"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</row>
    <row r="458" customFormat="false" ht="13.2" hidden="false" customHeight="false" outlineLevel="0" collapsed="false">
      <c r="B458" s="152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</row>
    <row r="459" customFormat="false" ht="13.2" hidden="false" customHeight="false" outlineLevel="0" collapsed="false"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</row>
    <row r="460" customFormat="false" ht="13.2" hidden="false" customHeight="false" outlineLevel="0" collapsed="false">
      <c r="B460" s="152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</row>
    <row r="461" customFormat="false" ht="13.2" hidden="false" customHeight="false" outlineLevel="0" collapsed="false"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</row>
    <row r="462" customFormat="false" ht="13.2" hidden="false" customHeight="false" outlineLevel="0" collapsed="false">
      <c r="B462" s="152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</row>
    <row r="463" customFormat="false" ht="13.2" hidden="false" customHeight="false" outlineLevel="0" collapsed="false"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</row>
    <row r="464" customFormat="false" ht="13.2" hidden="false" customHeight="false" outlineLevel="0" collapsed="false">
      <c r="B464" s="152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</row>
    <row r="465" customFormat="false" ht="13.2" hidden="false" customHeight="false" outlineLevel="0" collapsed="false"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</row>
    <row r="466" customFormat="false" ht="13.2" hidden="false" customHeight="false" outlineLevel="0" collapsed="false">
      <c r="B466" s="152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</row>
    <row r="467" customFormat="false" ht="13.2" hidden="false" customHeight="false" outlineLevel="0" collapsed="false"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</row>
    <row r="468" customFormat="false" ht="13.2" hidden="false" customHeight="false" outlineLevel="0" collapsed="false">
      <c r="B468" s="152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</row>
    <row r="469" customFormat="false" ht="13.2" hidden="false" customHeight="false" outlineLevel="0" collapsed="false"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</row>
    <row r="470" customFormat="false" ht="13.2" hidden="false" customHeight="false" outlineLevel="0" collapsed="false">
      <c r="B470" s="152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</row>
    <row r="471" customFormat="false" ht="13.2" hidden="false" customHeight="false" outlineLevel="0" collapsed="false"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</row>
    <row r="472" customFormat="false" ht="13.2" hidden="false" customHeight="false" outlineLevel="0" collapsed="false">
      <c r="B472" s="152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</row>
    <row r="473" customFormat="false" ht="13.2" hidden="false" customHeight="false" outlineLevel="0" collapsed="false"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</row>
    <row r="474" customFormat="false" ht="13.2" hidden="false" customHeight="false" outlineLevel="0" collapsed="false"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</row>
    <row r="475" customFormat="false" ht="13.2" hidden="false" customHeight="false" outlineLevel="0" collapsed="false"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</row>
    <row r="476" customFormat="false" ht="13.2" hidden="false" customHeight="false" outlineLevel="0" collapsed="false">
      <c r="B476" s="152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</row>
    <row r="477" customFormat="false" ht="13.2" hidden="false" customHeight="false" outlineLevel="0" collapsed="false"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</row>
    <row r="478" customFormat="false" ht="13.2" hidden="false" customHeight="false" outlineLevel="0" collapsed="false"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</row>
    <row r="479" customFormat="false" ht="13.2" hidden="false" customHeight="false" outlineLevel="0" collapsed="false"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</row>
    <row r="480" customFormat="false" ht="13.2" hidden="false" customHeight="false" outlineLevel="0" collapsed="false"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</row>
    <row r="481" customFormat="false" ht="13.2" hidden="false" customHeight="false" outlineLevel="0" collapsed="false"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</row>
    <row r="482" customFormat="false" ht="13.2" hidden="false" customHeight="false" outlineLevel="0" collapsed="false">
      <c r="B482" s="152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</row>
    <row r="483" customFormat="false" ht="13.2" hidden="false" customHeight="false" outlineLevel="0" collapsed="false"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</row>
    <row r="484" customFormat="false" ht="13.2" hidden="false" customHeight="false" outlineLevel="0" collapsed="false">
      <c r="B484" s="152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</row>
    <row r="485" customFormat="false" ht="13.2" hidden="false" customHeight="false" outlineLevel="0" collapsed="false"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</row>
    <row r="486" customFormat="false" ht="13.2" hidden="false" customHeight="false" outlineLevel="0" collapsed="false">
      <c r="B486" s="152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</row>
    <row r="487" customFormat="false" ht="13.2" hidden="false" customHeight="false" outlineLevel="0" collapsed="false"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</row>
    <row r="488" customFormat="false" ht="13.2" hidden="false" customHeight="false" outlineLevel="0" collapsed="false">
      <c r="B488" s="152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</row>
    <row r="489" customFormat="false" ht="13.2" hidden="false" customHeight="false" outlineLevel="0" collapsed="false"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</row>
    <row r="490" customFormat="false" ht="13.2" hidden="false" customHeight="false" outlineLevel="0" collapsed="false">
      <c r="B490" s="152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</row>
    <row r="491" customFormat="false" ht="13.2" hidden="false" customHeight="false" outlineLevel="0" collapsed="false"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</row>
    <row r="492" customFormat="false" ht="13.2" hidden="false" customHeight="false" outlineLevel="0" collapsed="false"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</row>
    <row r="493" customFormat="false" ht="13.2" hidden="false" customHeight="false" outlineLevel="0" collapsed="false"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  <c r="AA493" s="152"/>
      <c r="AB493" s="152"/>
      <c r="AC493" s="152"/>
    </row>
    <row r="494" customFormat="false" ht="13.2" hidden="false" customHeight="false" outlineLevel="0" collapsed="false">
      <c r="B494" s="152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  <c r="AA494" s="152"/>
      <c r="AB494" s="152"/>
      <c r="AC494" s="152"/>
    </row>
    <row r="495" customFormat="false" ht="13.2" hidden="false" customHeight="false" outlineLevel="0" collapsed="false"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  <c r="AA495" s="152"/>
      <c r="AB495" s="152"/>
      <c r="AC495" s="152"/>
    </row>
    <row r="496" customFormat="false" ht="13.2" hidden="false" customHeight="false" outlineLevel="0" collapsed="false">
      <c r="B496" s="152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</row>
    <row r="497" customFormat="false" ht="13.2" hidden="false" customHeight="false" outlineLevel="0" collapsed="false"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</row>
    <row r="498" customFormat="false" ht="13.2" hidden="false" customHeight="false" outlineLevel="0" collapsed="false">
      <c r="B498" s="152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</row>
    <row r="499" customFormat="false" ht="13.2" hidden="false" customHeight="false" outlineLevel="0" collapsed="false"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</row>
    <row r="500" customFormat="false" ht="13.2" hidden="false" customHeight="false" outlineLevel="0" collapsed="false">
      <c r="B500" s="152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</row>
    <row r="501" customFormat="false" ht="13.2" hidden="false" customHeight="false" outlineLevel="0" collapsed="false"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</row>
    <row r="502" customFormat="false" ht="13.2" hidden="false" customHeight="false" outlineLevel="0" collapsed="false">
      <c r="B502" s="152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</row>
    <row r="503" customFormat="false" ht="13.2" hidden="false" customHeight="false" outlineLevel="0" collapsed="false"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</row>
    <row r="504" customFormat="false" ht="13.2" hidden="false" customHeight="false" outlineLevel="0" collapsed="false">
      <c r="B504" s="152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</row>
    <row r="505" customFormat="false" ht="13.2" hidden="false" customHeight="false" outlineLevel="0" collapsed="false"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</row>
    <row r="506" customFormat="false" ht="13.2" hidden="false" customHeight="false" outlineLevel="0" collapsed="false">
      <c r="B506" s="152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  <c r="AA506" s="152"/>
      <c r="AB506" s="152"/>
      <c r="AC506" s="152"/>
    </row>
    <row r="507" customFormat="false" ht="13.2" hidden="false" customHeight="false" outlineLevel="0" collapsed="false"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</row>
    <row r="508" customFormat="false" ht="13.2" hidden="false" customHeight="false" outlineLevel="0" collapsed="false">
      <c r="B508" s="152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  <c r="AA508" s="152"/>
      <c r="AB508" s="152"/>
      <c r="AC508" s="152"/>
    </row>
    <row r="509" customFormat="false" ht="13.2" hidden="false" customHeight="false" outlineLevel="0" collapsed="false"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  <c r="AA509" s="152"/>
      <c r="AB509" s="152"/>
      <c r="AC509" s="152"/>
    </row>
    <row r="510" customFormat="false" ht="13.2" hidden="false" customHeight="false" outlineLevel="0" collapsed="false">
      <c r="B510" s="152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</row>
    <row r="511" customFormat="false" ht="13.2" hidden="false" customHeight="false" outlineLevel="0" collapsed="false"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</row>
    <row r="512" customFormat="false" ht="13.2" hidden="false" customHeight="false" outlineLevel="0" collapsed="false">
      <c r="B512" s="152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</row>
    <row r="513" customFormat="false" ht="13.2" hidden="false" customHeight="false" outlineLevel="0" collapsed="false"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</row>
    <row r="514" customFormat="false" ht="13.2" hidden="false" customHeight="false" outlineLevel="0" collapsed="false">
      <c r="B514" s="152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</row>
    <row r="515" customFormat="false" ht="13.2" hidden="false" customHeight="false" outlineLevel="0" collapsed="false"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</row>
    <row r="516" customFormat="false" ht="13.2" hidden="false" customHeight="false" outlineLevel="0" collapsed="false">
      <c r="B516" s="152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</row>
    <row r="517" customFormat="false" ht="13.2" hidden="false" customHeight="false" outlineLevel="0" collapsed="false"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</row>
    <row r="518" customFormat="false" ht="13.2" hidden="false" customHeight="false" outlineLevel="0" collapsed="false">
      <c r="B518" s="152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</row>
    <row r="519" customFormat="false" ht="13.2" hidden="false" customHeight="false" outlineLevel="0" collapsed="false"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</row>
    <row r="520" customFormat="false" ht="13.2" hidden="false" customHeight="false" outlineLevel="0" collapsed="false">
      <c r="B520" s="152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</row>
    <row r="521" customFormat="false" ht="13.2" hidden="false" customHeight="false" outlineLevel="0" collapsed="false"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</row>
    <row r="522" customFormat="false" ht="13.2" hidden="false" customHeight="false" outlineLevel="0" collapsed="false">
      <c r="B522" s="152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</row>
    <row r="523" customFormat="false" ht="13.2" hidden="false" customHeight="false" outlineLevel="0" collapsed="false"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</row>
    <row r="524" customFormat="false" ht="13.2" hidden="false" customHeight="false" outlineLevel="0" collapsed="false">
      <c r="B524" s="152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</row>
    <row r="525" customFormat="false" ht="13.2" hidden="false" customHeight="false" outlineLevel="0" collapsed="false"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</row>
    <row r="526" customFormat="false" ht="13.2" hidden="false" customHeight="false" outlineLevel="0" collapsed="false">
      <c r="B526" s="152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</row>
    <row r="527" customFormat="false" ht="13.2" hidden="false" customHeight="false" outlineLevel="0" collapsed="false"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</row>
    <row r="528" customFormat="false" ht="13.2" hidden="false" customHeight="false" outlineLevel="0" collapsed="false"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</row>
    <row r="529" customFormat="false" ht="13.2" hidden="false" customHeight="false" outlineLevel="0" collapsed="false"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</row>
    <row r="530" customFormat="false" ht="13.2" hidden="false" customHeight="false" outlineLevel="0" collapsed="false">
      <c r="B530" s="152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</row>
    <row r="531" customFormat="false" ht="13.2" hidden="false" customHeight="false" outlineLevel="0" collapsed="false"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</row>
    <row r="532" customFormat="false" ht="13.2" hidden="false" customHeight="false" outlineLevel="0" collapsed="false">
      <c r="B532" s="152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</row>
    <row r="533" customFormat="false" ht="13.2" hidden="false" customHeight="false" outlineLevel="0" collapsed="false"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</row>
    <row r="534" customFormat="false" ht="13.2" hidden="false" customHeight="false" outlineLevel="0" collapsed="false">
      <c r="B534" s="152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</row>
    <row r="535" customFormat="false" ht="13.2" hidden="false" customHeight="false" outlineLevel="0" collapsed="false"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</row>
    <row r="536" customFormat="false" ht="13.2" hidden="false" customHeight="false" outlineLevel="0" collapsed="false">
      <c r="B536" s="152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</row>
    <row r="537" customFormat="false" ht="13.2" hidden="false" customHeight="false" outlineLevel="0" collapsed="false"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</row>
    <row r="538" customFormat="false" ht="13.2" hidden="false" customHeight="false" outlineLevel="0" collapsed="false"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</row>
    <row r="539" customFormat="false" ht="13.2" hidden="false" customHeight="false" outlineLevel="0" collapsed="false"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</row>
    <row r="540" customFormat="false" ht="13.2" hidden="false" customHeight="false" outlineLevel="0" collapsed="false"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</row>
    <row r="541" customFormat="false" ht="13.2" hidden="false" customHeight="false" outlineLevel="0" collapsed="false"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</row>
    <row r="542" customFormat="false" ht="13.2" hidden="false" customHeight="false" outlineLevel="0" collapsed="false">
      <c r="B542" s="152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</row>
    <row r="543" customFormat="false" ht="13.2" hidden="false" customHeight="false" outlineLevel="0" collapsed="false"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</row>
    <row r="544" customFormat="false" ht="13.2" hidden="false" customHeight="false" outlineLevel="0" collapsed="false">
      <c r="B544" s="152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</row>
    <row r="545" customFormat="false" ht="13.2" hidden="false" customHeight="false" outlineLevel="0" collapsed="false"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</row>
    <row r="546" customFormat="false" ht="13.2" hidden="false" customHeight="false" outlineLevel="0" collapsed="false">
      <c r="B546" s="152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</row>
    <row r="547" customFormat="false" ht="13.2" hidden="false" customHeight="false" outlineLevel="0" collapsed="false"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</row>
    <row r="548" customFormat="false" ht="13.2" hidden="false" customHeight="false" outlineLevel="0" collapsed="false">
      <c r="B548" s="152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</row>
    <row r="549" customFormat="false" ht="13.2" hidden="false" customHeight="false" outlineLevel="0" collapsed="false"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</row>
    <row r="550" customFormat="false" ht="13.2" hidden="false" customHeight="false" outlineLevel="0" collapsed="false">
      <c r="B550" s="152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</row>
    <row r="551" customFormat="false" ht="13.2" hidden="false" customHeight="false" outlineLevel="0" collapsed="false"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</row>
    <row r="552" customFormat="false" ht="13.2" hidden="false" customHeight="false" outlineLevel="0" collapsed="false"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</row>
    <row r="553" customFormat="false" ht="13.2" hidden="false" customHeight="false" outlineLevel="0" collapsed="false"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</row>
    <row r="554" customFormat="false" ht="13.2" hidden="false" customHeight="false" outlineLevel="0" collapsed="false"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</row>
    <row r="555" customFormat="false" ht="13.2" hidden="false" customHeight="false" outlineLevel="0" collapsed="false"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</row>
    <row r="556" customFormat="false" ht="13.2" hidden="false" customHeight="false" outlineLevel="0" collapsed="false">
      <c r="B556" s="152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</row>
    <row r="557" customFormat="false" ht="13.2" hidden="false" customHeight="false" outlineLevel="0" collapsed="false"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  <c r="AA557" s="152"/>
      <c r="AB557" s="152"/>
      <c r="AC557" s="152"/>
    </row>
    <row r="558" customFormat="false" ht="13.2" hidden="false" customHeight="false" outlineLevel="0" collapsed="false">
      <c r="B558" s="152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</row>
    <row r="559" customFormat="false" ht="13.2" hidden="false" customHeight="false" outlineLevel="0" collapsed="false"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</row>
    <row r="560" customFormat="false" ht="13.2" hidden="false" customHeight="false" outlineLevel="0" collapsed="false">
      <c r="B560" s="152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  <c r="AA560" s="152"/>
      <c r="AB560" s="152"/>
      <c r="AC560" s="152"/>
    </row>
    <row r="561" customFormat="false" ht="13.2" hidden="false" customHeight="false" outlineLevel="0" collapsed="false"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  <c r="AA561" s="152"/>
      <c r="AB561" s="152"/>
      <c r="AC561" s="152"/>
    </row>
    <row r="562" customFormat="false" ht="13.2" hidden="false" customHeight="false" outlineLevel="0" collapsed="false">
      <c r="B562" s="152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  <c r="AA562" s="152"/>
      <c r="AB562" s="152"/>
      <c r="AC562" s="152"/>
    </row>
    <row r="563" customFormat="false" ht="13.2" hidden="false" customHeight="false" outlineLevel="0" collapsed="false"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  <c r="AA563" s="152"/>
      <c r="AB563" s="152"/>
      <c r="AC563" s="152"/>
    </row>
    <row r="564" customFormat="false" ht="13.2" hidden="false" customHeight="false" outlineLevel="0" collapsed="false">
      <c r="B564" s="152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</row>
    <row r="565" customFormat="false" ht="13.2" hidden="false" customHeight="false" outlineLevel="0" collapsed="false"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</row>
    <row r="566" customFormat="false" ht="13.2" hidden="false" customHeight="false" outlineLevel="0" collapsed="false">
      <c r="B566" s="152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</row>
    <row r="567" customFormat="false" ht="13.2" hidden="false" customHeight="false" outlineLevel="0" collapsed="false"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</row>
    <row r="568" customFormat="false" ht="13.2" hidden="false" customHeight="false" outlineLevel="0" collapsed="false">
      <c r="B568" s="152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</row>
    <row r="569" customFormat="false" ht="13.2" hidden="false" customHeight="false" outlineLevel="0" collapsed="false"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</row>
    <row r="570" customFormat="false" ht="13.2" hidden="false" customHeight="false" outlineLevel="0" collapsed="false">
      <c r="B570" s="152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</row>
    <row r="571" customFormat="false" ht="13.2" hidden="false" customHeight="false" outlineLevel="0" collapsed="false"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</row>
    <row r="572" customFormat="false" ht="13.2" hidden="false" customHeight="false" outlineLevel="0" collapsed="false">
      <c r="B572" s="152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</row>
    <row r="573" customFormat="false" ht="13.2" hidden="false" customHeight="false" outlineLevel="0" collapsed="false"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</row>
    <row r="574" customFormat="false" ht="13.2" hidden="false" customHeight="false" outlineLevel="0" collapsed="false">
      <c r="B574" s="152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</row>
    <row r="575" customFormat="false" ht="13.2" hidden="false" customHeight="false" outlineLevel="0" collapsed="false"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</row>
    <row r="576" customFormat="false" ht="13.2" hidden="false" customHeight="false" outlineLevel="0" collapsed="false">
      <c r="B576" s="152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</row>
    <row r="577" customFormat="false" ht="13.2" hidden="false" customHeight="false" outlineLevel="0" collapsed="false"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  <c r="AA577" s="152"/>
      <c r="AB577" s="152"/>
      <c r="AC577" s="152"/>
    </row>
    <row r="578" customFormat="false" ht="13.2" hidden="false" customHeight="false" outlineLevel="0" collapsed="false">
      <c r="B578" s="152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  <c r="AA578" s="152"/>
      <c r="AB578" s="152"/>
      <c r="AC578" s="152"/>
    </row>
    <row r="579" customFormat="false" ht="13.2" hidden="false" customHeight="false" outlineLevel="0" collapsed="false"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  <c r="AA579" s="152"/>
      <c r="AB579" s="152"/>
      <c r="AC579" s="152"/>
    </row>
    <row r="580" customFormat="false" ht="13.2" hidden="false" customHeight="false" outlineLevel="0" collapsed="false">
      <c r="B580" s="152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  <c r="AA580" s="152"/>
      <c r="AB580" s="152"/>
      <c r="AC580" s="152"/>
    </row>
    <row r="581" customFormat="false" ht="13.2" hidden="false" customHeight="false" outlineLevel="0" collapsed="false"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  <c r="AA581" s="152"/>
      <c r="AB581" s="152"/>
      <c r="AC581" s="152"/>
    </row>
    <row r="582" customFormat="false" ht="13.2" hidden="false" customHeight="false" outlineLevel="0" collapsed="false">
      <c r="B582" s="152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</row>
    <row r="583" customFormat="false" ht="13.2" hidden="false" customHeight="false" outlineLevel="0" collapsed="false"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</row>
    <row r="584" customFormat="false" ht="13.2" hidden="false" customHeight="false" outlineLevel="0" collapsed="false">
      <c r="B584" s="152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</row>
    <row r="585" customFormat="false" ht="13.2" hidden="false" customHeight="false" outlineLevel="0" collapsed="false"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  <c r="AA585" s="152"/>
      <c r="AB585" s="152"/>
      <c r="AC585" s="152"/>
    </row>
    <row r="586" customFormat="false" ht="13.2" hidden="false" customHeight="false" outlineLevel="0" collapsed="false">
      <c r="B586" s="152"/>
      <c r="C586" s="152"/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  <c r="AA586" s="152"/>
      <c r="AB586" s="152"/>
      <c r="AC586" s="152"/>
    </row>
    <row r="587" customFormat="false" ht="13.2" hidden="false" customHeight="false" outlineLevel="0" collapsed="false"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</row>
    <row r="588" customFormat="false" ht="13.2" hidden="false" customHeight="false" outlineLevel="0" collapsed="false">
      <c r="B588" s="152"/>
      <c r="C588" s="152"/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  <c r="AA588" s="152"/>
      <c r="AB588" s="152"/>
      <c r="AC588" s="152"/>
    </row>
    <row r="589" customFormat="false" ht="13.2" hidden="false" customHeight="false" outlineLevel="0" collapsed="false"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  <c r="AA589" s="152"/>
      <c r="AB589" s="152"/>
      <c r="AC589" s="152"/>
    </row>
    <row r="590" customFormat="false" ht="13.2" hidden="false" customHeight="false" outlineLevel="0" collapsed="false">
      <c r="B590" s="152"/>
      <c r="C590" s="152"/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</row>
    <row r="591" customFormat="false" ht="13.2" hidden="false" customHeight="false" outlineLevel="0" collapsed="false"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  <c r="AA591" s="152"/>
      <c r="AB591" s="152"/>
      <c r="AC591" s="152"/>
    </row>
    <row r="592" customFormat="false" ht="13.2" hidden="false" customHeight="false" outlineLevel="0" collapsed="false">
      <c r="B592" s="152"/>
      <c r="C592" s="152"/>
      <c r="D592" s="152"/>
      <c r="E592" s="152"/>
      <c r="F592" s="152"/>
      <c r="G592" s="152"/>
      <c r="H592" s="152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</row>
    <row r="593" customFormat="false" ht="13.2" hidden="false" customHeight="false" outlineLevel="0" collapsed="false"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  <c r="AA593" s="152"/>
      <c r="AB593" s="152"/>
      <c r="AC593" s="152"/>
    </row>
    <row r="594" customFormat="false" ht="13.2" hidden="false" customHeight="false" outlineLevel="0" collapsed="false">
      <c r="B594" s="152"/>
      <c r="C594" s="152"/>
      <c r="D594" s="152"/>
      <c r="E594" s="152"/>
      <c r="F594" s="152"/>
      <c r="G594" s="152"/>
      <c r="H594" s="152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  <c r="AA594" s="152"/>
      <c r="AB594" s="152"/>
      <c r="AC594" s="152"/>
    </row>
    <row r="595" customFormat="false" ht="13.2" hidden="false" customHeight="false" outlineLevel="0" collapsed="false"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  <c r="AA595" s="152"/>
      <c r="AB595" s="152"/>
      <c r="AC595" s="152"/>
    </row>
    <row r="596" customFormat="false" ht="13.2" hidden="false" customHeight="false" outlineLevel="0" collapsed="false">
      <c r="B596" s="152"/>
      <c r="C596" s="152"/>
      <c r="D596" s="152"/>
      <c r="E596" s="152"/>
      <c r="F596" s="152"/>
      <c r="G596" s="152"/>
      <c r="H596" s="152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  <c r="AA596" s="152"/>
      <c r="AB596" s="152"/>
      <c r="AC596" s="152"/>
    </row>
    <row r="597" customFormat="false" ht="13.2" hidden="false" customHeight="false" outlineLevel="0" collapsed="false"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  <c r="AA597" s="152"/>
      <c r="AB597" s="152"/>
      <c r="AC597" s="152"/>
    </row>
    <row r="598" customFormat="false" ht="13.2" hidden="false" customHeight="false" outlineLevel="0" collapsed="false">
      <c r="B598" s="152"/>
      <c r="C598" s="152"/>
      <c r="D598" s="152"/>
      <c r="E598" s="152"/>
      <c r="F598" s="152"/>
      <c r="G598" s="152"/>
      <c r="H598" s="152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  <c r="AA598" s="152"/>
      <c r="AB598" s="152"/>
      <c r="AC598" s="152"/>
    </row>
    <row r="599" customFormat="false" ht="13.2" hidden="false" customHeight="false" outlineLevel="0" collapsed="false"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  <c r="AA599" s="152"/>
      <c r="AB599" s="152"/>
      <c r="AC599" s="152"/>
    </row>
    <row r="600" customFormat="false" ht="13.2" hidden="false" customHeight="false" outlineLevel="0" collapsed="false">
      <c r="B600" s="152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  <c r="AA600" s="152"/>
      <c r="AB600" s="152"/>
      <c r="AC600" s="152"/>
    </row>
    <row r="601" customFormat="false" ht="13.2" hidden="false" customHeight="false" outlineLevel="0" collapsed="false"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</row>
    <row r="602" customFormat="false" ht="13.2" hidden="false" customHeight="false" outlineLevel="0" collapsed="false">
      <c r="B602" s="152"/>
      <c r="C602" s="152"/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</row>
    <row r="603" customFormat="false" ht="13.2" hidden="false" customHeight="false" outlineLevel="0" collapsed="false"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</row>
    <row r="604" customFormat="false" ht="13.2" hidden="false" customHeight="false" outlineLevel="0" collapsed="false">
      <c r="B604" s="152"/>
      <c r="C604" s="152"/>
      <c r="D604" s="152"/>
      <c r="E604" s="152"/>
      <c r="F604" s="152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</row>
    <row r="605" customFormat="false" ht="13.2" hidden="false" customHeight="false" outlineLevel="0" collapsed="false"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</row>
    <row r="606" customFormat="false" ht="13.2" hidden="false" customHeight="false" outlineLevel="0" collapsed="false">
      <c r="B606" s="152"/>
      <c r="C606" s="152"/>
      <c r="D606" s="152"/>
      <c r="E606" s="152"/>
      <c r="F606" s="152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</row>
    <row r="607" customFormat="false" ht="13.2" hidden="false" customHeight="false" outlineLevel="0" collapsed="false"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</row>
    <row r="608" customFormat="false" ht="13.2" hidden="false" customHeight="false" outlineLevel="0" collapsed="false">
      <c r="B608" s="152"/>
      <c r="C608" s="152"/>
      <c r="D608" s="152"/>
      <c r="E608" s="152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</row>
    <row r="609" customFormat="false" ht="13.2" hidden="false" customHeight="false" outlineLevel="0" collapsed="false"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</row>
    <row r="610" customFormat="false" ht="13.2" hidden="false" customHeight="false" outlineLevel="0" collapsed="false">
      <c r="B610" s="152"/>
      <c r="C610" s="152"/>
      <c r="D610" s="152"/>
      <c r="E610" s="152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</row>
    <row r="611" customFormat="false" ht="13.2" hidden="false" customHeight="false" outlineLevel="0" collapsed="false"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</row>
    <row r="612" customFormat="false" ht="13.2" hidden="false" customHeight="false" outlineLevel="0" collapsed="false">
      <c r="B612" s="152"/>
      <c r="C612" s="152"/>
      <c r="D612" s="152"/>
      <c r="E612" s="152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</row>
    <row r="613" customFormat="false" ht="13.2" hidden="false" customHeight="false" outlineLevel="0" collapsed="false"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  <c r="AA613" s="152"/>
      <c r="AB613" s="152"/>
      <c r="AC613" s="152"/>
    </row>
    <row r="614" customFormat="false" ht="13.2" hidden="false" customHeight="false" outlineLevel="0" collapsed="false"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  <c r="AA614" s="152"/>
      <c r="AB614" s="152"/>
      <c r="AC614" s="152"/>
    </row>
    <row r="615" customFormat="false" ht="13.2" hidden="false" customHeight="false" outlineLevel="0" collapsed="false"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  <c r="AA615" s="152"/>
      <c r="AB615" s="152"/>
      <c r="AC615" s="152"/>
    </row>
    <row r="616" customFormat="false" ht="13.2" hidden="false" customHeight="false" outlineLevel="0" collapsed="false">
      <c r="B616" s="152"/>
      <c r="C616" s="152"/>
      <c r="D616" s="152"/>
      <c r="E616" s="152"/>
      <c r="F616" s="152"/>
      <c r="G616" s="152"/>
      <c r="H616" s="152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  <c r="AA616" s="152"/>
      <c r="AB616" s="152"/>
      <c r="AC616" s="152"/>
    </row>
    <row r="617" customFormat="false" ht="13.2" hidden="false" customHeight="false" outlineLevel="0" collapsed="false"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  <c r="AA617" s="152"/>
      <c r="AB617" s="152"/>
      <c r="AC617" s="152"/>
    </row>
    <row r="618" customFormat="false" ht="13.2" hidden="false" customHeight="false" outlineLevel="0" collapsed="false">
      <c r="B618" s="152"/>
      <c r="C618" s="152"/>
      <c r="D618" s="152"/>
      <c r="E618" s="152"/>
      <c r="F618" s="152"/>
      <c r="G618" s="152"/>
      <c r="H618" s="152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  <c r="AA618" s="152"/>
      <c r="AB618" s="152"/>
      <c r="AC618" s="152"/>
    </row>
    <row r="619" customFormat="false" ht="13.2" hidden="false" customHeight="false" outlineLevel="0" collapsed="false"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  <c r="AA619" s="152"/>
      <c r="AB619" s="152"/>
      <c r="AC619" s="152"/>
    </row>
    <row r="620" customFormat="false" ht="13.2" hidden="false" customHeight="false" outlineLevel="0" collapsed="false">
      <c r="B620" s="152"/>
      <c r="C620" s="152"/>
      <c r="D620" s="152"/>
      <c r="E620" s="152"/>
      <c r="F620" s="152"/>
      <c r="G620" s="152"/>
      <c r="H620" s="152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  <c r="AA620" s="152"/>
      <c r="AB620" s="152"/>
      <c r="AC620" s="152"/>
    </row>
    <row r="621" customFormat="false" ht="13.2" hidden="false" customHeight="false" outlineLevel="0" collapsed="false"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  <c r="AA621" s="152"/>
      <c r="AB621" s="152"/>
      <c r="AC621" s="152"/>
    </row>
    <row r="622" customFormat="false" ht="13.2" hidden="false" customHeight="false" outlineLevel="0" collapsed="false">
      <c r="B622" s="152"/>
      <c r="C622" s="152"/>
      <c r="D622" s="152"/>
      <c r="E622" s="152"/>
      <c r="F622" s="152"/>
      <c r="G622" s="152"/>
      <c r="H622" s="152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  <c r="AA622" s="152"/>
      <c r="AB622" s="152"/>
      <c r="AC622" s="152"/>
    </row>
    <row r="623" customFormat="false" ht="13.2" hidden="false" customHeight="false" outlineLevel="0" collapsed="false"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  <c r="AA623" s="152"/>
      <c r="AB623" s="152"/>
      <c r="AC623" s="152"/>
    </row>
    <row r="624" customFormat="false" ht="13.2" hidden="false" customHeight="false" outlineLevel="0" collapsed="false">
      <c r="B624" s="152"/>
      <c r="C624" s="152"/>
      <c r="D624" s="152"/>
      <c r="E624" s="152"/>
      <c r="F624" s="152"/>
      <c r="G624" s="152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</row>
    <row r="625" customFormat="false" ht="13.2" hidden="false" customHeight="false" outlineLevel="0" collapsed="false"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  <c r="AA625" s="152"/>
      <c r="AB625" s="152"/>
      <c r="AC625" s="152"/>
    </row>
    <row r="626" customFormat="false" ht="13.2" hidden="false" customHeight="false" outlineLevel="0" collapsed="false">
      <c r="B626" s="152"/>
      <c r="C626" s="152"/>
      <c r="D626" s="152"/>
      <c r="E626" s="152"/>
      <c r="F626" s="152"/>
      <c r="G626" s="152"/>
      <c r="H626" s="152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</row>
    <row r="627" customFormat="false" ht="13.2" hidden="false" customHeight="false" outlineLevel="0" collapsed="false"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  <c r="AA627" s="152"/>
      <c r="AB627" s="152"/>
      <c r="AC627" s="152"/>
    </row>
    <row r="628" customFormat="false" ht="13.2" hidden="false" customHeight="false" outlineLevel="0" collapsed="false">
      <c r="B628" s="152"/>
      <c r="C628" s="152"/>
      <c r="D628" s="152"/>
      <c r="E628" s="152"/>
      <c r="F628" s="152"/>
      <c r="G628" s="152"/>
      <c r="H628" s="152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  <c r="AA628" s="152"/>
      <c r="AB628" s="152"/>
      <c r="AC628" s="152"/>
    </row>
    <row r="629" customFormat="false" ht="13.2" hidden="false" customHeight="false" outlineLevel="0" collapsed="false"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  <c r="AA629" s="152"/>
      <c r="AB629" s="152"/>
      <c r="AC629" s="152"/>
    </row>
    <row r="630" customFormat="false" ht="13.2" hidden="false" customHeight="false" outlineLevel="0" collapsed="false">
      <c r="B630" s="152"/>
      <c r="C630" s="152"/>
      <c r="D630" s="152"/>
      <c r="E630" s="152"/>
      <c r="F630" s="152"/>
      <c r="G630" s="152"/>
      <c r="H630" s="152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  <c r="AA630" s="152"/>
      <c r="AB630" s="152"/>
      <c r="AC630" s="152"/>
    </row>
    <row r="631" customFormat="false" ht="13.2" hidden="false" customHeight="false" outlineLevel="0" collapsed="false"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  <c r="AA631" s="152"/>
      <c r="AB631" s="152"/>
      <c r="AC631" s="152"/>
    </row>
    <row r="632" customFormat="false" ht="13.2" hidden="false" customHeight="false" outlineLevel="0" collapsed="false">
      <c r="B632" s="152"/>
      <c r="C632" s="152"/>
      <c r="D632" s="152"/>
      <c r="E632" s="152"/>
      <c r="F632" s="152"/>
      <c r="G632" s="152"/>
      <c r="H632" s="152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  <c r="AA632" s="152"/>
      <c r="AB632" s="152"/>
      <c r="AC632" s="152"/>
    </row>
    <row r="633" customFormat="false" ht="13.2" hidden="false" customHeight="false" outlineLevel="0" collapsed="false"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  <c r="AA633" s="152"/>
      <c r="AB633" s="152"/>
      <c r="AC633" s="152"/>
    </row>
    <row r="634" customFormat="false" ht="13.2" hidden="false" customHeight="false" outlineLevel="0" collapsed="false">
      <c r="B634" s="152"/>
      <c r="C634" s="152"/>
      <c r="D634" s="152"/>
      <c r="E634" s="152"/>
      <c r="F634" s="152"/>
      <c r="G634" s="152"/>
      <c r="H634" s="152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  <c r="AA634" s="152"/>
      <c r="AB634" s="152"/>
      <c r="AC634" s="152"/>
    </row>
    <row r="635" customFormat="false" ht="13.2" hidden="false" customHeight="false" outlineLevel="0" collapsed="false"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  <c r="AA635" s="152"/>
      <c r="AB635" s="152"/>
      <c r="AC635" s="152"/>
    </row>
    <row r="636" customFormat="false" ht="13.2" hidden="false" customHeight="false" outlineLevel="0" collapsed="false">
      <c r="B636" s="152"/>
      <c r="C636" s="152"/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</row>
    <row r="637" customFormat="false" ht="13.2" hidden="false" customHeight="false" outlineLevel="0" collapsed="false"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</row>
    <row r="638" customFormat="false" ht="13.2" hidden="false" customHeight="false" outlineLevel="0" collapsed="false">
      <c r="B638" s="152"/>
      <c r="C638" s="152"/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</row>
    <row r="639" customFormat="false" ht="13.2" hidden="false" customHeight="false" outlineLevel="0" collapsed="false"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</row>
    <row r="640" customFormat="false" ht="13.2" hidden="false" customHeight="false" outlineLevel="0" collapsed="false">
      <c r="B640" s="152"/>
      <c r="C640" s="152"/>
      <c r="D640" s="152"/>
      <c r="E640" s="152"/>
      <c r="F640" s="152"/>
      <c r="G640" s="152"/>
      <c r="H640" s="152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</row>
    <row r="641" customFormat="false" ht="13.2" hidden="false" customHeight="false" outlineLevel="0" collapsed="false"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</row>
    <row r="642" customFormat="false" ht="13.2" hidden="false" customHeight="false" outlineLevel="0" collapsed="false">
      <c r="B642" s="152"/>
      <c r="C642" s="152"/>
      <c r="D642" s="152"/>
      <c r="E642" s="152"/>
      <c r="F642" s="152"/>
      <c r="G642" s="152"/>
      <c r="H642" s="152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</row>
    <row r="643" customFormat="false" ht="13.2" hidden="false" customHeight="false" outlineLevel="0" collapsed="false"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</row>
    <row r="644" customFormat="false" ht="13.2" hidden="false" customHeight="false" outlineLevel="0" collapsed="false">
      <c r="B644" s="152"/>
      <c r="C644" s="152"/>
      <c r="D644" s="152"/>
      <c r="E644" s="152"/>
      <c r="F644" s="152"/>
      <c r="G644" s="152"/>
      <c r="H644" s="152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</row>
    <row r="645" customFormat="false" ht="13.2" hidden="false" customHeight="false" outlineLevel="0" collapsed="false"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  <c r="AA645" s="152"/>
      <c r="AB645" s="152"/>
      <c r="AC645" s="152"/>
    </row>
    <row r="646" customFormat="false" ht="13.2" hidden="false" customHeight="false" outlineLevel="0" collapsed="false">
      <c r="B646" s="152"/>
      <c r="C646" s="152"/>
      <c r="D646" s="152"/>
      <c r="E646" s="152"/>
      <c r="F646" s="152"/>
      <c r="G646" s="152"/>
      <c r="H646" s="152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  <c r="AA646" s="152"/>
      <c r="AB646" s="152"/>
      <c r="AC646" s="152"/>
    </row>
    <row r="647" customFormat="false" ht="13.2" hidden="false" customHeight="false" outlineLevel="0" collapsed="false"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  <c r="AA647" s="152"/>
      <c r="AB647" s="152"/>
      <c r="AC647" s="152"/>
    </row>
    <row r="648" customFormat="false" ht="13.2" hidden="false" customHeight="false" outlineLevel="0" collapsed="false">
      <c r="B648" s="152"/>
      <c r="C648" s="152"/>
      <c r="D648" s="152"/>
      <c r="E648" s="152"/>
      <c r="F648" s="152"/>
      <c r="G648" s="152"/>
      <c r="H648" s="152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  <c r="AA648" s="152"/>
      <c r="AB648" s="152"/>
      <c r="AC648" s="152"/>
    </row>
    <row r="649" customFormat="false" ht="13.2" hidden="false" customHeight="false" outlineLevel="0" collapsed="false"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  <c r="AA649" s="152"/>
      <c r="AB649" s="152"/>
      <c r="AC649" s="152"/>
    </row>
    <row r="650" customFormat="false" ht="13.2" hidden="false" customHeight="false" outlineLevel="0" collapsed="false">
      <c r="B650" s="152"/>
      <c r="C650" s="152"/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  <c r="AA650" s="152"/>
      <c r="AB650" s="152"/>
      <c r="AC650" s="152"/>
    </row>
    <row r="651" customFormat="false" ht="13.2" hidden="false" customHeight="false" outlineLevel="0" collapsed="false"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  <c r="AA651" s="152"/>
      <c r="AB651" s="152"/>
      <c r="AC651" s="152"/>
    </row>
    <row r="652" customFormat="false" ht="13.2" hidden="false" customHeight="false" outlineLevel="0" collapsed="false">
      <c r="B652" s="152"/>
      <c r="C652" s="152"/>
      <c r="D652" s="152"/>
      <c r="E652" s="152"/>
      <c r="F652" s="152"/>
      <c r="G652" s="152"/>
      <c r="H652" s="152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  <c r="AA652" s="152"/>
      <c r="AB652" s="152"/>
      <c r="AC652" s="152"/>
    </row>
    <row r="653" customFormat="false" ht="13.2" hidden="false" customHeight="false" outlineLevel="0" collapsed="false"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  <c r="AA653" s="152"/>
      <c r="AB653" s="152"/>
      <c r="AC653" s="152"/>
    </row>
    <row r="654" customFormat="false" ht="13.2" hidden="false" customHeight="false" outlineLevel="0" collapsed="false">
      <c r="B654" s="152"/>
      <c r="C654" s="152"/>
      <c r="D654" s="152"/>
      <c r="E654" s="152"/>
      <c r="F654" s="152"/>
      <c r="G654" s="152"/>
      <c r="H654" s="152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  <c r="AA654" s="152"/>
      <c r="AB654" s="152"/>
      <c r="AC654" s="152"/>
    </row>
    <row r="655" customFormat="false" ht="13.2" hidden="false" customHeight="false" outlineLevel="0" collapsed="false"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</row>
    <row r="656" customFormat="false" ht="13.2" hidden="false" customHeight="false" outlineLevel="0" collapsed="false">
      <c r="B656" s="152"/>
      <c r="C656" s="152"/>
      <c r="D656" s="152"/>
      <c r="E656" s="152"/>
      <c r="F656" s="152"/>
      <c r="G656" s="152"/>
      <c r="H656" s="152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  <c r="AA656" s="152"/>
      <c r="AB656" s="152"/>
      <c r="AC656" s="152"/>
    </row>
    <row r="657" customFormat="false" ht="13.2" hidden="false" customHeight="false" outlineLevel="0" collapsed="false"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</row>
    <row r="658" customFormat="false" ht="13.2" hidden="false" customHeight="false" outlineLevel="0" collapsed="false">
      <c r="B658" s="152"/>
      <c r="C658" s="152"/>
      <c r="D658" s="152"/>
      <c r="E658" s="152"/>
      <c r="F658" s="152"/>
      <c r="G658" s="152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</row>
    <row r="659" customFormat="false" ht="13.2" hidden="false" customHeight="false" outlineLevel="0" collapsed="false"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</row>
    <row r="660" customFormat="false" ht="13.2" hidden="false" customHeight="false" outlineLevel="0" collapsed="false">
      <c r="B660" s="152"/>
      <c r="C660" s="152"/>
      <c r="D660" s="152"/>
      <c r="E660" s="152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</row>
    <row r="661" customFormat="false" ht="13.2" hidden="false" customHeight="false" outlineLevel="0" collapsed="false"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  <c r="AA661" s="152"/>
      <c r="AB661" s="152"/>
      <c r="AC661" s="152"/>
    </row>
    <row r="662" customFormat="false" ht="13.2" hidden="false" customHeight="false" outlineLevel="0" collapsed="false">
      <c r="B662" s="152"/>
      <c r="C662" s="152"/>
      <c r="D662" s="152"/>
      <c r="E662" s="152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  <c r="AA662" s="152"/>
      <c r="AB662" s="152"/>
      <c r="AC662" s="152"/>
    </row>
    <row r="663" customFormat="false" ht="13.2" hidden="false" customHeight="false" outlineLevel="0" collapsed="false"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  <c r="AA663" s="152"/>
      <c r="AB663" s="152"/>
      <c r="AC663" s="152"/>
    </row>
    <row r="664" customFormat="false" ht="13.2" hidden="false" customHeight="false" outlineLevel="0" collapsed="false">
      <c r="B664" s="152"/>
      <c r="C664" s="152"/>
      <c r="D664" s="152"/>
      <c r="E664" s="152"/>
      <c r="F664" s="152"/>
      <c r="G664" s="152"/>
      <c r="H664" s="152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  <c r="AA664" s="152"/>
      <c r="AB664" s="152"/>
      <c r="AC664" s="152"/>
    </row>
    <row r="665" customFormat="false" ht="13.2" hidden="false" customHeight="false" outlineLevel="0" collapsed="false"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  <c r="AA665" s="152"/>
      <c r="AB665" s="152"/>
      <c r="AC665" s="152"/>
    </row>
    <row r="666" customFormat="false" ht="13.2" hidden="false" customHeight="false" outlineLevel="0" collapsed="false">
      <c r="B666" s="152"/>
      <c r="C666" s="152"/>
      <c r="D666" s="152"/>
      <c r="E666" s="152"/>
      <c r="F666" s="152"/>
      <c r="G666" s="152"/>
      <c r="H666" s="152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  <c r="AA666" s="152"/>
      <c r="AB666" s="152"/>
      <c r="AC666" s="152"/>
    </row>
    <row r="667" customFormat="false" ht="13.2" hidden="false" customHeight="false" outlineLevel="0" collapsed="false"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  <c r="AA667" s="152"/>
      <c r="AB667" s="152"/>
      <c r="AC667" s="152"/>
    </row>
    <row r="668" customFormat="false" ht="13.2" hidden="false" customHeight="false" outlineLevel="0" collapsed="false">
      <c r="B668" s="152"/>
      <c r="C668" s="152"/>
      <c r="D668" s="152"/>
      <c r="E668" s="152"/>
      <c r="F668" s="152"/>
      <c r="G668" s="152"/>
      <c r="H668" s="152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  <c r="AA668" s="152"/>
      <c r="AB668" s="152"/>
      <c r="AC668" s="152"/>
    </row>
    <row r="669" customFormat="false" ht="13.2" hidden="false" customHeight="false" outlineLevel="0" collapsed="false"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  <c r="AA669" s="152"/>
      <c r="AB669" s="152"/>
      <c r="AC669" s="152"/>
    </row>
    <row r="670" customFormat="false" ht="13.2" hidden="false" customHeight="false" outlineLevel="0" collapsed="false">
      <c r="B670" s="152"/>
      <c r="C670" s="152"/>
      <c r="D670" s="152"/>
      <c r="E670" s="152"/>
      <c r="F670" s="152"/>
      <c r="G670" s="152"/>
      <c r="H670" s="152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  <c r="AA670" s="152"/>
      <c r="AB670" s="152"/>
      <c r="AC670" s="152"/>
    </row>
    <row r="671" customFormat="false" ht="13.2" hidden="false" customHeight="false" outlineLevel="0" collapsed="false"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  <c r="AA671" s="152"/>
      <c r="AB671" s="152"/>
      <c r="AC671" s="152"/>
    </row>
    <row r="672" customFormat="false" ht="13.2" hidden="false" customHeight="false" outlineLevel="0" collapsed="false">
      <c r="B672" s="152"/>
      <c r="C672" s="152"/>
      <c r="D672" s="152"/>
      <c r="E672" s="152"/>
      <c r="F672" s="152"/>
      <c r="G672" s="152"/>
      <c r="H672" s="152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  <c r="AA672" s="152"/>
      <c r="AB672" s="152"/>
      <c r="AC672" s="152"/>
    </row>
    <row r="673" customFormat="false" ht="13.2" hidden="false" customHeight="false" outlineLevel="0" collapsed="false"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  <c r="AA673" s="152"/>
      <c r="AB673" s="152"/>
      <c r="AC673" s="152"/>
    </row>
    <row r="674" customFormat="false" ht="13.2" hidden="false" customHeight="false" outlineLevel="0" collapsed="false"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  <c r="AA674" s="152"/>
      <c r="AB674" s="152"/>
      <c r="AC674" s="152"/>
    </row>
    <row r="675" customFormat="false" ht="13.2" hidden="false" customHeight="false" outlineLevel="0" collapsed="false"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</row>
    <row r="676" customFormat="false" ht="13.2" hidden="false" customHeight="false" outlineLevel="0" collapsed="false"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</row>
    <row r="677" customFormat="false" ht="13.2" hidden="false" customHeight="false" outlineLevel="0" collapsed="false"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</row>
    <row r="678" customFormat="false" ht="13.2" hidden="false" customHeight="false" outlineLevel="0" collapsed="false">
      <c r="B678" s="152"/>
      <c r="C678" s="152"/>
      <c r="D678" s="152"/>
      <c r="E678" s="152"/>
      <c r="F678" s="152"/>
      <c r="G678" s="152"/>
      <c r="H678" s="152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  <c r="AA678" s="152"/>
      <c r="AB678" s="152"/>
      <c r="AC678" s="152"/>
    </row>
    <row r="679" customFormat="false" ht="13.2" hidden="false" customHeight="false" outlineLevel="0" collapsed="false"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  <c r="AA679" s="152"/>
      <c r="AB679" s="152"/>
      <c r="AC679" s="152"/>
    </row>
    <row r="680" customFormat="false" ht="13.2" hidden="false" customHeight="false" outlineLevel="0" collapsed="false">
      <c r="B680" s="152"/>
      <c r="C680" s="152"/>
      <c r="D680" s="152"/>
      <c r="E680" s="152"/>
      <c r="F680" s="152"/>
      <c r="G680" s="152"/>
      <c r="H680" s="152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</row>
    <row r="681" customFormat="false" ht="13.2" hidden="false" customHeight="false" outlineLevel="0" collapsed="false"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  <c r="AA681" s="152"/>
      <c r="AB681" s="152"/>
      <c r="AC681" s="152"/>
    </row>
    <row r="682" customFormat="false" ht="13.2" hidden="false" customHeight="false" outlineLevel="0" collapsed="false">
      <c r="B682" s="152"/>
      <c r="C682" s="152"/>
      <c r="D682" s="152"/>
      <c r="E682" s="152"/>
      <c r="F682" s="152"/>
      <c r="G682" s="152"/>
      <c r="H682" s="152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  <c r="AA682" s="152"/>
      <c r="AB682" s="152"/>
      <c r="AC682" s="152"/>
    </row>
    <row r="683" customFormat="false" ht="13.2" hidden="false" customHeight="false" outlineLevel="0" collapsed="false"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  <c r="AA683" s="152"/>
      <c r="AB683" s="152"/>
      <c r="AC683" s="152"/>
    </row>
    <row r="684" customFormat="false" ht="13.2" hidden="false" customHeight="false" outlineLevel="0" collapsed="false">
      <c r="B684" s="152"/>
      <c r="C684" s="152"/>
      <c r="D684" s="152"/>
      <c r="E684" s="152"/>
      <c r="F684" s="152"/>
      <c r="G684" s="152"/>
      <c r="H684" s="152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  <c r="AA684" s="152"/>
      <c r="AB684" s="152"/>
      <c r="AC684" s="152"/>
    </row>
    <row r="685" customFormat="false" ht="13.2" hidden="false" customHeight="false" outlineLevel="0" collapsed="false"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  <c r="AA685" s="152"/>
      <c r="AB685" s="152"/>
      <c r="AC685" s="152"/>
    </row>
    <row r="686" customFormat="false" ht="13.2" hidden="false" customHeight="false" outlineLevel="0" collapsed="false">
      <c r="B686" s="152"/>
      <c r="C686" s="152"/>
      <c r="D686" s="152"/>
      <c r="E686" s="152"/>
      <c r="F686" s="152"/>
      <c r="G686" s="152"/>
      <c r="H686" s="152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  <c r="AA686" s="152"/>
      <c r="AB686" s="152"/>
      <c r="AC686" s="152"/>
    </row>
    <row r="687" customFormat="false" ht="13.2" hidden="false" customHeight="false" outlineLevel="0" collapsed="false"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  <c r="AA687" s="152"/>
      <c r="AB687" s="152"/>
      <c r="AC687" s="152"/>
    </row>
    <row r="688" customFormat="false" ht="13.2" hidden="false" customHeight="false" outlineLevel="0" collapsed="false">
      <c r="B688" s="152"/>
      <c r="C688" s="152"/>
      <c r="D688" s="152"/>
      <c r="E688" s="152"/>
      <c r="F688" s="152"/>
      <c r="G688" s="152"/>
      <c r="H688" s="152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  <c r="AA688" s="152"/>
      <c r="AB688" s="152"/>
      <c r="AC688" s="152"/>
    </row>
    <row r="689" customFormat="false" ht="13.2" hidden="false" customHeight="false" outlineLevel="0" collapsed="false"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  <c r="AA689" s="152"/>
      <c r="AB689" s="152"/>
      <c r="AC689" s="152"/>
    </row>
    <row r="690" customFormat="false" ht="13.2" hidden="false" customHeight="false" outlineLevel="0" collapsed="false">
      <c r="B690" s="152"/>
      <c r="C690" s="152"/>
      <c r="D690" s="152"/>
      <c r="E690" s="152"/>
      <c r="F690" s="152"/>
      <c r="G690" s="152"/>
      <c r="H690" s="152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  <c r="AA690" s="152"/>
      <c r="AB690" s="152"/>
      <c r="AC690" s="152"/>
    </row>
    <row r="691" customFormat="false" ht="13.2" hidden="false" customHeight="false" outlineLevel="0" collapsed="false"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  <c r="AA691" s="152"/>
      <c r="AB691" s="152"/>
      <c r="AC691" s="152"/>
    </row>
    <row r="692" customFormat="false" ht="13.2" hidden="false" customHeight="false" outlineLevel="0" collapsed="false">
      <c r="B692" s="152"/>
      <c r="C692" s="152"/>
      <c r="D692" s="152"/>
      <c r="E692" s="152"/>
      <c r="F692" s="152"/>
      <c r="G692" s="152"/>
      <c r="H692" s="152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  <c r="AA692" s="152"/>
      <c r="AB692" s="152"/>
      <c r="AC692" s="152"/>
    </row>
    <row r="693" customFormat="false" ht="13.2" hidden="false" customHeight="false" outlineLevel="0" collapsed="false"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  <c r="AA693" s="152"/>
      <c r="AB693" s="152"/>
      <c r="AC693" s="152"/>
    </row>
    <row r="694" customFormat="false" ht="13.2" hidden="false" customHeight="false" outlineLevel="0" collapsed="false">
      <c r="B694" s="152"/>
      <c r="C694" s="152"/>
      <c r="D694" s="152"/>
      <c r="E694" s="152"/>
      <c r="F694" s="152"/>
      <c r="G694" s="152"/>
      <c r="H694" s="152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  <c r="AA694" s="152"/>
      <c r="AB694" s="152"/>
      <c r="AC694" s="152"/>
    </row>
    <row r="695" customFormat="false" ht="13.2" hidden="false" customHeight="false" outlineLevel="0" collapsed="false"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  <c r="AA695" s="152"/>
      <c r="AB695" s="152"/>
      <c r="AC695" s="152"/>
    </row>
    <row r="696" customFormat="false" ht="13.2" hidden="false" customHeight="false" outlineLevel="0" collapsed="false">
      <c r="B696" s="152"/>
      <c r="C696" s="152"/>
      <c r="D696" s="152"/>
      <c r="E696" s="152"/>
      <c r="F696" s="152"/>
      <c r="G696" s="152"/>
      <c r="H696" s="152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  <c r="AA696" s="152"/>
      <c r="AB696" s="152"/>
      <c r="AC696" s="152"/>
    </row>
    <row r="697" customFormat="false" ht="13.2" hidden="false" customHeight="false" outlineLevel="0" collapsed="false"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  <c r="AA697" s="152"/>
      <c r="AB697" s="152"/>
      <c r="AC697" s="152"/>
    </row>
    <row r="698" customFormat="false" ht="13.2" hidden="false" customHeight="false" outlineLevel="0" collapsed="false">
      <c r="B698" s="152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  <c r="AA698" s="152"/>
      <c r="AB698" s="152"/>
      <c r="AC698" s="152"/>
    </row>
    <row r="699" customFormat="false" ht="13.2" hidden="false" customHeight="false" outlineLevel="0" collapsed="false"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  <c r="AA699" s="152"/>
      <c r="AB699" s="152"/>
      <c r="AC699" s="152"/>
    </row>
    <row r="700" customFormat="false" ht="13.2" hidden="false" customHeight="false" outlineLevel="0" collapsed="false">
      <c r="B700" s="152"/>
      <c r="C700" s="152"/>
      <c r="D700" s="152"/>
      <c r="E700" s="152"/>
      <c r="F700" s="152"/>
      <c r="G700" s="152"/>
      <c r="H700" s="152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  <c r="AA700" s="152"/>
      <c r="AB700" s="152"/>
      <c r="AC700" s="152"/>
    </row>
    <row r="701" customFormat="false" ht="13.2" hidden="false" customHeight="false" outlineLevel="0" collapsed="false"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</row>
    <row r="702" customFormat="false" ht="13.2" hidden="false" customHeight="false" outlineLevel="0" collapsed="false">
      <c r="B702" s="152"/>
      <c r="C702" s="152"/>
      <c r="D702" s="152"/>
      <c r="E702" s="152"/>
      <c r="F702" s="152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</row>
    <row r="703" customFormat="false" ht="13.2" hidden="false" customHeight="false" outlineLevel="0" collapsed="false"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  <c r="AA703" s="152"/>
      <c r="AB703" s="152"/>
      <c r="AC703" s="152"/>
    </row>
    <row r="704" customFormat="false" ht="13.2" hidden="false" customHeight="false" outlineLevel="0" collapsed="false">
      <c r="B704" s="152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  <c r="AA704" s="152"/>
      <c r="AB704" s="152"/>
      <c r="AC704" s="152"/>
    </row>
    <row r="705" customFormat="false" ht="13.2" hidden="false" customHeight="false" outlineLevel="0" collapsed="false"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  <c r="AA705" s="152"/>
      <c r="AB705" s="152"/>
      <c r="AC705" s="152"/>
    </row>
    <row r="706" customFormat="false" ht="13.2" hidden="false" customHeight="false" outlineLevel="0" collapsed="false">
      <c r="B706" s="152"/>
      <c r="C706" s="152"/>
      <c r="D706" s="152"/>
      <c r="E706" s="152"/>
      <c r="F706" s="152"/>
      <c r="G706" s="152"/>
      <c r="H706" s="152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  <c r="AA706" s="152"/>
      <c r="AB706" s="152"/>
      <c r="AC706" s="152"/>
    </row>
    <row r="707" customFormat="false" ht="13.2" hidden="false" customHeight="false" outlineLevel="0" collapsed="false"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</row>
    <row r="708" customFormat="false" ht="13.2" hidden="false" customHeight="false" outlineLevel="0" collapsed="false">
      <c r="B708" s="152"/>
      <c r="C708" s="152"/>
      <c r="D708" s="152"/>
      <c r="E708" s="152"/>
      <c r="F708" s="152"/>
      <c r="G708" s="152"/>
      <c r="H708" s="152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  <c r="AA708" s="152"/>
      <c r="AB708" s="152"/>
      <c r="AC708" s="152"/>
    </row>
    <row r="709" customFormat="false" ht="13.2" hidden="false" customHeight="false" outlineLevel="0" collapsed="false"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  <c r="AA709" s="152"/>
      <c r="AB709" s="152"/>
      <c r="AC709" s="152"/>
    </row>
    <row r="710" customFormat="false" ht="13.2" hidden="false" customHeight="false" outlineLevel="0" collapsed="false">
      <c r="B710" s="152"/>
      <c r="C710" s="152"/>
      <c r="D710" s="152"/>
      <c r="E710" s="152"/>
      <c r="F710" s="152"/>
      <c r="G710" s="152"/>
      <c r="H710" s="152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</row>
    <row r="711" customFormat="false" ht="13.2" hidden="false" customHeight="false" outlineLevel="0" collapsed="false"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</row>
    <row r="712" customFormat="false" ht="13.2" hidden="false" customHeight="false" outlineLevel="0" collapsed="false">
      <c r="B712" s="152"/>
      <c r="C712" s="152"/>
      <c r="D712" s="152"/>
      <c r="E712" s="152"/>
      <c r="F712" s="152"/>
      <c r="G712" s="152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</row>
    <row r="713" customFormat="false" ht="13.2" hidden="false" customHeight="false" outlineLevel="0" collapsed="false"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</row>
    <row r="714" customFormat="false" ht="13.2" hidden="false" customHeight="false" outlineLevel="0" collapsed="false">
      <c r="B714" s="152"/>
      <c r="C714" s="152"/>
      <c r="D714" s="152"/>
      <c r="E714" s="152"/>
      <c r="F714" s="152"/>
      <c r="G714" s="152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</row>
    <row r="715" customFormat="false" ht="13.2" hidden="false" customHeight="false" outlineLevel="0" collapsed="false"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</row>
    <row r="716" customFormat="false" ht="13.2" hidden="false" customHeight="false" outlineLevel="0" collapsed="false">
      <c r="B716" s="152"/>
      <c r="C716" s="152"/>
      <c r="D716" s="152"/>
      <c r="E716" s="152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</row>
    <row r="717" customFormat="false" ht="13.2" hidden="false" customHeight="false" outlineLevel="0" collapsed="false"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</row>
    <row r="718" customFormat="false" ht="13.2" hidden="false" customHeight="false" outlineLevel="0" collapsed="false">
      <c r="B718" s="152"/>
      <c r="C718" s="152"/>
      <c r="D718" s="152"/>
      <c r="E718" s="152"/>
      <c r="F718" s="152"/>
      <c r="G718" s="152"/>
      <c r="H718" s="152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</row>
    <row r="719" customFormat="false" ht="13.2" hidden="false" customHeight="false" outlineLevel="0" collapsed="false"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</row>
    <row r="720" customFormat="false" ht="13.2" hidden="false" customHeight="false" outlineLevel="0" collapsed="false">
      <c r="B720" s="152"/>
      <c r="C720" s="152"/>
      <c r="D720" s="152"/>
      <c r="E720" s="152"/>
      <c r="F720" s="152"/>
      <c r="G720" s="152"/>
      <c r="H720" s="152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  <c r="AA720" s="152"/>
      <c r="AB720" s="152"/>
      <c r="AC720" s="152"/>
    </row>
    <row r="721" customFormat="false" ht="13.2" hidden="false" customHeight="false" outlineLevel="0" collapsed="false"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  <c r="AA721" s="152"/>
      <c r="AB721" s="152"/>
      <c r="AC721" s="152"/>
    </row>
    <row r="722" customFormat="false" ht="13.2" hidden="false" customHeight="false" outlineLevel="0" collapsed="false">
      <c r="B722" s="152"/>
      <c r="C722" s="152"/>
      <c r="D722" s="152"/>
      <c r="E722" s="152"/>
      <c r="F722" s="152"/>
      <c r="G722" s="152"/>
      <c r="H722" s="152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  <c r="AA722" s="152"/>
      <c r="AB722" s="152"/>
      <c r="AC722" s="152"/>
    </row>
    <row r="723" customFormat="false" ht="13.2" hidden="false" customHeight="false" outlineLevel="0" collapsed="false"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  <c r="AA723" s="152"/>
      <c r="AB723" s="152"/>
      <c r="AC723" s="152"/>
    </row>
    <row r="724" customFormat="false" ht="13.2" hidden="false" customHeight="false" outlineLevel="0" collapsed="false">
      <c r="B724" s="152"/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  <c r="AA724" s="152"/>
      <c r="AB724" s="152"/>
      <c r="AC724" s="152"/>
    </row>
    <row r="725" customFormat="false" ht="13.2" hidden="false" customHeight="false" outlineLevel="0" collapsed="false"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  <c r="AA725" s="152"/>
      <c r="AB725" s="152"/>
      <c r="AC725" s="152"/>
    </row>
    <row r="726" customFormat="false" ht="13.2" hidden="false" customHeight="false" outlineLevel="0" collapsed="false">
      <c r="B726" s="152"/>
      <c r="C726" s="152"/>
      <c r="D726" s="152"/>
      <c r="E726" s="152"/>
      <c r="F726" s="152"/>
      <c r="G726" s="152"/>
      <c r="H726" s="152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  <c r="AA726" s="152"/>
      <c r="AB726" s="152"/>
      <c r="AC726" s="152"/>
    </row>
    <row r="727" customFormat="false" ht="13.2" hidden="false" customHeight="false" outlineLevel="0" collapsed="false"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  <c r="AA727" s="152"/>
      <c r="AB727" s="152"/>
      <c r="AC727" s="152"/>
    </row>
    <row r="728" customFormat="false" ht="13.2" hidden="false" customHeight="false" outlineLevel="0" collapsed="false">
      <c r="B728" s="152"/>
      <c r="C728" s="152"/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  <c r="AA728" s="152"/>
      <c r="AB728" s="152"/>
      <c r="AC728" s="152"/>
    </row>
    <row r="729" customFormat="false" ht="13.2" hidden="false" customHeight="false" outlineLevel="0" collapsed="false"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  <c r="AA729" s="152"/>
      <c r="AB729" s="152"/>
      <c r="AC729" s="152"/>
    </row>
    <row r="730" customFormat="false" ht="13.2" hidden="false" customHeight="false" outlineLevel="0" collapsed="false">
      <c r="B730" s="152"/>
      <c r="C730" s="152"/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</row>
    <row r="731" customFormat="false" ht="13.2" hidden="false" customHeight="false" outlineLevel="0" collapsed="false"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  <c r="AA731" s="152"/>
      <c r="AB731" s="152"/>
      <c r="AC731" s="152"/>
    </row>
    <row r="732" customFormat="false" ht="13.2" hidden="false" customHeight="false" outlineLevel="0" collapsed="false">
      <c r="B732" s="152"/>
      <c r="C732" s="152"/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  <c r="AA732" s="152"/>
      <c r="AB732" s="152"/>
      <c r="AC732" s="152"/>
    </row>
    <row r="733" customFormat="false" ht="13.2" hidden="false" customHeight="false" outlineLevel="0" collapsed="false"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  <c r="AA733" s="152"/>
      <c r="AB733" s="152"/>
      <c r="AC733" s="152"/>
    </row>
    <row r="734" customFormat="false" ht="13.2" hidden="false" customHeight="false" outlineLevel="0" collapsed="false">
      <c r="B734" s="152"/>
      <c r="C734" s="152"/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  <c r="AA734" s="152"/>
      <c r="AB734" s="152"/>
      <c r="AC734" s="152"/>
    </row>
    <row r="735" customFormat="false" ht="13.2" hidden="false" customHeight="false" outlineLevel="0" collapsed="false"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  <c r="AA735" s="152"/>
      <c r="AB735" s="152"/>
      <c r="AC735" s="152"/>
    </row>
    <row r="736" customFormat="false" ht="13.2" hidden="false" customHeight="false" outlineLevel="0" collapsed="false"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  <c r="AA736" s="152"/>
      <c r="AB736" s="152"/>
      <c r="AC736" s="152"/>
    </row>
    <row r="737" customFormat="false" ht="13.2" hidden="false" customHeight="false" outlineLevel="0" collapsed="false"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  <c r="AA737" s="152"/>
      <c r="AB737" s="152"/>
      <c r="AC737" s="152"/>
    </row>
    <row r="738" customFormat="false" ht="13.2" hidden="false" customHeight="false" outlineLevel="0" collapsed="false"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</row>
    <row r="739" customFormat="false" ht="13.2" hidden="false" customHeight="false" outlineLevel="0" collapsed="false"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  <c r="AA739" s="152"/>
      <c r="AB739" s="152"/>
      <c r="AC739" s="152"/>
    </row>
    <row r="740" customFormat="false" ht="13.2" hidden="false" customHeight="false" outlineLevel="0" collapsed="false"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  <c r="AA740" s="152"/>
      <c r="AB740" s="152"/>
      <c r="AC740" s="152"/>
    </row>
    <row r="741" customFormat="false" ht="13.2" hidden="false" customHeight="false" outlineLevel="0" collapsed="false"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  <c r="AA741" s="152"/>
      <c r="AB741" s="152"/>
      <c r="AC741" s="152"/>
    </row>
    <row r="742" customFormat="false" ht="13.2" hidden="false" customHeight="false" outlineLevel="0" collapsed="false"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  <c r="AA742" s="152"/>
      <c r="AB742" s="152"/>
      <c r="AC742" s="152"/>
    </row>
    <row r="743" customFormat="false" ht="13.2" hidden="false" customHeight="false" outlineLevel="0" collapsed="false"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  <c r="AA743" s="152"/>
      <c r="AB743" s="152"/>
      <c r="AC743" s="152"/>
    </row>
    <row r="744" customFormat="false" ht="13.2" hidden="false" customHeight="false" outlineLevel="0" collapsed="false"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  <c r="AA744" s="152"/>
      <c r="AB744" s="152"/>
      <c r="AC744" s="152"/>
    </row>
    <row r="745" customFormat="false" ht="13.2" hidden="false" customHeight="false" outlineLevel="0" collapsed="false"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  <c r="AA745" s="152"/>
      <c r="AB745" s="152"/>
      <c r="AC745" s="152"/>
    </row>
    <row r="746" customFormat="false" ht="13.2" hidden="false" customHeight="false" outlineLevel="0" collapsed="false">
      <c r="B746" s="152"/>
      <c r="C746" s="152"/>
      <c r="D746" s="152"/>
      <c r="E746" s="152"/>
      <c r="F746" s="152"/>
      <c r="G746" s="152"/>
      <c r="H746" s="152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  <c r="AA746" s="152"/>
      <c r="AB746" s="152"/>
      <c r="AC746" s="152"/>
    </row>
    <row r="747" customFormat="false" ht="13.2" hidden="false" customHeight="false" outlineLevel="0" collapsed="false"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  <c r="AA747" s="152"/>
      <c r="AB747" s="152"/>
      <c r="AC747" s="152"/>
    </row>
    <row r="748" customFormat="false" ht="13.2" hidden="false" customHeight="false" outlineLevel="0" collapsed="false"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  <c r="AA748" s="152"/>
      <c r="AB748" s="152"/>
      <c r="AC748" s="152"/>
    </row>
    <row r="749" customFormat="false" ht="13.2" hidden="false" customHeight="false" outlineLevel="0" collapsed="false"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  <c r="AA749" s="152"/>
      <c r="AB749" s="152"/>
      <c r="AC749" s="152"/>
    </row>
    <row r="750" customFormat="false" ht="13.2" hidden="false" customHeight="false" outlineLevel="0" collapsed="false">
      <c r="B750" s="152"/>
      <c r="C750" s="152"/>
      <c r="D750" s="152"/>
      <c r="E750" s="152"/>
      <c r="F750" s="152"/>
      <c r="G750" s="152"/>
      <c r="H750" s="152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  <c r="AA750" s="152"/>
      <c r="AB750" s="152"/>
      <c r="AC750" s="152"/>
    </row>
    <row r="751" customFormat="false" ht="13.2" hidden="false" customHeight="false" outlineLevel="0" collapsed="false"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  <c r="AA751" s="152"/>
      <c r="AB751" s="152"/>
      <c r="AC751" s="152"/>
    </row>
    <row r="752" customFormat="false" ht="13.2" hidden="false" customHeight="false" outlineLevel="0" collapsed="false">
      <c r="B752" s="152"/>
      <c r="C752" s="152"/>
      <c r="D752" s="152"/>
      <c r="E752" s="152"/>
      <c r="F752" s="152"/>
      <c r="G752" s="152"/>
      <c r="H752" s="152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  <c r="AA752" s="152"/>
      <c r="AB752" s="152"/>
      <c r="AC752" s="152"/>
    </row>
    <row r="753" customFormat="false" ht="13.2" hidden="false" customHeight="false" outlineLevel="0" collapsed="false"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  <c r="AA753" s="152"/>
      <c r="AB753" s="152"/>
      <c r="AC753" s="152"/>
    </row>
    <row r="754" customFormat="false" ht="13.2" hidden="false" customHeight="false" outlineLevel="0" collapsed="false">
      <c r="B754" s="152"/>
      <c r="C754" s="152"/>
      <c r="D754" s="152"/>
      <c r="E754" s="152"/>
      <c r="F754" s="152"/>
      <c r="G754" s="152"/>
      <c r="H754" s="152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  <c r="AA754" s="152"/>
      <c r="AB754" s="152"/>
      <c r="AC754" s="152"/>
    </row>
    <row r="755" customFormat="false" ht="13.2" hidden="false" customHeight="false" outlineLevel="0" collapsed="false"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  <c r="AA755" s="152"/>
      <c r="AB755" s="152"/>
      <c r="AC755" s="152"/>
    </row>
    <row r="756" customFormat="false" ht="13.2" hidden="false" customHeight="false" outlineLevel="0" collapsed="false">
      <c r="B756" s="152"/>
      <c r="C756" s="152"/>
      <c r="D756" s="152"/>
      <c r="E756" s="152"/>
      <c r="F756" s="152"/>
      <c r="G756" s="152"/>
      <c r="H756" s="152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  <c r="AA756" s="152"/>
      <c r="AB756" s="152"/>
      <c r="AC756" s="152"/>
    </row>
    <row r="757" customFormat="false" ht="13.2" hidden="false" customHeight="false" outlineLevel="0" collapsed="false"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  <c r="AA757" s="152"/>
      <c r="AB757" s="152"/>
      <c r="AC757" s="152"/>
    </row>
    <row r="758" customFormat="false" ht="13.2" hidden="false" customHeight="false" outlineLevel="0" collapsed="false">
      <c r="B758" s="152"/>
      <c r="C758" s="152"/>
      <c r="D758" s="152"/>
      <c r="E758" s="152"/>
      <c r="F758" s="152"/>
      <c r="G758" s="152"/>
      <c r="H758" s="152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  <c r="AA758" s="152"/>
      <c r="AB758" s="152"/>
      <c r="AC758" s="152"/>
    </row>
    <row r="759" customFormat="false" ht="13.2" hidden="false" customHeight="false" outlineLevel="0" collapsed="false"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  <c r="AA759" s="152"/>
      <c r="AB759" s="152"/>
      <c r="AC759" s="152"/>
    </row>
    <row r="760" customFormat="false" ht="13.2" hidden="false" customHeight="false" outlineLevel="0" collapsed="false">
      <c r="B760" s="152"/>
      <c r="C760" s="152"/>
      <c r="D760" s="152"/>
      <c r="E760" s="152"/>
      <c r="F760" s="152"/>
      <c r="G760" s="152"/>
      <c r="H760" s="152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  <c r="AA760" s="152"/>
      <c r="AB760" s="152"/>
      <c r="AC760" s="152"/>
    </row>
    <row r="761" customFormat="false" ht="13.2" hidden="false" customHeight="false" outlineLevel="0" collapsed="false"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  <c r="AA761" s="152"/>
      <c r="AB761" s="152"/>
      <c r="AC761" s="152"/>
    </row>
    <row r="762" customFormat="false" ht="13.2" hidden="false" customHeight="false" outlineLevel="0" collapsed="false">
      <c r="B762" s="152"/>
      <c r="C762" s="152"/>
      <c r="D762" s="152"/>
      <c r="E762" s="152"/>
      <c r="F762" s="152"/>
      <c r="G762" s="152"/>
      <c r="H762" s="152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  <c r="AA762" s="152"/>
      <c r="AB762" s="152"/>
      <c r="AC762" s="152"/>
    </row>
    <row r="763" customFormat="false" ht="13.2" hidden="false" customHeight="false" outlineLevel="0" collapsed="false"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  <c r="AA763" s="152"/>
      <c r="AB763" s="152"/>
      <c r="AC763" s="152"/>
    </row>
    <row r="764" customFormat="false" ht="13.2" hidden="false" customHeight="false" outlineLevel="0" collapsed="false">
      <c r="B764" s="152"/>
      <c r="C764" s="152"/>
      <c r="D764" s="152"/>
      <c r="E764" s="152"/>
      <c r="F764" s="152"/>
      <c r="G764" s="152"/>
      <c r="H764" s="152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  <c r="AA764" s="152"/>
      <c r="AB764" s="152"/>
      <c r="AC764" s="152"/>
    </row>
    <row r="765" customFormat="false" ht="13.2" hidden="false" customHeight="false" outlineLevel="0" collapsed="false"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  <c r="AA765" s="152"/>
      <c r="AB765" s="152"/>
      <c r="AC765" s="152"/>
    </row>
    <row r="766" customFormat="false" ht="13.2" hidden="false" customHeight="false" outlineLevel="0" collapsed="false">
      <c r="B766" s="152"/>
      <c r="C766" s="152"/>
      <c r="D766" s="152"/>
      <c r="E766" s="152"/>
      <c r="F766" s="152"/>
      <c r="G766" s="152"/>
      <c r="H766" s="152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  <c r="AA766" s="152"/>
      <c r="AB766" s="152"/>
      <c r="AC766" s="152"/>
    </row>
    <row r="767" customFormat="false" ht="13.2" hidden="false" customHeight="false" outlineLevel="0" collapsed="false"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  <c r="AA767" s="152"/>
      <c r="AB767" s="152"/>
      <c r="AC767" s="152"/>
    </row>
    <row r="768" customFormat="false" ht="13.2" hidden="false" customHeight="false" outlineLevel="0" collapsed="false">
      <c r="B768" s="152"/>
      <c r="C768" s="152"/>
      <c r="D768" s="152"/>
      <c r="E768" s="152"/>
      <c r="F768" s="152"/>
      <c r="G768" s="152"/>
      <c r="H768" s="152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  <c r="AA768" s="152"/>
      <c r="AB768" s="152"/>
      <c r="AC768" s="152"/>
    </row>
    <row r="769" customFormat="false" ht="13.2" hidden="false" customHeight="false" outlineLevel="0" collapsed="false"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  <c r="AA769" s="152"/>
      <c r="AB769" s="152"/>
      <c r="AC769" s="152"/>
    </row>
    <row r="770" customFormat="false" ht="13.2" hidden="false" customHeight="false" outlineLevel="0" collapsed="false">
      <c r="B770" s="152"/>
      <c r="C770" s="152"/>
      <c r="D770" s="152"/>
      <c r="E770" s="152"/>
      <c r="F770" s="152"/>
      <c r="G770" s="152"/>
      <c r="H770" s="152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  <c r="AA770" s="152"/>
      <c r="AB770" s="152"/>
      <c r="AC770" s="152"/>
    </row>
    <row r="771" customFormat="false" ht="13.2" hidden="false" customHeight="false" outlineLevel="0" collapsed="false"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  <c r="AA771" s="152"/>
      <c r="AB771" s="152"/>
      <c r="AC771" s="152"/>
    </row>
    <row r="772" customFormat="false" ht="13.2" hidden="false" customHeight="false" outlineLevel="0" collapsed="false">
      <c r="B772" s="152"/>
      <c r="C772" s="152"/>
      <c r="D772" s="152"/>
      <c r="E772" s="152"/>
      <c r="F772" s="152"/>
      <c r="G772" s="152"/>
      <c r="H772" s="152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  <c r="AA772" s="152"/>
      <c r="AB772" s="152"/>
      <c r="AC772" s="152"/>
    </row>
    <row r="773" customFormat="false" ht="13.2" hidden="false" customHeight="false" outlineLevel="0" collapsed="false"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  <c r="AA773" s="152"/>
      <c r="AB773" s="152"/>
      <c r="AC773" s="152"/>
    </row>
    <row r="774" customFormat="false" ht="13.2" hidden="false" customHeight="false" outlineLevel="0" collapsed="false">
      <c r="B774" s="152"/>
      <c r="C774" s="152"/>
      <c r="D774" s="152"/>
      <c r="E774" s="152"/>
      <c r="F774" s="152"/>
      <c r="G774" s="152"/>
      <c r="H774" s="152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  <c r="AA774" s="152"/>
      <c r="AB774" s="152"/>
      <c r="AC774" s="152"/>
    </row>
    <row r="775" customFormat="false" ht="13.2" hidden="false" customHeight="false" outlineLevel="0" collapsed="false"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  <c r="AA775" s="152"/>
      <c r="AB775" s="152"/>
      <c r="AC775" s="152"/>
    </row>
    <row r="776" customFormat="false" ht="13.2" hidden="false" customHeight="false" outlineLevel="0" collapsed="false">
      <c r="B776" s="152"/>
      <c r="C776" s="152"/>
      <c r="D776" s="152"/>
      <c r="E776" s="152"/>
      <c r="F776" s="152"/>
      <c r="G776" s="152"/>
      <c r="H776" s="152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  <c r="AA776" s="152"/>
      <c r="AB776" s="152"/>
      <c r="AC776" s="152"/>
    </row>
    <row r="777" customFormat="false" ht="13.2" hidden="false" customHeight="false" outlineLevel="0" collapsed="false"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  <c r="AA777" s="152"/>
      <c r="AB777" s="152"/>
      <c r="AC777" s="152"/>
    </row>
    <row r="778" customFormat="false" ht="13.2" hidden="false" customHeight="false" outlineLevel="0" collapsed="false">
      <c r="B778" s="152"/>
      <c r="C778" s="152"/>
      <c r="D778" s="152"/>
      <c r="E778" s="152"/>
      <c r="F778" s="152"/>
      <c r="G778" s="152"/>
      <c r="H778" s="152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</row>
    <row r="779" customFormat="false" ht="13.2" hidden="false" customHeight="false" outlineLevel="0" collapsed="false"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</row>
    <row r="780" customFormat="false" ht="13.2" hidden="false" customHeight="false" outlineLevel="0" collapsed="false">
      <c r="B780" s="152"/>
      <c r="C780" s="152"/>
      <c r="D780" s="152"/>
      <c r="E780" s="152"/>
      <c r="F780" s="152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  <c r="AA780" s="152"/>
      <c r="AB780" s="152"/>
      <c r="AC780" s="152"/>
    </row>
    <row r="781" customFormat="false" ht="13.2" hidden="false" customHeight="false" outlineLevel="0" collapsed="false"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  <c r="AA781" s="152"/>
      <c r="AB781" s="152"/>
      <c r="AC781" s="152"/>
    </row>
    <row r="782" customFormat="false" ht="13.2" hidden="false" customHeight="false" outlineLevel="0" collapsed="false">
      <c r="B782" s="152"/>
      <c r="C782" s="152"/>
      <c r="D782" s="152"/>
      <c r="E782" s="152"/>
      <c r="F782" s="152"/>
      <c r="G782" s="152"/>
      <c r="H782" s="152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  <c r="AA782" s="152"/>
      <c r="AB782" s="152"/>
      <c r="AC782" s="152"/>
    </row>
    <row r="783" customFormat="false" ht="13.2" hidden="false" customHeight="false" outlineLevel="0" collapsed="false"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  <c r="AA783" s="152"/>
      <c r="AB783" s="152"/>
      <c r="AC783" s="152"/>
    </row>
    <row r="784" customFormat="false" ht="13.2" hidden="false" customHeight="false" outlineLevel="0" collapsed="false">
      <c r="B784" s="152"/>
      <c r="C784" s="152"/>
      <c r="D784" s="152"/>
      <c r="E784" s="152"/>
      <c r="F784" s="152"/>
      <c r="G784" s="152"/>
      <c r="H784" s="152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</row>
    <row r="785" customFormat="false" ht="13.2" hidden="false" customHeight="false" outlineLevel="0" collapsed="false"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</row>
    <row r="786" customFormat="false" ht="13.2" hidden="false" customHeight="false" outlineLevel="0" collapsed="false">
      <c r="B786" s="152"/>
      <c r="C786" s="152"/>
      <c r="D786" s="152"/>
      <c r="E786" s="152"/>
      <c r="F786" s="152"/>
      <c r="G786" s="152"/>
      <c r="H786" s="152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</row>
    <row r="787" customFormat="false" ht="13.2" hidden="false" customHeight="false" outlineLevel="0" collapsed="false"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</row>
    <row r="788" customFormat="false" ht="13.2" hidden="false" customHeight="false" outlineLevel="0" collapsed="false">
      <c r="B788" s="152"/>
      <c r="C788" s="152"/>
      <c r="D788" s="152"/>
      <c r="E788" s="152"/>
      <c r="F788" s="152"/>
      <c r="G788" s="152"/>
      <c r="H788" s="152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</row>
    <row r="789" customFormat="false" ht="13.2" hidden="false" customHeight="false" outlineLevel="0" collapsed="false"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</row>
    <row r="790" customFormat="false" ht="13.2" hidden="false" customHeight="false" outlineLevel="0" collapsed="false">
      <c r="B790" s="152"/>
      <c r="C790" s="152"/>
      <c r="D790" s="152"/>
      <c r="E790" s="152"/>
      <c r="F790" s="152"/>
      <c r="G790" s="152"/>
      <c r="H790" s="152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</row>
    <row r="791" customFormat="false" ht="13.2" hidden="false" customHeight="false" outlineLevel="0" collapsed="false"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</row>
    <row r="792" customFormat="false" ht="13.2" hidden="false" customHeight="false" outlineLevel="0" collapsed="false">
      <c r="B792" s="152"/>
      <c r="C792" s="152"/>
      <c r="D792" s="152"/>
      <c r="E792" s="152"/>
      <c r="F792" s="152"/>
      <c r="G792" s="152"/>
      <c r="H792" s="152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</row>
    <row r="793" customFormat="false" ht="13.2" hidden="false" customHeight="false" outlineLevel="0" collapsed="false"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  <c r="AA793" s="152"/>
      <c r="AB793" s="152"/>
      <c r="AC793" s="152"/>
    </row>
    <row r="794" customFormat="false" ht="13.2" hidden="false" customHeight="false" outlineLevel="0" collapsed="false">
      <c r="B794" s="152"/>
      <c r="C794" s="152"/>
      <c r="D794" s="152"/>
      <c r="E794" s="152"/>
      <c r="F794" s="152"/>
      <c r="G794" s="152"/>
      <c r="H794" s="152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  <c r="AA794" s="152"/>
      <c r="AB794" s="152"/>
      <c r="AC794" s="152"/>
    </row>
    <row r="795" customFormat="false" ht="13.2" hidden="false" customHeight="false" outlineLevel="0" collapsed="false"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</row>
    <row r="796" customFormat="false" ht="13.2" hidden="false" customHeight="false" outlineLevel="0" collapsed="false">
      <c r="B796" s="152"/>
      <c r="C796" s="152"/>
      <c r="D796" s="152"/>
      <c r="E796" s="152"/>
      <c r="F796" s="152"/>
      <c r="G796" s="152"/>
      <c r="H796" s="152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  <c r="AA796" s="152"/>
      <c r="AB796" s="152"/>
      <c r="AC796" s="152"/>
    </row>
    <row r="797" customFormat="false" ht="13.2" hidden="false" customHeight="false" outlineLevel="0" collapsed="false"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  <c r="AA797" s="152"/>
      <c r="AB797" s="152"/>
      <c r="AC797" s="152"/>
    </row>
    <row r="798" customFormat="false" ht="13.2" hidden="false" customHeight="false" outlineLevel="0" collapsed="false">
      <c r="B798" s="152"/>
      <c r="C798" s="152"/>
      <c r="D798" s="152"/>
      <c r="E798" s="152"/>
      <c r="F798" s="152"/>
      <c r="G798" s="152"/>
      <c r="H798" s="152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  <c r="AA798" s="152"/>
      <c r="AB798" s="152"/>
      <c r="AC798" s="152"/>
    </row>
    <row r="799" customFormat="false" ht="13.2" hidden="false" customHeight="false" outlineLevel="0" collapsed="false"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  <c r="AA799" s="152"/>
      <c r="AB799" s="152"/>
      <c r="AC799" s="152"/>
    </row>
    <row r="800" customFormat="false" ht="13.2" hidden="false" customHeight="false" outlineLevel="0" collapsed="false">
      <c r="B800" s="152"/>
      <c r="C800" s="152"/>
      <c r="D800" s="152"/>
      <c r="E800" s="152"/>
      <c r="F800" s="152"/>
      <c r="G800" s="152"/>
      <c r="H800" s="152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  <c r="AA800" s="152"/>
      <c r="AB800" s="152"/>
      <c r="AC800" s="152"/>
    </row>
    <row r="801" customFormat="false" ht="13.2" hidden="false" customHeight="false" outlineLevel="0" collapsed="false"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  <c r="AA801" s="152"/>
      <c r="AB801" s="152"/>
      <c r="AC801" s="152"/>
    </row>
    <row r="802" customFormat="false" ht="13.2" hidden="false" customHeight="false" outlineLevel="0" collapsed="false">
      <c r="B802" s="152"/>
      <c r="C802" s="152"/>
      <c r="D802" s="152"/>
      <c r="E802" s="152"/>
      <c r="F802" s="152"/>
      <c r="G802" s="152"/>
      <c r="H802" s="152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  <c r="AA802" s="152"/>
      <c r="AB802" s="152"/>
      <c r="AC802" s="152"/>
    </row>
    <row r="803" customFormat="false" ht="13.2" hidden="false" customHeight="false" outlineLevel="0" collapsed="false"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  <c r="AA803" s="152"/>
      <c r="AB803" s="152"/>
      <c r="AC803" s="152"/>
    </row>
    <row r="804" customFormat="false" ht="13.2" hidden="false" customHeight="false" outlineLevel="0" collapsed="false">
      <c r="B804" s="152"/>
      <c r="C804" s="152"/>
      <c r="D804" s="152"/>
      <c r="E804" s="152"/>
      <c r="F804" s="152"/>
      <c r="G804" s="152"/>
      <c r="H804" s="152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  <c r="AA804" s="152"/>
      <c r="AB804" s="152"/>
      <c r="AC804" s="152"/>
    </row>
    <row r="805" customFormat="false" ht="13.2" hidden="false" customHeight="false" outlineLevel="0" collapsed="false"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</row>
    <row r="806" customFormat="false" ht="13.2" hidden="false" customHeight="false" outlineLevel="0" collapsed="false">
      <c r="B806" s="152"/>
      <c r="C806" s="152"/>
      <c r="D806" s="152"/>
      <c r="E806" s="152"/>
      <c r="F806" s="152"/>
      <c r="G806" s="152"/>
      <c r="H806" s="152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  <c r="AA806" s="152"/>
      <c r="AB806" s="152"/>
      <c r="AC806" s="152"/>
    </row>
    <row r="807" customFormat="false" ht="13.2" hidden="false" customHeight="false" outlineLevel="0" collapsed="false"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</row>
    <row r="808" customFormat="false" ht="13.2" hidden="false" customHeight="false" outlineLevel="0" collapsed="false">
      <c r="B808" s="152"/>
      <c r="C808" s="152"/>
      <c r="D808" s="152"/>
      <c r="E808" s="152"/>
      <c r="F808" s="152"/>
      <c r="G808" s="152"/>
      <c r="H808" s="152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</row>
    <row r="809" customFormat="false" ht="13.2" hidden="false" customHeight="false" outlineLevel="0" collapsed="false"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</row>
    <row r="810" customFormat="false" ht="13.2" hidden="false" customHeight="false" outlineLevel="0" collapsed="false">
      <c r="B810" s="152"/>
      <c r="C810" s="152"/>
      <c r="D810" s="152"/>
      <c r="E810" s="152"/>
      <c r="F810" s="152"/>
      <c r="G810" s="152"/>
      <c r="H810" s="152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  <c r="AA810" s="152"/>
      <c r="AB810" s="152"/>
      <c r="AC810" s="152"/>
    </row>
    <row r="811" customFormat="false" ht="13.2" hidden="false" customHeight="false" outlineLevel="0" collapsed="false"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</row>
    <row r="812" customFormat="false" ht="13.2" hidden="false" customHeight="false" outlineLevel="0" collapsed="false">
      <c r="B812" s="152"/>
      <c r="C812" s="152"/>
      <c r="D812" s="152"/>
      <c r="E812" s="152"/>
      <c r="F812" s="152"/>
      <c r="G812" s="152"/>
      <c r="H812" s="152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  <c r="AA812" s="152"/>
      <c r="AB812" s="152"/>
      <c r="AC812" s="152"/>
    </row>
    <row r="813" customFormat="false" ht="13.2" hidden="false" customHeight="false" outlineLevel="0" collapsed="false"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  <c r="AA813" s="152"/>
      <c r="AB813" s="152"/>
      <c r="AC813" s="152"/>
    </row>
    <row r="814" customFormat="false" ht="13.2" hidden="false" customHeight="false" outlineLevel="0" collapsed="false">
      <c r="B814" s="152"/>
      <c r="C814" s="152"/>
      <c r="D814" s="152"/>
      <c r="E814" s="152"/>
      <c r="F814" s="152"/>
      <c r="G814" s="152"/>
      <c r="H814" s="152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  <c r="AA814" s="152"/>
      <c r="AB814" s="152"/>
      <c r="AC814" s="152"/>
    </row>
    <row r="815" customFormat="false" ht="13.2" hidden="false" customHeight="false" outlineLevel="0" collapsed="false"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  <c r="AA815" s="152"/>
      <c r="AB815" s="152"/>
      <c r="AC815" s="152"/>
    </row>
    <row r="816" customFormat="false" ht="13.2" hidden="false" customHeight="false" outlineLevel="0" collapsed="false">
      <c r="B816" s="152"/>
      <c r="C816" s="152"/>
      <c r="D816" s="152"/>
      <c r="E816" s="152"/>
      <c r="F816" s="152"/>
      <c r="G816" s="152"/>
      <c r="H816" s="152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  <c r="AA816" s="152"/>
      <c r="AB816" s="152"/>
      <c r="AC816" s="152"/>
    </row>
    <row r="817" customFormat="false" ht="13.2" hidden="false" customHeight="false" outlineLevel="0" collapsed="false"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  <c r="AA817" s="152"/>
      <c r="AB817" s="152"/>
      <c r="AC817" s="152"/>
    </row>
    <row r="818" customFormat="false" ht="13.2" hidden="false" customHeight="false" outlineLevel="0" collapsed="false">
      <c r="B818" s="152"/>
      <c r="C818" s="152"/>
      <c r="D818" s="152"/>
      <c r="E818" s="152"/>
      <c r="F818" s="152"/>
      <c r="G818" s="152"/>
      <c r="H818" s="152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  <c r="AA818" s="152"/>
      <c r="AB818" s="152"/>
      <c r="AC818" s="152"/>
    </row>
    <row r="819" customFormat="false" ht="13.2" hidden="false" customHeight="false" outlineLevel="0" collapsed="false"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  <c r="AA819" s="152"/>
      <c r="AB819" s="152"/>
      <c r="AC819" s="152"/>
    </row>
    <row r="820" customFormat="false" ht="13.2" hidden="false" customHeight="false" outlineLevel="0" collapsed="false">
      <c r="B820" s="152"/>
      <c r="C820" s="152"/>
      <c r="D820" s="152"/>
      <c r="E820" s="152"/>
      <c r="F820" s="152"/>
      <c r="G820" s="152"/>
      <c r="H820" s="152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  <c r="AA820" s="152"/>
      <c r="AB820" s="152"/>
      <c r="AC820" s="152"/>
    </row>
    <row r="821" customFormat="false" ht="13.2" hidden="false" customHeight="false" outlineLevel="0" collapsed="false"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  <c r="AA821" s="152"/>
      <c r="AB821" s="152"/>
      <c r="AC821" s="152"/>
    </row>
    <row r="822" customFormat="false" ht="13.2" hidden="false" customHeight="false" outlineLevel="0" collapsed="false">
      <c r="B822" s="152"/>
      <c r="C822" s="152"/>
      <c r="D822" s="152"/>
      <c r="E822" s="152"/>
      <c r="F822" s="152"/>
      <c r="G822" s="152"/>
      <c r="H822" s="152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  <c r="AA822" s="152"/>
      <c r="AB822" s="152"/>
      <c r="AC822" s="152"/>
    </row>
    <row r="823" customFormat="false" ht="13.2" hidden="false" customHeight="false" outlineLevel="0" collapsed="false"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  <c r="AA823" s="152"/>
      <c r="AB823" s="152"/>
      <c r="AC823" s="152"/>
    </row>
    <row r="824" customFormat="false" ht="13.2" hidden="false" customHeight="false" outlineLevel="0" collapsed="false">
      <c r="B824" s="152"/>
      <c r="C824" s="152"/>
      <c r="D824" s="152"/>
      <c r="E824" s="152"/>
      <c r="F824" s="152"/>
      <c r="G824" s="152"/>
      <c r="H824" s="152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  <c r="AA824" s="152"/>
      <c r="AB824" s="152"/>
      <c r="AC824" s="152"/>
    </row>
    <row r="825" customFormat="false" ht="13.2" hidden="false" customHeight="false" outlineLevel="0" collapsed="false"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  <c r="AA825" s="152"/>
      <c r="AB825" s="152"/>
      <c r="AC825" s="152"/>
    </row>
    <row r="826" customFormat="false" ht="13.2" hidden="false" customHeight="false" outlineLevel="0" collapsed="false">
      <c r="B826" s="152"/>
      <c r="C826" s="152"/>
      <c r="D826" s="152"/>
      <c r="E826" s="152"/>
      <c r="F826" s="152"/>
      <c r="G826" s="152"/>
      <c r="H826" s="152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  <c r="AA826" s="152"/>
      <c r="AB826" s="152"/>
      <c r="AC826" s="152"/>
    </row>
    <row r="827" customFormat="false" ht="13.2" hidden="false" customHeight="false" outlineLevel="0" collapsed="false"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  <c r="AA827" s="152"/>
      <c r="AB827" s="152"/>
      <c r="AC827" s="152"/>
    </row>
    <row r="828" customFormat="false" ht="13.2" hidden="false" customHeight="false" outlineLevel="0" collapsed="false">
      <c r="B828" s="152"/>
      <c r="C828" s="152"/>
      <c r="D828" s="152"/>
      <c r="E828" s="152"/>
      <c r="F828" s="152"/>
      <c r="G828" s="152"/>
      <c r="H828" s="152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  <c r="AA828" s="152"/>
      <c r="AB828" s="152"/>
      <c r="AC828" s="152"/>
    </row>
    <row r="829" customFormat="false" ht="13.2" hidden="false" customHeight="false" outlineLevel="0" collapsed="false"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  <c r="AA829" s="152"/>
      <c r="AB829" s="152"/>
      <c r="AC829" s="152"/>
    </row>
    <row r="830" customFormat="false" ht="13.2" hidden="false" customHeight="false" outlineLevel="0" collapsed="false">
      <c r="B830" s="152"/>
      <c r="C830" s="152"/>
      <c r="D830" s="152"/>
      <c r="E830" s="152"/>
      <c r="F830" s="152"/>
      <c r="G830" s="152"/>
      <c r="H830" s="152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  <c r="AA830" s="152"/>
      <c r="AB830" s="152"/>
      <c r="AC830" s="152"/>
    </row>
    <row r="831" customFormat="false" ht="13.2" hidden="false" customHeight="false" outlineLevel="0" collapsed="false"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  <c r="AA831" s="152"/>
      <c r="AB831" s="152"/>
      <c r="AC831" s="152"/>
    </row>
    <row r="832" customFormat="false" ht="13.2" hidden="false" customHeight="false" outlineLevel="0" collapsed="false">
      <c r="B832" s="152"/>
      <c r="C832" s="152"/>
      <c r="D832" s="152"/>
      <c r="E832" s="152"/>
      <c r="F832" s="152"/>
      <c r="G832" s="152"/>
      <c r="H832" s="152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  <c r="AA832" s="152"/>
      <c r="AB832" s="152"/>
      <c r="AC832" s="152"/>
    </row>
    <row r="833" customFormat="false" ht="13.2" hidden="false" customHeight="false" outlineLevel="0" collapsed="false"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  <c r="AA833" s="152"/>
      <c r="AB833" s="152"/>
      <c r="AC833" s="152"/>
    </row>
    <row r="834" customFormat="false" ht="13.2" hidden="false" customHeight="false" outlineLevel="0" collapsed="false">
      <c r="B834" s="152"/>
      <c r="C834" s="152"/>
      <c r="D834" s="152"/>
      <c r="E834" s="152"/>
      <c r="F834" s="152"/>
      <c r="G834" s="152"/>
      <c r="H834" s="152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  <c r="AA834" s="152"/>
      <c r="AB834" s="152"/>
      <c r="AC834" s="152"/>
    </row>
    <row r="835" customFormat="false" ht="13.2" hidden="false" customHeight="false" outlineLevel="0" collapsed="false"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  <c r="AA835" s="152"/>
      <c r="AB835" s="152"/>
      <c r="AC835" s="152"/>
    </row>
    <row r="836" customFormat="false" ht="13.2" hidden="false" customHeight="false" outlineLevel="0" collapsed="false">
      <c r="B836" s="152"/>
      <c r="C836" s="152"/>
      <c r="D836" s="152"/>
      <c r="E836" s="152"/>
      <c r="F836" s="152"/>
      <c r="G836" s="152"/>
      <c r="H836" s="152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  <c r="AA836" s="152"/>
      <c r="AB836" s="152"/>
      <c r="AC836" s="152"/>
    </row>
    <row r="837" customFormat="false" ht="13.2" hidden="false" customHeight="false" outlineLevel="0" collapsed="false"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  <c r="AA837" s="152"/>
      <c r="AB837" s="152"/>
      <c r="AC837" s="152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A10" activeCellId="0" sqref="A10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19" width="48.66"/>
    <col collapsed="false" customWidth="true" hidden="false" outlineLevel="0" max="2" min="2" style="19" width="12.1"/>
    <col collapsed="false" customWidth="true" hidden="false" outlineLevel="0" max="3" min="3" style="19" width="9.33"/>
    <col collapsed="false" customWidth="true" hidden="false" outlineLevel="0" max="4" min="4" style="19" width="9.66"/>
    <col collapsed="false" customWidth="true" hidden="false" outlineLevel="0" max="6" min="5" style="19" width="9.33"/>
    <col collapsed="false" customWidth="true" hidden="false" outlineLevel="0" max="7" min="7" style="19" width="9.87"/>
    <col collapsed="false" customWidth="true" hidden="false" outlineLevel="0" max="9" min="8" style="19" width="9.33"/>
    <col collapsed="false" customWidth="true" hidden="false" outlineLevel="0" max="10" min="10" style="19" width="9.66"/>
    <col collapsed="false" customWidth="true" hidden="false" outlineLevel="0" max="13" min="11" style="19" width="9.33"/>
    <col collapsed="false" customWidth="false" hidden="false" outlineLevel="0" max="257" min="14" style="19" width="8.87"/>
  </cols>
  <sheetData>
    <row r="1" customFormat="false" ht="13.2" hidden="false" customHeight="false" outlineLevel="0" collapsed="false">
      <c r="A1" s="21" t="s">
        <v>32</v>
      </c>
    </row>
    <row r="2" customFormat="false" ht="21" hidden="false" customHeight="false" outlineLevel="0" collapsed="false">
      <c r="A2" s="198" t="s">
        <v>1126</v>
      </c>
    </row>
    <row r="4" customFormat="false" ht="23.4" hidden="false" customHeight="true" outlineLevel="0" collapsed="false">
      <c r="B4" s="37" t="s">
        <v>41</v>
      </c>
      <c r="C4" s="37" t="s">
        <v>42</v>
      </c>
      <c r="D4" s="37" t="s">
        <v>43</v>
      </c>
      <c r="E4" s="37" t="s">
        <v>44</v>
      </c>
      <c r="F4" s="37" t="s">
        <v>45</v>
      </c>
      <c r="G4" s="37" t="s">
        <v>46</v>
      </c>
      <c r="H4" s="37" t="s">
        <v>47</v>
      </c>
      <c r="I4" s="37" t="s">
        <v>48</v>
      </c>
      <c r="J4" s="37" t="s">
        <v>49</v>
      </c>
      <c r="K4" s="37" t="s">
        <v>50</v>
      </c>
      <c r="L4" s="37" t="s">
        <v>51</v>
      </c>
      <c r="M4" s="37" t="s">
        <v>52</v>
      </c>
    </row>
    <row r="5" customFormat="false" ht="23.4" hidden="false" customHeight="true" outlineLevel="0" collapsed="false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customFormat="false" ht="13.2" hidden="false" customHeight="false" outlineLevel="0" collapsed="false">
      <c r="A6" s="21" t="s">
        <v>1127</v>
      </c>
    </row>
    <row r="7" customFormat="false" ht="13.2" hidden="false" customHeight="false" outlineLevel="0" collapsed="false">
      <c r="A7" s="19" t="s">
        <v>1128</v>
      </c>
      <c r="B7" s="387" t="n">
        <f aca="false">'P&amp;LPLN'!C209/1000</f>
        <v>-3018.38884924237</v>
      </c>
      <c r="C7" s="387" t="n">
        <f aca="false">'P&amp;LPLN'!D209/1000</f>
        <v>-2491.50879319619</v>
      </c>
      <c r="D7" s="387" t="n">
        <f aca="false">'P&amp;LPLN'!E209/1000</f>
        <v>-2926.41304542401</v>
      </c>
      <c r="E7" s="387" t="n">
        <f aca="false">'P&amp;LPLN'!F209/1000</f>
        <v>-2876.43101522645</v>
      </c>
      <c r="F7" s="387" t="n">
        <f aca="false">'P&amp;LPLN'!G209/1000</f>
        <v>-3699.21167789717</v>
      </c>
      <c r="G7" s="387" t="n">
        <f aca="false">'P&amp;LPLN'!H209/1000</f>
        <v>-3448.90851384733</v>
      </c>
      <c r="H7" s="387" t="n">
        <f aca="false">'P&amp;LPLN'!I209/1000</f>
        <v>-1003.31802455668</v>
      </c>
      <c r="I7" s="387" t="n">
        <f aca="false">'P&amp;LPLN'!J209/1000</f>
        <v>-998.920526583344</v>
      </c>
      <c r="J7" s="387" t="n">
        <f aca="false">'P&amp;LPLN'!K209/1000</f>
        <v>-903.551151220636</v>
      </c>
      <c r="K7" s="387" t="n">
        <f aca="false">'P&amp;LPLN'!L209/1000</f>
        <v>-1321.12482931266</v>
      </c>
      <c r="L7" s="387" t="n">
        <f aca="false">'P&amp;LPLN'!M209/1000</f>
        <v>-1003.92917095013</v>
      </c>
      <c r="M7" s="387" t="n">
        <f aca="false">'P&amp;LPLN'!N209/1000</f>
        <v>-859.053251685164</v>
      </c>
      <c r="N7" s="387"/>
    </row>
    <row r="8" customFormat="false" ht="13.2" hidden="false" customHeight="false" outlineLevel="0" collapsed="false">
      <c r="A8" s="19" t="s">
        <v>1129</v>
      </c>
      <c r="B8" s="387" t="n">
        <f aca="false">Balance!D95-Balance!C95</f>
        <v>-685.047783674036</v>
      </c>
      <c r="C8" s="387" t="n">
        <f aca="false">Balance!E95-Balance!D95</f>
        <v>-685.047783673976</v>
      </c>
      <c r="D8" s="387" t="n">
        <f aca="false">Balance!F95-Balance!E95</f>
        <v>-685.047783673976</v>
      </c>
      <c r="E8" s="387" t="n">
        <f aca="false">Balance!G95-Balance!F95</f>
        <v>-685.047783673976</v>
      </c>
      <c r="F8" s="387" t="n">
        <f aca="false">Balance!H95-Balance!G95</f>
        <v>-685.047783674036</v>
      </c>
      <c r="G8" s="387" t="n">
        <f aca="false">Balance!I95-Balance!H95</f>
        <v>-685.047783673986</v>
      </c>
      <c r="H8" s="387" t="n">
        <f aca="false">Balance!J95-Balance!I95</f>
        <v>-670.256445294957</v>
      </c>
      <c r="I8" s="387" t="n">
        <f aca="false">Balance!K95-Balance!J95</f>
        <v>-670.256445294954</v>
      </c>
      <c r="J8" s="387" t="n">
        <f aca="false">Balance!L95-Balance!K95</f>
        <v>-4549.20040736611</v>
      </c>
      <c r="K8" s="387" t="n">
        <f aca="false">Balance!M95-Balance!L95</f>
        <v>0</v>
      </c>
      <c r="L8" s="387" t="n">
        <f aca="false">Balance!N95-Balance!M95</f>
        <v>0</v>
      </c>
      <c r="M8" s="387" t="n">
        <f aca="false">Balance!O95-Balance!N95</f>
        <v>0</v>
      </c>
      <c r="N8" s="387"/>
    </row>
    <row r="9" customFormat="false" ht="13.2" hidden="false" customHeight="false" outlineLevel="0" collapsed="false">
      <c r="A9" s="19" t="s">
        <v>1024</v>
      </c>
      <c r="B9" s="387" t="n">
        <f aca="false">'P&amp;LPLN'!C35/1000</f>
        <v>2939.64097</v>
      </c>
      <c r="C9" s="387" t="n">
        <f aca="false">'P&amp;LPLN'!D35/1000</f>
        <v>2940.34407749167</v>
      </c>
      <c r="D9" s="387" t="n">
        <f aca="false">'P&amp;LPLN'!E35/1000</f>
        <v>2940.34407749167</v>
      </c>
      <c r="E9" s="387" t="n">
        <f aca="false">'P&amp;LPLN'!F35/1000</f>
        <v>2940.52385219405</v>
      </c>
      <c r="F9" s="387" t="n">
        <f aca="false">'P&amp;LPLN'!G35/1000</f>
        <v>2940.52385219405</v>
      </c>
      <c r="G9" s="387" t="n">
        <f aca="false">'P&amp;LPLN'!H35/1000</f>
        <v>2940.52385219405</v>
      </c>
      <c r="H9" s="387" t="n">
        <f aca="false">'P&amp;LPLN'!I35/1000</f>
        <v>2940.83565755119</v>
      </c>
      <c r="I9" s="387" t="n">
        <f aca="false">'P&amp;LPLN'!J35/1000</f>
        <v>2940.83565755119</v>
      </c>
      <c r="J9" s="387" t="n">
        <f aca="false">'P&amp;LPLN'!K35/1000</f>
        <v>2940.83565755119</v>
      </c>
      <c r="K9" s="387" t="n">
        <f aca="false">'P&amp;LPLN'!L35/1000</f>
        <v>2940.83565755119</v>
      </c>
      <c r="L9" s="387" t="n">
        <f aca="false">'P&amp;LPLN'!M35/1000</f>
        <v>2940.83565755119</v>
      </c>
      <c r="M9" s="387" t="n">
        <f aca="false">'P&amp;LPLN'!N35/1000</f>
        <v>2940.83565755119</v>
      </c>
      <c r="N9" s="387"/>
    </row>
    <row r="10" customFormat="false" ht="13.2" hidden="false" customHeight="false" outlineLevel="0" collapsed="false">
      <c r="A10" s="19" t="s">
        <v>1130</v>
      </c>
      <c r="B10" s="387" t="n">
        <f aca="false">Balance!D75-Balance!C75</f>
        <v>2288.01087591576</v>
      </c>
      <c r="C10" s="387" t="n">
        <f aca="false">Balance!E75-Balance!D75</f>
        <v>2424.5079007573</v>
      </c>
      <c r="D10" s="387" t="n">
        <f aca="false">Balance!F75-Balance!E75</f>
        <v>-12055.2187766731</v>
      </c>
      <c r="E10" s="387" t="n">
        <f aca="false">Balance!G75-Balance!F75</f>
        <v>2362.27509888568</v>
      </c>
      <c r="F10" s="387" t="n">
        <f aca="false">Balance!H75-Balance!G75</f>
        <v>2368.85263496053</v>
      </c>
      <c r="G10" s="387" t="n">
        <f aca="false">Balance!I75-Balance!H75</f>
        <v>2375.4301710354</v>
      </c>
      <c r="H10" s="387" t="n">
        <f aca="false">Balance!J75-Balance!I75</f>
        <v>2382.00770711026</v>
      </c>
      <c r="I10" s="387" t="n">
        <f aca="false">Balance!K75-Balance!J75</f>
        <v>2388.58524318512</v>
      </c>
      <c r="J10" s="387" t="n">
        <f aca="false">Balance!L75-Balance!K75</f>
        <v>-11877.150855177</v>
      </c>
      <c r="K10" s="387" t="n">
        <f aca="false">Balance!M75-Balance!L75</f>
        <v>2323.7924416913</v>
      </c>
      <c r="L10" s="387" t="n">
        <f aca="false">Balance!N75-Balance!M75</f>
        <v>2330.20922555396</v>
      </c>
      <c r="M10" s="387" t="n">
        <f aca="false">Balance!O75-Balance!N75</f>
        <v>2336.62600941662</v>
      </c>
      <c r="N10" s="387"/>
    </row>
    <row r="11" customFormat="false" ht="13.2" hidden="false" customHeight="false" outlineLevel="0" collapsed="false">
      <c r="A11" s="19" t="s">
        <v>1131</v>
      </c>
      <c r="B11" s="387" t="n">
        <f aca="false">Balance!C35-Balance!D35</f>
        <v>88</v>
      </c>
      <c r="C11" s="387" t="n">
        <f aca="false">Balance!D35-Balance!E35</f>
        <v>200</v>
      </c>
      <c r="D11" s="387" t="n">
        <f aca="false">Balance!E35-Balance!F35</f>
        <v>-3414</v>
      </c>
      <c r="E11" s="387" t="n">
        <f aca="false">Balance!F35-Balance!G35</f>
        <v>200</v>
      </c>
      <c r="F11" s="387" t="n">
        <f aca="false">Balance!G35-Balance!H35</f>
        <v>200</v>
      </c>
      <c r="G11" s="387" t="n">
        <f aca="false">Balance!H35-Balance!I35</f>
        <v>200</v>
      </c>
      <c r="H11" s="387" t="n">
        <f aca="false">Balance!I35-Balance!J35</f>
        <v>200</v>
      </c>
      <c r="I11" s="387" t="n">
        <f aca="false">Balance!J35-Balance!K35</f>
        <v>200</v>
      </c>
      <c r="J11" s="387" t="n">
        <f aca="false">Balance!K35-Balance!L35</f>
        <v>200</v>
      </c>
      <c r="K11" s="387" t="n">
        <f aca="false">Balance!L35-Balance!M35</f>
        <v>200</v>
      </c>
      <c r="L11" s="387" t="n">
        <f aca="false">Balance!M35-Balance!N35</f>
        <v>200</v>
      </c>
      <c r="M11" s="387" t="n">
        <f aca="false">Balance!N35-Balance!O35</f>
        <v>200</v>
      </c>
      <c r="N11" s="387"/>
    </row>
    <row r="12" customFormat="false" ht="13.2" hidden="false" customHeight="false" outlineLevel="0" collapsed="false">
      <c r="A12" s="19" t="s">
        <v>1132</v>
      </c>
      <c r="B12" s="387" t="n">
        <f aca="false">Balance!C43-Balance!D43</f>
        <v>-517.388019336388</v>
      </c>
      <c r="C12" s="387" t="n">
        <f aca="false">Balance!D43-Balance!E43</f>
        <v>1116.88558687032</v>
      </c>
      <c r="D12" s="387" t="n">
        <f aca="false">Balance!E43-Balance!F43</f>
        <v>-612.46146812501</v>
      </c>
      <c r="E12" s="387" t="n">
        <f aca="false">Balance!F43-Balance!G43</f>
        <v>1136.12321328092</v>
      </c>
      <c r="F12" s="387" t="n">
        <f aca="false">Balance!G43-Balance!H43</f>
        <v>617.409806411975</v>
      </c>
      <c r="G12" s="387" t="n">
        <f aca="false">Balance!H43-Balance!I43</f>
        <v>215.904058908825</v>
      </c>
      <c r="H12" s="387" t="n">
        <f aca="false">Balance!I43-Balance!J43</f>
        <v>-4245.34057077155</v>
      </c>
      <c r="I12" s="387" t="n">
        <f aca="false">Balance!J43-Balance!K43</f>
        <v>364.424038264922</v>
      </c>
      <c r="J12" s="387" t="n">
        <f aca="false">Balance!K43-Balance!L43</f>
        <v>31.7137780518096</v>
      </c>
      <c r="K12" s="387" t="n">
        <f aca="false">Balance!L43-Balance!M43</f>
        <v>-1880.3640246061</v>
      </c>
      <c r="L12" s="387" t="n">
        <f aca="false">Balance!M43-Balance!N43</f>
        <v>869.490763777474</v>
      </c>
      <c r="M12" s="387" t="n">
        <f aca="false">Balance!N43-Balance!O43</f>
        <v>-459.948991417041</v>
      </c>
      <c r="N12" s="387"/>
    </row>
    <row r="13" customFormat="false" ht="13.2" hidden="false" customHeight="false" outlineLevel="0" collapsed="false">
      <c r="A13" s="19" t="s">
        <v>1133</v>
      </c>
      <c r="B13" s="387" t="n">
        <f aca="false">Balance!D85+Balance!D87+Balance!D89-Balance!C85-Balance!C87-Balance!C89+Balance!D79-Balance!C79</f>
        <v>-24</v>
      </c>
      <c r="C13" s="387" t="n">
        <f aca="false">Balance!E85+Balance!E87+Balance!E89-Balance!D85-Balance!D87-Balance!D89+Balance!E79-Balance!D79</f>
        <v>-24</v>
      </c>
      <c r="D13" s="387" t="n">
        <f aca="false">Balance!F85+Balance!F87+Balance!F89-Balance!E85-Balance!E87-Balance!E89+Balance!F79-Balance!E79</f>
        <v>-24</v>
      </c>
      <c r="E13" s="387" t="n">
        <f aca="false">Balance!G85+Balance!G87+Balance!G89-Balance!F85-Balance!F87-Balance!F89+Balance!G79-Balance!F79</f>
        <v>-24</v>
      </c>
      <c r="F13" s="387" t="n">
        <f aca="false">Balance!H85+Balance!H87+Balance!H89-Balance!G85-Balance!G87-Balance!G89+Balance!H79-Balance!G79</f>
        <v>-24</v>
      </c>
      <c r="G13" s="387" t="n">
        <f aca="false">Balance!I85+Balance!I87+Balance!I89-Balance!H85-Balance!H87-Balance!H89+Balance!I79-Balance!H79</f>
        <v>-24</v>
      </c>
      <c r="H13" s="387" t="n">
        <f aca="false">Balance!J85+Balance!J87+Balance!J89-Balance!I85-Balance!I87-Balance!I89+Balance!J79-Balance!I79</f>
        <v>-24</v>
      </c>
      <c r="I13" s="387" t="n">
        <f aca="false">Balance!K85+Balance!K87+Balance!K89-Balance!J85-Balance!J87-Balance!J89+Balance!K79-Balance!J79</f>
        <v>-24</v>
      </c>
      <c r="J13" s="387" t="n">
        <f aca="false">Balance!L85+Balance!L87+Balance!L89-Balance!K85-Balance!K87-Balance!K89+Balance!L79-Balance!K79</f>
        <v>-24</v>
      </c>
      <c r="K13" s="387" t="n">
        <f aca="false">Balance!M85+Balance!M87+Balance!M89-Balance!L85-Balance!L87-Balance!L89+Balance!M79-Balance!L79</f>
        <v>-24</v>
      </c>
      <c r="L13" s="387" t="n">
        <f aca="false">Balance!N85+Balance!N87+Balance!N89-Balance!M85-Balance!M87-Balance!M89+Balance!N79-Balance!M79</f>
        <v>-24</v>
      </c>
      <c r="M13" s="387" t="n">
        <f aca="false">Balance!O85+Balance!O87+Balance!O89-Balance!N85-Balance!N87-Balance!N89+Balance!O79-Balance!N79</f>
        <v>-24</v>
      </c>
      <c r="N13" s="387"/>
    </row>
    <row r="14" customFormat="false" ht="13.2" hidden="false" customHeight="false" outlineLevel="0" collapsed="false">
      <c r="A14" s="19" t="s">
        <v>1134</v>
      </c>
      <c r="B14" s="387" t="n">
        <f aca="false">Balance!D94-Balance!C94</f>
        <v>0</v>
      </c>
      <c r="C14" s="387" t="n">
        <f aca="false">Balance!E94-Balance!D94</f>
        <v>0</v>
      </c>
      <c r="D14" s="387" t="n">
        <f aca="false">Balance!F94-Balance!E94</f>
        <v>0</v>
      </c>
      <c r="E14" s="387" t="n">
        <f aca="false">Balance!G94-Balance!F94</f>
        <v>-812</v>
      </c>
      <c r="F14" s="387" t="n">
        <f aca="false">Balance!H94-Balance!G94</f>
        <v>-100</v>
      </c>
      <c r="G14" s="387" t="n">
        <f aca="false">Balance!I94-Balance!H94</f>
        <v>-100</v>
      </c>
      <c r="H14" s="387" t="n">
        <f aca="false">Balance!J94-Balance!I94</f>
        <v>-100</v>
      </c>
      <c r="I14" s="387" t="n">
        <f aca="false">Balance!K94-Balance!J94</f>
        <v>0</v>
      </c>
      <c r="J14" s="387" t="n">
        <f aca="false">Balance!L94-Balance!K94</f>
        <v>-200</v>
      </c>
      <c r="K14" s="387" t="n">
        <f aca="false">Balance!M94-Balance!L94</f>
        <v>0</v>
      </c>
      <c r="L14" s="387" t="n">
        <f aca="false">Balance!N94-Balance!M94</f>
        <v>0</v>
      </c>
      <c r="M14" s="387" t="n">
        <f aca="false">Balance!O94-Balance!N94</f>
        <v>0</v>
      </c>
      <c r="N14" s="387"/>
    </row>
    <row r="15" customFormat="false" ht="13.2" hidden="false" customHeight="false" outlineLevel="0" collapsed="false">
      <c r="A15" s="19" t="s">
        <v>1135</v>
      </c>
      <c r="B15" s="387" t="n">
        <f aca="false">Balance!C56-Balance!D56</f>
        <v>181.139999999999</v>
      </c>
      <c r="C15" s="387" t="n">
        <f aca="false">Balance!D56-Balance!E56</f>
        <v>181.140000000001</v>
      </c>
      <c r="D15" s="387" t="n">
        <f aca="false">Balance!E56-Balance!F56</f>
        <v>181.139999999999</v>
      </c>
      <c r="E15" s="387" t="n">
        <f aca="false">Balance!F56-Balance!G56</f>
        <v>181.139999999999</v>
      </c>
      <c r="F15" s="387" t="n">
        <f aca="false">Balance!G56-Balance!H56</f>
        <v>181.140000000001</v>
      </c>
      <c r="G15" s="387" t="n">
        <f aca="false">Balance!H56-Balance!I56</f>
        <v>-2122.494</v>
      </c>
      <c r="H15" s="387" t="n">
        <f aca="false">Balance!I56-Balance!J56</f>
        <v>199.253999999999</v>
      </c>
      <c r="I15" s="387" t="n">
        <f aca="false">Balance!J56-Balance!K56</f>
        <v>199.254000000001</v>
      </c>
      <c r="J15" s="387" t="n">
        <f aca="false">Balance!K56-Balance!L56</f>
        <v>199.253999999999</v>
      </c>
      <c r="K15" s="387" t="n">
        <f aca="false">Balance!L56-Balance!M56</f>
        <v>199.254000000001</v>
      </c>
      <c r="L15" s="387" t="n">
        <f aca="false">Balance!M56-Balance!N56</f>
        <v>199.253999999999</v>
      </c>
      <c r="M15" s="387" t="n">
        <f aca="false">Balance!N56-Balance!O56</f>
        <v>9199.254</v>
      </c>
      <c r="N15" s="387"/>
    </row>
    <row r="16" customFormat="false" ht="13.2" hidden="false" customHeight="false" outlineLevel="0" collapsed="false"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</row>
    <row r="17" customFormat="false" ht="13.8" hidden="false" customHeight="false" outlineLevel="0" collapsed="false">
      <c r="A17" s="218" t="s">
        <v>1136</v>
      </c>
      <c r="B17" s="389" t="n">
        <f aca="false">SUM(B7:B15)</f>
        <v>1251.96719366296</v>
      </c>
      <c r="C17" s="389" t="n">
        <f aca="false">SUM(C7:C15)</f>
        <v>3662.32098824912</v>
      </c>
      <c r="D17" s="389" t="n">
        <f aca="false">SUM(D7:D15)</f>
        <v>-16595.6569964044</v>
      </c>
      <c r="E17" s="389" t="n">
        <f aca="false">SUM(E7:E15)</f>
        <v>2422.58336546022</v>
      </c>
      <c r="F17" s="389" t="n">
        <f aca="false">SUM(F7:F15)</f>
        <v>1799.66683199535</v>
      </c>
      <c r="G17" s="389" t="n">
        <f aca="false">SUM(G7:G15)</f>
        <v>-648.592215383044</v>
      </c>
      <c r="H17" s="389" t="n">
        <f aca="false">SUM(H7:H15)</f>
        <v>-320.817675961739</v>
      </c>
      <c r="I17" s="389" t="n">
        <f aca="false">SUM(I7:I15)</f>
        <v>4399.92196712294</v>
      </c>
      <c r="J17" s="389" t="n">
        <f aca="false">SUM(J7:J15)</f>
        <v>-14182.0989781607</v>
      </c>
      <c r="K17" s="389" t="n">
        <f aca="false">SUM(K7:K15)</f>
        <v>2438.39324532374</v>
      </c>
      <c r="L17" s="389" t="n">
        <f aca="false">SUM(L7:L15)</f>
        <v>5511.86047593249</v>
      </c>
      <c r="M17" s="389" t="n">
        <f aca="false">SUM(M7:M15)</f>
        <v>13333.7134238656</v>
      </c>
      <c r="N17" s="39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3.8" hidden="false" customHeight="false" outlineLevel="0" collapsed="false"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</row>
    <row r="19" customFormat="false" ht="13.2" hidden="false" customHeight="false" outlineLevel="0" collapsed="false">
      <c r="A19" s="21" t="s">
        <v>1137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</row>
    <row r="20" customFormat="false" ht="13.2" hidden="false" customHeight="false" outlineLevel="0" collapsed="false"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</row>
    <row r="21" customFormat="false" ht="13.2" hidden="false" customHeight="false" outlineLevel="0" collapsed="false">
      <c r="A21" s="19" t="s">
        <v>1138</v>
      </c>
      <c r="B21" s="387" t="n">
        <f aca="false">Balance!C10-Balance!D10</f>
        <v>0</v>
      </c>
      <c r="C21" s="387" t="n">
        <f aca="false">Balance!E8-Balance!D8</f>
        <v>0</v>
      </c>
      <c r="D21" s="387" t="n">
        <f aca="false">Balance!F8-Balance!E8</f>
        <v>0</v>
      </c>
      <c r="E21" s="387" t="n">
        <f aca="false">Balance!G8-Balance!F8</f>
        <v>0</v>
      </c>
      <c r="F21" s="387" t="n">
        <f aca="false">Balance!H8-Balance!G8</f>
        <v>0</v>
      </c>
      <c r="G21" s="387" t="n">
        <f aca="false">Balance!I8-Balance!H8</f>
        <v>0</v>
      </c>
      <c r="H21" s="387" t="n">
        <f aca="false">Balance!J8-Balance!I8</f>
        <v>0</v>
      </c>
      <c r="I21" s="387" t="n">
        <f aca="false">Balance!K8-Balance!J8</f>
        <v>0</v>
      </c>
      <c r="J21" s="387" t="n">
        <f aca="false">Balance!L8-Balance!K8</f>
        <v>0</v>
      </c>
      <c r="K21" s="387" t="n">
        <f aca="false">Balance!M8-Balance!L8</f>
        <v>0</v>
      </c>
      <c r="L21" s="387" t="n">
        <f aca="false">Balance!N8-Balance!M8</f>
        <v>0</v>
      </c>
      <c r="M21" s="387" t="n">
        <f aca="false">Balance!O8-Balance!N8</f>
        <v>0</v>
      </c>
      <c r="N21" s="387"/>
    </row>
    <row r="22" customFormat="false" ht="13.2" hidden="false" customHeight="false" outlineLevel="0" collapsed="false">
      <c r="A22" s="19" t="s">
        <v>1139</v>
      </c>
      <c r="B22" s="387" t="n">
        <f aca="false">Balance!C21-Balance!D21</f>
        <v>-136.447000000044</v>
      </c>
      <c r="C22" s="387" t="n">
        <f aca="false">Balance!D21-Balance!E21</f>
        <v>0</v>
      </c>
      <c r="D22" s="387" t="n">
        <f aca="false">Balance!E21-Balance!F21</f>
        <v>-34.964285714319</v>
      </c>
      <c r="E22" s="387" t="n">
        <f aca="false">Balance!F21-Balance!G21</f>
        <v>0</v>
      </c>
      <c r="F22" s="387" t="n">
        <f aca="false">Balance!G21-Balance!H21</f>
        <v>0</v>
      </c>
      <c r="G22" s="387" t="n">
        <f aca="false">Balance!H21-Balance!I21</f>
        <v>-60.6428571427241</v>
      </c>
      <c r="H22" s="387" t="n">
        <f aca="false">Balance!I21-Balance!J21</f>
        <v>0</v>
      </c>
      <c r="I22" s="387" t="n">
        <f aca="false">Balance!J21-Balance!K21</f>
        <v>0</v>
      </c>
      <c r="J22" s="387" t="n">
        <f aca="false">Balance!K21-Balance!L21</f>
        <v>0</v>
      </c>
      <c r="K22" s="387" t="n">
        <f aca="false">Balance!L21-Balance!M21</f>
        <v>0</v>
      </c>
      <c r="L22" s="387" t="n">
        <f aca="false">Balance!M21-Balance!N21</f>
        <v>0</v>
      </c>
      <c r="M22" s="387" t="n">
        <f aca="false">Balance!N21-Balance!O21</f>
        <v>0</v>
      </c>
      <c r="N22" s="387"/>
    </row>
    <row r="23" customFormat="false" ht="13.2" hidden="false" customHeight="false" outlineLevel="0" collapsed="false"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</row>
    <row r="24" customFormat="false" ht="13.8" hidden="false" customHeight="false" outlineLevel="0" collapsed="false">
      <c r="A24" s="218" t="s">
        <v>1140</v>
      </c>
      <c r="B24" s="389" t="n">
        <f aca="false">SUM(B21:B22)</f>
        <v>-136.447000000044</v>
      </c>
      <c r="C24" s="389" t="n">
        <f aca="false">SUM(C21:C22)</f>
        <v>0</v>
      </c>
      <c r="D24" s="389" t="n">
        <f aca="false">SUM(D21:D22)</f>
        <v>-34.964285714319</v>
      </c>
      <c r="E24" s="389" t="n">
        <f aca="false">SUM(E21:E22)</f>
        <v>0</v>
      </c>
      <c r="F24" s="389" t="n">
        <f aca="false">SUM(F21:F22)</f>
        <v>0</v>
      </c>
      <c r="G24" s="389" t="n">
        <f aca="false">SUM(G21:G22)</f>
        <v>-60.6428571427241</v>
      </c>
      <c r="H24" s="389" t="n">
        <f aca="false">SUM(H21:H22)</f>
        <v>0</v>
      </c>
      <c r="I24" s="389" t="n">
        <f aca="false">SUM(I21:I22)</f>
        <v>0</v>
      </c>
      <c r="J24" s="389" t="n">
        <f aca="false">SUM(J21:J22)</f>
        <v>0</v>
      </c>
      <c r="K24" s="389" t="n">
        <f aca="false">SUM(K21:K22)</f>
        <v>0</v>
      </c>
      <c r="L24" s="389" t="n">
        <f aca="false">SUM(L21:L22)</f>
        <v>0</v>
      </c>
      <c r="M24" s="389" t="n">
        <f aca="false">SUM(M21:M22)</f>
        <v>0</v>
      </c>
      <c r="N24" s="39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13.8" hidden="false" customHeight="false" outlineLevel="0" collapsed="false"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</row>
    <row r="26" customFormat="false" ht="13.2" hidden="false" customHeight="false" outlineLevel="0" collapsed="false">
      <c r="A26" s="21" t="s">
        <v>1141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</row>
    <row r="27" customFormat="false" ht="13.2" hidden="false" customHeight="false" outlineLevel="0" collapsed="false"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</row>
    <row r="28" customFormat="false" ht="13.2" hidden="false" customHeight="false" outlineLevel="0" collapsed="false">
      <c r="A28" s="19" t="s">
        <v>1142</v>
      </c>
      <c r="B28" s="387" t="n">
        <f aca="false">Balance!D78+Balance!D88-Balance!C78-Balance!C88</f>
        <v>193.993265073921</v>
      </c>
      <c r="C28" s="387" t="n">
        <f aca="false">Balance!E78+Balance!E88-Balance!D78-Balance!D88</f>
        <v>685.047783674014</v>
      </c>
      <c r="D28" s="387" t="n">
        <f aca="false">Balance!F78+Balance!F88-Balance!E78-Balance!E88</f>
        <v>685.047783673967</v>
      </c>
      <c r="E28" s="387" t="n">
        <f aca="false">Balance!G78+Balance!G88-Balance!F78-Balance!F88</f>
        <v>685.047783673974</v>
      </c>
      <c r="F28" s="387" t="n">
        <f aca="false">Balance!H78+Balance!H88-Balance!G78-Balance!G88</f>
        <v>685.047783674043</v>
      </c>
      <c r="G28" s="387" t="n">
        <f aca="false">Balance!I78+Balance!I88-Balance!H78-Balance!H88</f>
        <v>-9968.94194590013</v>
      </c>
      <c r="H28" s="387" t="n">
        <f aca="false">Balance!J78+Balance!J88-Balance!I78-Balance!I88</f>
        <v>670.25644529493</v>
      </c>
      <c r="I28" s="387" t="n">
        <f aca="false">Balance!K78+Balance!K88-Balance!J78-Balance!J88</f>
        <v>670.256445294945</v>
      </c>
      <c r="J28" s="387" t="n">
        <f aca="false">Balance!L78+Balance!L88-Balance!K78-Balance!K88</f>
        <v>670.256445295017</v>
      </c>
      <c r="K28" s="387" t="n">
        <f aca="false">Balance!M78+Balance!M88-Balance!L78-Balance!L88</f>
        <v>670.256445294919</v>
      </c>
      <c r="L28" s="387" t="n">
        <f aca="false">Balance!N78+Balance!N88-Balance!M78-Balance!M88</f>
        <v>670.256445294992</v>
      </c>
      <c r="M28" s="387" t="n">
        <f aca="false">Balance!O78+Balance!O88-Balance!N78-Balance!N88</f>
        <v>-10504.3241492626</v>
      </c>
      <c r="N28" s="387"/>
    </row>
    <row r="29" customFormat="false" ht="13.2" hidden="false" customHeight="false" outlineLevel="0" collapsed="false">
      <c r="A29" s="19" t="s">
        <v>1143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</row>
    <row r="30" customFormat="false" ht="13.2" hidden="false" customHeight="false" outlineLevel="0" collapsed="false">
      <c r="A30" s="19" t="s">
        <v>1144</v>
      </c>
      <c r="B30" s="387" t="n">
        <f aca="false">Balance!D84-Balance!C84</f>
        <v>448.990704193042</v>
      </c>
      <c r="C30" s="387" t="n">
        <f aca="false">Balance!E84-Balance!D84</f>
        <v>33.3902805930411</v>
      </c>
      <c r="D30" s="387" t="n">
        <f aca="false">Balance!F84-Balance!E84</f>
        <v>33.3902805930411</v>
      </c>
      <c r="E30" s="387" t="n">
        <f aca="false">Balance!G84-Balance!F84</f>
        <v>33.3902805930411</v>
      </c>
      <c r="F30" s="387" t="n">
        <f aca="false">Balance!H84-Balance!G84</f>
        <v>33.3902805930411</v>
      </c>
      <c r="G30" s="387" t="n">
        <f aca="false">Balance!I84-Balance!H84</f>
        <v>33.3902805930411</v>
      </c>
      <c r="H30" s="387" t="n">
        <f aca="false">Balance!J84-Balance!I84</f>
        <v>33.3902805930411</v>
      </c>
      <c r="I30" s="387" t="n">
        <f aca="false">Balance!K84-Balance!J84</f>
        <v>33.3902805930447</v>
      </c>
      <c r="J30" s="387" t="n">
        <f aca="false">Balance!L84-Balance!K84</f>
        <v>33.3902805930411</v>
      </c>
      <c r="K30" s="387" t="n">
        <f aca="false">Balance!M84-Balance!L84</f>
        <v>33.3902805930411</v>
      </c>
      <c r="L30" s="387" t="n">
        <f aca="false">Balance!N84-Balance!M84</f>
        <v>33.3902805930411</v>
      </c>
      <c r="M30" s="387" t="n">
        <f aca="false">Balance!O84-Balance!N84</f>
        <v>33.3902805930411</v>
      </c>
      <c r="N30" s="387"/>
    </row>
    <row r="31" customFormat="false" ht="13.2" hidden="false" customHeight="false" outlineLevel="0" collapsed="false">
      <c r="A31" s="19" t="s">
        <v>1145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</row>
    <row r="32" customFormat="false" ht="13.2" hidden="false" customHeight="false" outlineLevel="0" collapsed="false"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</row>
    <row r="33" customFormat="false" ht="13.8" hidden="false" customHeight="false" outlineLevel="0" collapsed="false">
      <c r="A33" s="218" t="s">
        <v>1146</v>
      </c>
      <c r="B33" s="389" t="n">
        <f aca="false">SUM(B28:B31)</f>
        <v>642.983969266963</v>
      </c>
      <c r="C33" s="389" t="n">
        <f aca="false">SUM(C28:C31)</f>
        <v>718.438064267055</v>
      </c>
      <c r="D33" s="389" t="n">
        <f aca="false">SUM(D28:D31)</f>
        <v>718.438064267008</v>
      </c>
      <c r="E33" s="389" t="n">
        <f aca="false">SUM(E28:E31)</f>
        <v>718.438064267015</v>
      </c>
      <c r="F33" s="389" t="n">
        <f aca="false">SUM(F28:F31)</f>
        <v>718.438064267084</v>
      </c>
      <c r="G33" s="389" t="n">
        <f aca="false">SUM(G28:G31)</f>
        <v>-9935.55166530709</v>
      </c>
      <c r="H33" s="389" t="n">
        <f aca="false">SUM(H28:H31)</f>
        <v>703.646725887971</v>
      </c>
      <c r="I33" s="389" t="n">
        <f aca="false">SUM(I28:I31)</f>
        <v>703.646725887989</v>
      </c>
      <c r="J33" s="389" t="n">
        <f aca="false">SUM(J28:J31)</f>
        <v>703.646725888058</v>
      </c>
      <c r="K33" s="389" t="n">
        <f aca="false">SUM(K28:K31)</f>
        <v>703.64672588796</v>
      </c>
      <c r="L33" s="389" t="n">
        <f aca="false">SUM(L28:L31)</f>
        <v>703.646725888033</v>
      </c>
      <c r="M33" s="389" t="n">
        <f aca="false">SUM(M28:M31)</f>
        <v>-10470.9338686696</v>
      </c>
      <c r="N33" s="39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</row>
    <row r="34" customFormat="false" ht="13.8" hidden="false" customHeight="false" outlineLevel="0" collapsed="false">
      <c r="A34" s="21"/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customFormat="false" ht="13.2" hidden="false" customHeight="false" outlineLevel="0" collapsed="false">
      <c r="A35" s="21" t="s">
        <v>1147</v>
      </c>
      <c r="B35" s="390" t="n">
        <f aca="false">B17+B24+B33</f>
        <v>1758.50416292988</v>
      </c>
      <c r="C35" s="390" t="n">
        <f aca="false">C17+C24+C33</f>
        <v>4380.75905251617</v>
      </c>
      <c r="D35" s="390" t="n">
        <f aca="false">D17+D24+D33</f>
        <v>-15912.1832178517</v>
      </c>
      <c r="E35" s="390" t="n">
        <f aca="false">E17+E24+E33</f>
        <v>3141.02142972723</v>
      </c>
      <c r="F35" s="390" t="n">
        <f aca="false">F17+F24+F33</f>
        <v>2518.10489626243</v>
      </c>
      <c r="G35" s="390" t="n">
        <f aca="false">G17+G24+G33</f>
        <v>-10644.7867378329</v>
      </c>
      <c r="H35" s="390" t="n">
        <f aca="false">H17+H24+H33</f>
        <v>382.829049926233</v>
      </c>
      <c r="I35" s="390" t="n">
        <f aca="false">I17+I24+I33</f>
        <v>5103.56869301093</v>
      </c>
      <c r="J35" s="390" t="n">
        <f aca="false">J17+J24+J33</f>
        <v>-13478.4522522727</v>
      </c>
      <c r="K35" s="390" t="n">
        <f aca="false">K17+K24+K33</f>
        <v>3142.0399712117</v>
      </c>
      <c r="L35" s="390" t="n">
        <f aca="false">L17+L24+L33</f>
        <v>6215.50720182053</v>
      </c>
      <c r="M35" s="390" t="n">
        <f aca="false">M17+M24+M33</f>
        <v>2862.77955519602</v>
      </c>
      <c r="N35" s="39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</row>
    <row r="36" customFormat="false" ht="13.2" hidden="false" customHeight="false" outlineLevel="0" collapsed="false">
      <c r="A36" s="21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customFormat="false" ht="13.2" hidden="false" customHeight="false" outlineLevel="0" collapsed="false">
      <c r="A37" s="21" t="s">
        <v>1148</v>
      </c>
      <c r="B37" s="390" t="n">
        <f aca="false">Balance!C49</f>
        <v>36444.9</v>
      </c>
      <c r="C37" s="390" t="n">
        <f aca="false">B39</f>
        <v>38203.4041629299</v>
      </c>
      <c r="D37" s="390" t="n">
        <f aca="false">C39</f>
        <v>42584.1632154461</v>
      </c>
      <c r="E37" s="390" t="n">
        <f aca="false">D39</f>
        <v>26671.9799975944</v>
      </c>
      <c r="F37" s="390" t="n">
        <f aca="false">E39</f>
        <v>29813.0014273216</v>
      </c>
      <c r="G37" s="390" t="n">
        <f aca="false">F39</f>
        <v>32331.106323584</v>
      </c>
      <c r="H37" s="390" t="n">
        <f aca="false">G39</f>
        <v>21686.3195857512</v>
      </c>
      <c r="I37" s="390" t="n">
        <f aca="false">H39</f>
        <v>22069.1486356774</v>
      </c>
      <c r="J37" s="390" t="n">
        <f aca="false">I39</f>
        <v>27172.7173286883</v>
      </c>
      <c r="K37" s="390" t="n">
        <f aca="false">J39</f>
        <v>13694.2650764157</v>
      </c>
      <c r="L37" s="390" t="n">
        <f aca="false">K39</f>
        <v>16836.3050476274</v>
      </c>
      <c r="M37" s="390" t="n">
        <f aca="false">L39</f>
        <v>23051.8122494479</v>
      </c>
      <c r="N37" s="39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</row>
    <row r="38" customFormat="false" ht="13.2" hidden="false" customHeight="false" outlineLevel="0" collapsed="false">
      <c r="A38" s="21"/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</row>
    <row r="39" customFormat="false" ht="14.4" hidden="false" customHeight="false" outlineLevel="0" collapsed="false">
      <c r="A39" s="391" t="s">
        <v>1149</v>
      </c>
      <c r="B39" s="383" t="n">
        <f aca="false">B37+B35</f>
        <v>38203.4041629299</v>
      </c>
      <c r="C39" s="383" t="n">
        <f aca="false">C37+C35</f>
        <v>42584.1632154461</v>
      </c>
      <c r="D39" s="383" t="n">
        <f aca="false">D37+D35</f>
        <v>26671.9799975944</v>
      </c>
      <c r="E39" s="383" t="n">
        <f aca="false">E37+E35</f>
        <v>29813.0014273216</v>
      </c>
      <c r="F39" s="383" t="n">
        <f aca="false">F37+F35</f>
        <v>32331.106323584</v>
      </c>
      <c r="G39" s="383" t="n">
        <f aca="false">G37+G35</f>
        <v>21686.3195857512</v>
      </c>
      <c r="H39" s="383" t="n">
        <f aca="false">H37+H35</f>
        <v>22069.1486356774</v>
      </c>
      <c r="I39" s="383" t="n">
        <f aca="false">I37+I35</f>
        <v>27172.7173286883</v>
      </c>
      <c r="J39" s="383" t="n">
        <f aca="false">J37+J35</f>
        <v>13694.2650764157</v>
      </c>
      <c r="K39" s="383" t="n">
        <f aca="false">K37+K35</f>
        <v>16836.3050476274</v>
      </c>
      <c r="L39" s="383" t="n">
        <f aca="false">L37+L35</f>
        <v>23051.8122494479</v>
      </c>
      <c r="M39" s="383" t="n">
        <f aca="false">M37+M35</f>
        <v>25914.5918046439</v>
      </c>
      <c r="N39" s="39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</row>
    <row r="40" customFormat="false" ht="13.8" hidden="false" customHeight="false" outlineLevel="0" collapsed="false">
      <c r="A40" s="21"/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</row>
    <row r="41" customFormat="false" ht="13.2" hidden="false" customHeight="false" outlineLevel="0" collapsed="false"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</row>
    <row r="42" customFormat="false" ht="13.2" hidden="false" customHeight="false" outlineLevel="0" collapsed="false"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</row>
    <row r="43" customFormat="false" ht="13.2" hidden="false" customHeight="false" outlineLevel="0" collapsed="false"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</row>
    <row r="44" customFormat="false" ht="13.2" hidden="false" customHeight="false" outlineLevel="0" collapsed="false"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</row>
    <row r="45" customFormat="false" ht="13.2" hidden="false" customHeight="false" outlineLevel="0" collapsed="false">
      <c r="B45" s="387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87"/>
      <c r="N45" s="387"/>
    </row>
    <row r="46" customFormat="false" ht="13.2" hidden="false" customHeight="false" outlineLevel="0" collapsed="false"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7"/>
    </row>
    <row r="47" customFormat="false" ht="13.2" hidden="false" customHeight="false" outlineLevel="0" collapsed="false">
      <c r="B47" s="387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</row>
    <row r="48" customFormat="false" ht="13.2" hidden="false" customHeight="false" outlineLevel="0" collapsed="false"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</row>
    <row r="49" customFormat="false" ht="13.2" hidden="false" customHeight="false" outlineLevel="0" collapsed="false"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</row>
    <row r="50" customFormat="false" ht="13.2" hidden="false" customHeight="false" outlineLevel="0" collapsed="false"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</row>
    <row r="51" customFormat="false" ht="13.2" hidden="false" customHeight="false" outlineLevel="0" collapsed="false"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</row>
    <row r="52" customFormat="false" ht="13.2" hidden="false" customHeight="false" outlineLevel="0" collapsed="false"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</row>
    <row r="53" customFormat="false" ht="13.2" hidden="false" customHeight="false" outlineLevel="0" collapsed="false"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</row>
    <row r="54" customFormat="false" ht="13.2" hidden="false" customHeight="false" outlineLevel="0" collapsed="false"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</row>
    <row r="55" customFormat="false" ht="13.2" hidden="false" customHeight="false" outlineLevel="0" collapsed="false">
      <c r="B55" s="387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</row>
    <row r="56" customFormat="false" ht="13.2" hidden="false" customHeight="false" outlineLevel="0" collapsed="false"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</row>
    <row r="57" customFormat="false" ht="13.2" hidden="false" customHeight="false" outlineLevel="0" collapsed="false">
      <c r="B57" s="387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</row>
    <row r="58" customFormat="false" ht="13.2" hidden="false" customHeight="false" outlineLevel="0" collapsed="false"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</row>
    <row r="59" customFormat="false" ht="13.2" hidden="false" customHeight="false" outlineLevel="0" collapsed="false"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</row>
    <row r="60" customFormat="false" ht="13.2" hidden="false" customHeight="false" outlineLevel="0" collapsed="false"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</row>
    <row r="61" customFormat="false" ht="13.2" hidden="false" customHeight="false" outlineLevel="0" collapsed="false"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</row>
    <row r="62" customFormat="false" ht="13.2" hidden="false" customHeight="false" outlineLevel="0" collapsed="false"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</row>
    <row r="63" customFormat="false" ht="13.2" hidden="false" customHeight="false" outlineLevel="0" collapsed="false"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</row>
    <row r="64" customFormat="false" ht="13.2" hidden="false" customHeight="false" outlineLevel="0" collapsed="false"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</row>
    <row r="65" customFormat="false" ht="13.2" hidden="false" customHeight="false" outlineLevel="0" collapsed="false"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</row>
    <row r="66" customFormat="false" ht="13.2" hidden="false" customHeight="false" outlineLevel="0" collapsed="false"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</row>
    <row r="67" customFormat="false" ht="13.2" hidden="false" customHeight="false" outlineLevel="0" collapsed="false"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</row>
    <row r="68" customFormat="false" ht="13.2" hidden="false" customHeight="false" outlineLevel="0" collapsed="false"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</row>
    <row r="69" customFormat="false" ht="13.2" hidden="false" customHeight="false" outlineLevel="0" collapsed="false"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</row>
    <row r="70" customFormat="false" ht="13.2" hidden="false" customHeight="false" outlineLevel="0" collapsed="false"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</row>
    <row r="71" customFormat="false" ht="13.2" hidden="false" customHeight="false" outlineLevel="0" collapsed="false"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</row>
    <row r="72" customFormat="false" ht="13.2" hidden="false" customHeight="false" outlineLevel="0" collapsed="false"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</row>
    <row r="73" customFormat="false" ht="13.2" hidden="false" customHeight="false" outlineLevel="0" collapsed="false"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</row>
    <row r="74" customFormat="false" ht="13.2" hidden="false" customHeight="false" outlineLevel="0" collapsed="false"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</row>
    <row r="75" customFormat="false" ht="13.2" hidden="false" customHeight="false" outlineLevel="0" collapsed="false"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</row>
    <row r="76" customFormat="false" ht="13.2" hidden="false" customHeight="false" outlineLevel="0" collapsed="false"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</row>
    <row r="77" customFormat="false" ht="13.2" hidden="false" customHeight="false" outlineLevel="0" collapsed="false"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</row>
    <row r="78" customFormat="false" ht="13.2" hidden="false" customHeight="false" outlineLevel="0" collapsed="false"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</row>
    <row r="79" customFormat="false" ht="13.2" hidden="false" customHeight="false" outlineLevel="0" collapsed="false"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</row>
    <row r="80" customFormat="false" ht="13.2" hidden="false" customHeight="false" outlineLevel="0" collapsed="false"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</row>
    <row r="81" customFormat="false" ht="13.2" hidden="false" customHeight="false" outlineLevel="0" collapsed="false"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</row>
    <row r="82" customFormat="false" ht="13.2" hidden="false" customHeight="false" outlineLevel="0" collapsed="false"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</row>
    <row r="83" customFormat="false" ht="13.2" hidden="false" customHeight="false" outlineLevel="0" collapsed="false"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</row>
    <row r="84" customFormat="false" ht="13.2" hidden="false" customHeight="false" outlineLevel="0" collapsed="false"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</row>
    <row r="85" customFormat="false" ht="13.2" hidden="false" customHeight="false" outlineLevel="0" collapsed="false"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</row>
    <row r="86" customFormat="false" ht="13.2" hidden="false" customHeight="false" outlineLevel="0" collapsed="false"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</row>
    <row r="87" customFormat="false" ht="13.2" hidden="false" customHeight="false" outlineLevel="0" collapsed="false"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</row>
    <row r="88" customFormat="false" ht="13.2" hidden="false" customHeight="false" outlineLevel="0" collapsed="false"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</row>
    <row r="89" customFormat="false" ht="13.2" hidden="false" customHeight="false" outlineLevel="0" collapsed="false"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</row>
    <row r="90" customFormat="false" ht="13.2" hidden="false" customHeight="false" outlineLevel="0" collapsed="false"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</row>
    <row r="91" customFormat="false" ht="13.2" hidden="false" customHeight="false" outlineLevel="0" collapsed="false"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</row>
    <row r="92" customFormat="false" ht="13.2" hidden="false" customHeight="false" outlineLevel="0" collapsed="false"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</row>
    <row r="93" customFormat="false" ht="13.2" hidden="false" customHeight="false" outlineLevel="0" collapsed="false"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</row>
    <row r="94" customFormat="false" ht="13.2" hidden="false" customHeight="false" outlineLevel="0" collapsed="false"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</row>
    <row r="95" customFormat="false" ht="13.2" hidden="false" customHeight="false" outlineLevel="0" collapsed="false"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</row>
    <row r="96" customFormat="false" ht="13.2" hidden="false" customHeight="false" outlineLevel="0" collapsed="false"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</row>
    <row r="97" customFormat="false" ht="13.2" hidden="false" customHeight="false" outlineLevel="0" collapsed="false"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</row>
    <row r="98" customFormat="false" ht="13.2" hidden="false" customHeight="false" outlineLevel="0" collapsed="false"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</row>
    <row r="99" customFormat="false" ht="13.2" hidden="false" customHeight="false" outlineLevel="0" collapsed="false"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</row>
    <row r="100" customFormat="false" ht="13.2" hidden="false" customHeight="false" outlineLevel="0" collapsed="false"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</row>
    <row r="101" customFormat="false" ht="13.2" hidden="false" customHeight="false" outlineLevel="0" collapsed="false"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</row>
    <row r="102" customFormat="false" ht="13.2" hidden="false" customHeight="false" outlineLevel="0" collapsed="false"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</row>
    <row r="103" customFormat="false" ht="13.2" hidden="false" customHeight="false" outlineLevel="0" collapsed="false"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</row>
    <row r="104" customFormat="false" ht="13.2" hidden="false" customHeight="false" outlineLevel="0" collapsed="false"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</row>
    <row r="105" customFormat="false" ht="13.2" hidden="false" customHeight="false" outlineLevel="0" collapsed="false"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</row>
    <row r="106" customFormat="false" ht="13.2" hidden="false" customHeight="false" outlineLevel="0" collapsed="false"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</row>
    <row r="107" customFormat="false" ht="13.2" hidden="false" customHeight="false" outlineLevel="0" collapsed="false"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</row>
    <row r="108" customFormat="false" ht="13.2" hidden="false" customHeight="false" outlineLevel="0" collapsed="false"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</row>
    <row r="109" customFormat="false" ht="13.2" hidden="false" customHeight="false" outlineLevel="0" collapsed="false"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</row>
    <row r="110" customFormat="false" ht="13.2" hidden="false" customHeight="false" outlineLevel="0" collapsed="false"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</row>
    <row r="111" customFormat="false" ht="13.2" hidden="false" customHeight="false" outlineLevel="0" collapsed="false"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</row>
    <row r="112" customFormat="false" ht="13.2" hidden="false" customHeight="false" outlineLevel="0" collapsed="false"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</row>
    <row r="113" customFormat="false" ht="13.2" hidden="false" customHeight="false" outlineLevel="0" collapsed="false">
      <c r="B113" s="387"/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</row>
    <row r="114" customFormat="false" ht="13.2" hidden="false" customHeight="false" outlineLevel="0" collapsed="false">
      <c r="B114" s="387"/>
      <c r="C114" s="387"/>
      <c r="D114" s="387"/>
      <c r="E114" s="387"/>
      <c r="F114" s="387"/>
      <c r="G114" s="387"/>
      <c r="H114" s="387"/>
      <c r="I114" s="387"/>
      <c r="J114" s="387"/>
      <c r="K114" s="387"/>
      <c r="L114" s="387"/>
      <c r="M114" s="387"/>
      <c r="N114" s="387"/>
    </row>
    <row r="115" customFormat="false" ht="13.2" hidden="false" customHeight="false" outlineLevel="0" collapsed="false"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</row>
    <row r="116" customFormat="false" ht="13.2" hidden="false" customHeight="false" outlineLevel="0" collapsed="false">
      <c r="B116" s="387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</row>
    <row r="117" customFormat="false" ht="13.2" hidden="false" customHeight="false" outlineLevel="0" collapsed="false">
      <c r="B117" s="387"/>
      <c r="C117" s="387"/>
      <c r="D117" s="387"/>
      <c r="E117" s="387"/>
      <c r="F117" s="387"/>
      <c r="G117" s="387"/>
      <c r="H117" s="387"/>
      <c r="I117" s="387"/>
      <c r="J117" s="387"/>
      <c r="K117" s="387"/>
      <c r="L117" s="387"/>
      <c r="M117" s="387"/>
      <c r="N117" s="387"/>
    </row>
    <row r="118" customFormat="false" ht="13.2" hidden="false" customHeight="false" outlineLevel="0" collapsed="false">
      <c r="B118" s="387"/>
      <c r="C118" s="387"/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</row>
    <row r="119" customFormat="false" ht="13.2" hidden="false" customHeight="false" outlineLevel="0" collapsed="false">
      <c r="B119" s="387"/>
      <c r="C119" s="387"/>
      <c r="D119" s="387"/>
      <c r="E119" s="387"/>
      <c r="F119" s="387"/>
      <c r="G119" s="387"/>
      <c r="H119" s="387"/>
      <c r="I119" s="387"/>
      <c r="J119" s="387"/>
      <c r="K119" s="387"/>
      <c r="L119" s="387"/>
      <c r="M119" s="387"/>
      <c r="N119" s="387"/>
    </row>
    <row r="120" customFormat="false" ht="13.2" hidden="false" customHeight="false" outlineLevel="0" collapsed="false">
      <c r="B120" s="387"/>
      <c r="C120" s="387"/>
      <c r="D120" s="387"/>
      <c r="E120" s="387"/>
      <c r="F120" s="387"/>
      <c r="G120" s="387"/>
      <c r="H120" s="387"/>
      <c r="I120" s="387"/>
      <c r="J120" s="387"/>
      <c r="K120" s="387"/>
      <c r="L120" s="387"/>
      <c r="M120" s="387"/>
      <c r="N120" s="387"/>
    </row>
    <row r="121" customFormat="false" ht="13.2" hidden="false" customHeight="false" outlineLevel="0" collapsed="false">
      <c r="B121" s="387"/>
      <c r="C121" s="387"/>
      <c r="D121" s="387"/>
      <c r="E121" s="387"/>
      <c r="F121" s="387"/>
      <c r="G121" s="387"/>
      <c r="H121" s="387"/>
      <c r="I121" s="387"/>
      <c r="J121" s="387"/>
      <c r="K121" s="387"/>
      <c r="L121" s="387"/>
      <c r="M121" s="387"/>
      <c r="N121" s="387"/>
    </row>
    <row r="122" customFormat="false" ht="13.2" hidden="false" customHeight="false" outlineLevel="0" collapsed="false">
      <c r="B122" s="387"/>
      <c r="C122" s="387"/>
      <c r="D122" s="387"/>
      <c r="E122" s="387"/>
      <c r="F122" s="387"/>
      <c r="G122" s="387"/>
      <c r="H122" s="387"/>
      <c r="I122" s="387"/>
      <c r="J122" s="387"/>
      <c r="K122" s="387"/>
      <c r="L122" s="387"/>
      <c r="M122" s="387"/>
      <c r="N122" s="387"/>
    </row>
    <row r="123" customFormat="false" ht="13.2" hidden="false" customHeight="false" outlineLevel="0" collapsed="false">
      <c r="B123" s="387"/>
      <c r="C123" s="387"/>
      <c r="D123" s="387"/>
      <c r="E123" s="387"/>
      <c r="F123" s="387"/>
      <c r="G123" s="387"/>
      <c r="H123" s="387"/>
      <c r="I123" s="387"/>
      <c r="J123" s="387"/>
      <c r="K123" s="387"/>
      <c r="L123" s="387"/>
      <c r="M123" s="387"/>
      <c r="N123" s="387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F15" activeCellId="0" sqref="F1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3" min="3" style="2" width="12.55"/>
    <col collapsed="false" customWidth="true" hidden="false" outlineLevel="0" max="14" min="4" style="2" width="10.87"/>
    <col collapsed="false" customWidth="true" hidden="false" outlineLevel="0" max="15" min="15" style="2" width="40.99"/>
    <col collapsed="false" customWidth="true" hidden="false" outlineLevel="0" max="29" min="18" style="2" width="10.43"/>
    <col collapsed="false" customWidth="true" hidden="false" outlineLevel="0" max="44" min="33" style="2" width="10.43"/>
  </cols>
  <sheetData>
    <row r="1" customFormat="false" ht="13.2" hidden="false" customHeight="false" outlineLevel="0" collapsed="false">
      <c r="A1" s="7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Format="false" ht="21" hidden="false" customHeight="false" outlineLevel="0" collapsed="false">
      <c r="A2" s="6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customFormat="false" ht="13.2" hidden="false" customHeight="false" outlineLevel="0" collapsed="false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58.95" hidden="false" customHeight="true" outlineLevel="0" collapsed="false"/>
    <row r="5" customFormat="false" ht="13.2" hidden="false" customHeight="false" outlineLevel="0" collapsed="false">
      <c r="A5" s="7" t="s">
        <v>34</v>
      </c>
      <c r="P5" s="7" t="s">
        <v>35</v>
      </c>
      <c r="AE5" s="7" t="s">
        <v>36</v>
      </c>
    </row>
    <row r="6" customFormat="false" ht="6.6" hidden="false" customHeight="true" outlineLevel="0" collapsed="false">
      <c r="A6" s="7"/>
      <c r="P6" s="7"/>
      <c r="AE6" s="7"/>
    </row>
    <row r="7" customFormat="false" ht="13.8" hidden="false" customHeight="false" outlineLevel="0" collapsed="false">
      <c r="B7" s="2" t="s">
        <v>37</v>
      </c>
      <c r="C7" s="9" t="n">
        <v>4.2974</v>
      </c>
      <c r="D7" s="2" t="s">
        <v>38</v>
      </c>
      <c r="Q7" s="2" t="s">
        <v>37</v>
      </c>
      <c r="R7" s="10" t="n">
        <f aca="false">N11</f>
        <v>4.36959632</v>
      </c>
      <c r="AF7" s="2" t="s">
        <v>37</v>
      </c>
      <c r="AG7" s="10" t="n">
        <f aca="false">AC11</f>
        <v>4.588076136</v>
      </c>
    </row>
    <row r="8" customFormat="false" ht="13.8" hidden="false" customHeight="false" outlineLevel="0" collapsed="false">
      <c r="B8" s="2" t="s">
        <v>39</v>
      </c>
      <c r="C8" s="11" t="n">
        <v>1.68</v>
      </c>
      <c r="Q8" s="2" t="s">
        <v>39</v>
      </c>
      <c r="R8" s="10" t="n">
        <v>5</v>
      </c>
      <c r="AF8" s="2" t="s">
        <v>39</v>
      </c>
      <c r="AG8" s="10" t="n">
        <v>5</v>
      </c>
    </row>
    <row r="9" customFormat="false" ht="13.2" hidden="false" customHeight="false" outlineLevel="0" collapsed="false">
      <c r="B9" s="2" t="s">
        <v>40</v>
      </c>
      <c r="C9" s="2" t="n">
        <f aca="false">$C$8/12/100+1</f>
        <v>1.0014</v>
      </c>
      <c r="Q9" s="2" t="s">
        <v>40</v>
      </c>
      <c r="R9" s="2" t="n">
        <f aca="false">$R$8/12/100+1</f>
        <v>1.00416666666667</v>
      </c>
      <c r="AF9" s="2" t="s">
        <v>40</v>
      </c>
      <c r="AG9" s="2" t="n">
        <f aca="false">$AG$8/12/100+1</f>
        <v>1.00416666666667</v>
      </c>
    </row>
    <row r="10" customFormat="false" ht="13.2" hidden="false" customHeight="false" outlineLevel="0" collapsed="false">
      <c r="C10" s="8" t="s">
        <v>41</v>
      </c>
      <c r="D10" s="8" t="s">
        <v>42</v>
      </c>
      <c r="E10" s="8" t="s">
        <v>43</v>
      </c>
      <c r="F10" s="8" t="s">
        <v>44</v>
      </c>
      <c r="G10" s="8" t="s">
        <v>45</v>
      </c>
      <c r="H10" s="8" t="s">
        <v>46</v>
      </c>
      <c r="I10" s="8" t="s">
        <v>47</v>
      </c>
      <c r="J10" s="8" t="s">
        <v>48</v>
      </c>
      <c r="K10" s="8" t="s">
        <v>49</v>
      </c>
      <c r="L10" s="8" t="s">
        <v>50</v>
      </c>
      <c r="M10" s="8" t="s">
        <v>51</v>
      </c>
      <c r="N10" s="8" t="s">
        <v>52</v>
      </c>
      <c r="R10" s="8" t="s">
        <v>41</v>
      </c>
      <c r="S10" s="8" t="s">
        <v>42</v>
      </c>
      <c r="T10" s="8" t="s">
        <v>43</v>
      </c>
      <c r="U10" s="8" t="s">
        <v>44</v>
      </c>
      <c r="V10" s="8" t="s">
        <v>45</v>
      </c>
      <c r="W10" s="8" t="s">
        <v>46</v>
      </c>
      <c r="X10" s="8" t="s">
        <v>47</v>
      </c>
      <c r="Y10" s="8" t="s">
        <v>48</v>
      </c>
      <c r="Z10" s="8" t="s">
        <v>49</v>
      </c>
      <c r="AA10" s="8" t="s">
        <v>50</v>
      </c>
      <c r="AB10" s="8" t="s">
        <v>51</v>
      </c>
      <c r="AC10" s="8" t="s">
        <v>52</v>
      </c>
      <c r="AG10" s="8" t="s">
        <v>41</v>
      </c>
      <c r="AH10" s="8" t="s">
        <v>42</v>
      </c>
      <c r="AI10" s="8" t="s">
        <v>43</v>
      </c>
      <c r="AJ10" s="8" t="s">
        <v>44</v>
      </c>
      <c r="AK10" s="8" t="s">
        <v>45</v>
      </c>
      <c r="AL10" s="8" t="s">
        <v>46</v>
      </c>
      <c r="AM10" s="8" t="s">
        <v>47</v>
      </c>
      <c r="AN10" s="8" t="s">
        <v>48</v>
      </c>
      <c r="AO10" s="8" t="s">
        <v>49</v>
      </c>
      <c r="AP10" s="8" t="s">
        <v>50</v>
      </c>
      <c r="AQ10" s="8" t="s">
        <v>51</v>
      </c>
      <c r="AR10" s="8" t="s">
        <v>52</v>
      </c>
    </row>
    <row r="11" customFormat="false" ht="13.2" hidden="false" customHeight="false" outlineLevel="0" collapsed="false">
      <c r="B11" s="12" t="n">
        <f aca="false">C7</f>
        <v>4.2974</v>
      </c>
      <c r="C11" s="12" t="n">
        <f aca="false">$C$7*C9</f>
        <v>4.30341636</v>
      </c>
      <c r="D11" s="12" t="n">
        <f aca="false">C11-B11+C11</f>
        <v>4.30943272</v>
      </c>
      <c r="E11" s="12" t="n">
        <f aca="false">D11-C11+D11</f>
        <v>4.31544908</v>
      </c>
      <c r="F11" s="12" t="n">
        <f aca="false">E11-D11+E11</f>
        <v>4.32146544</v>
      </c>
      <c r="G11" s="12" t="n">
        <f aca="false">F11-E11+F11</f>
        <v>4.3274818</v>
      </c>
      <c r="H11" s="12" t="n">
        <f aca="false">G11-F11+G11</f>
        <v>4.33349816</v>
      </c>
      <c r="I11" s="12" t="n">
        <f aca="false">H11-G11+H11</f>
        <v>4.33951452</v>
      </c>
      <c r="J11" s="12" t="n">
        <f aca="false">I11-H11+I11</f>
        <v>4.34553088</v>
      </c>
      <c r="K11" s="12" t="n">
        <f aca="false">J11-I11+J11</f>
        <v>4.35154724</v>
      </c>
      <c r="L11" s="12" t="n">
        <f aca="false">K11-J11+K11</f>
        <v>4.3575636</v>
      </c>
      <c r="M11" s="12" t="n">
        <f aca="false">L11-K11+L11</f>
        <v>4.36357996</v>
      </c>
      <c r="N11" s="12" t="n">
        <f aca="false">M11-L11+M11</f>
        <v>4.36959632</v>
      </c>
      <c r="Q11" s="12" t="n">
        <f aca="false">R7</f>
        <v>4.36959632</v>
      </c>
      <c r="R11" s="12" t="n">
        <f aca="false">$R$7*R9</f>
        <v>4.38780297133334</v>
      </c>
      <c r="S11" s="12" t="n">
        <f aca="false">R11-Q11+R11</f>
        <v>4.40600962266667</v>
      </c>
      <c r="T11" s="12" t="n">
        <f aca="false">S11-R11+S11</f>
        <v>4.424216274</v>
      </c>
      <c r="U11" s="12" t="n">
        <f aca="false">T11-S11+T11</f>
        <v>4.44242292533334</v>
      </c>
      <c r="V11" s="12" t="n">
        <f aca="false">U11-T11+U11</f>
        <v>4.46062957666667</v>
      </c>
      <c r="W11" s="12" t="n">
        <f aca="false">V11-U11+V11</f>
        <v>4.478836228</v>
      </c>
      <c r="X11" s="12" t="n">
        <f aca="false">W11-V11+W11</f>
        <v>4.49704287933334</v>
      </c>
      <c r="Y11" s="12" t="n">
        <f aca="false">X11-W11+X11</f>
        <v>4.51524953066667</v>
      </c>
      <c r="Z11" s="12" t="n">
        <f aca="false">Y11-X11+Y11</f>
        <v>4.533456182</v>
      </c>
      <c r="AA11" s="12" t="n">
        <f aca="false">Z11-Y11+Z11</f>
        <v>4.55166283333334</v>
      </c>
      <c r="AB11" s="12" t="n">
        <f aca="false">AA11-Z11+AA11</f>
        <v>4.56986948466667</v>
      </c>
      <c r="AC11" s="12" t="n">
        <f aca="false">AB11-AA11+AB11</f>
        <v>4.588076136</v>
      </c>
      <c r="AF11" s="12" t="n">
        <f aca="false">AG7</f>
        <v>4.588076136</v>
      </c>
      <c r="AG11" s="12" t="n">
        <f aca="false">$AG$7*AG9</f>
        <v>4.6071931199</v>
      </c>
      <c r="AH11" s="12" t="n">
        <f aca="false">AG11-AF11+AG11</f>
        <v>4.6263101038</v>
      </c>
      <c r="AI11" s="12" t="n">
        <f aca="false">AH11-AG11+AH11</f>
        <v>4.6454270877</v>
      </c>
      <c r="AJ11" s="12" t="n">
        <f aca="false">AI11-AH11+AI11</f>
        <v>4.6645440716</v>
      </c>
      <c r="AK11" s="12" t="n">
        <f aca="false">AJ11-AI11+AJ11</f>
        <v>4.6836610555</v>
      </c>
      <c r="AL11" s="12" t="n">
        <f aca="false">AK11-AJ11+AK11</f>
        <v>4.7027780394</v>
      </c>
      <c r="AM11" s="12" t="n">
        <f aca="false">AL11-AK11+AL11</f>
        <v>4.7218950233</v>
      </c>
      <c r="AN11" s="12" t="n">
        <f aca="false">AM11-AL11+AM11</f>
        <v>4.7410120072</v>
      </c>
      <c r="AO11" s="12" t="n">
        <f aca="false">AN11-AM11+AN11</f>
        <v>4.7601289911</v>
      </c>
      <c r="AP11" s="12" t="n">
        <f aca="false">AO11-AN11+AO11</f>
        <v>4.779245975</v>
      </c>
      <c r="AQ11" s="12" t="n">
        <f aca="false">AP11-AO11+AP11</f>
        <v>4.7983629589</v>
      </c>
      <c r="AR11" s="12" t="n">
        <f aca="false">AQ11-AP11+AQ11</f>
        <v>4.8174799428</v>
      </c>
    </row>
    <row r="14" customFormat="false" ht="13.2" hidden="false" customHeight="false" outlineLevel="0" collapsed="false">
      <c r="A14" s="7" t="s">
        <v>53</v>
      </c>
      <c r="P14" s="7" t="s">
        <v>54</v>
      </c>
      <c r="AE14" s="7" t="s">
        <v>54</v>
      </c>
    </row>
    <row r="15" customFormat="false" ht="6.6" hidden="false" customHeight="true" outlineLevel="0" collapsed="false">
      <c r="A15" s="7"/>
      <c r="P15" s="7"/>
      <c r="AE15" s="7"/>
    </row>
    <row r="16" customFormat="false" ht="13.8" hidden="false" customHeight="false" outlineLevel="0" collapsed="false">
      <c r="B16" s="2" t="s">
        <v>39</v>
      </c>
      <c r="C16" s="13" t="n">
        <v>1.06</v>
      </c>
      <c r="Q16" s="2" t="s">
        <v>39</v>
      </c>
      <c r="R16" s="14" t="n">
        <v>1.04</v>
      </c>
      <c r="AF16" s="2" t="s">
        <v>39</v>
      </c>
      <c r="AG16" s="14" t="n">
        <v>1.06</v>
      </c>
    </row>
    <row r="17" customFormat="false" ht="13.2" hidden="false" customHeight="false" outlineLevel="0" collapsed="false">
      <c r="B17" s="2" t="s">
        <v>40</v>
      </c>
      <c r="C17" s="2" t="n">
        <f aca="false">C16/12/100</f>
        <v>0.000883333333333333</v>
      </c>
      <c r="Q17" s="2" t="s">
        <v>40</v>
      </c>
      <c r="R17" s="2" t="n">
        <f aca="false">R16/12/100</f>
        <v>0.000866666666666667</v>
      </c>
      <c r="AF17" s="2" t="s">
        <v>40</v>
      </c>
      <c r="AG17" s="2" t="n">
        <f aca="false">AG16/12/100</f>
        <v>0.000883333333333333</v>
      </c>
    </row>
    <row r="18" customFormat="false" ht="13.2" hidden="false" customHeight="false" outlineLevel="0" collapsed="false">
      <c r="C18" s="8" t="s">
        <v>41</v>
      </c>
      <c r="D18" s="8" t="s">
        <v>42</v>
      </c>
      <c r="E18" s="8" t="s">
        <v>43</v>
      </c>
      <c r="F18" s="8" t="s">
        <v>44</v>
      </c>
      <c r="G18" s="8" t="s">
        <v>45</v>
      </c>
      <c r="H18" s="8" t="s">
        <v>46</v>
      </c>
      <c r="I18" s="8" t="s">
        <v>47</v>
      </c>
      <c r="J18" s="8" t="s">
        <v>48</v>
      </c>
      <c r="K18" s="8" t="s">
        <v>49</v>
      </c>
      <c r="L18" s="8" t="s">
        <v>50</v>
      </c>
      <c r="M18" s="8" t="s">
        <v>51</v>
      </c>
      <c r="N18" s="8" t="s">
        <v>52</v>
      </c>
      <c r="R18" s="8" t="s">
        <v>41</v>
      </c>
      <c r="S18" s="8" t="s">
        <v>42</v>
      </c>
      <c r="T18" s="8" t="s">
        <v>43</v>
      </c>
      <c r="U18" s="8" t="s">
        <v>44</v>
      </c>
      <c r="V18" s="8" t="s">
        <v>45</v>
      </c>
      <c r="W18" s="8" t="s">
        <v>46</v>
      </c>
      <c r="X18" s="8" t="s">
        <v>47</v>
      </c>
      <c r="Y18" s="8" t="s">
        <v>48</v>
      </c>
      <c r="Z18" s="8" t="s">
        <v>49</v>
      </c>
      <c r="AA18" s="8" t="s">
        <v>50</v>
      </c>
      <c r="AB18" s="8" t="s">
        <v>51</v>
      </c>
      <c r="AC18" s="8" t="s">
        <v>52</v>
      </c>
      <c r="AG18" s="8" t="s">
        <v>41</v>
      </c>
      <c r="AH18" s="8" t="s">
        <v>42</v>
      </c>
      <c r="AI18" s="8" t="s">
        <v>43</v>
      </c>
      <c r="AJ18" s="8" t="s">
        <v>44</v>
      </c>
      <c r="AK18" s="8" t="s">
        <v>45</v>
      </c>
      <c r="AL18" s="8" t="s">
        <v>46</v>
      </c>
      <c r="AM18" s="8" t="s">
        <v>47</v>
      </c>
      <c r="AN18" s="8" t="s">
        <v>48</v>
      </c>
      <c r="AO18" s="8" t="s">
        <v>49</v>
      </c>
      <c r="AP18" s="8" t="s">
        <v>50</v>
      </c>
      <c r="AQ18" s="8" t="s">
        <v>51</v>
      </c>
      <c r="AR18" s="8" t="s">
        <v>52</v>
      </c>
    </row>
    <row r="19" customFormat="false" ht="13.2" hidden="false" customHeight="false" outlineLevel="0" collapsed="false">
      <c r="C19" s="2" t="n">
        <f aca="false">1+C17</f>
        <v>1.00088333333333</v>
      </c>
      <c r="D19" s="2" t="n">
        <f aca="false">C19+$C$17</f>
        <v>1.00176666666667</v>
      </c>
      <c r="E19" s="2" t="n">
        <f aca="false">D19+$C$17</f>
        <v>1.00265</v>
      </c>
      <c r="F19" s="2" t="n">
        <f aca="false">E19+$C$17</f>
        <v>1.00353333333333</v>
      </c>
      <c r="G19" s="2" t="n">
        <f aca="false">F19+$C$17</f>
        <v>1.00441666666667</v>
      </c>
      <c r="H19" s="2" t="n">
        <f aca="false">G19+$C$17</f>
        <v>1.0053</v>
      </c>
      <c r="I19" s="2" t="n">
        <f aca="false">H19+$C$17</f>
        <v>1.00618333333333</v>
      </c>
      <c r="J19" s="2" t="n">
        <f aca="false">I19+$C$17</f>
        <v>1.00706666666667</v>
      </c>
      <c r="K19" s="2" t="n">
        <f aca="false">J19+$C$17</f>
        <v>1.00795</v>
      </c>
      <c r="L19" s="2" t="n">
        <f aca="false">K19+$C$17</f>
        <v>1.00883333333333</v>
      </c>
      <c r="M19" s="2" t="n">
        <f aca="false">L19+$C$17</f>
        <v>1.00971666666667</v>
      </c>
      <c r="N19" s="2" t="n">
        <f aca="false">M19+$C$17</f>
        <v>1.0106</v>
      </c>
      <c r="R19" s="2" t="n">
        <f aca="false">1+R17</f>
        <v>1.00086666666667</v>
      </c>
      <c r="S19" s="2" t="n">
        <f aca="false">R19+$C$17</f>
        <v>1.00175</v>
      </c>
      <c r="T19" s="2" t="n">
        <f aca="false">S19+$C$17</f>
        <v>1.00263333333333</v>
      </c>
      <c r="U19" s="2" t="n">
        <f aca="false">T19+$C$17</f>
        <v>1.00351666666667</v>
      </c>
      <c r="V19" s="2" t="n">
        <f aca="false">U19+$C$17</f>
        <v>1.0044</v>
      </c>
      <c r="W19" s="2" t="n">
        <f aca="false">V19+$C$17</f>
        <v>1.00528333333333</v>
      </c>
      <c r="X19" s="2" t="n">
        <f aca="false">W19+$C$17</f>
        <v>1.00616666666667</v>
      </c>
      <c r="Y19" s="2" t="n">
        <f aca="false">X19+$C$17</f>
        <v>1.00705</v>
      </c>
      <c r="Z19" s="2" t="n">
        <f aca="false">Y19+$C$17</f>
        <v>1.00793333333333</v>
      </c>
      <c r="AA19" s="2" t="n">
        <f aca="false">Z19+$C$17</f>
        <v>1.00881666666667</v>
      </c>
      <c r="AB19" s="2" t="n">
        <f aca="false">AA19+$C$17</f>
        <v>1.0097</v>
      </c>
      <c r="AC19" s="2" t="n">
        <f aca="false">AB19+$C$17</f>
        <v>1.01058333333333</v>
      </c>
      <c r="AG19" s="2" t="n">
        <f aca="false">1+AG17</f>
        <v>1.00088333333333</v>
      </c>
      <c r="AH19" s="2" t="n">
        <f aca="false">AG19+$C$17</f>
        <v>1.00176666666667</v>
      </c>
      <c r="AI19" s="2" t="n">
        <f aca="false">AH19+$C$17</f>
        <v>1.00265</v>
      </c>
      <c r="AJ19" s="2" t="n">
        <f aca="false">AI19+$C$17</f>
        <v>1.00353333333333</v>
      </c>
      <c r="AK19" s="2" t="n">
        <f aca="false">AJ19+$C$17</f>
        <v>1.00441666666667</v>
      </c>
      <c r="AL19" s="2" t="n">
        <f aca="false">AK19+$C$17</f>
        <v>1.0053</v>
      </c>
      <c r="AM19" s="2" t="n">
        <f aca="false">AL19+$C$17</f>
        <v>1.00618333333333</v>
      </c>
      <c r="AN19" s="2" t="n">
        <f aca="false">AM19+$C$17</f>
        <v>1.00706666666667</v>
      </c>
      <c r="AO19" s="2" t="n">
        <f aca="false">AN19+$C$17</f>
        <v>1.00795</v>
      </c>
      <c r="AP19" s="2" t="n">
        <f aca="false">AO19+$C$17</f>
        <v>1.00883333333333</v>
      </c>
      <c r="AQ19" s="2" t="n">
        <f aca="false">AP19+$C$17</f>
        <v>1.00971666666667</v>
      </c>
      <c r="AR19" s="2" t="n">
        <f aca="false">AQ19+$C$17</f>
        <v>1.0106</v>
      </c>
    </row>
    <row r="22" customFormat="false" ht="13.2" hidden="false" customHeight="false" outlineLevel="0" collapsed="false">
      <c r="A22" s="7" t="s">
        <v>55</v>
      </c>
      <c r="P22" s="2" t="s">
        <v>56</v>
      </c>
      <c r="AE22" s="2" t="s">
        <v>56</v>
      </c>
    </row>
    <row r="23" customFormat="false" ht="4.2" hidden="false" customHeight="true" outlineLevel="0" collapsed="false">
      <c r="A23" s="7"/>
    </row>
    <row r="24" customFormat="false" ht="13.8" hidden="false" customHeight="false" outlineLevel="0" collapsed="false">
      <c r="C24" s="8" t="s">
        <v>41</v>
      </c>
      <c r="D24" s="8" t="s">
        <v>42</v>
      </c>
      <c r="E24" s="8" t="s">
        <v>43</v>
      </c>
      <c r="F24" s="8" t="s">
        <v>44</v>
      </c>
      <c r="G24" s="8" t="s">
        <v>45</v>
      </c>
      <c r="H24" s="8" t="s">
        <v>46</v>
      </c>
      <c r="I24" s="8" t="s">
        <v>47</v>
      </c>
      <c r="J24" s="8" t="s">
        <v>48</v>
      </c>
      <c r="K24" s="8" t="s">
        <v>49</v>
      </c>
      <c r="L24" s="8" t="s">
        <v>50</v>
      </c>
      <c r="M24" s="8" t="s">
        <v>51</v>
      </c>
      <c r="N24" s="8" t="s">
        <v>52</v>
      </c>
      <c r="R24" s="8" t="s">
        <v>41</v>
      </c>
      <c r="S24" s="8" t="s">
        <v>42</v>
      </c>
      <c r="T24" s="8" t="s">
        <v>43</v>
      </c>
      <c r="U24" s="8" t="s">
        <v>44</v>
      </c>
      <c r="V24" s="8" t="s">
        <v>45</v>
      </c>
      <c r="W24" s="8" t="s">
        <v>46</v>
      </c>
      <c r="X24" s="8" t="s">
        <v>47</v>
      </c>
      <c r="Y24" s="8" t="s">
        <v>48</v>
      </c>
      <c r="Z24" s="8" t="s">
        <v>49</v>
      </c>
      <c r="AA24" s="8" t="s">
        <v>50</v>
      </c>
      <c r="AB24" s="8" t="s">
        <v>51</v>
      </c>
      <c r="AC24" s="8" t="s">
        <v>52</v>
      </c>
      <c r="AG24" s="8" t="s">
        <v>41</v>
      </c>
      <c r="AH24" s="8" t="s">
        <v>42</v>
      </c>
      <c r="AI24" s="8" t="s">
        <v>43</v>
      </c>
      <c r="AJ24" s="8" t="s">
        <v>44</v>
      </c>
      <c r="AK24" s="8" t="s">
        <v>45</v>
      </c>
      <c r="AL24" s="8" t="s">
        <v>46</v>
      </c>
      <c r="AM24" s="8" t="s">
        <v>47</v>
      </c>
      <c r="AN24" s="8" t="s">
        <v>48</v>
      </c>
      <c r="AO24" s="8" t="s">
        <v>49</v>
      </c>
      <c r="AP24" s="8" t="s">
        <v>50</v>
      </c>
      <c r="AQ24" s="8" t="s">
        <v>51</v>
      </c>
      <c r="AR24" s="8" t="s">
        <v>52</v>
      </c>
    </row>
    <row r="25" customFormat="false" ht="13.8" hidden="false" customHeight="false" outlineLevel="0" collapsed="false">
      <c r="C25" s="15" t="n">
        <v>0.025</v>
      </c>
      <c r="D25" s="16" t="n">
        <f aca="false">C25</f>
        <v>0.025</v>
      </c>
      <c r="E25" s="16" t="n">
        <f aca="false">D25</f>
        <v>0.025</v>
      </c>
      <c r="F25" s="16" t="n">
        <f aca="false">E25</f>
        <v>0.025</v>
      </c>
      <c r="G25" s="16" t="n">
        <f aca="false">F25</f>
        <v>0.025</v>
      </c>
      <c r="H25" s="16" t="n">
        <f aca="false">G25</f>
        <v>0.025</v>
      </c>
      <c r="I25" s="16" t="n">
        <f aca="false">H25</f>
        <v>0.025</v>
      </c>
      <c r="J25" s="16" t="n">
        <f aca="false">I25</f>
        <v>0.025</v>
      </c>
      <c r="K25" s="16" t="n">
        <f aca="false">J25</f>
        <v>0.025</v>
      </c>
      <c r="L25" s="16" t="n">
        <f aca="false">K25</f>
        <v>0.025</v>
      </c>
      <c r="M25" s="16" t="n">
        <f aca="false">L25</f>
        <v>0.025</v>
      </c>
      <c r="N25" s="16" t="n">
        <f aca="false">M25</f>
        <v>0.025</v>
      </c>
      <c r="R25" s="17" t="n">
        <f aca="false">N25</f>
        <v>0.025</v>
      </c>
      <c r="S25" s="16" t="n">
        <f aca="false">R25</f>
        <v>0.025</v>
      </c>
      <c r="T25" s="16" t="n">
        <f aca="false">S25</f>
        <v>0.025</v>
      </c>
      <c r="U25" s="16" t="n">
        <f aca="false">T25</f>
        <v>0.025</v>
      </c>
      <c r="V25" s="16" t="n">
        <f aca="false">U25</f>
        <v>0.025</v>
      </c>
      <c r="W25" s="16" t="n">
        <f aca="false">V25</f>
        <v>0.025</v>
      </c>
      <c r="X25" s="16" t="n">
        <f aca="false">W25</f>
        <v>0.025</v>
      </c>
      <c r="Y25" s="16" t="n">
        <f aca="false">X25</f>
        <v>0.025</v>
      </c>
      <c r="Z25" s="16" t="n">
        <f aca="false">Y25</f>
        <v>0.025</v>
      </c>
      <c r="AA25" s="16" t="n">
        <f aca="false">Z25</f>
        <v>0.025</v>
      </c>
      <c r="AB25" s="16" t="n">
        <f aca="false">AA25</f>
        <v>0.025</v>
      </c>
      <c r="AC25" s="16" t="n">
        <f aca="false">AB25</f>
        <v>0.025</v>
      </c>
      <c r="AG25" s="17" t="n">
        <f aca="false">AC25</f>
        <v>0.025</v>
      </c>
      <c r="AH25" s="16" t="n">
        <f aca="false">AG25</f>
        <v>0.025</v>
      </c>
      <c r="AI25" s="16" t="n">
        <f aca="false">AH25</f>
        <v>0.025</v>
      </c>
      <c r="AJ25" s="16" t="n">
        <f aca="false">AI25</f>
        <v>0.025</v>
      </c>
      <c r="AK25" s="16" t="n">
        <f aca="false">AJ25</f>
        <v>0.025</v>
      </c>
      <c r="AL25" s="16" t="n">
        <f aca="false">AK25</f>
        <v>0.025</v>
      </c>
      <c r="AM25" s="16" t="n">
        <f aca="false">AL25</f>
        <v>0.025</v>
      </c>
      <c r="AN25" s="16" t="n">
        <f aca="false">AM25</f>
        <v>0.025</v>
      </c>
      <c r="AO25" s="16" t="n">
        <f aca="false">AN25</f>
        <v>0.025</v>
      </c>
      <c r="AP25" s="16" t="n">
        <f aca="false">AO25</f>
        <v>0.025</v>
      </c>
      <c r="AQ25" s="16" t="n">
        <f aca="false">AP25</f>
        <v>0.025</v>
      </c>
      <c r="AR25" s="16" t="n">
        <f aca="false">AQ25</f>
        <v>0.025</v>
      </c>
    </row>
    <row r="26" customFormat="false" ht="13.2" hidden="false" customHeight="false" outlineLevel="0" collapsed="false">
      <c r="C26" s="18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customFormat="false" ht="13.2" hidden="false" customHeight="false" outlineLevel="0" collapsed="false">
      <c r="A27" s="19"/>
      <c r="B27" s="19"/>
      <c r="C27" s="18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19"/>
      <c r="Q27" s="19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9"/>
      <c r="AE27" s="19"/>
      <c r="AF27" s="19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customFormat="false" ht="13.2" hidden="false" customHeight="false" outlineLevel="0" collapsed="false">
      <c r="A28" s="21" t="s">
        <v>57</v>
      </c>
      <c r="B28" s="19"/>
      <c r="C28" s="18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19"/>
      <c r="Q28" s="19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9"/>
      <c r="AE28" s="19"/>
      <c r="AF28" s="19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customFormat="false" ht="5.4" hidden="false" customHeight="true" outlineLevel="0" collapsed="false">
      <c r="A29" s="21"/>
      <c r="B29" s="19"/>
      <c r="C29" s="1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19"/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9"/>
      <c r="AE29" s="19"/>
      <c r="AF29" s="19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</row>
    <row r="30" customFormat="false" ht="13.2" hidden="false" customHeight="false" outlineLevel="0" collapsed="false">
      <c r="A30" s="19"/>
      <c r="B30" s="19"/>
      <c r="C30" s="8" t="s">
        <v>41</v>
      </c>
      <c r="D30" s="8" t="s">
        <v>42</v>
      </c>
      <c r="E30" s="8" t="s">
        <v>43</v>
      </c>
      <c r="F30" s="8" t="s">
        <v>44</v>
      </c>
      <c r="G30" s="8" t="s">
        <v>45</v>
      </c>
      <c r="H30" s="8" t="s">
        <v>46</v>
      </c>
      <c r="I30" s="8" t="s">
        <v>47</v>
      </c>
      <c r="J30" s="8" t="s">
        <v>48</v>
      </c>
      <c r="K30" s="8" t="s">
        <v>49</v>
      </c>
      <c r="L30" s="8" t="s">
        <v>50</v>
      </c>
      <c r="M30" s="8" t="s">
        <v>51</v>
      </c>
      <c r="N30" s="8" t="s">
        <v>52</v>
      </c>
      <c r="O30" s="19"/>
      <c r="P30" s="19"/>
      <c r="Q30" s="1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9"/>
      <c r="AE30" s="19"/>
      <c r="AF30" s="19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</row>
    <row r="31" customFormat="false" ht="13.2" hidden="false" customHeight="false" outlineLevel="0" collapsed="false">
      <c r="C31" s="22" t="n">
        <v>0.28</v>
      </c>
      <c r="D31" s="22" t="n">
        <v>0.28</v>
      </c>
      <c r="E31" s="22" t="n">
        <v>0.28</v>
      </c>
      <c r="F31" s="22" t="n">
        <v>0.28</v>
      </c>
      <c r="G31" s="22" t="n">
        <v>0.28</v>
      </c>
      <c r="H31" s="22" t="n">
        <v>0.28</v>
      </c>
      <c r="I31" s="22" t="n">
        <v>0.28</v>
      </c>
      <c r="J31" s="22" t="n">
        <v>0.28</v>
      </c>
      <c r="K31" s="22" t="n">
        <v>0.28</v>
      </c>
      <c r="L31" s="22" t="n">
        <v>0.28</v>
      </c>
      <c r="M31" s="22" t="n">
        <v>0.28</v>
      </c>
      <c r="N31" s="22" t="n">
        <v>0.28</v>
      </c>
    </row>
    <row r="33" customFormat="false" ht="13.2" hidden="false" customHeight="false" outlineLevel="0" collapsed="false">
      <c r="A33" s="21" t="s">
        <v>58</v>
      </c>
    </row>
    <row r="35" customFormat="false" ht="13.2" hidden="false" customHeight="false" outlineLevel="0" collapsed="false">
      <c r="A35" s="2" t="s">
        <v>59</v>
      </c>
    </row>
    <row r="36" customFormat="false" ht="13.2" hidden="false" customHeight="false" outlineLevel="0" collapsed="false">
      <c r="A36" s="2" t="s">
        <v>60</v>
      </c>
    </row>
    <row r="37" customFormat="false" ht="13.2" hidden="false" customHeight="false" outlineLevel="0" collapsed="false">
      <c r="A37" s="2" t="s">
        <v>61</v>
      </c>
    </row>
    <row r="38" customFormat="false" ht="13.2" hidden="false" customHeight="false" outlineLevel="0" collapsed="false">
      <c r="A38" s="2" t="s">
        <v>62</v>
      </c>
    </row>
    <row r="39" customFormat="false" ht="13.2" hidden="false" customHeight="false" outlineLevel="0" collapsed="false">
      <c r="A39" s="2" t="s">
        <v>63</v>
      </c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82"/>
  <sheetViews>
    <sheetView showFormulas="false" showGridLines="true" showRowColHeaders="true" showZeros="true" rightToLeft="false" tabSelected="false" showOutlineSymbols="true" defaultGridColor="true" view="pageBreakPreview" topLeftCell="B189" colorId="64" zoomScale="75" zoomScaleNormal="75" zoomScalePageLayoutView="75" workbookViewId="0">
      <selection pane="topLeft" activeCell="C171" activeCellId="0" sqref="C171"/>
    </sheetView>
  </sheetViews>
  <sheetFormatPr defaultColWidth="9.0546875" defaultRowHeight="13.2" customHeight="true" zeroHeight="false" outlineLevelRow="0" outlineLevelCol="0"/>
  <cols>
    <col collapsed="false" customWidth="true" hidden="true" outlineLevel="0" max="1" min="1" style="2" width="7.88"/>
    <col collapsed="false" customWidth="true" hidden="false" outlineLevel="0" max="2" min="2" style="2" width="39.32"/>
    <col collapsed="false" customWidth="true" hidden="false" outlineLevel="0" max="6" min="3" style="2" width="10.43"/>
    <col collapsed="false" customWidth="true" hidden="false" outlineLevel="0" max="7" min="7" style="2" width="10.99"/>
    <col collapsed="false" customWidth="true" hidden="false" outlineLevel="0" max="14" min="8" style="2" width="10.43"/>
    <col collapsed="false" customWidth="true" hidden="false" outlineLevel="0" max="15" min="15" style="2" width="11.55"/>
    <col collapsed="false" customWidth="true" hidden="false" outlineLevel="0" max="16" min="16" style="2" width="45.99"/>
    <col collapsed="false" customWidth="true" hidden="false" outlineLevel="0" max="17" min="17" style="2" width="29.32"/>
    <col collapsed="false" customWidth="true" hidden="false" outlineLevel="0" max="23" min="18" style="2" width="10.55"/>
    <col collapsed="false" customWidth="true" hidden="false" outlineLevel="0" max="24" min="24" style="2" width="10.87"/>
    <col collapsed="false" customWidth="true" hidden="false" outlineLevel="0" max="26" min="25" style="2" width="10.55"/>
    <col collapsed="false" customWidth="true" hidden="false" outlineLevel="0" max="29" min="27" style="2" width="10.87"/>
    <col collapsed="false" customWidth="true" hidden="false" outlineLevel="0" max="30" min="30" style="2" width="11.66"/>
    <col collapsed="false" customWidth="true" hidden="false" outlineLevel="0" max="32" min="32" style="2" width="31.1"/>
    <col collapsed="false" customWidth="true" hidden="false" outlineLevel="0" max="38" min="33" style="2" width="10.55"/>
    <col collapsed="false" customWidth="true" hidden="false" outlineLevel="0" max="44" min="39" style="2" width="10.87"/>
    <col collapsed="false" customWidth="true" hidden="false" outlineLevel="0" max="45" min="45" style="2" width="12.1"/>
  </cols>
  <sheetData>
    <row r="1" customFormat="false" ht="13.2" hidden="false" customHeight="false" outlineLevel="0" collapsed="false">
      <c r="B1" s="7" t="s">
        <v>32</v>
      </c>
      <c r="Q1" s="7" t="s">
        <v>131</v>
      </c>
      <c r="AF1" s="7" t="s">
        <v>132</v>
      </c>
    </row>
    <row r="2" customFormat="false" ht="21" hidden="false" customHeight="false" outlineLevel="0" collapsed="false">
      <c r="B2" s="6" t="s">
        <v>1150</v>
      </c>
      <c r="Q2" s="7" t="s">
        <v>1151</v>
      </c>
      <c r="AF2" s="7" t="s">
        <v>1151</v>
      </c>
    </row>
    <row r="3" customFormat="false" ht="15" hidden="false" customHeight="true" outlineLevel="0" collapsed="false">
      <c r="B3" s="7"/>
      <c r="Q3" s="7" t="s">
        <v>1152</v>
      </c>
      <c r="AF3" s="7" t="s">
        <v>1152</v>
      </c>
    </row>
    <row r="4" customFormat="false" ht="13.95" hidden="false" customHeight="true" outlineLevel="0" collapsed="false"/>
    <row r="5" customFormat="false" ht="17.4" hidden="false" customHeight="false" outlineLevel="0" collapsed="false">
      <c r="B5" s="101" t="s">
        <v>1153</v>
      </c>
      <c r="Q5" s="287" t="s">
        <v>1154</v>
      </c>
      <c r="AF5" s="287" t="s">
        <v>1154</v>
      </c>
    </row>
    <row r="6" customFormat="false" ht="13.2" hidden="false" customHeight="false" outlineLevel="0" collapsed="false">
      <c r="C6" s="8" t="s">
        <v>41</v>
      </c>
      <c r="D6" s="8" t="s">
        <v>42</v>
      </c>
      <c r="E6" s="8" t="s">
        <v>43</v>
      </c>
      <c r="F6" s="8" t="s">
        <v>44</v>
      </c>
      <c r="G6" s="8" t="s">
        <v>45</v>
      </c>
      <c r="H6" s="8" t="s">
        <v>46</v>
      </c>
      <c r="I6" s="8" t="s">
        <v>47</v>
      </c>
      <c r="J6" s="8" t="s">
        <v>48</v>
      </c>
      <c r="K6" s="8" t="s">
        <v>49</v>
      </c>
      <c r="L6" s="8" t="s">
        <v>50</v>
      </c>
      <c r="M6" s="8" t="s">
        <v>51</v>
      </c>
      <c r="N6" s="8" t="s">
        <v>52</v>
      </c>
      <c r="O6" s="206" t="s">
        <v>66</v>
      </c>
      <c r="R6" s="8" t="s">
        <v>41</v>
      </c>
      <c r="S6" s="8" t="s">
        <v>42</v>
      </c>
      <c r="T6" s="8" t="s">
        <v>43</v>
      </c>
      <c r="U6" s="8" t="s">
        <v>44</v>
      </c>
      <c r="V6" s="8" t="s">
        <v>45</v>
      </c>
      <c r="W6" s="8" t="s">
        <v>46</v>
      </c>
      <c r="X6" s="8" t="s">
        <v>47</v>
      </c>
      <c r="Y6" s="8" t="s">
        <v>48</v>
      </c>
      <c r="Z6" s="8" t="s">
        <v>49</v>
      </c>
      <c r="AA6" s="8" t="s">
        <v>50</v>
      </c>
      <c r="AB6" s="8" t="s">
        <v>51</v>
      </c>
      <c r="AC6" s="8" t="s">
        <v>52</v>
      </c>
      <c r="AD6" s="206" t="s">
        <v>66</v>
      </c>
      <c r="AG6" s="8" t="s">
        <v>41</v>
      </c>
      <c r="AH6" s="8" t="s">
        <v>42</v>
      </c>
      <c r="AI6" s="8" t="s">
        <v>43</v>
      </c>
      <c r="AJ6" s="8" t="s">
        <v>44</v>
      </c>
      <c r="AK6" s="8" t="s">
        <v>45</v>
      </c>
      <c r="AL6" s="8" t="s">
        <v>46</v>
      </c>
      <c r="AM6" s="8" t="s">
        <v>47</v>
      </c>
      <c r="AN6" s="8" t="s">
        <v>48</v>
      </c>
      <c r="AO6" s="8" t="s">
        <v>49</v>
      </c>
      <c r="AP6" s="8" t="s">
        <v>50</v>
      </c>
      <c r="AQ6" s="8" t="s">
        <v>51</v>
      </c>
      <c r="AR6" s="8" t="s">
        <v>52</v>
      </c>
      <c r="AS6" s="206" t="s">
        <v>66</v>
      </c>
    </row>
    <row r="7" customFormat="false" ht="13.2" hidden="false" customHeight="false" outlineLevel="0" collapsed="false">
      <c r="A7" s="137" t="s">
        <v>1015</v>
      </c>
      <c r="B7" s="2" t="s">
        <v>1016</v>
      </c>
      <c r="C7" s="139" t="n">
        <f aca="false">Sales!B13</f>
        <v>3169471.4617001</v>
      </c>
      <c r="D7" s="139" t="n">
        <f aca="false">Sales!C13</f>
        <v>2995574.26222757</v>
      </c>
      <c r="E7" s="139" t="n">
        <f aca="false">Sales!D13</f>
        <v>3125641.64025157</v>
      </c>
      <c r="F7" s="139" t="n">
        <f aca="false">Sales!E13</f>
        <v>2968173.16230425</v>
      </c>
      <c r="G7" s="139" t="n">
        <f aca="false">Sales!F13</f>
        <v>2967853.34621935</v>
      </c>
      <c r="H7" s="139" t="n">
        <f aca="false">Sales!G13</f>
        <v>2930787.01591818</v>
      </c>
      <c r="I7" s="139" t="n">
        <f aca="false">Sales!H13</f>
        <v>3718911.84519722</v>
      </c>
      <c r="J7" s="139" t="n">
        <f aca="false">Sales!I13</f>
        <v>3644121.7214025</v>
      </c>
      <c r="K7" s="139" t="n">
        <f aca="false">Sales!J13</f>
        <v>3599775.37342174</v>
      </c>
      <c r="L7" s="139" t="n">
        <f aca="false">Sales!K13</f>
        <v>3859768.34183977</v>
      </c>
      <c r="M7" s="139" t="n">
        <f aca="false">Sales!L13</f>
        <v>3649402.21029737</v>
      </c>
      <c r="N7" s="139" t="n">
        <f aca="false">Sales!M13</f>
        <v>3683523.15685613</v>
      </c>
      <c r="O7" s="139" t="n">
        <f aca="false">SUM(C7:N7)</f>
        <v>40313003.5376357</v>
      </c>
      <c r="Q7" s="2" t="s">
        <v>1016</v>
      </c>
      <c r="R7" s="139" t="n">
        <f aca="false">Sales!Q13</f>
        <v>3333074.19362601</v>
      </c>
      <c r="S7" s="139" t="n">
        <f aca="false">Sales!R13</f>
        <v>3137840.20337638</v>
      </c>
      <c r="T7" s="139" t="n">
        <f aca="false">Sales!S13</f>
        <v>3265626.19629898</v>
      </c>
      <c r="U7" s="139" t="n">
        <f aca="false">Sales!T13</f>
        <v>3029846.56902218</v>
      </c>
      <c r="V7" s="139" t="n">
        <f aca="false">Sales!U13</f>
        <v>3050767.08849603</v>
      </c>
      <c r="W7" s="139" t="n">
        <f aca="false">Sales!V13</f>
        <v>2535986.40724102</v>
      </c>
      <c r="X7" s="139" t="n">
        <f aca="false">Sales!W13</f>
        <v>3767179.92090352</v>
      </c>
      <c r="Y7" s="139" t="n">
        <f aca="false">Sales!X13</f>
        <v>3642886.84210063</v>
      </c>
      <c r="Z7" s="139" t="n">
        <f aca="false">Sales!Y13</f>
        <v>3299244.29177303</v>
      </c>
      <c r="AA7" s="139" t="n">
        <f aca="false">Sales!Z13</f>
        <v>3963988.09980689</v>
      </c>
      <c r="AB7" s="139" t="n">
        <f aca="false">Sales!AA13</f>
        <v>3723614.44517444</v>
      </c>
      <c r="AC7" s="139" t="n">
        <f aca="false">Sales!AB13</f>
        <v>3840069.4759671</v>
      </c>
      <c r="AD7" s="139" t="n">
        <f aca="false">SUM(R7:AC7)</f>
        <v>40590123.7337862</v>
      </c>
      <c r="AF7" s="2" t="s">
        <v>1016</v>
      </c>
      <c r="AG7" s="139" t="n">
        <f aca="false">Sales!AF13</f>
        <v>3241308.95713327</v>
      </c>
      <c r="AH7" s="139" t="n">
        <f aca="false">Sales!AG13</f>
        <v>3123235.60076666</v>
      </c>
      <c r="AI7" s="139" t="n">
        <f aca="false">Sales!AH13</f>
        <v>3287605.63361165</v>
      </c>
      <c r="AJ7" s="139" t="n">
        <f aca="false">Sales!AI13</f>
        <v>3031449.10980428</v>
      </c>
      <c r="AK7" s="139" t="n">
        <f aca="false">Sales!AJ13</f>
        <v>2892413.63171368</v>
      </c>
      <c r="AL7" s="139" t="n">
        <f aca="false">Sales!AK13</f>
        <v>2943729.51740263</v>
      </c>
      <c r="AM7" s="139" t="n">
        <f aca="false">Sales!AL13</f>
        <v>3732404.4887609</v>
      </c>
      <c r="AN7" s="139" t="n">
        <f aca="false">Sales!AM13</f>
        <v>3717354.47066106</v>
      </c>
      <c r="AO7" s="139" t="n">
        <f aca="false">Sales!AN13</f>
        <v>3662811.60088512</v>
      </c>
      <c r="AP7" s="139" t="n">
        <f aca="false">Sales!AO13</f>
        <v>3812051.51927897</v>
      </c>
      <c r="AQ7" s="139" t="n">
        <f aca="false">Sales!AP13</f>
        <v>3715244.95705207</v>
      </c>
      <c r="AR7" s="139" t="n">
        <f aca="false">Sales!AQ13</f>
        <v>3866103.29687301</v>
      </c>
      <c r="AS7" s="139" t="n">
        <f aca="false">SUM(AG7:AR7)</f>
        <v>41025712.7839433</v>
      </c>
    </row>
    <row r="8" customFormat="false" ht="13.2" hidden="false" customHeight="false" outlineLevel="0" collapsed="false">
      <c r="A8" s="137" t="s">
        <v>1017</v>
      </c>
      <c r="B8" s="2" t="s">
        <v>1018</v>
      </c>
      <c r="C8" s="139" t="n">
        <f aca="false">Sales!B60</f>
        <v>463559.72</v>
      </c>
      <c r="D8" s="139" t="n">
        <f aca="false">Sales!C60</f>
        <v>425830.9</v>
      </c>
      <c r="E8" s="139" t="n">
        <f aca="false">Sales!D60</f>
        <v>411365.95</v>
      </c>
      <c r="F8" s="139" t="n">
        <f aca="false">Sales!E60</f>
        <v>364421.74</v>
      </c>
      <c r="G8" s="139" t="n">
        <f aca="false">Sales!F60</f>
        <v>265723.54</v>
      </c>
      <c r="H8" s="139" t="n">
        <f aca="false">Sales!G60</f>
        <v>257799.6625</v>
      </c>
      <c r="I8" s="139" t="n">
        <f aca="false">Sales!H60</f>
        <v>267500.7955</v>
      </c>
      <c r="J8" s="139" t="n">
        <f aca="false">Sales!I60</f>
        <v>268010.761</v>
      </c>
      <c r="K8" s="139" t="n">
        <f aca="false">Sales!J60</f>
        <v>297196.98</v>
      </c>
      <c r="L8" s="139" t="n">
        <f aca="false">Sales!K60</f>
        <v>368122.05</v>
      </c>
      <c r="M8" s="139" t="n">
        <f aca="false">Sales!L60</f>
        <v>402812.735</v>
      </c>
      <c r="N8" s="139" t="n">
        <f aca="false">Sales!M60</f>
        <v>442883.49</v>
      </c>
      <c r="O8" s="139" t="n">
        <f aca="false">SUM(C8:N8)</f>
        <v>4235228.324</v>
      </c>
      <c r="Q8" s="2" t="s">
        <v>1018</v>
      </c>
      <c r="R8" s="139" t="n">
        <f aca="false">Sales!Q60</f>
        <v>471124.04</v>
      </c>
      <c r="S8" s="139" t="n">
        <f aca="false">Sales!R60</f>
        <v>432736.29</v>
      </c>
      <c r="T8" s="139" t="n">
        <f aca="false">Sales!S60</f>
        <v>418021.85</v>
      </c>
      <c r="U8" s="139" t="n">
        <f aca="false">Sales!T60</f>
        <v>368402.34</v>
      </c>
      <c r="V8" s="139" t="n">
        <f aca="false">Sales!U60</f>
        <v>268976.07</v>
      </c>
      <c r="W8" s="139" t="n">
        <f aca="false">Sales!V60</f>
        <v>260993.7885</v>
      </c>
      <c r="X8" s="139" t="n">
        <f aca="false">Sales!W60</f>
        <v>271559.0735</v>
      </c>
      <c r="Y8" s="139" t="n">
        <f aca="false">Sales!X60</f>
        <v>272067.455</v>
      </c>
      <c r="Z8" s="139" t="n">
        <f aca="false">Sales!Y60</f>
        <v>301379.75</v>
      </c>
      <c r="AA8" s="139" t="n">
        <f aca="false">Sales!Z60</f>
        <v>372663.44</v>
      </c>
      <c r="AB8" s="139" t="n">
        <f aca="false">Sales!AA60</f>
        <v>407532.375</v>
      </c>
      <c r="AC8" s="139" t="n">
        <f aca="false">Sales!AB60</f>
        <v>447809.27</v>
      </c>
      <c r="AD8" s="139" t="n">
        <f aca="false">SUM(R8:AC8)</f>
        <v>4293265.742</v>
      </c>
      <c r="AF8" s="2" t="s">
        <v>1018</v>
      </c>
      <c r="AG8" s="139" t="n">
        <f aca="false">Sales!AF60</f>
        <v>471124.04</v>
      </c>
      <c r="AH8" s="139" t="n">
        <f aca="false">Sales!AG60</f>
        <v>432736.29</v>
      </c>
      <c r="AI8" s="139" t="n">
        <f aca="false">Sales!AH60</f>
        <v>418021.85</v>
      </c>
      <c r="AJ8" s="139" t="n">
        <f aca="false">Sales!AI60</f>
        <v>368402.34</v>
      </c>
      <c r="AK8" s="139" t="n">
        <f aca="false">Sales!AJ60</f>
        <v>268976.07</v>
      </c>
      <c r="AL8" s="139" t="n">
        <f aca="false">Sales!AK60</f>
        <v>260993.7885</v>
      </c>
      <c r="AM8" s="139" t="n">
        <f aca="false">Sales!AL60</f>
        <v>271559.0735</v>
      </c>
      <c r="AN8" s="139" t="n">
        <f aca="false">Sales!AM60</f>
        <v>272067.455</v>
      </c>
      <c r="AO8" s="139" t="n">
        <f aca="false">Sales!AN60</f>
        <v>301379.75</v>
      </c>
      <c r="AP8" s="139" t="n">
        <f aca="false">Sales!AO60</f>
        <v>372663.44</v>
      </c>
      <c r="AQ8" s="139" t="n">
        <f aca="false">Sales!AP60</f>
        <v>407532.375</v>
      </c>
      <c r="AR8" s="139" t="n">
        <f aca="false">Sales!AQ60</f>
        <v>447809.27</v>
      </c>
      <c r="AS8" s="139" t="n">
        <f aca="false">SUM(AG8:AR8)</f>
        <v>4293265.742</v>
      </c>
    </row>
    <row r="9" customFormat="false" ht="13.2" hidden="false" customHeight="false" outlineLevel="0" collapsed="false">
      <c r="A9" s="137" t="s">
        <v>1019</v>
      </c>
      <c r="B9" s="2" t="s">
        <v>1020</v>
      </c>
      <c r="C9" s="139" t="n">
        <f aca="false">Sales!B74</f>
        <v>67419.5791736034</v>
      </c>
      <c r="D9" s="139" t="n">
        <f aca="false">Sales!C74</f>
        <v>61443.1219151276</v>
      </c>
      <c r="E9" s="139" t="n">
        <f aca="false">Sales!D74</f>
        <v>57315.4254435091</v>
      </c>
      <c r="F9" s="139" t="n">
        <f aca="false">Sales!E74</f>
        <v>41230.3933639696</v>
      </c>
      <c r="G9" s="139" t="n">
        <f aca="false">Sales!F74</f>
        <v>18613.7536153243</v>
      </c>
      <c r="H9" s="139" t="n">
        <f aca="false">Sales!G74</f>
        <v>18251.019633524</v>
      </c>
      <c r="I9" s="139" t="n">
        <f aca="false">Sales!H74</f>
        <v>17863.0765360361</v>
      </c>
      <c r="J9" s="139" t="n">
        <f aca="false">Sales!I74</f>
        <v>17860.1607359881</v>
      </c>
      <c r="K9" s="139" t="n">
        <f aca="false">Sales!J74</f>
        <v>21613.0481442274</v>
      </c>
      <c r="L9" s="139" t="n">
        <f aca="false">Sales!K74</f>
        <v>38987.4286631181</v>
      </c>
      <c r="M9" s="139" t="n">
        <f aca="false">Sales!L74</f>
        <v>45451.2583287233</v>
      </c>
      <c r="N9" s="139" t="n">
        <f aca="false">Sales!M74</f>
        <v>51897.2883060282</v>
      </c>
      <c r="O9" s="139" t="n">
        <f aca="false">SUM(C9:N9)</f>
        <v>457945.553859179</v>
      </c>
      <c r="Q9" s="2" t="s">
        <v>1020</v>
      </c>
      <c r="R9" s="139" t="n">
        <f aca="false">Sales!Q74</f>
        <v>66122.9599176455</v>
      </c>
      <c r="S9" s="139" t="n">
        <f aca="false">Sales!R74</f>
        <v>60096.32812371</v>
      </c>
      <c r="T9" s="139" t="n">
        <f aca="false">Sales!S74</f>
        <v>55906.3537317479</v>
      </c>
      <c r="U9" s="139" t="n">
        <f aca="false">Sales!T74</f>
        <v>40107.7796947103</v>
      </c>
      <c r="V9" s="139" t="n">
        <f aca="false">Sales!U74</f>
        <v>18058.1414832912</v>
      </c>
      <c r="W9" s="139" t="n">
        <f aca="false">Sales!V74</f>
        <v>17658.7747293715</v>
      </c>
      <c r="X9" s="139" t="n">
        <f aca="false">Sales!W74</f>
        <v>17237.3450909793</v>
      </c>
      <c r="Y9" s="139" t="n">
        <f aca="false">Sales!X74</f>
        <v>17188.8351846062</v>
      </c>
      <c r="Z9" s="139" t="n">
        <f aca="false">Sales!Y74</f>
        <v>33292.524277452</v>
      </c>
      <c r="AA9" s="139" t="n">
        <f aca="false">Sales!Z74</f>
        <v>54340.975827259</v>
      </c>
      <c r="AB9" s="139" t="n">
        <f aca="false">Sales!AA74</f>
        <v>57941.4797049316</v>
      </c>
      <c r="AC9" s="139" t="n">
        <f aca="false">Sales!AB74</f>
        <v>63236.6402387007</v>
      </c>
      <c r="AD9" s="139" t="n">
        <f aca="false">SUM(R9:AC9)</f>
        <v>501188.138004405</v>
      </c>
      <c r="AF9" s="2" t="s">
        <v>1020</v>
      </c>
      <c r="AG9" s="139" t="n">
        <f aca="false">Sales!AF74</f>
        <v>62974.2475406148</v>
      </c>
      <c r="AH9" s="139" t="n">
        <f aca="false">Sales!AG74</f>
        <v>57234.5982130572</v>
      </c>
      <c r="AI9" s="139" t="n">
        <f aca="false">Sales!AH74</f>
        <v>53244.1464111885</v>
      </c>
      <c r="AJ9" s="139" t="n">
        <f aca="false">Sales!AI74</f>
        <v>38197.8854235337</v>
      </c>
      <c r="AK9" s="139" t="n">
        <f aca="false">Sales!AJ74</f>
        <v>17198.2299840869</v>
      </c>
      <c r="AL9" s="139" t="n">
        <f aca="false">Sales!AK74</f>
        <v>16817.8806946395</v>
      </c>
      <c r="AM9" s="139" t="n">
        <f aca="false">Sales!AL74</f>
        <v>16416.519134266</v>
      </c>
      <c r="AN9" s="139" t="n">
        <f aca="false">Sales!AM74</f>
        <v>16370.3192234345</v>
      </c>
      <c r="AO9" s="139" t="n">
        <f aca="false">Sales!AN74</f>
        <v>31707.1659785257</v>
      </c>
      <c r="AP9" s="139" t="n">
        <f aca="false">Sales!AO74</f>
        <v>51753.3103116752</v>
      </c>
      <c r="AQ9" s="139" t="n">
        <f aca="false">Sales!AP74</f>
        <v>55182.3616237444</v>
      </c>
      <c r="AR9" s="139" t="n">
        <f aca="false">Sales!AQ74</f>
        <v>60225.3716559054</v>
      </c>
      <c r="AS9" s="139" t="n">
        <f aca="false">SUM(AG9:AR9)</f>
        <v>477322.036194672</v>
      </c>
    </row>
    <row r="10" customFormat="false" ht="13.2" hidden="true" customHeight="false" outlineLevel="0" collapsed="false">
      <c r="A10" s="145"/>
      <c r="B10" s="2" t="s">
        <v>469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Q10" s="2" t="s">
        <v>469</v>
      </c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F10" s="2" t="s">
        <v>469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</row>
    <row r="11" customFormat="false" ht="13.2" hidden="false" customHeight="false" outlineLevel="0" collapsed="false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</row>
    <row r="12" customFormat="false" ht="13.8" hidden="false" customHeight="false" outlineLevel="0" collapsed="false">
      <c r="B12" s="285" t="s">
        <v>66</v>
      </c>
      <c r="C12" s="189" t="n">
        <f aca="false">SUM(C7:C10)</f>
        <v>3700450.76087371</v>
      </c>
      <c r="D12" s="189" t="n">
        <f aca="false">SUM(D7:D10)</f>
        <v>3482848.28414269</v>
      </c>
      <c r="E12" s="189" t="n">
        <f aca="false">SUM(E7:E10)</f>
        <v>3594323.01569508</v>
      </c>
      <c r="F12" s="189" t="n">
        <f aca="false">SUM(F7:F10)</f>
        <v>3373825.29566822</v>
      </c>
      <c r="G12" s="189" t="n">
        <f aca="false">SUM(G7:G10)</f>
        <v>3252190.63983467</v>
      </c>
      <c r="H12" s="189" t="n">
        <f aca="false">SUM(H7:H10)</f>
        <v>3206837.69805171</v>
      </c>
      <c r="I12" s="189" t="n">
        <f aca="false">SUM(I7:I10)</f>
        <v>4004275.71723326</v>
      </c>
      <c r="J12" s="189" t="n">
        <f aca="false">SUM(J7:J10)</f>
        <v>3929992.64313849</v>
      </c>
      <c r="K12" s="189" t="n">
        <f aca="false">SUM(K7:K10)</f>
        <v>3918585.40156596</v>
      </c>
      <c r="L12" s="189" t="n">
        <f aca="false">SUM(L7:L10)</f>
        <v>4266877.82050289</v>
      </c>
      <c r="M12" s="189" t="n">
        <f aca="false">SUM(M7:M10)</f>
        <v>4097666.2036261</v>
      </c>
      <c r="N12" s="189" t="n">
        <f aca="false">SUM(N7:N10)</f>
        <v>4178303.93516216</v>
      </c>
      <c r="O12" s="189" t="n">
        <f aca="false">SUM(O7:O10)</f>
        <v>45006177.4154949</v>
      </c>
      <c r="Q12" s="2" t="s">
        <v>66</v>
      </c>
      <c r="R12" s="189" t="n">
        <f aca="false">SUM(R7:R10)</f>
        <v>3870321.19354366</v>
      </c>
      <c r="S12" s="189" t="n">
        <f aca="false">SUM(S7:S10)</f>
        <v>3630672.82150009</v>
      </c>
      <c r="T12" s="189" t="n">
        <f aca="false">SUM(T7:T10)</f>
        <v>3739554.40003073</v>
      </c>
      <c r="U12" s="189" t="n">
        <f aca="false">SUM(U7:U10)</f>
        <v>3438356.68871689</v>
      </c>
      <c r="V12" s="189" t="n">
        <f aca="false">SUM(V7:V10)</f>
        <v>3337801.29997932</v>
      </c>
      <c r="W12" s="189" t="n">
        <f aca="false">SUM(W7:W10)</f>
        <v>2814638.9704704</v>
      </c>
      <c r="X12" s="189" t="n">
        <f aca="false">SUM(X7:X10)</f>
        <v>4055976.33949449</v>
      </c>
      <c r="Y12" s="189" t="n">
        <f aca="false">SUM(Y7:Y10)</f>
        <v>3932143.13228524</v>
      </c>
      <c r="Z12" s="189" t="n">
        <f aca="false">SUM(Z7:Z10)</f>
        <v>3633916.56605048</v>
      </c>
      <c r="AA12" s="189" t="n">
        <f aca="false">SUM(AA7:AA10)</f>
        <v>4390992.51563415</v>
      </c>
      <c r="AB12" s="189" t="n">
        <f aca="false">SUM(AB7:AB10)</f>
        <v>4189088.29987937</v>
      </c>
      <c r="AC12" s="189" t="n">
        <f aca="false">SUM(AC7:AC10)</f>
        <v>4351115.3862058</v>
      </c>
      <c r="AD12" s="189" t="n">
        <f aca="false">SUM(AD7:AD10)</f>
        <v>45384577.6137906</v>
      </c>
      <c r="AF12" s="2" t="s">
        <v>66</v>
      </c>
      <c r="AG12" s="189" t="n">
        <f aca="false">SUM(AG7:AG10)</f>
        <v>3775407.24467389</v>
      </c>
      <c r="AH12" s="189" t="n">
        <f aca="false">SUM(AH7:AH10)</f>
        <v>3613206.48897972</v>
      </c>
      <c r="AI12" s="189" t="n">
        <f aca="false">SUM(AI7:AI10)</f>
        <v>3758871.63002284</v>
      </c>
      <c r="AJ12" s="189" t="n">
        <f aca="false">SUM(AJ7:AJ10)</f>
        <v>3438049.33522782</v>
      </c>
      <c r="AK12" s="189" t="n">
        <f aca="false">SUM(AK7:AK10)</f>
        <v>3178587.93169776</v>
      </c>
      <c r="AL12" s="189" t="n">
        <f aca="false">SUM(AL7:AL10)</f>
        <v>3221541.18659727</v>
      </c>
      <c r="AM12" s="189" t="n">
        <f aca="false">SUM(AM7:AM10)</f>
        <v>4020380.08139516</v>
      </c>
      <c r="AN12" s="189" t="n">
        <f aca="false">SUM(AN7:AN10)</f>
        <v>4005792.24488449</v>
      </c>
      <c r="AO12" s="189" t="n">
        <f aca="false">SUM(AO7:AO10)</f>
        <v>3995898.51686365</v>
      </c>
      <c r="AP12" s="189" t="n">
        <f aca="false">SUM(AP7:AP10)</f>
        <v>4236468.26959065</v>
      </c>
      <c r="AQ12" s="189" t="n">
        <f aca="false">SUM(AQ7:AQ10)</f>
        <v>4177959.69367581</v>
      </c>
      <c r="AR12" s="189" t="n">
        <f aca="false">SUM(AR7:AR10)</f>
        <v>4374137.93852891</v>
      </c>
      <c r="AS12" s="189" t="n">
        <f aca="false">SUM(AS7:AS10)</f>
        <v>45796300.562138</v>
      </c>
    </row>
    <row r="13" customFormat="false" ht="13.8" hidden="false" customHeight="false" outlineLevel="0" collapsed="false"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</row>
    <row r="14" customFormat="false" ht="13.2" hidden="false" customHeight="false" outlineLevel="0" collapsed="false"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</row>
    <row r="15" customFormat="false" ht="13.2" hidden="false" customHeight="false" outlineLevel="0" collapsed="false"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Q15" s="287" t="s">
        <v>1155</v>
      </c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F15" s="287" t="s">
        <v>1155</v>
      </c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</row>
    <row r="16" customFormat="false" ht="13.2" hidden="true" customHeight="false" outlineLevel="0" collapsed="false"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</row>
    <row r="17" customFormat="false" ht="17.4" hidden="false" customHeight="false" outlineLevel="0" collapsed="false">
      <c r="B17" s="101" t="s">
        <v>1156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Q17" s="287" t="s">
        <v>1157</v>
      </c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F17" s="287" t="s">
        <v>1157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</row>
    <row r="18" customFormat="false" ht="13.2" hidden="false" customHeight="false" outlineLevel="0" collapsed="false">
      <c r="C18" s="8" t="s">
        <v>41</v>
      </c>
      <c r="D18" s="8" t="s">
        <v>42</v>
      </c>
      <c r="E18" s="8" t="s">
        <v>43</v>
      </c>
      <c r="F18" s="8" t="s">
        <v>44</v>
      </c>
      <c r="G18" s="8" t="s">
        <v>45</v>
      </c>
      <c r="H18" s="8" t="s">
        <v>46</v>
      </c>
      <c r="I18" s="8" t="s">
        <v>47</v>
      </c>
      <c r="J18" s="8" t="s">
        <v>48</v>
      </c>
      <c r="K18" s="8" t="s">
        <v>49</v>
      </c>
      <c r="L18" s="8" t="s">
        <v>50</v>
      </c>
      <c r="M18" s="8" t="s">
        <v>51</v>
      </c>
      <c r="N18" s="8" t="s">
        <v>52</v>
      </c>
      <c r="O18" s="206" t="s">
        <v>66</v>
      </c>
      <c r="R18" s="8" t="s">
        <v>41</v>
      </c>
      <c r="S18" s="8" t="s">
        <v>42</v>
      </c>
      <c r="T18" s="8" t="s">
        <v>43</v>
      </c>
      <c r="U18" s="8" t="s">
        <v>44</v>
      </c>
      <c r="V18" s="8" t="s">
        <v>45</v>
      </c>
      <c r="W18" s="8" t="s">
        <v>46</v>
      </c>
      <c r="X18" s="8" t="s">
        <v>47</v>
      </c>
      <c r="Y18" s="8" t="s">
        <v>48</v>
      </c>
      <c r="Z18" s="8" t="s">
        <v>49</v>
      </c>
      <c r="AA18" s="8" t="s">
        <v>50</v>
      </c>
      <c r="AB18" s="8" t="s">
        <v>51</v>
      </c>
      <c r="AC18" s="8" t="s">
        <v>52</v>
      </c>
      <c r="AD18" s="206" t="s">
        <v>66</v>
      </c>
      <c r="AG18" s="8" t="s">
        <v>41</v>
      </c>
      <c r="AH18" s="8" t="s">
        <v>42</v>
      </c>
      <c r="AI18" s="8" t="s">
        <v>43</v>
      </c>
      <c r="AJ18" s="8" t="s">
        <v>44</v>
      </c>
      <c r="AK18" s="8" t="s">
        <v>45</v>
      </c>
      <c r="AL18" s="8" t="s">
        <v>46</v>
      </c>
      <c r="AM18" s="8" t="s">
        <v>47</v>
      </c>
      <c r="AN18" s="8" t="s">
        <v>48</v>
      </c>
      <c r="AO18" s="8" t="s">
        <v>49</v>
      </c>
      <c r="AP18" s="8" t="s">
        <v>50</v>
      </c>
      <c r="AQ18" s="8" t="s">
        <v>51</v>
      </c>
      <c r="AR18" s="8" t="s">
        <v>52</v>
      </c>
      <c r="AS18" s="206" t="s">
        <v>66</v>
      </c>
    </row>
    <row r="19" customFormat="false" ht="13.2" hidden="false" customHeight="false" outlineLevel="0" collapsed="false">
      <c r="A19" s="141" t="s">
        <v>1022</v>
      </c>
      <c r="B19" s="144" t="str">
        <f aca="false">'O&amp;M Budget'!A5</f>
        <v>MATERIALS AND ENERGY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Q19" s="144" t="s">
        <v>1158</v>
      </c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F19" s="144" t="s">
        <v>1158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</row>
    <row r="20" customFormat="false" ht="13.2" hidden="false" customHeight="false" outlineLevel="0" collapsed="false">
      <c r="A20" s="137" t="s">
        <v>1023</v>
      </c>
      <c r="B20" s="45" t="s">
        <v>1159</v>
      </c>
      <c r="C20" s="139" t="n">
        <f aca="false">Gas!B12</f>
        <v>2494851.4658202</v>
      </c>
      <c r="D20" s="139" t="n">
        <f aca="false">Gas!C12</f>
        <v>2259088.0037953</v>
      </c>
      <c r="E20" s="139" t="n">
        <f aca="false">Gas!D12</f>
        <v>2450879.3781635</v>
      </c>
      <c r="F20" s="139" t="n">
        <f aca="false">Gas!E12</f>
        <v>2235546.3389333</v>
      </c>
      <c r="G20" s="139" t="n">
        <f aca="false">Gas!F12</f>
        <v>2247544.2591057</v>
      </c>
      <c r="H20" s="139" t="n">
        <f aca="false">Gas!G12</f>
        <v>2198769.6915352</v>
      </c>
      <c r="I20" s="139" t="n">
        <f aca="false">Gas!H12</f>
        <v>2424694.25205</v>
      </c>
      <c r="J20" s="139" t="n">
        <f aca="false">Gas!I12</f>
        <v>2348705.2364483</v>
      </c>
      <c r="K20" s="139" t="n">
        <f aca="false">Gas!J12</f>
        <v>2298678.75691405</v>
      </c>
      <c r="L20" s="139" t="n">
        <f aca="false">Gas!K12</f>
        <v>2610856.13838665</v>
      </c>
      <c r="M20" s="139" t="n">
        <f aca="false">Gas!L12</f>
        <v>2378626.8692486</v>
      </c>
      <c r="N20" s="139" t="n">
        <f aca="false">Gas!M12</f>
        <v>2429143.23678285</v>
      </c>
      <c r="O20" s="139" t="n">
        <f aca="false">SUM(C20:N20)</f>
        <v>28377383.6271836</v>
      </c>
      <c r="Q20" s="45" t="s">
        <v>1159</v>
      </c>
      <c r="R20" s="139" t="n">
        <f aca="false">Gas!Q12</f>
        <v>2565994.294</v>
      </c>
      <c r="S20" s="139" t="n">
        <f aca="false">Gas!R12</f>
        <v>2323803.6635</v>
      </c>
      <c r="T20" s="139" t="n">
        <f aca="false">Gas!S12</f>
        <v>2519564.166</v>
      </c>
      <c r="U20" s="139" t="n">
        <f aca="false">Gas!T12</f>
        <v>2320478.656</v>
      </c>
      <c r="V20" s="139" t="n">
        <f aca="false">Gas!U12</f>
        <v>2333590.992</v>
      </c>
      <c r="W20" s="139" t="n">
        <f aca="false">Gas!V12</f>
        <v>2283532.556</v>
      </c>
      <c r="X20" s="139" t="n">
        <f aca="false">Gas!W12</f>
        <v>2444994.024</v>
      </c>
      <c r="Y20" s="139" t="n">
        <f aca="false">Gas!X12</f>
        <v>2368146.136</v>
      </c>
      <c r="Z20" s="139" t="n">
        <f aca="false">Gas!Y12</f>
        <v>2316734.656</v>
      </c>
      <c r="AA20" s="139" t="n">
        <f aca="false">Gas!Z12</f>
        <v>2650822.428</v>
      </c>
      <c r="AB20" s="139" t="n">
        <f aca="false">Gas!AA12</f>
        <v>2460003.724</v>
      </c>
      <c r="AC20" s="139" t="n">
        <f aca="false">Gas!AB12</f>
        <v>2511905.092</v>
      </c>
      <c r="AD20" s="139" t="n">
        <f aca="false">SUM(R20:AC20)</f>
        <v>29099570.3875</v>
      </c>
      <c r="AF20" s="45" t="s">
        <v>1159</v>
      </c>
      <c r="AG20" s="139" t="n">
        <f aca="false">Gas!AF12</f>
        <v>2565994.294</v>
      </c>
      <c r="AH20" s="139" t="n">
        <f aca="false">Gas!AG12</f>
        <v>2323803.6635</v>
      </c>
      <c r="AI20" s="139" t="n">
        <f aca="false">Gas!AH12</f>
        <v>2519564.166</v>
      </c>
      <c r="AJ20" s="139" t="n">
        <f aca="false">Gas!AI12</f>
        <v>2320478.656</v>
      </c>
      <c r="AK20" s="139" t="n">
        <f aca="false">Gas!AJ12</f>
        <v>2333590.992</v>
      </c>
      <c r="AL20" s="139" t="n">
        <f aca="false">Gas!AK12</f>
        <v>2283532.556</v>
      </c>
      <c r="AM20" s="139" t="n">
        <f aca="false">Gas!AL12</f>
        <v>2444994.024</v>
      </c>
      <c r="AN20" s="139" t="n">
        <f aca="false">Gas!AM12</f>
        <v>2368146.136</v>
      </c>
      <c r="AO20" s="139" t="n">
        <f aca="false">Gas!AN12</f>
        <v>2316734.656</v>
      </c>
      <c r="AP20" s="139" t="n">
        <f aca="false">Gas!AO12</f>
        <v>2650822.428</v>
      </c>
      <c r="AQ20" s="139" t="n">
        <f aca="false">Gas!AP12</f>
        <v>2460003.724</v>
      </c>
      <c r="AR20" s="139" t="n">
        <f aca="false">Gas!AQ12</f>
        <v>2511905.092</v>
      </c>
      <c r="AS20" s="139" t="n">
        <f aca="false">SUM(AG20:AR20)</f>
        <v>29099570.3875</v>
      </c>
    </row>
    <row r="21" customFormat="false" ht="13.2" hidden="false" customHeight="false" outlineLevel="0" collapsed="false">
      <c r="A21" s="207" t="s">
        <v>172</v>
      </c>
      <c r="B21" s="45" t="s">
        <v>1160</v>
      </c>
      <c r="C21" s="139" t="n">
        <f aca="false">Materials!C7/Factors!C11</f>
        <v>6822.02174832091</v>
      </c>
      <c r="D21" s="139" t="n">
        <f aca="false">Materials!D7/Factors!D11</f>
        <v>6812.49758552908</v>
      </c>
      <c r="E21" s="139" t="n">
        <f aca="false">Materials!E7/Factors!E11</f>
        <v>6802.99997885736</v>
      </c>
      <c r="F21" s="139" t="n">
        <f aca="false">Materials!F7/Factors!F11</f>
        <v>6793.52881739117</v>
      </c>
      <c r="G21" s="139" t="n">
        <f aca="false">Materials!G7/Factors!G11</f>
        <v>6784.08399083273</v>
      </c>
      <c r="H21" s="139" t="n">
        <f aca="false">Materials!H7/Factors!H11</f>
        <v>6774.66538949678</v>
      </c>
      <c r="I21" s="139" t="n">
        <f aca="false">Materials!I7/Factors!I11</f>
        <v>6765.27290430635</v>
      </c>
      <c r="J21" s="139" t="n">
        <f aca="false">Materials!J7/Factors!J11</f>
        <v>6755.90642678852</v>
      </c>
      <c r="K21" s="139" t="n">
        <f aca="false">Materials!K7/Factors!K11</f>
        <v>6746.56584907027</v>
      </c>
      <c r="L21" s="139" t="n">
        <f aca="false">Materials!L7/Factors!L11</f>
        <v>6737.25106387431</v>
      </c>
      <c r="M21" s="139" t="n">
        <f aca="false">Materials!M7/Factors!M11</f>
        <v>6727.96196451502</v>
      </c>
      <c r="N21" s="139" t="n">
        <f aca="false">Materials!N7/Factors!N11</f>
        <v>6718.69844489433</v>
      </c>
      <c r="O21" s="139" t="n">
        <f aca="false">SUM(C21:N21)</f>
        <v>81241.4541638768</v>
      </c>
      <c r="Q21" s="45" t="s">
        <v>1160</v>
      </c>
      <c r="R21" s="139" t="n">
        <f aca="false">Materials!R7/Factors!R11</f>
        <v>8305.29543785013</v>
      </c>
      <c r="S21" s="139" t="n">
        <f aca="false">Materials!S7/Factors!S11</f>
        <v>8270.97603521439</v>
      </c>
      <c r="T21" s="139" t="n">
        <f aca="false">Materials!T7/Factors!T11</f>
        <v>8236.93909679787</v>
      </c>
      <c r="U21" s="139" t="n">
        <f aca="false">Materials!U7/Factors!U11</f>
        <v>8203.18114967984</v>
      </c>
      <c r="V21" s="139" t="n">
        <f aca="false">Materials!V7/Factors!V11</f>
        <v>8169.69877764033</v>
      </c>
      <c r="W21" s="139" t="n">
        <f aca="false">Materials!W7/Factors!W11</f>
        <v>8136.48862000765</v>
      </c>
      <c r="X21" s="139" t="n">
        <f aca="false">Materials!X7/Factors!X11</f>
        <v>8103.54737053393</v>
      </c>
      <c r="Y21" s="139" t="n">
        <f aca="false">Materials!Y7/Factors!Y11</f>
        <v>8070.87177629791</v>
      </c>
      <c r="Z21" s="139" t="n">
        <f aca="false">Materials!Z7/Factors!Z11</f>
        <v>8038.45863663406</v>
      </c>
      <c r="AA21" s="139" t="n">
        <f aca="false">Materials!AA7/Factors!AA11</f>
        <v>8006.30480208753</v>
      </c>
      <c r="AB21" s="139" t="n">
        <f aca="false">Materials!AB7/Factors!AB11</f>
        <v>7974.40717339395</v>
      </c>
      <c r="AC21" s="139" t="n">
        <f aca="false">Materials!AC7/Factors!AC11</f>
        <v>7942.76270048366</v>
      </c>
      <c r="AD21" s="139" t="n">
        <f aca="false">SUM(R21:AC21)</f>
        <v>97458.9315766212</v>
      </c>
      <c r="AF21" s="45" t="s">
        <v>1160</v>
      </c>
      <c r="AG21" s="139" t="n">
        <f aca="false">Materials!AG7/Factors!AG11</f>
        <v>7909.80517890489</v>
      </c>
      <c r="AH21" s="139" t="n">
        <f aca="false">Materials!AH7/Factors!AH11</f>
        <v>7877.12003353751</v>
      </c>
      <c r="AI21" s="139" t="n">
        <f aca="false">Materials!AI7/Factors!AI11</f>
        <v>7844.70390171226</v>
      </c>
      <c r="AJ21" s="139" t="n">
        <f aca="false">Materials!AJ7/Factors!AJ11</f>
        <v>7812.55347588557</v>
      </c>
      <c r="AK21" s="139" t="n">
        <f aca="false">Materials!AK7/Factors!AK11</f>
        <v>7780.6655025146</v>
      </c>
      <c r="AL21" s="139" t="n">
        <f aca="false">Materials!AL7/Factors!AL11</f>
        <v>7749.03678095967</v>
      </c>
      <c r="AM21" s="139" t="n">
        <f aca="false">Materials!AM7/Factors!AM11</f>
        <v>7717.66416241327</v>
      </c>
      <c r="AN21" s="139" t="n">
        <f aca="false">Materials!AN7/Factors!AN11</f>
        <v>7686.54454885515</v>
      </c>
      <c r="AO21" s="139" t="n">
        <f aca="false">Materials!AO7/Factors!AO11</f>
        <v>7655.67489203244</v>
      </c>
      <c r="AP21" s="139" t="n">
        <f aca="false">Materials!AP7/Factors!AP11</f>
        <v>7625.05219246431</v>
      </c>
      <c r="AQ21" s="139" t="n">
        <f aca="false">Materials!AQ7/Factors!AQ11</f>
        <v>7594.67349847043</v>
      </c>
      <c r="AR21" s="139" t="n">
        <f aca="false">Materials!AR7/Factors!AR11</f>
        <v>7564.53590522253</v>
      </c>
      <c r="AS21" s="139" t="n">
        <f aca="false">SUM(AG21:AR21)</f>
        <v>92818.0300729726</v>
      </c>
    </row>
    <row r="22" customFormat="false" ht="13.2" hidden="false" customHeight="false" outlineLevel="0" collapsed="false">
      <c r="A22" s="207" t="s">
        <v>190</v>
      </c>
      <c r="B22" s="45" t="s">
        <v>1161</v>
      </c>
      <c r="C22" s="139" t="n">
        <f aca="false">Materials!C13/Factors!C11</f>
        <v>8468.49269309373</v>
      </c>
      <c r="D22" s="139" t="n">
        <f aca="false">Materials!D13/Factors!D11</f>
        <v>8456.66990712411</v>
      </c>
      <c r="E22" s="139" t="n">
        <f aca="false">Materials!E13/Factors!E11</f>
        <v>8444.88008650075</v>
      </c>
      <c r="F22" s="139" t="n">
        <f aca="false">Materials!F13/Factors!F11</f>
        <v>8433.12309354023</v>
      </c>
      <c r="G22" s="139" t="n">
        <f aca="false">Materials!G13/Factors!G11</f>
        <v>8421.39879132478</v>
      </c>
      <c r="H22" s="139" t="n">
        <f aca="false">Materials!H13/Factors!H11</f>
        <v>8409.707043697</v>
      </c>
      <c r="I22" s="139" t="n">
        <f aca="false">Materials!I13/Factors!I11</f>
        <v>8398.04771525456</v>
      </c>
      <c r="J22" s="139" t="n">
        <f aca="false">Materials!J13/Factors!J11</f>
        <v>8386.42067134499</v>
      </c>
      <c r="K22" s="139" t="n">
        <f aca="false">Materials!K13/Factors!K11</f>
        <v>8374.82577806049</v>
      </c>
      <c r="L22" s="139" t="n">
        <f aca="false">Materials!L13/Factors!L11</f>
        <v>8363.26290223279</v>
      </c>
      <c r="M22" s="139" t="n">
        <f aca="false">Materials!M13/Factors!M11</f>
        <v>8351.73191142806</v>
      </c>
      <c r="N22" s="139" t="n">
        <f aca="false">Materials!N13/Factors!N11</f>
        <v>8340.23267394183</v>
      </c>
      <c r="O22" s="139" t="n">
        <f aca="false">SUM(C22:N22)</f>
        <v>100848.793267543</v>
      </c>
      <c r="Q22" s="45" t="s">
        <v>1161</v>
      </c>
      <c r="R22" s="139" t="n">
        <f aca="false">Materials!R13/Factors!R11</f>
        <v>8305.62589936116</v>
      </c>
      <c r="S22" s="139" t="n">
        <f aca="false">Materials!S13/Factors!S11</f>
        <v>8271.30513118198</v>
      </c>
      <c r="T22" s="139" t="n">
        <f aca="false">Materials!T13/Factors!T11</f>
        <v>8237.26683846107</v>
      </c>
      <c r="U22" s="139" t="n">
        <f aca="false">Materials!U13/Factors!U11</f>
        <v>8203.5075481395</v>
      </c>
      <c r="V22" s="139" t="n">
        <f aca="false">Materials!V13/Factors!V11</f>
        <v>8170.02384386138</v>
      </c>
      <c r="W22" s="139" t="n">
        <f aca="false">Materials!W13/Factors!W11</f>
        <v>8136.8123648213</v>
      </c>
      <c r="X22" s="139" t="n">
        <f aca="false">Materials!X13/Factors!X11</f>
        <v>8103.86980463984</v>
      </c>
      <c r="Y22" s="139" t="n">
        <f aca="false">Materials!Y13/Factors!Y11</f>
        <v>8071.19291026629</v>
      </c>
      <c r="Z22" s="139" t="n">
        <f aca="false">Materials!Z13/Factors!Z11</f>
        <v>8038.77848090779</v>
      </c>
      <c r="AA22" s="139" t="n">
        <f aca="false">Materials!AA13/Factors!AA11</f>
        <v>8006.62336698416</v>
      </c>
      <c r="AB22" s="139" t="n">
        <f aca="false">Materials!AB13/Factors!AB11</f>
        <v>7974.72446910773</v>
      </c>
      <c r="AC22" s="139" t="n">
        <f aca="false">Materials!AC13/Factors!AC11</f>
        <v>7943.07873708746</v>
      </c>
      <c r="AD22" s="139" t="n">
        <f aca="false">SUM(R22:AC22)</f>
        <v>97462.8093948197</v>
      </c>
      <c r="AF22" s="45" t="s">
        <v>1161</v>
      </c>
      <c r="AG22" s="139" t="n">
        <f aca="false">Materials!AG13/Factors!AG11</f>
        <v>7910.11990415349</v>
      </c>
      <c r="AH22" s="139" t="n">
        <f aca="false">Materials!AH13/Factors!AH11</f>
        <v>7877.43345826855</v>
      </c>
      <c r="AI22" s="139" t="n">
        <f aca="false">Materials!AI13/Factors!AI11</f>
        <v>7845.01603662959</v>
      </c>
      <c r="AJ22" s="139" t="n">
        <f aca="false">Materials!AJ13/Factors!AJ11</f>
        <v>7812.86433156143</v>
      </c>
      <c r="AK22" s="139" t="n">
        <f aca="false">Materials!AK13/Factors!AK11</f>
        <v>7780.9750893918</v>
      </c>
      <c r="AL22" s="139" t="n">
        <f aca="false">Materials!AL13/Factors!AL11</f>
        <v>7749.34510935362</v>
      </c>
      <c r="AM22" s="139" t="n">
        <f aca="false">Materials!AM13/Factors!AM11</f>
        <v>7717.97124251413</v>
      </c>
      <c r="AN22" s="139" t="n">
        <f aca="false">Materials!AN13/Factors!AN11</f>
        <v>7686.8503907298</v>
      </c>
      <c r="AO22" s="139" t="n">
        <f aca="false">Materials!AO13/Factors!AO11</f>
        <v>7655.97950562647</v>
      </c>
      <c r="AP22" s="139" t="n">
        <f aca="false">Materials!AP13/Factors!AP11</f>
        <v>7625.35558760396</v>
      </c>
      <c r="AQ22" s="139" t="n">
        <f aca="false">Materials!AQ13/Factors!AQ11</f>
        <v>7594.9756848645</v>
      </c>
      <c r="AR22" s="139" t="n">
        <f aca="false">Materials!AR13/Factors!AR11</f>
        <v>7564.83689246425</v>
      </c>
      <c r="AS22" s="139" t="n">
        <f aca="false">SUM(AG22:AR22)</f>
        <v>92821.7232331616</v>
      </c>
    </row>
    <row r="23" customFormat="false" ht="13.2" hidden="false" customHeight="false" outlineLevel="0" collapsed="false">
      <c r="A23" s="207" t="s">
        <v>175</v>
      </c>
      <c r="B23" s="45" t="s">
        <v>176</v>
      </c>
      <c r="C23" s="139" t="n">
        <f aca="false">Materials!C8/Factors!C$11</f>
        <v>29046.6897792804</v>
      </c>
      <c r="D23" s="139" t="n">
        <f aca="false">Materials!D8/Factors!D$11</f>
        <v>26685.6469219921</v>
      </c>
      <c r="E23" s="139" t="n">
        <f aca="false">Materials!E8/Factors!E$11</f>
        <v>26648.4432716328</v>
      </c>
      <c r="F23" s="139" t="n">
        <f aca="false">Materials!F8/Factors!F$11</f>
        <v>27768.3581336242</v>
      </c>
      <c r="G23" s="139" t="n">
        <f aca="false">Materials!G8/Factors!G$11</f>
        <v>27729.7526704792</v>
      </c>
      <c r="H23" s="139" t="n">
        <f aca="false">Materials!H8/Factors!H$11</f>
        <v>29998.8589357103</v>
      </c>
      <c r="I23" s="139" t="n">
        <f aca="false">Materials!I8/Factors!I$11</f>
        <v>29957.2681231632</v>
      </c>
      <c r="J23" s="139" t="n">
        <f aca="false">Materials!J8/Factors!J$11</f>
        <v>29915.7924750497</v>
      </c>
      <c r="K23" s="139" t="n">
        <f aca="false">Materials!K8/Factors!K$11</f>
        <v>29874.4315136976</v>
      </c>
      <c r="L23" s="139" t="n">
        <f aca="false">Materials!L8/Factors!L$11</f>
        <v>28685.7545808396</v>
      </c>
      <c r="M23" s="139" t="n">
        <f aca="false">Materials!M8/Factors!M$11</f>
        <v>28646.2036093868</v>
      </c>
      <c r="N23" s="139" t="n">
        <f aca="false">Materials!N8/Factors!N$11</f>
        <v>27462.4910888793</v>
      </c>
      <c r="O23" s="139" t="n">
        <f aca="false">SUM(C23:N23)</f>
        <v>342419.691103735</v>
      </c>
      <c r="Q23" s="45" t="s">
        <v>176</v>
      </c>
      <c r="R23" s="139" t="n">
        <f aca="false">Materials!R8/Factors!R$11</f>
        <v>29627.5837473387</v>
      </c>
      <c r="S23" s="139" t="n">
        <f aca="false">Materials!S8/Factors!S$11</f>
        <v>27144.7432580989</v>
      </c>
      <c r="T23" s="139" t="n">
        <f aca="false">Materials!T8/Factors!T$11</f>
        <v>27033.0364957199</v>
      </c>
      <c r="U23" s="139" t="n">
        <f aca="false">Materials!U8/Factors!U$11</f>
        <v>28092.7777696077</v>
      </c>
      <c r="V23" s="139" t="n">
        <f aca="false">Materials!V8/Factors!V$11</f>
        <v>27978.1133705481</v>
      </c>
      <c r="W23" s="139" t="n">
        <f aca="false">Materials!W8/Factors!W$11</f>
        <v>30186.4129692397</v>
      </c>
      <c r="X23" s="139" t="n">
        <f aca="false">Materials!X8/Factors!X$11</f>
        <v>30064.2007709837</v>
      </c>
      <c r="Y23" s="139" t="n">
        <f aca="false">Materials!Y8/Factors!Y$11</f>
        <v>29942.9741549717</v>
      </c>
      <c r="Z23" s="139" t="n">
        <f aca="false">Materials!Z8/Factors!Z$11</f>
        <v>29822.7212467188</v>
      </c>
      <c r="AA23" s="139" t="n">
        <f aca="false">Materials!AA8/Factors!AA$11</f>
        <v>28560.9907324345</v>
      </c>
      <c r="AB23" s="139" t="n">
        <f aca="false">Materials!AB8/Factors!AB$11</f>
        <v>28447.2019247356</v>
      </c>
      <c r="AC23" s="139" t="n">
        <f aca="false">Materials!AC8/Factors!AC$11</f>
        <v>27200.9435546995</v>
      </c>
      <c r="AD23" s="139" t="n">
        <f aca="false">SUM(R23:AC23)</f>
        <v>344101.699995097</v>
      </c>
      <c r="AF23" s="45" t="s">
        <v>176</v>
      </c>
      <c r="AG23" s="139" t="n">
        <f aca="false">Materials!AG8/Factors!AG$11</f>
        <v>29909.7512115991</v>
      </c>
      <c r="AH23" s="139" t="n">
        <f aca="false">Materials!AH8/Factors!AH$11</f>
        <v>27403.2646224618</v>
      </c>
      <c r="AI23" s="139" t="n">
        <f aca="false">Materials!AI8/Factors!AI$11</f>
        <v>27290.4939861553</v>
      </c>
      <c r="AJ23" s="139" t="n">
        <f aca="false">Materials!AJ8/Factors!AJ$11</f>
        <v>28360.3280340802</v>
      </c>
      <c r="AK23" s="139" t="n">
        <f aca="false">Materials!AK8/Factors!AK$11</f>
        <v>28244.5715931247</v>
      </c>
      <c r="AL23" s="139" t="n">
        <f aca="false">Materials!AL8/Factors!AL$11</f>
        <v>30473.9026165658</v>
      </c>
      <c r="AM23" s="139" t="n">
        <f aca="false">Materials!AM8/Factors!AM$11</f>
        <v>30350.5264926121</v>
      </c>
      <c r="AN23" s="139" t="n">
        <f aca="false">Materials!AN8/Factors!AN$11</f>
        <v>30228.1453374</v>
      </c>
      <c r="AO23" s="139" t="n">
        <f aca="false">Materials!AO8/Factors!AO$11</f>
        <v>30106.7471633542</v>
      </c>
      <c r="AP23" s="139" t="n">
        <f aca="false">Materials!AP8/Factors!AP$11</f>
        <v>28833.0001679815</v>
      </c>
      <c r="AQ23" s="139" t="n">
        <f aca="false">Materials!AQ8/Factors!AQ$11</f>
        <v>28718.1276573521</v>
      </c>
      <c r="AR23" s="139" t="n">
        <f aca="false">Materials!AR8/Factors!AR$11</f>
        <v>27460.0001599824</v>
      </c>
      <c r="AS23" s="139" t="n">
        <f aca="false">SUM(AG23:AR23)</f>
        <v>347378.859042669</v>
      </c>
    </row>
    <row r="24" customFormat="false" ht="13.2" hidden="false" customHeight="false" outlineLevel="0" collapsed="false">
      <c r="A24" s="207" t="s">
        <v>178</v>
      </c>
      <c r="B24" s="45" t="s">
        <v>1162</v>
      </c>
      <c r="C24" s="139" t="n">
        <f aca="false">Materials!C9/Factors!C$11</f>
        <v>4647.47036468486</v>
      </c>
      <c r="D24" s="139" t="n">
        <f aca="false">Materials!D9/Factors!D$11</f>
        <v>4640.98207338993</v>
      </c>
      <c r="E24" s="139" t="n">
        <f aca="false">Materials!E9/Factors!E$11</f>
        <v>4634.51187332745</v>
      </c>
      <c r="F24" s="139" t="n">
        <f aca="false">Materials!F9/Factors!F$11</f>
        <v>4628.05968893737</v>
      </c>
      <c r="G24" s="139" t="n">
        <f aca="false">Materials!G9/Factors!G$11</f>
        <v>4621.62544507986</v>
      </c>
      <c r="H24" s="139" t="n">
        <f aca="false">Materials!H9/Factors!H$11</f>
        <v>4615.20906703235</v>
      </c>
      <c r="I24" s="139" t="n">
        <f aca="false">Materials!I9/Factors!I$11</f>
        <v>4608.81048048665</v>
      </c>
      <c r="J24" s="139" t="n">
        <f aca="false">Materials!J9/Factors!J$11</f>
        <v>4602.4296115461</v>
      </c>
      <c r="K24" s="139" t="n">
        <f aca="false">Materials!K9/Factors!K$11</f>
        <v>4596.06638672271</v>
      </c>
      <c r="L24" s="139" t="n">
        <f aca="false">Materials!L9/Factors!L$11</f>
        <v>4589.72073293434</v>
      </c>
      <c r="M24" s="139" t="n">
        <f aca="false">Materials!M9/Factors!M$11</f>
        <v>4583.39257750189</v>
      </c>
      <c r="N24" s="139" t="n">
        <f aca="false">Materials!N9/Factors!N$11</f>
        <v>4577.08184814656</v>
      </c>
      <c r="O24" s="139" t="n">
        <f aca="false">SUM(C24:N24)</f>
        <v>55345.3601497901</v>
      </c>
      <c r="P24" s="139"/>
      <c r="Q24" s="45" t="s">
        <v>1162</v>
      </c>
      <c r="R24" s="139" t="n">
        <f aca="false">Materials!R9/Factors!R$11</f>
        <v>4740.41339957419</v>
      </c>
      <c r="S24" s="139" t="n">
        <f aca="false">Materials!S9/Factors!S$11</f>
        <v>4720.82491445198</v>
      </c>
      <c r="T24" s="139" t="n">
        <f aca="false">Materials!T9/Factors!T$11</f>
        <v>4701.39765142955</v>
      </c>
      <c r="U24" s="139" t="n">
        <f aca="false">Materials!U9/Factors!U$11</f>
        <v>4682.12962826795</v>
      </c>
      <c r="V24" s="139" t="n">
        <f aca="false">Materials!V9/Factors!V$11</f>
        <v>4663.01889509135</v>
      </c>
      <c r="W24" s="139" t="n">
        <f aca="false">Materials!W9/Factors!W$11</f>
        <v>4644.06353372919</v>
      </c>
      <c r="X24" s="139" t="n">
        <f aca="false">Materials!X9/Factors!X$11</f>
        <v>4625.26165707442</v>
      </c>
      <c r="Y24" s="139" t="n">
        <f aca="false">Materials!Y9/Factors!Y$11</f>
        <v>4606.61140845718</v>
      </c>
      <c r="Z24" s="139" t="n">
        <f aca="false">Materials!Z9/Factors!Z$11</f>
        <v>4588.11096103366</v>
      </c>
      <c r="AA24" s="139" t="n">
        <f aca="false">Materials!AA9/Factors!AA$11</f>
        <v>4569.75851718952</v>
      </c>
      <c r="AB24" s="139" t="n">
        <f aca="false">Materials!AB9/Factors!AB$11</f>
        <v>4551.55230795769</v>
      </c>
      <c r="AC24" s="139" t="n">
        <f aca="false">Materials!AC9/Factors!AC$11</f>
        <v>4533.49059244992</v>
      </c>
      <c r="AD24" s="139" t="n">
        <f aca="false">SUM(R24:AC24)</f>
        <v>55626.6334667066</v>
      </c>
      <c r="AF24" s="45" t="s">
        <v>1162</v>
      </c>
      <c r="AG24" s="139" t="n">
        <f aca="false">Materials!AG9/Factors!AG$11</f>
        <v>4785.56019385585</v>
      </c>
      <c r="AH24" s="139" t="n">
        <f aca="false">Materials!AH9/Factors!AH$11</f>
        <v>4765.78515173248</v>
      </c>
      <c r="AI24" s="139" t="n">
        <f aca="false">Materials!AI9/Factors!AI$11</f>
        <v>4746.17286715745</v>
      </c>
      <c r="AJ24" s="139" t="n">
        <f aca="false">Materials!AJ9/Factors!AJ$11</f>
        <v>4726.72133901336</v>
      </c>
      <c r="AK24" s="139" t="n">
        <f aca="false">Materials!AK9/Factors!AK$11</f>
        <v>4707.42859885412</v>
      </c>
      <c r="AL24" s="139" t="n">
        <f aca="false">Materials!AL9/Factors!AL$11</f>
        <v>4688.2927102409</v>
      </c>
      <c r="AM24" s="139" t="n">
        <f aca="false">Materials!AM9/Factors!AM$11</f>
        <v>4669.31176809417</v>
      </c>
      <c r="AN24" s="139" t="n">
        <f aca="false">Materials!AN9/Factors!AN$11</f>
        <v>4650.48389806153</v>
      </c>
      <c r="AO24" s="139" t="n">
        <f aca="false">Materials!AO9/Factors!AO$11</f>
        <v>4631.80725590064</v>
      </c>
      <c r="AP24" s="139" t="n">
        <f aca="false">Materials!AP9/Factors!AP$11</f>
        <v>4613.28002687704</v>
      </c>
      <c r="AQ24" s="139" t="n">
        <f aca="false">Materials!AQ9/Factors!AQ$11</f>
        <v>4594.90042517634</v>
      </c>
      <c r="AR24" s="139" t="n">
        <f aca="false">Materials!AR9/Factors!AR$11</f>
        <v>4576.6666933304</v>
      </c>
      <c r="AS24" s="139" t="n">
        <f aca="false">SUM(AG24:AR24)</f>
        <v>56156.4109282943</v>
      </c>
    </row>
    <row r="25" customFormat="false" ht="13.2" hidden="false" customHeight="false" outlineLevel="0" collapsed="false">
      <c r="A25" s="207" t="s">
        <v>181</v>
      </c>
      <c r="B25" s="45" t="s">
        <v>1163</v>
      </c>
      <c r="C25" s="139" t="n">
        <f aca="false">Materials!C10/Factors!C$11</f>
        <v>2323.73518234243</v>
      </c>
      <c r="D25" s="139" t="n">
        <f aca="false">Materials!D10/Factors!D$11</f>
        <v>2320.49103669496</v>
      </c>
      <c r="E25" s="139" t="n">
        <f aca="false">Materials!E10/Factors!E$11</f>
        <v>2317.25593666372</v>
      </c>
      <c r="F25" s="139" t="n">
        <f aca="false">Materials!F10/Factors!F$11</f>
        <v>2314.02984446869</v>
      </c>
      <c r="G25" s="139" t="n">
        <f aca="false">Materials!G10/Factors!G$11</f>
        <v>2310.81272253993</v>
      </c>
      <c r="H25" s="139" t="n">
        <f aca="false">Materials!H10/Factors!H$11</f>
        <v>2307.60453351617</v>
      </c>
      <c r="I25" s="139" t="n">
        <f aca="false">Materials!I10/Factors!I$11</f>
        <v>2304.40524024333</v>
      </c>
      <c r="J25" s="139" t="n">
        <f aca="false">Materials!J10/Factors!J$11</f>
        <v>2301.21480577305</v>
      </c>
      <c r="K25" s="139" t="n">
        <f aca="false">Materials!K10/Factors!K$11</f>
        <v>2298.03319336136</v>
      </c>
      <c r="L25" s="139" t="n">
        <f aca="false">Materials!L10/Factors!L$11</f>
        <v>2294.86036646717</v>
      </c>
      <c r="M25" s="139" t="n">
        <f aca="false">Materials!M10/Factors!M$11</f>
        <v>2291.69628875094</v>
      </c>
      <c r="N25" s="139" t="n">
        <f aca="false">Materials!N10/Factors!N$11</f>
        <v>2288.54092407328</v>
      </c>
      <c r="O25" s="139" t="n">
        <f aca="false">SUM(C25:N25)</f>
        <v>27672.680074895</v>
      </c>
      <c r="Q25" s="45" t="s">
        <v>1163</v>
      </c>
      <c r="R25" s="139" t="n">
        <f aca="false">Materials!R10/Factors!R$11</f>
        <v>2370.2066997871</v>
      </c>
      <c r="S25" s="139" t="n">
        <f aca="false">Materials!S10/Factors!S$11</f>
        <v>2360.41245722599</v>
      </c>
      <c r="T25" s="139" t="n">
        <f aca="false">Materials!T10/Factors!T$11</f>
        <v>2350.69882571477</v>
      </c>
      <c r="U25" s="139" t="n">
        <f aca="false">Materials!U10/Factors!U$11</f>
        <v>2341.06481413398</v>
      </c>
      <c r="V25" s="139" t="n">
        <f aca="false">Materials!V10/Factors!V$11</f>
        <v>2331.50944754567</v>
      </c>
      <c r="W25" s="139" t="n">
        <f aca="false">Materials!W10/Factors!W$11</f>
        <v>2322.03176686459</v>
      </c>
      <c r="X25" s="139" t="n">
        <f aca="false">Materials!X10/Factors!X$11</f>
        <v>2312.63082853721</v>
      </c>
      <c r="Y25" s="139" t="n">
        <f aca="false">Materials!Y10/Factors!Y$11</f>
        <v>2303.30570422859</v>
      </c>
      <c r="Z25" s="139" t="n">
        <f aca="false">Materials!Z10/Factors!Z$11</f>
        <v>2294.05548051683</v>
      </c>
      <c r="AA25" s="139" t="n">
        <f aca="false">Materials!AA10/Factors!AA$11</f>
        <v>2284.87925859476</v>
      </c>
      <c r="AB25" s="139" t="n">
        <f aca="false">Materials!AB10/Factors!AB$11</f>
        <v>2275.77615397885</v>
      </c>
      <c r="AC25" s="139" t="n">
        <f aca="false">Materials!AC10/Factors!AC$11</f>
        <v>2266.74529622496</v>
      </c>
      <c r="AD25" s="139" t="n">
        <f aca="false">SUM(R25:AC25)</f>
        <v>27813.3167333533</v>
      </c>
      <c r="AF25" s="45" t="s">
        <v>1163</v>
      </c>
      <c r="AG25" s="139" t="n">
        <f aca="false">Materials!AG10/Factors!AG$11</f>
        <v>2392.78009692793</v>
      </c>
      <c r="AH25" s="139" t="n">
        <f aca="false">Materials!AH10/Factors!AH$11</f>
        <v>2382.89257586624</v>
      </c>
      <c r="AI25" s="139" t="n">
        <f aca="false">Materials!AI10/Factors!AI$11</f>
        <v>2373.08643357873</v>
      </c>
      <c r="AJ25" s="139" t="n">
        <f aca="false">Materials!AJ10/Factors!AJ$11</f>
        <v>2363.36066950668</v>
      </c>
      <c r="AK25" s="139" t="n">
        <f aca="false">Materials!AK10/Factors!AK$11</f>
        <v>2353.71429942706</v>
      </c>
      <c r="AL25" s="139" t="n">
        <f aca="false">Materials!AL10/Factors!AL$11</f>
        <v>2344.14635512045</v>
      </c>
      <c r="AM25" s="139" t="n">
        <f aca="false">Materials!AM10/Factors!AM$11</f>
        <v>2334.65588404709</v>
      </c>
      <c r="AN25" s="139" t="n">
        <f aca="false">Materials!AN10/Factors!AN$11</f>
        <v>2325.24194903077</v>
      </c>
      <c r="AO25" s="139" t="n">
        <f aca="false">Materials!AO10/Factors!AO$11</f>
        <v>2315.90362795032</v>
      </c>
      <c r="AP25" s="139" t="n">
        <f aca="false">Materials!AP10/Factors!AP$11</f>
        <v>2306.64001343852</v>
      </c>
      <c r="AQ25" s="139" t="n">
        <f aca="false">Materials!AQ10/Factors!AQ$11</f>
        <v>2297.45021258817</v>
      </c>
      <c r="AR25" s="139" t="n">
        <f aca="false">Materials!AR10/Factors!AR$11</f>
        <v>2288.3333466652</v>
      </c>
      <c r="AS25" s="139" t="n">
        <f aca="false">SUM(AG25:AR25)</f>
        <v>28078.2054641471</v>
      </c>
    </row>
    <row r="26" customFormat="false" ht="13.2" hidden="false" customHeight="false" outlineLevel="0" collapsed="false">
      <c r="A26" s="207" t="s">
        <v>184</v>
      </c>
      <c r="B26" s="45" t="s">
        <v>1164</v>
      </c>
      <c r="C26" s="139" t="n">
        <f aca="false">Materials!C11/Factors!C$11</f>
        <v>1045.68083205409</v>
      </c>
      <c r="D26" s="139" t="n">
        <f aca="false">Materials!D11/Factors!D$11</f>
        <v>1044.22096651273</v>
      </c>
      <c r="E26" s="139" t="n">
        <f aca="false">Materials!E11/Factors!E$11</f>
        <v>1042.76517149868</v>
      </c>
      <c r="F26" s="139" t="n">
        <f aca="false">Materials!F11/Factors!F$11</f>
        <v>1041.31343001091</v>
      </c>
      <c r="G26" s="139" t="n">
        <f aca="false">Materials!G11/Factors!G$11</f>
        <v>1039.86572514297</v>
      </c>
      <c r="H26" s="139" t="n">
        <f aca="false">Materials!H11/Factors!H$11</f>
        <v>1038.42204008228</v>
      </c>
      <c r="I26" s="139" t="n">
        <f aca="false">Materials!I11/Factors!I$11</f>
        <v>1036.9823581095</v>
      </c>
      <c r="J26" s="139" t="n">
        <f aca="false">Materials!J11/Factors!J$11</f>
        <v>1035.54666259787</v>
      </c>
      <c r="K26" s="139" t="n">
        <f aca="false">Materials!K11/Factors!K$11</f>
        <v>1034.11493701261</v>
      </c>
      <c r="L26" s="139" t="n">
        <f aca="false">Materials!L11/Factors!L$11</f>
        <v>1032.68716491023</v>
      </c>
      <c r="M26" s="139" t="n">
        <f aca="false">Materials!M11/Factors!M$11</f>
        <v>1031.26332993793</v>
      </c>
      <c r="N26" s="139" t="n">
        <f aca="false">Materials!N11/Factors!N$11</f>
        <v>1029.84341583297</v>
      </c>
      <c r="O26" s="139" t="n">
        <f aca="false">SUM(C26:N26)</f>
        <v>12452.7060337028</v>
      </c>
      <c r="Q26" s="45" t="s">
        <v>1164</v>
      </c>
      <c r="R26" s="139" t="n">
        <f aca="false">Materials!R11/Factors!R$11</f>
        <v>1066.59301490419</v>
      </c>
      <c r="S26" s="139" t="n">
        <f aca="false">Materials!S11/Factors!S$11</f>
        <v>1062.1856057517</v>
      </c>
      <c r="T26" s="139" t="n">
        <f aca="false">Materials!T11/Factors!T$11</f>
        <v>1057.81447157165</v>
      </c>
      <c r="U26" s="139" t="n">
        <f aca="false">Materials!U11/Factors!U$11</f>
        <v>1053.47916636029</v>
      </c>
      <c r="V26" s="139" t="n">
        <f aca="false">Materials!V11/Factors!V$11</f>
        <v>1049.17925139555</v>
      </c>
      <c r="W26" s="139" t="n">
        <f aca="false">Materials!W11/Factors!W$11</f>
        <v>1044.91429508907</v>
      </c>
      <c r="X26" s="139" t="n">
        <f aca="false">Materials!X11/Factors!X$11</f>
        <v>1040.68387284174</v>
      </c>
      <c r="Y26" s="139" t="n">
        <f aca="false">Materials!Y11/Factors!Y$11</f>
        <v>1036.48756690287</v>
      </c>
      <c r="Z26" s="139" t="n">
        <f aca="false">Materials!Z11/Factors!Z$11</f>
        <v>1032.32496623257</v>
      </c>
      <c r="AA26" s="139" t="n">
        <f aca="false">Materials!AA11/Factors!AA$11</f>
        <v>1028.19566636764</v>
      </c>
      <c r="AB26" s="139" t="n">
        <f aca="false">Materials!AB11/Factors!AB$11</f>
        <v>1024.09926929048</v>
      </c>
      <c r="AC26" s="139" t="n">
        <f aca="false">Materials!AC11/Factors!AC$11</f>
        <v>1020.03538330123</v>
      </c>
      <c r="AD26" s="139" t="n">
        <f aca="false">SUM(R26:AC26)</f>
        <v>12515.992530009</v>
      </c>
      <c r="AF26" s="45" t="s">
        <v>1164</v>
      </c>
      <c r="AG26" s="139" t="n">
        <f aca="false">Materials!AG11/Factors!AG$11</f>
        <v>1076.75104361757</v>
      </c>
      <c r="AH26" s="139" t="n">
        <f aca="false">Materials!AH11/Factors!AH$11</f>
        <v>1072.30165913981</v>
      </c>
      <c r="AI26" s="139" t="n">
        <f aca="false">Materials!AI11/Factors!AI$11</f>
        <v>1067.88889511043</v>
      </c>
      <c r="AJ26" s="139" t="n">
        <f aca="false">Materials!AJ11/Factors!AJ$11</f>
        <v>1063.51230127801</v>
      </c>
      <c r="AK26" s="139" t="n">
        <f aca="false">Materials!AK11/Factors!AK$11</f>
        <v>1059.17143474218</v>
      </c>
      <c r="AL26" s="139" t="n">
        <f aca="false">Materials!AL11/Factors!AL$11</f>
        <v>1054.8658598042</v>
      </c>
      <c r="AM26" s="139" t="n">
        <f aca="false">Materials!AM11/Factors!AM$11</f>
        <v>1050.59514782119</v>
      </c>
      <c r="AN26" s="139" t="n">
        <f aca="false">Materials!AN11/Factors!AN$11</f>
        <v>1046.35887706385</v>
      </c>
      <c r="AO26" s="139" t="n">
        <f aca="false">Materials!AO11/Factors!AO$11</f>
        <v>1042.15663257764</v>
      </c>
      <c r="AP26" s="139" t="n">
        <f aca="false">Materials!AP11/Factors!AP$11</f>
        <v>1037.98800604733</v>
      </c>
      <c r="AQ26" s="139" t="n">
        <f aca="false">Materials!AQ11/Factors!AQ$11</f>
        <v>1033.85259566468</v>
      </c>
      <c r="AR26" s="139" t="n">
        <f aca="false">Materials!AR11/Factors!AR$11</f>
        <v>1029.75000599934</v>
      </c>
      <c r="AS26" s="139" t="n">
        <f aca="false">SUM(AG26:AR26)</f>
        <v>12635.1924588662</v>
      </c>
    </row>
    <row r="27" customFormat="false" ht="13.2" hidden="false" customHeight="false" outlineLevel="0" collapsed="false">
      <c r="A27" s="207" t="s">
        <v>202</v>
      </c>
      <c r="B27" s="45" t="s">
        <v>1165</v>
      </c>
      <c r="C27" s="146" t="n">
        <f aca="false">SiteServices!C11</f>
        <v>16956</v>
      </c>
      <c r="D27" s="146" t="n">
        <f aca="false">SiteServices!D11</f>
        <v>16956</v>
      </c>
      <c r="E27" s="146" t="n">
        <f aca="false">SiteServices!E11</f>
        <v>17898</v>
      </c>
      <c r="F27" s="146" t="n">
        <f aca="false">SiteServices!F11</f>
        <v>18840</v>
      </c>
      <c r="G27" s="146" t="n">
        <f aca="false">SiteServices!G11</f>
        <v>18840</v>
      </c>
      <c r="H27" s="146" t="n">
        <f aca="false">SiteServices!H11</f>
        <v>20724</v>
      </c>
      <c r="I27" s="146" t="n">
        <f aca="false">SiteServices!I11</f>
        <v>21197</v>
      </c>
      <c r="J27" s="146" t="n">
        <f aca="false">SiteServices!J11</f>
        <v>22160.5</v>
      </c>
      <c r="K27" s="146" t="n">
        <f aca="false">SiteServices!K11</f>
        <v>21197</v>
      </c>
      <c r="L27" s="146" t="n">
        <f aca="false">SiteServices!L11</f>
        <v>21197</v>
      </c>
      <c r="M27" s="146" t="n">
        <f aca="false">SiteServices!M11</f>
        <v>19270</v>
      </c>
      <c r="N27" s="146" t="n">
        <f aca="false">SiteServices!N11</f>
        <v>17343</v>
      </c>
      <c r="O27" s="139" t="n">
        <f aca="false">SUM(C27:N27)</f>
        <v>232578.5</v>
      </c>
      <c r="Q27" s="45" t="s">
        <v>1165</v>
      </c>
      <c r="R27" s="146" t="n">
        <f aca="false">SiteServices!Q11</f>
        <v>16956</v>
      </c>
      <c r="S27" s="146" t="n">
        <f aca="false">SiteServices!R11</f>
        <v>16956</v>
      </c>
      <c r="T27" s="146" t="n">
        <f aca="false">SiteServices!S11</f>
        <v>17898</v>
      </c>
      <c r="U27" s="146" t="n">
        <f aca="false">SiteServices!T11</f>
        <v>18840</v>
      </c>
      <c r="V27" s="146" t="n">
        <f aca="false">SiteServices!U11</f>
        <v>18840</v>
      </c>
      <c r="W27" s="146" t="n">
        <f aca="false">SiteServices!V11</f>
        <v>20724</v>
      </c>
      <c r="X27" s="146" t="n">
        <f aca="false">SiteServices!W11</f>
        <v>21197</v>
      </c>
      <c r="Y27" s="146" t="n">
        <f aca="false">SiteServices!X11</f>
        <v>22160.5</v>
      </c>
      <c r="Z27" s="146" t="n">
        <f aca="false">SiteServices!Y11</f>
        <v>21197</v>
      </c>
      <c r="AA27" s="146" t="n">
        <f aca="false">SiteServices!Z11</f>
        <v>21197</v>
      </c>
      <c r="AB27" s="146" t="n">
        <f aca="false">SiteServices!AA11</f>
        <v>19270</v>
      </c>
      <c r="AC27" s="146" t="n">
        <f aca="false">SiteServices!AB11</f>
        <v>17343</v>
      </c>
      <c r="AD27" s="139" t="n">
        <f aca="false">SUM(R27:AC27)</f>
        <v>232578.5</v>
      </c>
      <c r="AF27" s="45" t="s">
        <v>1165</v>
      </c>
      <c r="AG27" s="146" t="n">
        <f aca="false">SiteServices!AE11</f>
        <v>16956</v>
      </c>
      <c r="AH27" s="146" t="n">
        <f aca="false">SiteServices!AF11</f>
        <v>16956</v>
      </c>
      <c r="AI27" s="146" t="n">
        <f aca="false">SiteServices!AG11</f>
        <v>17898</v>
      </c>
      <c r="AJ27" s="146" t="n">
        <f aca="false">SiteServices!AH11</f>
        <v>18840</v>
      </c>
      <c r="AK27" s="146" t="n">
        <f aca="false">SiteServices!AI11</f>
        <v>18840</v>
      </c>
      <c r="AL27" s="146" t="n">
        <f aca="false">SiteServices!AJ11</f>
        <v>20724</v>
      </c>
      <c r="AM27" s="146" t="n">
        <f aca="false">SiteServices!AK11</f>
        <v>21197</v>
      </c>
      <c r="AN27" s="146" t="n">
        <f aca="false">SiteServices!AL11</f>
        <v>22160.5</v>
      </c>
      <c r="AO27" s="146" t="n">
        <f aca="false">SiteServices!AM11</f>
        <v>21197</v>
      </c>
      <c r="AP27" s="146" t="n">
        <f aca="false">SiteServices!AN11</f>
        <v>21197</v>
      </c>
      <c r="AQ27" s="146" t="n">
        <f aca="false">SiteServices!AO11</f>
        <v>19270</v>
      </c>
      <c r="AR27" s="146" t="n">
        <f aca="false">SiteServices!AP11</f>
        <v>17343</v>
      </c>
      <c r="AS27" s="139" t="n">
        <f aca="false">SUM(AG27:AR27)</f>
        <v>232578.5</v>
      </c>
    </row>
    <row r="28" customFormat="false" ht="13.2" hidden="false" customHeight="false" outlineLevel="0" collapsed="false">
      <c r="A28" s="207" t="s">
        <v>204</v>
      </c>
      <c r="B28" s="45" t="s">
        <v>1166</v>
      </c>
      <c r="C28" s="146" t="n">
        <f aca="false">SiteServices!C17</f>
        <v>46.1210142857143</v>
      </c>
      <c r="D28" s="146" t="n">
        <f aca="false">SiteServices!D17</f>
        <v>46.1210142857143</v>
      </c>
      <c r="E28" s="146" t="n">
        <f aca="false">SiteServices!E17</f>
        <v>46.1210142857143</v>
      </c>
      <c r="F28" s="146" t="n">
        <f aca="false">SiteServices!F17</f>
        <v>46.1210142857143</v>
      </c>
      <c r="G28" s="146" t="n">
        <f aca="false">SiteServices!G17</f>
        <v>46.1210142857143</v>
      </c>
      <c r="H28" s="146" t="n">
        <f aca="false">SiteServices!H17</f>
        <v>46.1210142857143</v>
      </c>
      <c r="I28" s="146" t="n">
        <f aca="false">SiteServices!I17</f>
        <v>47.1788357142857</v>
      </c>
      <c r="J28" s="146" t="n">
        <f aca="false">SiteServices!J17</f>
        <v>47.1788357142857</v>
      </c>
      <c r="K28" s="146" t="n">
        <f aca="false">SiteServices!K17</f>
        <v>47.1788357142857</v>
      </c>
      <c r="L28" s="146" t="n">
        <f aca="false">SiteServices!L17</f>
        <v>47.1788357142857</v>
      </c>
      <c r="M28" s="146" t="n">
        <f aca="false">SiteServices!M17</f>
        <v>47.1788357142857</v>
      </c>
      <c r="N28" s="146" t="n">
        <f aca="false">SiteServices!N17</f>
        <v>47.1788357142857</v>
      </c>
      <c r="O28" s="139" t="n">
        <f aca="false">SUM(C28:N28)</f>
        <v>559.7991</v>
      </c>
      <c r="Q28" s="45" t="s">
        <v>1166</v>
      </c>
      <c r="R28" s="146" t="n">
        <f aca="false">SiteServices!Q17</f>
        <v>46.1210142857143</v>
      </c>
      <c r="S28" s="146" t="n">
        <f aca="false">SiteServices!R17</f>
        <v>46.1210142857143</v>
      </c>
      <c r="T28" s="146" t="n">
        <f aca="false">SiteServices!S17</f>
        <v>46.1210142857143</v>
      </c>
      <c r="U28" s="146" t="n">
        <f aca="false">SiteServices!T17</f>
        <v>46.1210142857143</v>
      </c>
      <c r="V28" s="146" t="n">
        <f aca="false">SiteServices!U17</f>
        <v>46.1210142857143</v>
      </c>
      <c r="W28" s="146" t="n">
        <f aca="false">SiteServices!V17</f>
        <v>46.1210142857143</v>
      </c>
      <c r="X28" s="146" t="n">
        <f aca="false">SiteServices!W17</f>
        <v>47.1788357142857</v>
      </c>
      <c r="Y28" s="146" t="n">
        <f aca="false">SiteServices!X17</f>
        <v>47.1788357142857</v>
      </c>
      <c r="Z28" s="146" t="n">
        <f aca="false">SiteServices!Y17</f>
        <v>47.1788357142857</v>
      </c>
      <c r="AA28" s="146" t="n">
        <f aca="false">SiteServices!Z17</f>
        <v>47.1788357142857</v>
      </c>
      <c r="AB28" s="146" t="n">
        <f aca="false">SiteServices!AA17</f>
        <v>47.1788357142857</v>
      </c>
      <c r="AC28" s="146" t="n">
        <f aca="false">SiteServices!AB17</f>
        <v>47.1788357142857</v>
      </c>
      <c r="AD28" s="139" t="n">
        <f aca="false">SUM(R28:AC28)</f>
        <v>559.7991</v>
      </c>
      <c r="AF28" s="45" t="s">
        <v>1166</v>
      </c>
      <c r="AG28" s="146" t="n">
        <f aca="false">SiteServices!AE17</f>
        <v>46.1210142857143</v>
      </c>
      <c r="AH28" s="146" t="n">
        <f aca="false">SiteServices!AF17</f>
        <v>46.1210142857143</v>
      </c>
      <c r="AI28" s="146" t="n">
        <f aca="false">SiteServices!AG17</f>
        <v>46.1210142857143</v>
      </c>
      <c r="AJ28" s="146" t="n">
        <f aca="false">SiteServices!AH17</f>
        <v>46.1210142857143</v>
      </c>
      <c r="AK28" s="146" t="n">
        <f aca="false">SiteServices!AI17</f>
        <v>46.1210142857143</v>
      </c>
      <c r="AL28" s="146" t="n">
        <f aca="false">SiteServices!AJ17</f>
        <v>46.1210142857143</v>
      </c>
      <c r="AM28" s="146" t="n">
        <f aca="false">SiteServices!AK17</f>
        <v>47.1788357142857</v>
      </c>
      <c r="AN28" s="146" t="n">
        <f aca="false">SiteServices!AL17</f>
        <v>47.1788357142857</v>
      </c>
      <c r="AO28" s="146" t="n">
        <f aca="false">SiteServices!AM17</f>
        <v>47.1788357142857</v>
      </c>
      <c r="AP28" s="146" t="n">
        <f aca="false">SiteServices!AN17</f>
        <v>47.1788357142857</v>
      </c>
      <c r="AQ28" s="146" t="n">
        <f aca="false">SiteServices!AO17</f>
        <v>47.1788357142857</v>
      </c>
      <c r="AR28" s="146" t="n">
        <f aca="false">SiteServices!AP17</f>
        <v>47.1788357142857</v>
      </c>
      <c r="AS28" s="139" t="n">
        <f aca="false">SUM(AG28:AR28)</f>
        <v>559.7991</v>
      </c>
    </row>
    <row r="29" customFormat="false" ht="13.2" hidden="false" customHeight="false" outlineLevel="0" collapsed="false">
      <c r="A29" s="207" t="s">
        <v>212</v>
      </c>
      <c r="B29" s="45" t="s">
        <v>1167</v>
      </c>
      <c r="C29" s="146" t="n">
        <f aca="false">SiteServices!C37</f>
        <v>1648</v>
      </c>
      <c r="D29" s="146" t="n">
        <f aca="false">SiteServices!D37</f>
        <v>1236</v>
      </c>
      <c r="E29" s="146" t="n">
        <f aca="false">SiteServices!E37</f>
        <v>1524.4</v>
      </c>
      <c r="F29" s="146" t="n">
        <f aca="false">SiteServices!F37</f>
        <v>1030</v>
      </c>
      <c r="G29" s="146" t="n">
        <f aca="false">SiteServices!G37</f>
        <v>206</v>
      </c>
      <c r="H29" s="146" t="n">
        <f aca="false">SiteServices!H37</f>
        <v>206</v>
      </c>
      <c r="I29" s="146" t="n">
        <f aca="false">SiteServices!I37</f>
        <v>210.5</v>
      </c>
      <c r="J29" s="146" t="n">
        <f aca="false">SiteServices!J37</f>
        <v>210.5</v>
      </c>
      <c r="K29" s="146" t="n">
        <f aca="false">SiteServices!K37</f>
        <v>421</v>
      </c>
      <c r="L29" s="146" t="n">
        <f aca="false">SiteServices!L37</f>
        <v>842</v>
      </c>
      <c r="M29" s="146" t="n">
        <f aca="false">SiteServices!M37</f>
        <v>1052.5</v>
      </c>
      <c r="N29" s="146" t="n">
        <f aca="false">SiteServices!N37</f>
        <v>1473.5</v>
      </c>
      <c r="O29" s="139" t="n">
        <f aca="false">SUM(C29:N29)</f>
        <v>10060.4</v>
      </c>
      <c r="Q29" s="45" t="s">
        <v>1167</v>
      </c>
      <c r="R29" s="146" t="n">
        <f aca="false">SiteServices!Q37</f>
        <v>1648</v>
      </c>
      <c r="S29" s="146" t="n">
        <f aca="false">SiteServices!R37</f>
        <v>1236</v>
      </c>
      <c r="T29" s="146" t="n">
        <f aca="false">SiteServices!S37</f>
        <v>1524.4</v>
      </c>
      <c r="U29" s="146" t="n">
        <f aca="false">SiteServices!T37</f>
        <v>1030</v>
      </c>
      <c r="V29" s="146" t="n">
        <f aca="false">SiteServices!U37</f>
        <v>206</v>
      </c>
      <c r="W29" s="146" t="n">
        <f aca="false">SiteServices!V37</f>
        <v>206</v>
      </c>
      <c r="X29" s="146" t="n">
        <f aca="false">SiteServices!W37</f>
        <v>210.5</v>
      </c>
      <c r="Y29" s="146" t="n">
        <f aca="false">SiteServices!X37</f>
        <v>210.5</v>
      </c>
      <c r="Z29" s="146" t="n">
        <f aca="false">SiteServices!Y37</f>
        <v>421</v>
      </c>
      <c r="AA29" s="146" t="n">
        <f aca="false">SiteServices!Z37</f>
        <v>842</v>
      </c>
      <c r="AB29" s="146" t="n">
        <f aca="false">SiteServices!AA37</f>
        <v>1052.5</v>
      </c>
      <c r="AC29" s="146" t="n">
        <f aca="false">SiteServices!AB37</f>
        <v>1473.5</v>
      </c>
      <c r="AD29" s="139" t="n">
        <f aca="false">SUM(R29:AC29)</f>
        <v>10060.4</v>
      </c>
      <c r="AF29" s="45" t="s">
        <v>1167</v>
      </c>
      <c r="AG29" s="146" t="n">
        <f aca="false">SiteServices!AE37</f>
        <v>1648</v>
      </c>
      <c r="AH29" s="146" t="n">
        <f aca="false">SiteServices!AF37</f>
        <v>1236</v>
      </c>
      <c r="AI29" s="146" t="n">
        <f aca="false">SiteServices!AG37</f>
        <v>1524.4</v>
      </c>
      <c r="AJ29" s="146" t="n">
        <f aca="false">SiteServices!AH37</f>
        <v>1030</v>
      </c>
      <c r="AK29" s="146" t="n">
        <f aca="false">SiteServices!AI37</f>
        <v>206</v>
      </c>
      <c r="AL29" s="146" t="n">
        <f aca="false">SiteServices!AJ37</f>
        <v>206</v>
      </c>
      <c r="AM29" s="146" t="n">
        <f aca="false">SiteServices!AK37</f>
        <v>210.5</v>
      </c>
      <c r="AN29" s="146" t="n">
        <f aca="false">SiteServices!AL37</f>
        <v>210.5</v>
      </c>
      <c r="AO29" s="146" t="n">
        <f aca="false">SiteServices!AM37</f>
        <v>421</v>
      </c>
      <c r="AP29" s="146" t="n">
        <f aca="false">SiteServices!AN37</f>
        <v>842</v>
      </c>
      <c r="AQ29" s="146" t="n">
        <f aca="false">SiteServices!AO37</f>
        <v>1052.5</v>
      </c>
      <c r="AR29" s="146" t="n">
        <f aca="false">SiteServices!AP37</f>
        <v>1473.5</v>
      </c>
      <c r="AS29" s="139" t="n">
        <f aca="false">SUM(AG29:AR29)</f>
        <v>10060.4</v>
      </c>
    </row>
    <row r="30" customFormat="false" ht="13.2" hidden="false" customHeight="false" outlineLevel="0" collapsed="false">
      <c r="A30" s="207" t="s">
        <v>187</v>
      </c>
      <c r="B30" s="45" t="s">
        <v>1168</v>
      </c>
      <c r="C30" s="146" t="n">
        <f aca="false">Materials!C12/Factors!C11</f>
        <v>743.595258349578</v>
      </c>
      <c r="D30" s="146" t="n">
        <f aca="false">Materials!D12/Factors!D11</f>
        <v>742.557131742389</v>
      </c>
      <c r="E30" s="146" t="n">
        <f aca="false">Materials!E12/Factors!E11</f>
        <v>741.521899732391</v>
      </c>
      <c r="F30" s="146" t="n">
        <f aca="false">Materials!F12/Factors!F11</f>
        <v>740.489550229979</v>
      </c>
      <c r="G30" s="146" t="n">
        <f aca="false">Materials!G12/Factors!G11</f>
        <v>739.460071212778</v>
      </c>
      <c r="H30" s="146" t="n">
        <f aca="false">Materials!H12/Factors!H11</f>
        <v>738.433450725176</v>
      </c>
      <c r="I30" s="146" t="n">
        <f aca="false">Materials!I12/Factors!I11</f>
        <v>737.409676877864</v>
      </c>
      <c r="J30" s="146" t="n">
        <f aca="false">Materials!J12/Factors!J11</f>
        <v>736.388737847376</v>
      </c>
      <c r="K30" s="146" t="n">
        <f aca="false">Materials!K12/Factors!K11</f>
        <v>735.370621875634</v>
      </c>
      <c r="L30" s="146" t="n">
        <f aca="false">Materials!L12/Factors!L11</f>
        <v>734.355317269494</v>
      </c>
      <c r="M30" s="146" t="n">
        <f aca="false">Materials!M12/Factors!M11</f>
        <v>733.342812400302</v>
      </c>
      <c r="N30" s="146" t="n">
        <f aca="false">Materials!N12/Factors!N11</f>
        <v>732.333095703449</v>
      </c>
      <c r="O30" s="139" t="n">
        <f aca="false">SUM(C30:N30)</f>
        <v>8855.25762396641</v>
      </c>
      <c r="Q30" s="45" t="s">
        <v>1168</v>
      </c>
      <c r="R30" s="146" t="n">
        <f aca="false">Materials!R12/Factors!R11</f>
        <v>758.466143931871</v>
      </c>
      <c r="S30" s="146" t="n">
        <f aca="false">Materials!S12/Factors!S11</f>
        <v>755.331986312318</v>
      </c>
      <c r="T30" s="146" t="n">
        <f aca="false">Materials!T12/Factors!T11</f>
        <v>752.223624228728</v>
      </c>
      <c r="U30" s="146" t="n">
        <f aca="false">Materials!U12/Factors!U11</f>
        <v>749.140740522872</v>
      </c>
      <c r="V30" s="146" t="n">
        <f aca="false">Materials!V12/Factors!V11</f>
        <v>746.083023214616</v>
      </c>
      <c r="W30" s="146" t="n">
        <f aca="false">Materials!W12/Factors!W11</f>
        <v>743.05016539667</v>
      </c>
      <c r="X30" s="146" t="n">
        <f aca="false">Materials!X12/Factors!X11</f>
        <v>740.041865131906</v>
      </c>
      <c r="Y30" s="146" t="n">
        <f aca="false">Materials!Y12/Factors!Y11</f>
        <v>737.057825353149</v>
      </c>
      <c r="Z30" s="146" t="n">
        <f aca="false">Materials!Z12/Factors!Z11</f>
        <v>734.097753765385</v>
      </c>
      <c r="AA30" s="146" t="n">
        <f aca="false">Materials!AA12/Factors!AA11</f>
        <v>731.161362750324</v>
      </c>
      <c r="AB30" s="146" t="n">
        <f aca="false">Materials!AB12/Factors!AB11</f>
        <v>728.248369273231</v>
      </c>
      <c r="AC30" s="146" t="n">
        <f aca="false">Materials!AC12/Factors!AC11</f>
        <v>725.358494791988</v>
      </c>
      <c r="AD30" s="139" t="n">
        <f aca="false">SUM(R30:AC30)</f>
        <v>8900.26135467306</v>
      </c>
      <c r="AF30" s="45" t="s">
        <v>1168</v>
      </c>
      <c r="AG30" s="146" t="n">
        <f aca="false">Materials!AG12/Factors!AG11</f>
        <v>765.689631016937</v>
      </c>
      <c r="AH30" s="146" t="n">
        <f aca="false">Materials!AH12/Factors!AH11</f>
        <v>762.525624277197</v>
      </c>
      <c r="AI30" s="146" t="n">
        <f aca="false">Materials!AI12/Factors!AI11</f>
        <v>759.387658745192</v>
      </c>
      <c r="AJ30" s="146" t="n">
        <f aca="false">Materials!AJ12/Factors!AJ11</f>
        <v>756.275414242138</v>
      </c>
      <c r="AK30" s="146" t="n">
        <f aca="false">Materials!AK12/Factors!AK11</f>
        <v>753.18857581666</v>
      </c>
      <c r="AL30" s="146" t="n">
        <f aca="false">Materials!AL12/Factors!AL11</f>
        <v>750.126833638543</v>
      </c>
      <c r="AM30" s="146" t="n">
        <f aca="false">Materials!AM12/Factors!AM11</f>
        <v>747.089882895068</v>
      </c>
      <c r="AN30" s="146" t="n">
        <f aca="false">Materials!AN12/Factors!AN11</f>
        <v>744.077423689845</v>
      </c>
      <c r="AO30" s="146" t="n">
        <f aca="false">Materials!AO12/Factors!AO11</f>
        <v>741.089160944103</v>
      </c>
      <c r="AP30" s="146" t="n">
        <f aca="false">Materials!AP12/Factors!AP11</f>
        <v>738.124804300327</v>
      </c>
      <c r="AQ30" s="146" t="n">
        <f aca="false">Materials!AQ12/Factors!AQ11</f>
        <v>735.184068028214</v>
      </c>
      <c r="AR30" s="146" t="n">
        <f aca="false">Materials!AR12/Factors!AR11</f>
        <v>732.266670932864</v>
      </c>
      <c r="AS30" s="139" t="n">
        <f aca="false">SUM(AG30:AR30)</f>
        <v>8985.02574852709</v>
      </c>
    </row>
    <row r="31" customFormat="false" ht="13.2" hidden="false" customHeight="false" outlineLevel="0" collapsed="false">
      <c r="A31" s="392" t="s">
        <v>193</v>
      </c>
      <c r="B31" s="45" t="s">
        <v>192</v>
      </c>
      <c r="C31" s="146" t="n">
        <f aca="false">'P&amp;LPLN'!C30/Factors!C11</f>
        <v>1580.13992399285</v>
      </c>
      <c r="D31" s="146" t="n">
        <f aca="false">'P&amp;LPLN'!D30/Factors!D11</f>
        <v>1577.93390495258</v>
      </c>
      <c r="E31" s="146" t="n">
        <f aca="false">'P&amp;LPLN'!E30/Factors!E11</f>
        <v>1575.73403693133</v>
      </c>
      <c r="F31" s="146" t="n">
        <f aca="false">'P&amp;LPLN'!F30/Factors!F11</f>
        <v>1573.54029423871</v>
      </c>
      <c r="G31" s="146" t="n">
        <f aca="false">'P&amp;LPLN'!G30/Factors!G11</f>
        <v>1571.35265132715</v>
      </c>
      <c r="H31" s="146" t="n">
        <f aca="false">'P&amp;LPLN'!H30/Factors!H11</f>
        <v>1569.171082791</v>
      </c>
      <c r="I31" s="146" t="n">
        <f aca="false">'P&amp;LPLN'!I30/Factors!I11</f>
        <v>1566.99556336546</v>
      </c>
      <c r="J31" s="146" t="n">
        <f aca="false">'P&amp;LPLN'!J30/Factors!J11</f>
        <v>1564.82606792567</v>
      </c>
      <c r="K31" s="146" t="n">
        <f aca="false">'P&amp;LPLN'!K30/Factors!K11</f>
        <v>1562.66257148572</v>
      </c>
      <c r="L31" s="146" t="n">
        <f aca="false">'P&amp;LPLN'!L30/Factors!L11</f>
        <v>1560.50504919767</v>
      </c>
      <c r="M31" s="146" t="n">
        <f aca="false">'P&amp;LPLN'!M30/Factors!M11</f>
        <v>1558.35347635064</v>
      </c>
      <c r="N31" s="146" t="n">
        <f aca="false">'P&amp;LPLN'!N30/Factors!N11</f>
        <v>1556.20782836983</v>
      </c>
      <c r="O31" s="139" t="n">
        <f aca="false">SUM(C31:N31)</f>
        <v>18817.4224509286</v>
      </c>
      <c r="Q31" s="144" t="s">
        <v>192</v>
      </c>
      <c r="R31" s="146" t="n">
        <f aca="false">'P&amp;LPLN'!S30/Factors!R11</f>
        <v>1611.74055585523</v>
      </c>
      <c r="S31" s="146" t="n">
        <f aca="false">'P&amp;LPLN'!T30/Factors!S11</f>
        <v>1605.08047091367</v>
      </c>
      <c r="T31" s="146" t="n">
        <f aca="false">'P&amp;LPLN'!U30/Factors!T11</f>
        <v>1598.47520148605</v>
      </c>
      <c r="U31" s="146" t="n">
        <f aca="false">'P&amp;LPLN'!V30/Factors!U11</f>
        <v>1591.9240736111</v>
      </c>
      <c r="V31" s="146" t="n">
        <f aca="false">'P&amp;LPLN'!W30/Factors!V11</f>
        <v>1585.42642433106</v>
      </c>
      <c r="W31" s="146" t="n">
        <f aca="false">'P&amp;LPLN'!X30/Factors!W11</f>
        <v>1578.98160146792</v>
      </c>
      <c r="X31" s="146" t="n">
        <f aca="false">'P&amp;LPLN'!Y30/Factors!X11</f>
        <v>1572.5889634053</v>
      </c>
      <c r="Y31" s="146" t="n">
        <f aca="false">'P&amp;LPLN'!Z30/Factors!Y11</f>
        <v>1566.24787887544</v>
      </c>
      <c r="Z31" s="146" t="n">
        <f aca="false">'P&amp;LPLN'!AA30/Factors!Z11</f>
        <v>1559.95772675144</v>
      </c>
      <c r="AA31" s="146" t="n">
        <f aca="false">'P&amp;LPLN'!AB30/Factors!AA11</f>
        <v>1553.71789584444</v>
      </c>
      <c r="AB31" s="146" t="n">
        <f aca="false">'P&amp;LPLN'!AC30/Factors!AB11</f>
        <v>1547.52778470562</v>
      </c>
      <c r="AC31" s="146" t="n">
        <f aca="false">'P&amp;LPLN'!AD30/Factors!AC11</f>
        <v>18496.6416171957</v>
      </c>
      <c r="AD31" s="139" t="n">
        <f aca="false">SUM(R31:AC31)</f>
        <v>35868.310194443</v>
      </c>
      <c r="AF31" s="144" t="s">
        <v>192</v>
      </c>
      <c r="AG31" s="146" t="n">
        <f aca="false">'P&amp;LPLN'!AG30/Factors!AG11</f>
        <v>1627.09046591099</v>
      </c>
      <c r="AH31" s="146" t="n">
        <f aca="false">'P&amp;LPLN'!AH30/Factors!AH11</f>
        <v>1620.36695158904</v>
      </c>
      <c r="AI31" s="146" t="n">
        <f aca="false">'P&amp;LPLN'!AI30/Factors!AI11</f>
        <v>1613.69877483353</v>
      </c>
      <c r="AJ31" s="146" t="n">
        <f aca="false">'P&amp;LPLN'!AJ30/Factors!AJ11</f>
        <v>1607.08525526454</v>
      </c>
      <c r="AK31" s="146" t="n">
        <f aca="false">'P&amp;LPLN'!AK30/Factors!AK11</f>
        <v>1600.5257236104</v>
      </c>
      <c r="AL31" s="146" t="n">
        <f aca="false">'P&amp;LPLN'!AL30/Factors!AL11</f>
        <v>1594.0195214819</v>
      </c>
      <c r="AM31" s="146" t="n">
        <f aca="false">'P&amp;LPLN'!AM30/Factors!AM11</f>
        <v>1587.56600115202</v>
      </c>
      <c r="AN31" s="146" t="n">
        <f aca="false">'P&amp;LPLN'!AN30/Factors!AN11</f>
        <v>1581.16452534092</v>
      </c>
      <c r="AO31" s="146" t="n">
        <f aca="false">'P&amp;LPLN'!AO30/Factors!AO11</f>
        <v>1574.81446700622</v>
      </c>
      <c r="AP31" s="146" t="n">
        <f aca="false">'P&amp;LPLN'!AP30/Factors!AP11</f>
        <v>1568.51520913819</v>
      </c>
      <c r="AQ31" s="146" t="n">
        <f aca="false">'P&amp;LPLN'!AQ30/Factors!AQ11</f>
        <v>1562.26614455995</v>
      </c>
      <c r="AR31" s="146" t="n">
        <f aca="false">'P&amp;LPLN'!AR30/Factors!AR11</f>
        <v>1556.06667573234</v>
      </c>
      <c r="AS31" s="139" t="n">
        <f aca="false">SUM(AG31:AR31)</f>
        <v>19093.1797156201</v>
      </c>
    </row>
    <row r="32" customFormat="false" ht="13.8" hidden="false" customHeight="false" outlineLevel="0" collapsed="false">
      <c r="A32" s="145"/>
      <c r="B32" s="285" t="s">
        <v>66</v>
      </c>
      <c r="C32" s="353" t="n">
        <f aca="false">SUM(C20:C31)</f>
        <v>2568179.4126166</v>
      </c>
      <c r="D32" s="353" t="n">
        <f aca="false">SUM(D20:D31)</f>
        <v>2329607.12433752</v>
      </c>
      <c r="E32" s="353" t="n">
        <f aca="false">SUM(E20:E31)</f>
        <v>2522556.01143293</v>
      </c>
      <c r="F32" s="353" t="n">
        <f aca="false">SUM(F20:F31)</f>
        <v>2308754.90280003</v>
      </c>
      <c r="G32" s="353" t="n">
        <f aca="false">SUM(G20:G31)</f>
        <v>2319854.73218793</v>
      </c>
      <c r="H32" s="353" t="n">
        <f aca="false">SUM(H20:H31)</f>
        <v>2275197.88409254</v>
      </c>
      <c r="I32" s="353" t="n">
        <f aca="false">SUM(I20:I31)</f>
        <v>2501524.12294752</v>
      </c>
      <c r="J32" s="353" t="n">
        <f aca="false">SUM(J20:J31)</f>
        <v>2426421.94074289</v>
      </c>
      <c r="K32" s="353" t="n">
        <f aca="false">SUM(K20:K31)</f>
        <v>2375566.00660105</v>
      </c>
      <c r="L32" s="353" t="n">
        <f aca="false">SUM(L20:L31)</f>
        <v>2686940.71440009</v>
      </c>
      <c r="M32" s="353" t="n">
        <f aca="false">SUM(M20:M31)</f>
        <v>2452920.49405459</v>
      </c>
      <c r="N32" s="353" t="n">
        <f aca="false">SUM(N20:N31)</f>
        <v>2500712.34493841</v>
      </c>
      <c r="O32" s="353" t="n">
        <f aca="false">SUM(O20:O31)</f>
        <v>29268235.6911521</v>
      </c>
      <c r="Q32" s="145"/>
      <c r="R32" s="353" t="n">
        <f aca="false">SUM(R20:R31)</f>
        <v>2641430.33991289</v>
      </c>
      <c r="S32" s="353" t="n">
        <f aca="false">SUM(S20:S31)</f>
        <v>2396232.64437344</v>
      </c>
      <c r="T32" s="353" t="n">
        <f aca="false">SUM(T20:T31)</f>
        <v>2593000.5392197</v>
      </c>
      <c r="U32" s="353" t="n">
        <f aca="false">SUM(U20:U31)</f>
        <v>2395311.98190461</v>
      </c>
      <c r="V32" s="353" t="n">
        <f aca="false">SUM(V20:V31)</f>
        <v>2407376.16604791</v>
      </c>
      <c r="W32" s="353" t="n">
        <f aca="false">SUM(W20:W31)</f>
        <v>2361301.4323309</v>
      </c>
      <c r="X32" s="353" t="n">
        <f aca="false">SUM(X20:X31)</f>
        <v>2523011.52796886</v>
      </c>
      <c r="Y32" s="353" t="n">
        <f aca="false">SUM(Y20:Y31)</f>
        <v>2446899.06406107</v>
      </c>
      <c r="Z32" s="353" t="n">
        <f aca="false">SUM(Z20:Z31)</f>
        <v>2394508.34008828</v>
      </c>
      <c r="AA32" s="353" t="n">
        <f aca="false">SUM(AA20:AA31)</f>
        <v>2727650.23843797</v>
      </c>
      <c r="AB32" s="353" t="n">
        <f aca="false">SUM(AB20:AB31)</f>
        <v>2534896.94028816</v>
      </c>
      <c r="AC32" s="353" t="n">
        <f aca="false">SUM(AC20:AC31)</f>
        <v>2600897.82721195</v>
      </c>
      <c r="AD32" s="353" t="n">
        <f aca="false">SUM(AD20:AD31)</f>
        <v>30022517.0418457</v>
      </c>
      <c r="AF32" s="145"/>
      <c r="AG32" s="353" t="n">
        <f aca="false">SUM(AG20:AG31)</f>
        <v>2641021.96274027</v>
      </c>
      <c r="AH32" s="353" t="n">
        <f aca="false">SUM(AH20:AH31)</f>
        <v>2395803.47459116</v>
      </c>
      <c r="AI32" s="353" t="n">
        <f aca="false">SUM(AI20:AI31)</f>
        <v>2592573.13556821</v>
      </c>
      <c r="AJ32" s="353" t="n">
        <f aca="false">SUM(AJ20:AJ31)</f>
        <v>2394897.47783512</v>
      </c>
      <c r="AK32" s="353" t="n">
        <f aca="false">SUM(AK20:AK31)</f>
        <v>2406963.35383177</v>
      </c>
      <c r="AL32" s="353" t="n">
        <f aca="false">SUM(AL20:AL31)</f>
        <v>2360912.41280145</v>
      </c>
      <c r="AM32" s="353" t="n">
        <f aca="false">SUM(AM20:AM31)</f>
        <v>2522624.08341726</v>
      </c>
      <c r="AN32" s="353" t="n">
        <f aca="false">SUM(AN20:AN31)</f>
        <v>2446513.18178589</v>
      </c>
      <c r="AO32" s="353" t="n">
        <f aca="false">SUM(AO20:AO31)</f>
        <v>2394124.00754111</v>
      </c>
      <c r="AP32" s="353" t="n">
        <f aca="false">SUM(AP20:AP31)</f>
        <v>2727256.56284357</v>
      </c>
      <c r="AQ32" s="353" t="n">
        <f aca="false">SUM(AQ20:AQ31)</f>
        <v>2534504.83312242</v>
      </c>
      <c r="AR32" s="353" t="n">
        <f aca="false">SUM(AR20:AR31)</f>
        <v>2583541.22718604</v>
      </c>
      <c r="AS32" s="353" t="n">
        <f aca="false">SUM(AS20:AS31)</f>
        <v>30000735.7132643</v>
      </c>
    </row>
    <row r="33" customFormat="false" ht="13.8" hidden="false" customHeight="false" outlineLevel="0" collapsed="false">
      <c r="A33" s="145"/>
      <c r="B33" s="280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Q33" s="145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F33" s="145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</row>
    <row r="34" customFormat="false" ht="13.2" hidden="false" customHeight="false" outlineLevel="0" collapsed="false">
      <c r="A34" s="145"/>
      <c r="B34" s="280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Q34" s="145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F34" s="145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</row>
    <row r="35" customFormat="false" ht="13.2" hidden="false" customHeight="false" outlineLevel="0" collapsed="false">
      <c r="A35" s="145"/>
      <c r="B35" s="355"/>
      <c r="C35" s="153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39"/>
      <c r="Q35" s="356"/>
      <c r="R35" s="357" t="s">
        <v>1024</v>
      </c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F35" s="356"/>
      <c r="AG35" s="357" t="s">
        <v>1024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</row>
    <row r="36" customFormat="false" ht="13.2" hidden="false" customHeight="false" outlineLevel="0" collapsed="false">
      <c r="A36" s="141" t="s">
        <v>1025</v>
      </c>
      <c r="B36" s="144" t="s">
        <v>1169</v>
      </c>
      <c r="C36" s="146" t="n">
        <f aca="false">Depreciation!B29</f>
        <v>668537.495833333</v>
      </c>
      <c r="D36" s="146" t="n">
        <f aca="false">Depreciation!C29</f>
        <v>668537.495833333</v>
      </c>
      <c r="E36" s="146" t="n">
        <f aca="false">Depreciation!D29</f>
        <v>668537.495833333</v>
      </c>
      <c r="F36" s="146" t="n">
        <f aca="false">Depreciation!E29</f>
        <v>668537.495833333</v>
      </c>
      <c r="G36" s="146" t="n">
        <f aca="false">Depreciation!F29</f>
        <v>668537.495833333</v>
      </c>
      <c r="H36" s="146" t="n">
        <f aca="false">Depreciation!G29</f>
        <v>668537.495833333</v>
      </c>
      <c r="I36" s="146" t="n">
        <f aca="false">Depreciation!H29</f>
        <v>668537.495833333</v>
      </c>
      <c r="J36" s="146" t="n">
        <f aca="false">Depreciation!I29</f>
        <v>668537.495833333</v>
      </c>
      <c r="K36" s="146" t="n">
        <f aca="false">Depreciation!J29</f>
        <v>668537.495833333</v>
      </c>
      <c r="L36" s="146" t="n">
        <f aca="false">Depreciation!K29</f>
        <v>668537.495833333</v>
      </c>
      <c r="M36" s="146" t="n">
        <f aca="false">Depreciation!L29</f>
        <v>668537.495833333</v>
      </c>
      <c r="N36" s="146" t="n">
        <f aca="false">Depreciation!M29</f>
        <v>668537.495833333</v>
      </c>
      <c r="O36" s="139" t="n">
        <f aca="false">SUM(C36:N36)</f>
        <v>8022449.95</v>
      </c>
      <c r="Q36" s="144" t="s">
        <v>1024</v>
      </c>
      <c r="R36" s="146" t="n">
        <f aca="false">Depreciation!Q29</f>
        <v>0</v>
      </c>
      <c r="S36" s="146" t="n">
        <f aca="false">Depreciation!R29</f>
        <v>0</v>
      </c>
      <c r="T36" s="146" t="n">
        <f aca="false">Depreciation!S29</f>
        <v>0</v>
      </c>
      <c r="U36" s="146" t="n">
        <f aca="false">Depreciation!T29</f>
        <v>0</v>
      </c>
      <c r="V36" s="146" t="n">
        <f aca="false">Depreciation!U29</f>
        <v>0</v>
      </c>
      <c r="W36" s="146" t="n">
        <f aca="false">Depreciation!V29</f>
        <v>0</v>
      </c>
      <c r="X36" s="146" t="n">
        <f aca="false">Depreciation!W29</f>
        <v>0</v>
      </c>
      <c r="Y36" s="146" t="n">
        <f aca="false">Depreciation!X29</f>
        <v>0</v>
      </c>
      <c r="Z36" s="146" t="n">
        <f aca="false">Depreciation!Y29</f>
        <v>0</v>
      </c>
      <c r="AA36" s="146" t="n">
        <f aca="false">Depreciation!Z29</f>
        <v>0</v>
      </c>
      <c r="AB36" s="146" t="n">
        <f aca="false">Depreciation!AA29</f>
        <v>0</v>
      </c>
      <c r="AC36" s="146" t="n">
        <f aca="false">Depreciation!AB29</f>
        <v>0</v>
      </c>
      <c r="AD36" s="139" t="n">
        <f aca="false">SUM(R36:AC36)</f>
        <v>0</v>
      </c>
      <c r="AF36" s="144" t="s">
        <v>1024</v>
      </c>
      <c r="AG36" s="146" t="n">
        <f aca="false">Depreciation!AF29</f>
        <v>0</v>
      </c>
      <c r="AH36" s="146" t="n">
        <f aca="false">Depreciation!AG29</f>
        <v>0</v>
      </c>
      <c r="AI36" s="146" t="n">
        <f aca="false">Depreciation!AH29</f>
        <v>0</v>
      </c>
      <c r="AJ36" s="146" t="n">
        <f aca="false">Depreciation!AI29</f>
        <v>0</v>
      </c>
      <c r="AK36" s="146" t="n">
        <f aca="false">Depreciation!AJ29</f>
        <v>0</v>
      </c>
      <c r="AL36" s="146" t="n">
        <f aca="false">Depreciation!AK29</f>
        <v>0</v>
      </c>
      <c r="AM36" s="146" t="n">
        <f aca="false">Depreciation!AL29</f>
        <v>0</v>
      </c>
      <c r="AN36" s="146" t="n">
        <f aca="false">Depreciation!AM29</f>
        <v>0</v>
      </c>
      <c r="AO36" s="146" t="n">
        <f aca="false">Depreciation!AN29</f>
        <v>0</v>
      </c>
      <c r="AP36" s="146" t="n">
        <f aca="false">Depreciation!AO29</f>
        <v>0</v>
      </c>
      <c r="AQ36" s="146" t="n">
        <f aca="false">Depreciation!AP29</f>
        <v>0</v>
      </c>
      <c r="AR36" s="146" t="n">
        <f aca="false">Depreciation!AQ29</f>
        <v>0</v>
      </c>
      <c r="AS36" s="139" t="n">
        <f aca="false">SUM(AG36:AR36)</f>
        <v>0</v>
      </c>
    </row>
    <row r="37" customFormat="false" ht="13.8" hidden="false" customHeight="false" outlineLevel="0" collapsed="false">
      <c r="A37" s="145"/>
      <c r="B37" s="285" t="s">
        <v>66</v>
      </c>
      <c r="C37" s="353" t="n">
        <f aca="false">C36</f>
        <v>668537.495833333</v>
      </c>
      <c r="D37" s="353" t="n">
        <f aca="false">D36</f>
        <v>668537.495833333</v>
      </c>
      <c r="E37" s="353" t="n">
        <f aca="false">E36</f>
        <v>668537.495833333</v>
      </c>
      <c r="F37" s="353" t="n">
        <f aca="false">F36</f>
        <v>668537.495833333</v>
      </c>
      <c r="G37" s="353" t="n">
        <f aca="false">G36</f>
        <v>668537.495833333</v>
      </c>
      <c r="H37" s="353" t="n">
        <f aca="false">H36</f>
        <v>668537.495833333</v>
      </c>
      <c r="I37" s="353" t="n">
        <f aca="false">I36</f>
        <v>668537.495833333</v>
      </c>
      <c r="J37" s="353" t="n">
        <f aca="false">J36</f>
        <v>668537.495833333</v>
      </c>
      <c r="K37" s="353" t="n">
        <f aca="false">K36</f>
        <v>668537.495833333</v>
      </c>
      <c r="L37" s="353" t="n">
        <f aca="false">L36</f>
        <v>668537.495833333</v>
      </c>
      <c r="M37" s="353" t="n">
        <f aca="false">M36</f>
        <v>668537.495833333</v>
      </c>
      <c r="N37" s="353" t="n">
        <f aca="false">N36</f>
        <v>668537.495833333</v>
      </c>
      <c r="O37" s="353" t="n">
        <f aca="false">O36</f>
        <v>8022449.95</v>
      </c>
      <c r="P37" s="145"/>
      <c r="Q37" s="354"/>
      <c r="R37" s="353" t="n">
        <f aca="false">R36</f>
        <v>0</v>
      </c>
      <c r="S37" s="353" t="n">
        <f aca="false">S36</f>
        <v>0</v>
      </c>
      <c r="T37" s="353" t="n">
        <f aca="false">T36</f>
        <v>0</v>
      </c>
      <c r="U37" s="353" t="n">
        <f aca="false">U36</f>
        <v>0</v>
      </c>
      <c r="V37" s="353" t="n">
        <f aca="false">V36</f>
        <v>0</v>
      </c>
      <c r="W37" s="353" t="n">
        <f aca="false">W36</f>
        <v>0</v>
      </c>
      <c r="X37" s="353" t="n">
        <f aca="false">X36</f>
        <v>0</v>
      </c>
      <c r="Y37" s="353" t="n">
        <f aca="false">Y36</f>
        <v>0</v>
      </c>
      <c r="Z37" s="353" t="n">
        <f aca="false">Z36</f>
        <v>0</v>
      </c>
      <c r="AA37" s="353" t="n">
        <f aca="false">AA36</f>
        <v>0</v>
      </c>
      <c r="AB37" s="353" t="n">
        <f aca="false">AB36</f>
        <v>0</v>
      </c>
      <c r="AC37" s="353" t="n">
        <f aca="false">AC36</f>
        <v>0</v>
      </c>
      <c r="AD37" s="353" t="n">
        <f aca="false">AD36</f>
        <v>0</v>
      </c>
      <c r="AF37" s="354"/>
      <c r="AG37" s="353" t="n">
        <f aca="false">AG36</f>
        <v>0</v>
      </c>
      <c r="AH37" s="353" t="n">
        <f aca="false">AH36</f>
        <v>0</v>
      </c>
      <c r="AI37" s="353" t="n">
        <f aca="false">AI36</f>
        <v>0</v>
      </c>
      <c r="AJ37" s="353" t="n">
        <f aca="false">AJ36</f>
        <v>0</v>
      </c>
      <c r="AK37" s="353" t="n">
        <f aca="false">AK36</f>
        <v>0</v>
      </c>
      <c r="AL37" s="353" t="n">
        <f aca="false">AL36</f>
        <v>0</v>
      </c>
      <c r="AM37" s="353" t="n">
        <f aca="false">AM36</f>
        <v>0</v>
      </c>
      <c r="AN37" s="353" t="n">
        <f aca="false">AN36</f>
        <v>0</v>
      </c>
      <c r="AO37" s="353" t="n">
        <f aca="false">AO36</f>
        <v>0</v>
      </c>
      <c r="AP37" s="353" t="n">
        <f aca="false">AP36</f>
        <v>0</v>
      </c>
      <c r="AQ37" s="353" t="n">
        <f aca="false">AQ36</f>
        <v>0</v>
      </c>
      <c r="AR37" s="353" t="n">
        <f aca="false">AR36</f>
        <v>0</v>
      </c>
      <c r="AS37" s="353" t="n">
        <f aca="false">AS36</f>
        <v>0</v>
      </c>
    </row>
    <row r="38" customFormat="false" ht="13.8" hidden="false" customHeight="false" outlineLevel="0" collapsed="false">
      <c r="A38" s="145"/>
      <c r="B38" s="280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5"/>
      <c r="Q38" s="145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5"/>
      <c r="AF38" s="145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5"/>
    </row>
    <row r="39" customFormat="false" ht="13.2" hidden="false" customHeight="false" outlineLevel="0" collapsed="false">
      <c r="A39" s="207" t="s">
        <v>217</v>
      </c>
      <c r="B39" s="205" t="s">
        <v>1170</v>
      </c>
      <c r="C39" s="146" t="n">
        <f aca="false">SiteServices!C43</f>
        <v>3253.2292552794</v>
      </c>
      <c r="D39" s="146" t="n">
        <f aca="false">SiteServices!D43</f>
        <v>3248.68745137295</v>
      </c>
      <c r="E39" s="146" t="n">
        <f aca="false">SiteServices!E43</f>
        <v>3244.15831132921</v>
      </c>
      <c r="F39" s="146" t="n">
        <f aca="false">SiteServices!F43</f>
        <v>3239.64178225616</v>
      </c>
      <c r="G39" s="146" t="n">
        <f aca="false">SiteServices!G43</f>
        <v>3235.1378115559</v>
      </c>
      <c r="H39" s="146" t="n">
        <f aca="false">SiteServices!H43</f>
        <v>3230.64634692264</v>
      </c>
      <c r="I39" s="146" t="n">
        <f aca="false">SiteServices!I43</f>
        <v>3226.16733634066</v>
      </c>
      <c r="J39" s="146" t="n">
        <f aca="false">SiteServices!J43</f>
        <v>3221.70072808227</v>
      </c>
      <c r="K39" s="146" t="n">
        <f aca="false">SiteServices!K43</f>
        <v>3217.2464707059</v>
      </c>
      <c r="L39" s="146" t="n">
        <f aca="false">SiteServices!L43</f>
        <v>3212.80451305404</v>
      </c>
      <c r="M39" s="146" t="n">
        <f aca="false">SiteServices!M43</f>
        <v>3208.37480425132</v>
      </c>
      <c r="N39" s="146" t="n">
        <f aca="false">SiteServices!N43</f>
        <v>3203.95729370259</v>
      </c>
      <c r="O39" s="139" t="n">
        <f aca="false">SUM(C39:N39)</f>
        <v>38741.752104853</v>
      </c>
      <c r="Q39" s="170" t="s">
        <v>1171</v>
      </c>
      <c r="R39" s="146" t="n">
        <f aca="false">SiteServices!Q43</f>
        <v>2853.59212384944</v>
      </c>
      <c r="S39" s="146" t="n">
        <f aca="false">SiteServices!R43</f>
        <v>2841.80042085833</v>
      </c>
      <c r="T39" s="146" t="n">
        <f aca="false">SiteServices!S43</f>
        <v>2830.10576892064</v>
      </c>
      <c r="U39" s="146" t="n">
        <f aca="false">SiteServices!T43</f>
        <v>2818.50697478572</v>
      </c>
      <c r="V39" s="146" t="n">
        <f aca="false">SiteServices!U43</f>
        <v>2807.00286468456</v>
      </c>
      <c r="W39" s="146" t="n">
        <f aca="false">SiteServices!V43</f>
        <v>2795.59228393381</v>
      </c>
      <c r="X39" s="146" t="n">
        <f aca="false">SiteServices!W43</f>
        <v>2784.27409654946</v>
      </c>
      <c r="Y39" s="146" t="n">
        <f aca="false">SiteServices!X43</f>
        <v>2773.04718486982</v>
      </c>
      <c r="Z39" s="146" t="n">
        <f aca="false">SiteServices!Y43</f>
        <v>2761.91044918762</v>
      </c>
      <c r="AA39" s="146" t="n">
        <f aca="false">SiteServices!Z43</f>
        <v>2750.86280739087</v>
      </c>
      <c r="AB39" s="146" t="n">
        <f aca="false">SiteServices!AA43</f>
        <v>2739.90319461242</v>
      </c>
      <c r="AC39" s="146" t="n">
        <f aca="false">SiteServices!AB43</f>
        <v>2729.03056288776</v>
      </c>
      <c r="AD39" s="139" t="n">
        <f aca="false">SUM(R39:AC39)</f>
        <v>33485.6287325305</v>
      </c>
      <c r="AF39" s="170" t="s">
        <v>1171</v>
      </c>
      <c r="AG39" s="146" t="n">
        <f aca="false">SiteServices!AE43</f>
        <v>2717.70678461852</v>
      </c>
      <c r="AH39" s="146" t="n">
        <f aca="false">SiteServices!AF43</f>
        <v>2706.47659129365</v>
      </c>
      <c r="AI39" s="146" t="n">
        <f aca="false">SiteServices!AG43</f>
        <v>2695.33882754347</v>
      </c>
      <c r="AJ39" s="146" t="n">
        <f aca="false">SiteServices!AH43</f>
        <v>2684.29235693878</v>
      </c>
      <c r="AK39" s="146" t="n">
        <f aca="false">SiteServices!AI43</f>
        <v>2673.33606160434</v>
      </c>
      <c r="AL39" s="146" t="n">
        <f aca="false">SiteServices!AJ43</f>
        <v>2662.46884184172</v>
      </c>
      <c r="AM39" s="146" t="n">
        <f aca="false">SiteServices!AK43</f>
        <v>2651.68961576139</v>
      </c>
      <c r="AN39" s="146" t="n">
        <f aca="false">SiteServices!AL43</f>
        <v>2640.99731892364</v>
      </c>
      <c r="AO39" s="146" t="n">
        <f aca="false">SiteServices!AM43</f>
        <v>2630.39090398821</v>
      </c>
      <c r="AP39" s="146" t="n">
        <f aca="false">SiteServices!AN43</f>
        <v>2619.86934037225</v>
      </c>
      <c r="AQ39" s="146" t="n">
        <f aca="false">SiteServices!AO43</f>
        <v>2609.43161391659</v>
      </c>
      <c r="AR39" s="146" t="n">
        <f aca="false">SiteServices!AP43</f>
        <v>2599.07672655977</v>
      </c>
      <c r="AS39" s="139" t="n">
        <f aca="false">SUM(AG39:AR39)</f>
        <v>31891.0749833623</v>
      </c>
    </row>
    <row r="40" customFormat="false" ht="13.8" hidden="false" customHeight="false" outlineLevel="0" collapsed="false">
      <c r="A40" s="393"/>
      <c r="B40" s="285" t="s">
        <v>66</v>
      </c>
      <c r="C40" s="353" t="n">
        <f aca="false">C39</f>
        <v>3253.2292552794</v>
      </c>
      <c r="D40" s="353" t="n">
        <f aca="false">D39</f>
        <v>3248.68745137295</v>
      </c>
      <c r="E40" s="353" t="n">
        <f aca="false">E39</f>
        <v>3244.15831132921</v>
      </c>
      <c r="F40" s="353" t="n">
        <f aca="false">F39</f>
        <v>3239.64178225616</v>
      </c>
      <c r="G40" s="353" t="n">
        <f aca="false">G39</f>
        <v>3235.1378115559</v>
      </c>
      <c r="H40" s="353" t="n">
        <f aca="false">H39</f>
        <v>3230.64634692264</v>
      </c>
      <c r="I40" s="353" t="n">
        <f aca="false">I39</f>
        <v>3226.16733634066</v>
      </c>
      <c r="J40" s="353" t="n">
        <f aca="false">J39</f>
        <v>3221.70072808227</v>
      </c>
      <c r="K40" s="353" t="n">
        <f aca="false">K39</f>
        <v>3217.2464707059</v>
      </c>
      <c r="L40" s="353" t="n">
        <f aca="false">L39</f>
        <v>3212.80451305404</v>
      </c>
      <c r="M40" s="353" t="n">
        <f aca="false">M39</f>
        <v>3208.37480425132</v>
      </c>
      <c r="N40" s="353" t="n">
        <f aca="false">N39</f>
        <v>3203.95729370259</v>
      </c>
      <c r="O40" s="353" t="n">
        <f aca="false">O39</f>
        <v>38741.752104853</v>
      </c>
      <c r="Q40" s="145"/>
      <c r="R40" s="353" t="n">
        <f aca="false">R39</f>
        <v>2853.59212384944</v>
      </c>
      <c r="S40" s="353" t="n">
        <f aca="false">S39</f>
        <v>2841.80042085833</v>
      </c>
      <c r="T40" s="353" t="n">
        <f aca="false">T39</f>
        <v>2830.10576892064</v>
      </c>
      <c r="U40" s="353" t="n">
        <f aca="false">U39</f>
        <v>2818.50697478572</v>
      </c>
      <c r="V40" s="353" t="n">
        <f aca="false">V39</f>
        <v>2807.00286468456</v>
      </c>
      <c r="W40" s="353" t="n">
        <f aca="false">W39</f>
        <v>2795.59228393381</v>
      </c>
      <c r="X40" s="353" t="n">
        <f aca="false">X39</f>
        <v>2784.27409654946</v>
      </c>
      <c r="Y40" s="353" t="n">
        <f aca="false">Y39</f>
        <v>2773.04718486982</v>
      </c>
      <c r="Z40" s="353" t="n">
        <f aca="false">Z39</f>
        <v>2761.91044918762</v>
      </c>
      <c r="AA40" s="353" t="n">
        <f aca="false">AA39</f>
        <v>2750.86280739087</v>
      </c>
      <c r="AB40" s="353" t="n">
        <f aca="false">AB39</f>
        <v>2739.90319461242</v>
      </c>
      <c r="AC40" s="353" t="n">
        <f aca="false">AC39</f>
        <v>2729.03056288776</v>
      </c>
      <c r="AD40" s="353" t="n">
        <f aca="false">AD39</f>
        <v>33485.6287325305</v>
      </c>
      <c r="AF40" s="145"/>
      <c r="AG40" s="353" t="n">
        <f aca="false">AG39</f>
        <v>2717.70678461852</v>
      </c>
      <c r="AH40" s="353" t="n">
        <f aca="false">AH39</f>
        <v>2706.47659129365</v>
      </c>
      <c r="AI40" s="353" t="n">
        <f aca="false">AI39</f>
        <v>2695.33882754347</v>
      </c>
      <c r="AJ40" s="353" t="n">
        <f aca="false">AJ39</f>
        <v>2684.29235693878</v>
      </c>
      <c r="AK40" s="353" t="n">
        <f aca="false">AK39</f>
        <v>2673.33606160434</v>
      </c>
      <c r="AL40" s="353" t="n">
        <f aca="false">AL39</f>
        <v>2662.46884184172</v>
      </c>
      <c r="AM40" s="353" t="n">
        <f aca="false">AM39</f>
        <v>2651.68961576139</v>
      </c>
      <c r="AN40" s="353" t="n">
        <f aca="false">AN39</f>
        <v>2640.99731892364</v>
      </c>
      <c r="AO40" s="353" t="n">
        <f aca="false">AO39</f>
        <v>2630.39090398821</v>
      </c>
      <c r="AP40" s="353" t="n">
        <f aca="false">AP39</f>
        <v>2619.86934037225</v>
      </c>
      <c r="AQ40" s="353" t="n">
        <f aca="false">AQ39</f>
        <v>2609.43161391659</v>
      </c>
      <c r="AR40" s="353" t="n">
        <f aca="false">AR39</f>
        <v>2599.07672655977</v>
      </c>
      <c r="AS40" s="353" t="n">
        <f aca="false">AS39</f>
        <v>31891.0749833623</v>
      </c>
    </row>
    <row r="41" customFormat="false" ht="13.8" hidden="false" customHeight="false" outlineLevel="0" collapsed="false">
      <c r="A41" s="393"/>
      <c r="B41" s="291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5"/>
      <c r="Q41" s="145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5"/>
      <c r="AF41" s="145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5"/>
    </row>
    <row r="42" customFormat="false" ht="13.2" hidden="false" customHeight="false" outlineLevel="0" collapsed="false">
      <c r="A42" s="393"/>
      <c r="B42" s="291" t="str">
        <f aca="false">'O&amp;M Budget'!A17</f>
        <v>MAINTENANCE/OVERHAUL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5"/>
      <c r="Q42" s="145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5"/>
      <c r="AF42" s="145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5"/>
    </row>
    <row r="43" customFormat="false" ht="13.2" hidden="false" customHeight="false" outlineLevel="0" collapsed="false">
      <c r="A43" s="393"/>
      <c r="B43" s="359" t="s">
        <v>234</v>
      </c>
      <c r="C43" s="146" t="n">
        <f aca="false">'R&amp;M'!B7</f>
        <v>0</v>
      </c>
      <c r="D43" s="146" t="n">
        <f aca="false">'R&amp;M'!C7</f>
        <v>0</v>
      </c>
      <c r="E43" s="146" t="n">
        <f aca="false">'R&amp;M'!D7</f>
        <v>4353.3</v>
      </c>
      <c r="F43" s="146" t="n">
        <f aca="false">'R&amp;M'!E7</f>
        <v>0</v>
      </c>
      <c r="G43" s="146" t="n">
        <f aca="false">'R&amp;M'!F7</f>
        <v>0</v>
      </c>
      <c r="H43" s="146" t="n">
        <f aca="false">'R&amp;M'!G7</f>
        <v>4353.3</v>
      </c>
      <c r="I43" s="146" t="n">
        <f aca="false">'R&amp;M'!H7</f>
        <v>0</v>
      </c>
      <c r="J43" s="146" t="n">
        <f aca="false">'R&amp;M'!I7</f>
        <v>0</v>
      </c>
      <c r="K43" s="146" t="n">
        <f aca="false">'R&amp;M'!J7</f>
        <v>23679.9</v>
      </c>
      <c r="L43" s="146" t="n">
        <f aca="false">'R&amp;M'!K7</f>
        <v>0</v>
      </c>
      <c r="M43" s="146" t="n">
        <f aca="false">'R&amp;M'!L7</f>
        <v>0</v>
      </c>
      <c r="N43" s="146" t="n">
        <f aca="false">'R&amp;M'!M7</f>
        <v>4353.3</v>
      </c>
      <c r="O43" s="139" t="n">
        <f aca="false">SUM(C43:N43)</f>
        <v>36739.8</v>
      </c>
      <c r="Q43" s="145" t="s">
        <v>234</v>
      </c>
      <c r="R43" s="146" t="n">
        <f aca="false">'R&amp;M'!P6</f>
        <v>7818.71935092268</v>
      </c>
      <c r="S43" s="146" t="n">
        <f aca="false">'R&amp;M'!Q6</f>
        <v>7786.41059327424</v>
      </c>
      <c r="T43" s="146" t="n">
        <f aca="false">'R&amp;M'!R6</f>
        <v>7754.36775132661</v>
      </c>
      <c r="U43" s="146" t="n">
        <f aca="false">'R&amp;M'!S6</f>
        <v>1419.04544118275</v>
      </c>
      <c r="V43" s="146" t="n">
        <f aca="false">'R&amp;M'!T6</f>
        <v>1413.25341897384</v>
      </c>
      <c r="W43" s="146" t="n">
        <f aca="false">'R&amp;M'!U6</f>
        <v>1407.50848637638</v>
      </c>
      <c r="X43" s="146" t="n">
        <f aca="false">'R&amp;M'!V6</f>
        <v>1401.81007145178</v>
      </c>
      <c r="Y43" s="146" t="n">
        <f aca="false">'R&amp;M'!W6</f>
        <v>1396.15761148625</v>
      </c>
      <c r="Z43" s="146" t="n">
        <f aca="false">'R&amp;M'!X6</f>
        <v>1390.55055280559</v>
      </c>
      <c r="AA43" s="146" t="n">
        <f aca="false">'R&amp;M'!Y6</f>
        <v>1384.98835059436</v>
      </c>
      <c r="AB43" s="146" t="n">
        <f aca="false">'R&amp;M'!Z6</f>
        <v>1379.47046871948</v>
      </c>
      <c r="AC43" s="146" t="n">
        <f aca="false">'R&amp;M'!AA6</f>
        <v>1373.9963795579</v>
      </c>
      <c r="AD43" s="139" t="n">
        <f aca="false">SUM(R43:AC43)</f>
        <v>35926.2784766719</v>
      </c>
      <c r="AF43" s="145" t="s">
        <v>234</v>
      </c>
      <c r="AG43" s="146" t="n">
        <f aca="false">'R&amp;M'!AD6</f>
        <v>7477.42604592209</v>
      </c>
      <c r="AH43" s="146" t="n">
        <f aca="false">'R&amp;M'!AE6</f>
        <v>7446.39938183113</v>
      </c>
      <c r="AI43" s="146" t="n">
        <f aca="false">'R&amp;M'!AF6</f>
        <v>7415.62913645166</v>
      </c>
      <c r="AJ43" s="146" t="n">
        <f aca="false">'R&amp;M'!AG6</f>
        <v>1357.03346129175</v>
      </c>
      <c r="AK43" s="146" t="n">
        <f aca="false">'R&amp;M'!AH6</f>
        <v>1351.47184874548</v>
      </c>
      <c r="AL43" s="146" t="n">
        <f aca="false">'R&amp;M'!AI6</f>
        <v>1345.95563711794</v>
      </c>
      <c r="AM43" s="146" t="n">
        <f aca="false">'R&amp;M'!AJ6</f>
        <v>1340.48427273941</v>
      </c>
      <c r="AN43" s="146" t="n">
        <f aca="false">'R&amp;M'!AK6</f>
        <v>1335.05721090646</v>
      </c>
      <c r="AO43" s="146" t="n">
        <f aca="false">'R&amp;M'!AL6</f>
        <v>1329.67391570119</v>
      </c>
      <c r="AP43" s="146" t="n">
        <f aca="false">'R&amp;M'!AM6</f>
        <v>1324.33385981484</v>
      </c>
      <c r="AQ43" s="146" t="n">
        <f aca="false">'R&amp;M'!AN6</f>
        <v>1319.03652437558</v>
      </c>
      <c r="AR43" s="146" t="n">
        <f aca="false">'R&amp;M'!AO6</f>
        <v>1313.78139878046</v>
      </c>
      <c r="AS43" s="139" t="n">
        <f aca="false">SUM(AG43:AR43)</f>
        <v>34356.282693678</v>
      </c>
    </row>
    <row r="44" customFormat="false" ht="3" hidden="false" customHeight="true" outlineLevel="0" collapsed="false">
      <c r="A44" s="393"/>
      <c r="B44" s="359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5"/>
      <c r="Q44" s="145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5"/>
      <c r="AF44" s="145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5"/>
    </row>
    <row r="45" customFormat="false" ht="13.2" hidden="false" customHeight="false" outlineLevel="0" collapsed="false">
      <c r="A45" s="393"/>
      <c r="B45" s="359" t="s">
        <v>236</v>
      </c>
      <c r="C45" s="146" t="n">
        <f aca="false">'R&amp;M'!B11</f>
        <v>1315</v>
      </c>
      <c r="D45" s="146" t="n">
        <f aca="false">'R&amp;M'!C11</f>
        <v>1315</v>
      </c>
      <c r="E45" s="146" t="n">
        <f aca="false">'R&amp;M'!D11</f>
        <v>1315</v>
      </c>
      <c r="F45" s="146" t="n">
        <f aca="false">'R&amp;M'!E11</f>
        <v>1315</v>
      </c>
      <c r="G45" s="146" t="n">
        <f aca="false">'R&amp;M'!F11</f>
        <v>51315</v>
      </c>
      <c r="H45" s="146" t="n">
        <f aca="false">'R&amp;M'!G11</f>
        <v>1315</v>
      </c>
      <c r="I45" s="146" t="n">
        <f aca="false">'R&amp;M'!H11</f>
        <v>1315</v>
      </c>
      <c r="J45" s="146" t="n">
        <f aca="false">'R&amp;M'!I11</f>
        <v>1315</v>
      </c>
      <c r="K45" s="146" t="n">
        <f aca="false">'R&amp;M'!J11</f>
        <v>1315</v>
      </c>
      <c r="L45" s="146" t="n">
        <f aca="false">'R&amp;M'!K11</f>
        <v>1315</v>
      </c>
      <c r="M45" s="146" t="n">
        <f aca="false">'R&amp;M'!L11</f>
        <v>1315</v>
      </c>
      <c r="N45" s="146" t="n">
        <f aca="false">'R&amp;M'!M11</f>
        <v>1315</v>
      </c>
      <c r="O45" s="139" t="n">
        <f aca="false">SUM(C45:N45)</f>
        <v>65780</v>
      </c>
      <c r="Q45" s="145" t="s">
        <v>236</v>
      </c>
      <c r="R45" s="146" t="n">
        <f aca="false">'R&amp;M'!P11</f>
        <v>152063.166666667</v>
      </c>
      <c r="S45" s="146" t="n">
        <f aca="false">'R&amp;M'!Q11</f>
        <v>152063.166666667</v>
      </c>
      <c r="T45" s="146" t="n">
        <f aca="false">'R&amp;M'!R11</f>
        <v>152063.166666667</v>
      </c>
      <c r="U45" s="146" t="n">
        <f aca="false">'R&amp;M'!S11</f>
        <v>152063.166666667</v>
      </c>
      <c r="V45" s="146" t="n">
        <f aca="false">'R&amp;M'!T11</f>
        <v>152063.166666667</v>
      </c>
      <c r="W45" s="146" t="n">
        <f aca="false">'R&amp;M'!U11</f>
        <v>152063.166666667</v>
      </c>
      <c r="X45" s="146" t="n">
        <f aca="false">'R&amp;M'!V11</f>
        <v>152063.166666667</v>
      </c>
      <c r="Y45" s="146" t="n">
        <f aca="false">'R&amp;M'!W11</f>
        <v>152063.166666667</v>
      </c>
      <c r="Z45" s="146" t="n">
        <f aca="false">'R&amp;M'!X11</f>
        <v>152063.166666667</v>
      </c>
      <c r="AA45" s="146" t="n">
        <f aca="false">'R&amp;M'!Y11</f>
        <v>152063.166666667</v>
      </c>
      <c r="AB45" s="146" t="n">
        <f aca="false">'R&amp;M'!Z11</f>
        <v>152063.166666667</v>
      </c>
      <c r="AC45" s="146" t="n">
        <f aca="false">'R&amp;M'!AA11</f>
        <v>152063.166666667</v>
      </c>
      <c r="AD45" s="139" t="n">
        <f aca="false">SUM(R45:AC45)</f>
        <v>1824758</v>
      </c>
      <c r="AF45" s="145" t="s">
        <v>236</v>
      </c>
      <c r="AG45" s="146" t="n">
        <f aca="false">'R&amp;M'!AD11</f>
        <v>167867.666666667</v>
      </c>
      <c r="AH45" s="146" t="n">
        <f aca="false">'R&amp;M'!AE11</f>
        <v>167867.666666667</v>
      </c>
      <c r="AI45" s="146" t="n">
        <f aca="false">'R&amp;M'!AF11</f>
        <v>167867.666666667</v>
      </c>
      <c r="AJ45" s="146" t="n">
        <f aca="false">'R&amp;M'!AG11</f>
        <v>167867.666666667</v>
      </c>
      <c r="AK45" s="146" t="n">
        <f aca="false">'R&amp;M'!AH11</f>
        <v>167867.666666667</v>
      </c>
      <c r="AL45" s="146" t="n">
        <f aca="false">'R&amp;M'!AI11</f>
        <v>167867.666666667</v>
      </c>
      <c r="AM45" s="146" t="n">
        <f aca="false">'R&amp;M'!AJ11</f>
        <v>167867.666666667</v>
      </c>
      <c r="AN45" s="146" t="n">
        <f aca="false">'R&amp;M'!AK11</f>
        <v>167867.666666667</v>
      </c>
      <c r="AO45" s="146" t="n">
        <f aca="false">'R&amp;M'!AL11</f>
        <v>167867.666666667</v>
      </c>
      <c r="AP45" s="146" t="n">
        <f aca="false">'R&amp;M'!AM11</f>
        <v>167867.666666667</v>
      </c>
      <c r="AQ45" s="146" t="n">
        <f aca="false">'R&amp;M'!AN11</f>
        <v>167867.666666667</v>
      </c>
      <c r="AR45" s="146" t="n">
        <f aca="false">'R&amp;M'!AO11</f>
        <v>167867.666666667</v>
      </c>
      <c r="AS45" s="139" t="n">
        <f aca="false">SUM(AG45:AR45)</f>
        <v>2014412</v>
      </c>
    </row>
    <row r="46" customFormat="false" ht="1.95" hidden="false" customHeight="true" outlineLevel="0" collapsed="false">
      <c r="A46" s="393"/>
      <c r="B46" s="359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5"/>
      <c r="Q46" s="145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5"/>
      <c r="AF46" s="145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5"/>
    </row>
    <row r="47" customFormat="false" ht="13.2" hidden="false" customHeight="false" outlineLevel="0" collapsed="false">
      <c r="A47" s="393"/>
      <c r="B47" s="359" t="s">
        <v>228</v>
      </c>
      <c r="C47" s="146" t="n">
        <f aca="false">'R&amp;M'!B13</f>
        <v>19678</v>
      </c>
      <c r="D47" s="146" t="n">
        <f aca="false">'R&amp;M'!C13</f>
        <v>19678</v>
      </c>
      <c r="E47" s="146" t="n">
        <f aca="false">'R&amp;M'!D13</f>
        <v>19678</v>
      </c>
      <c r="F47" s="146" t="n">
        <f aca="false">'R&amp;M'!E13</f>
        <v>19678</v>
      </c>
      <c r="G47" s="146" t="n">
        <f aca="false">'R&amp;M'!F13</f>
        <v>19678</v>
      </c>
      <c r="H47" s="146" t="n">
        <f aca="false">'R&amp;M'!G13</f>
        <v>19678</v>
      </c>
      <c r="I47" s="146" t="n">
        <f aca="false">'R&amp;M'!H13</f>
        <v>19678</v>
      </c>
      <c r="J47" s="146" t="n">
        <f aca="false">'R&amp;M'!I13</f>
        <v>19678</v>
      </c>
      <c r="K47" s="146" t="n">
        <f aca="false">'R&amp;M'!J13</f>
        <v>19678</v>
      </c>
      <c r="L47" s="146" t="n">
        <f aca="false">'R&amp;M'!K13</f>
        <v>19678</v>
      </c>
      <c r="M47" s="146" t="n">
        <f aca="false">'R&amp;M'!L13</f>
        <v>19678</v>
      </c>
      <c r="N47" s="146" t="n">
        <f aca="false">'R&amp;M'!M13</f>
        <v>19678</v>
      </c>
      <c r="O47" s="139" t="n">
        <f aca="false">SUM(C47:N47)</f>
        <v>236136</v>
      </c>
      <c r="Q47" s="145" t="s">
        <v>228</v>
      </c>
      <c r="R47" s="146" t="n">
        <f aca="false">'R&amp;M'!P13</f>
        <v>20993</v>
      </c>
      <c r="S47" s="146" t="n">
        <f aca="false">'R&amp;M'!Q13</f>
        <v>20993</v>
      </c>
      <c r="T47" s="146" t="n">
        <f aca="false">'R&amp;M'!R13</f>
        <v>20993</v>
      </c>
      <c r="U47" s="146" t="n">
        <f aca="false">'R&amp;M'!S13</f>
        <v>20993</v>
      </c>
      <c r="V47" s="146" t="n">
        <f aca="false">'R&amp;M'!T13</f>
        <v>20993</v>
      </c>
      <c r="W47" s="146" t="n">
        <f aca="false">'R&amp;M'!U13</f>
        <v>20993</v>
      </c>
      <c r="X47" s="146" t="n">
        <f aca="false">'R&amp;M'!V13</f>
        <v>20993</v>
      </c>
      <c r="Y47" s="146" t="n">
        <f aca="false">'R&amp;M'!W13</f>
        <v>20993</v>
      </c>
      <c r="Z47" s="146" t="n">
        <f aca="false">'R&amp;M'!X13</f>
        <v>20993</v>
      </c>
      <c r="AA47" s="146" t="n">
        <f aca="false">'R&amp;M'!Y13</f>
        <v>20993</v>
      </c>
      <c r="AB47" s="146" t="n">
        <f aca="false">'R&amp;M'!Z13</f>
        <v>20993</v>
      </c>
      <c r="AC47" s="146" t="n">
        <f aca="false">'R&amp;M'!AA13</f>
        <v>20993</v>
      </c>
      <c r="AD47" s="139" t="n">
        <f aca="false">SUM(R47:AC47)</f>
        <v>251916</v>
      </c>
      <c r="AF47" s="145" t="s">
        <v>228</v>
      </c>
      <c r="AG47" s="146" t="n">
        <f aca="false">'R&amp;M'!AD13</f>
        <v>20993</v>
      </c>
      <c r="AH47" s="146" t="n">
        <f aca="false">'R&amp;M'!AE13</f>
        <v>20993</v>
      </c>
      <c r="AI47" s="146" t="n">
        <f aca="false">'R&amp;M'!AF13</f>
        <v>20993</v>
      </c>
      <c r="AJ47" s="146" t="n">
        <f aca="false">'R&amp;M'!AG13</f>
        <v>20993</v>
      </c>
      <c r="AK47" s="146" t="n">
        <f aca="false">'R&amp;M'!AH13</f>
        <v>20993</v>
      </c>
      <c r="AL47" s="146" t="n">
        <f aca="false">'R&amp;M'!AI13</f>
        <v>20993</v>
      </c>
      <c r="AM47" s="146" t="n">
        <f aca="false">'R&amp;M'!AJ13</f>
        <v>20993</v>
      </c>
      <c r="AN47" s="146" t="n">
        <f aca="false">'R&amp;M'!AK13</f>
        <v>20993</v>
      </c>
      <c r="AO47" s="146" t="n">
        <f aca="false">'R&amp;M'!AL13</f>
        <v>20993</v>
      </c>
      <c r="AP47" s="146" t="n">
        <f aca="false">'R&amp;M'!AM13</f>
        <v>20993</v>
      </c>
      <c r="AQ47" s="146" t="n">
        <f aca="false">'R&amp;M'!AN13</f>
        <v>20993</v>
      </c>
      <c r="AR47" s="146" t="n">
        <f aca="false">'R&amp;M'!AO13</f>
        <v>20993</v>
      </c>
      <c r="AS47" s="139" t="n">
        <f aca="false">SUM(AG47:AR47)</f>
        <v>251916</v>
      </c>
    </row>
    <row r="48" customFormat="false" ht="13.2" hidden="false" customHeight="false" outlineLevel="0" collapsed="false">
      <c r="A48" s="393"/>
      <c r="B48" s="359" t="s">
        <v>230</v>
      </c>
      <c r="C48" s="146" t="n">
        <f aca="false">'R&amp;M'!B14</f>
        <v>17072</v>
      </c>
      <c r="D48" s="146" t="n">
        <f aca="false">'R&amp;M'!C14</f>
        <v>17072</v>
      </c>
      <c r="E48" s="146" t="n">
        <f aca="false">'R&amp;M'!D14</f>
        <v>17072</v>
      </c>
      <c r="F48" s="146" t="n">
        <f aca="false">'R&amp;M'!E14</f>
        <v>17072</v>
      </c>
      <c r="G48" s="146" t="n">
        <f aca="false">'R&amp;M'!F14</f>
        <v>17072</v>
      </c>
      <c r="H48" s="146" t="n">
        <f aca="false">'R&amp;M'!G14</f>
        <v>17072</v>
      </c>
      <c r="I48" s="146" t="n">
        <f aca="false">'R&amp;M'!H14</f>
        <v>17072</v>
      </c>
      <c r="J48" s="146" t="n">
        <f aca="false">'R&amp;M'!I14</f>
        <v>17072</v>
      </c>
      <c r="K48" s="146" t="n">
        <f aca="false">'R&amp;M'!J14</f>
        <v>17072</v>
      </c>
      <c r="L48" s="146" t="n">
        <f aca="false">'R&amp;M'!K14</f>
        <v>17072</v>
      </c>
      <c r="M48" s="146" t="n">
        <f aca="false">'R&amp;M'!L14</f>
        <v>17072</v>
      </c>
      <c r="N48" s="146" t="n">
        <f aca="false">'R&amp;M'!M14</f>
        <v>17072</v>
      </c>
      <c r="O48" s="139" t="n">
        <f aca="false">SUM(C48:N48)</f>
        <v>204864</v>
      </c>
      <c r="Q48" s="145" t="s">
        <v>230</v>
      </c>
      <c r="R48" s="146" t="n">
        <f aca="false">'R&amp;M'!P14</f>
        <v>17072</v>
      </c>
      <c r="S48" s="146" t="n">
        <f aca="false">'R&amp;M'!Q14</f>
        <v>17072</v>
      </c>
      <c r="T48" s="146" t="n">
        <f aca="false">'R&amp;M'!R14</f>
        <v>17072</v>
      </c>
      <c r="U48" s="146" t="n">
        <f aca="false">'R&amp;M'!S14</f>
        <v>17072</v>
      </c>
      <c r="V48" s="146" t="n">
        <f aca="false">'R&amp;M'!T14</f>
        <v>17072</v>
      </c>
      <c r="W48" s="146" t="n">
        <f aca="false">'R&amp;M'!U14</f>
        <v>17072</v>
      </c>
      <c r="X48" s="146" t="n">
        <f aca="false">'R&amp;M'!V14</f>
        <v>17072</v>
      </c>
      <c r="Y48" s="146" t="n">
        <f aca="false">'R&amp;M'!W14</f>
        <v>17072</v>
      </c>
      <c r="Z48" s="146" t="n">
        <f aca="false">'R&amp;M'!X14</f>
        <v>17072</v>
      </c>
      <c r="AA48" s="146" t="n">
        <f aca="false">'R&amp;M'!Y14</f>
        <v>17072</v>
      </c>
      <c r="AB48" s="146" t="n">
        <f aca="false">'R&amp;M'!Z14</f>
        <v>17072</v>
      </c>
      <c r="AC48" s="146" t="n">
        <f aca="false">'R&amp;M'!AA14</f>
        <v>17072</v>
      </c>
      <c r="AD48" s="139" t="n">
        <f aca="false">SUM(R48:AC48)</f>
        <v>204864</v>
      </c>
      <c r="AF48" s="145" t="s">
        <v>230</v>
      </c>
      <c r="AG48" s="146" t="n">
        <f aca="false">'R&amp;M'!AD14</f>
        <v>17072</v>
      </c>
      <c r="AH48" s="146" t="n">
        <f aca="false">'R&amp;M'!AE14</f>
        <v>17072</v>
      </c>
      <c r="AI48" s="146" t="n">
        <f aca="false">'R&amp;M'!AF14</f>
        <v>17072</v>
      </c>
      <c r="AJ48" s="146" t="n">
        <f aca="false">'R&amp;M'!AG14</f>
        <v>17072</v>
      </c>
      <c r="AK48" s="146" t="n">
        <f aca="false">'R&amp;M'!AH14</f>
        <v>17072</v>
      </c>
      <c r="AL48" s="146" t="n">
        <f aca="false">'R&amp;M'!AI14</f>
        <v>17072</v>
      </c>
      <c r="AM48" s="146" t="n">
        <f aca="false">'R&amp;M'!AJ14</f>
        <v>17072</v>
      </c>
      <c r="AN48" s="146" t="n">
        <f aca="false">'R&amp;M'!AK14</f>
        <v>17072</v>
      </c>
      <c r="AO48" s="146" t="n">
        <f aca="false">'R&amp;M'!AL14</f>
        <v>17072</v>
      </c>
      <c r="AP48" s="146" t="n">
        <f aca="false">'R&amp;M'!AM14</f>
        <v>17072</v>
      </c>
      <c r="AQ48" s="146" t="n">
        <f aca="false">'R&amp;M'!AN14</f>
        <v>17072</v>
      </c>
      <c r="AR48" s="146" t="n">
        <f aca="false">'R&amp;M'!AO14</f>
        <v>17072</v>
      </c>
      <c r="AS48" s="139" t="n">
        <f aca="false">SUM(AG48:AR48)</f>
        <v>204864</v>
      </c>
    </row>
    <row r="49" customFormat="false" ht="13.2" hidden="false" customHeight="false" outlineLevel="0" collapsed="false">
      <c r="A49" s="393"/>
      <c r="B49" s="359" t="s">
        <v>231</v>
      </c>
      <c r="C49" s="146" t="n">
        <f aca="false">'R&amp;M'!B15</f>
        <v>7045</v>
      </c>
      <c r="D49" s="146" t="n">
        <f aca="false">'R&amp;M'!C15</f>
        <v>7045</v>
      </c>
      <c r="E49" s="146" t="n">
        <f aca="false">'R&amp;M'!D15</f>
        <v>7045</v>
      </c>
      <c r="F49" s="146" t="n">
        <f aca="false">'R&amp;M'!E15</f>
        <v>7045</v>
      </c>
      <c r="G49" s="146" t="n">
        <f aca="false">'R&amp;M'!F15</f>
        <v>7045</v>
      </c>
      <c r="H49" s="146" t="n">
        <f aca="false">'R&amp;M'!G15</f>
        <v>7045</v>
      </c>
      <c r="I49" s="146" t="n">
        <f aca="false">'R&amp;M'!H15</f>
        <v>7045</v>
      </c>
      <c r="J49" s="146" t="n">
        <f aca="false">'R&amp;M'!I15</f>
        <v>7045</v>
      </c>
      <c r="K49" s="146" t="n">
        <f aca="false">'R&amp;M'!J15</f>
        <v>7045</v>
      </c>
      <c r="L49" s="146" t="n">
        <f aca="false">'R&amp;M'!K15</f>
        <v>7045</v>
      </c>
      <c r="M49" s="146" t="n">
        <f aca="false">'R&amp;M'!L15</f>
        <v>7045</v>
      </c>
      <c r="N49" s="146" t="n">
        <f aca="false">'R&amp;M'!M15</f>
        <v>7045</v>
      </c>
      <c r="O49" s="139" t="n">
        <f aca="false">SUM(C49:N49)</f>
        <v>84540</v>
      </c>
      <c r="Q49" s="145" t="s">
        <v>231</v>
      </c>
      <c r="R49" s="146" t="n">
        <f aca="false">'R&amp;M'!P15</f>
        <v>7045</v>
      </c>
      <c r="S49" s="146" t="n">
        <f aca="false">'R&amp;M'!Q15</f>
        <v>7045</v>
      </c>
      <c r="T49" s="146" t="n">
        <f aca="false">'R&amp;M'!R15</f>
        <v>7045</v>
      </c>
      <c r="U49" s="146" t="n">
        <f aca="false">'R&amp;M'!S15</f>
        <v>7045</v>
      </c>
      <c r="V49" s="146" t="n">
        <f aca="false">'R&amp;M'!T15</f>
        <v>7045</v>
      </c>
      <c r="W49" s="146" t="n">
        <f aca="false">'R&amp;M'!U15</f>
        <v>7045</v>
      </c>
      <c r="X49" s="146" t="n">
        <f aca="false">'R&amp;M'!V15</f>
        <v>7045</v>
      </c>
      <c r="Y49" s="146" t="n">
        <f aca="false">'R&amp;M'!W15</f>
        <v>7045</v>
      </c>
      <c r="Z49" s="146" t="n">
        <f aca="false">'R&amp;M'!X15</f>
        <v>7045</v>
      </c>
      <c r="AA49" s="146" t="n">
        <f aca="false">'R&amp;M'!Y15</f>
        <v>7045</v>
      </c>
      <c r="AB49" s="146" t="n">
        <f aca="false">'R&amp;M'!Z15</f>
        <v>7045</v>
      </c>
      <c r="AC49" s="146" t="n">
        <f aca="false">'R&amp;M'!AA15</f>
        <v>7045</v>
      </c>
      <c r="AD49" s="139" t="n">
        <f aca="false">SUM(R49:AC49)</f>
        <v>84540</v>
      </c>
      <c r="AF49" s="145" t="s">
        <v>231</v>
      </c>
      <c r="AG49" s="146" t="n">
        <f aca="false">'R&amp;M'!AD15</f>
        <v>7045</v>
      </c>
      <c r="AH49" s="146" t="n">
        <f aca="false">'R&amp;M'!AE15</f>
        <v>7045</v>
      </c>
      <c r="AI49" s="146" t="n">
        <f aca="false">'R&amp;M'!AF15</f>
        <v>7045</v>
      </c>
      <c r="AJ49" s="146" t="n">
        <f aca="false">'R&amp;M'!AG15</f>
        <v>7045</v>
      </c>
      <c r="AK49" s="146" t="n">
        <f aca="false">'R&amp;M'!AH15</f>
        <v>7045</v>
      </c>
      <c r="AL49" s="146" t="n">
        <f aca="false">'R&amp;M'!AI15</f>
        <v>7045</v>
      </c>
      <c r="AM49" s="146" t="n">
        <f aca="false">'R&amp;M'!AJ15</f>
        <v>7045</v>
      </c>
      <c r="AN49" s="146" t="n">
        <f aca="false">'R&amp;M'!AK15</f>
        <v>7045</v>
      </c>
      <c r="AO49" s="146" t="n">
        <f aca="false">'R&amp;M'!AL15</f>
        <v>7045</v>
      </c>
      <c r="AP49" s="146" t="n">
        <f aca="false">'R&amp;M'!AM15</f>
        <v>7045</v>
      </c>
      <c r="AQ49" s="146" t="n">
        <f aca="false">'R&amp;M'!AN15</f>
        <v>7045</v>
      </c>
      <c r="AR49" s="146" t="n">
        <f aca="false">'R&amp;M'!AO15</f>
        <v>7045</v>
      </c>
      <c r="AS49" s="139" t="n">
        <f aca="false">SUM(AG49:AR49)</f>
        <v>84540</v>
      </c>
    </row>
    <row r="50" customFormat="false" ht="13.8" hidden="false" customHeight="false" outlineLevel="0" collapsed="false">
      <c r="A50" s="145"/>
      <c r="B50" s="285" t="s">
        <v>66</v>
      </c>
      <c r="C50" s="353" t="n">
        <f aca="false">SUM(C43:C49)</f>
        <v>45110</v>
      </c>
      <c r="D50" s="353" t="n">
        <f aca="false">SUM(D43:D49)</f>
        <v>45110</v>
      </c>
      <c r="E50" s="353" t="n">
        <f aca="false">SUM(E43:E49)</f>
        <v>49463.3</v>
      </c>
      <c r="F50" s="353" t="n">
        <f aca="false">SUM(F43:F49)</f>
        <v>45110</v>
      </c>
      <c r="G50" s="353" t="n">
        <f aca="false">SUM(G43:G49)</f>
        <v>95110</v>
      </c>
      <c r="H50" s="353" t="n">
        <f aca="false">SUM(H43:H49)</f>
        <v>49463.3</v>
      </c>
      <c r="I50" s="353" t="n">
        <f aca="false">SUM(I43:I49)</f>
        <v>45110</v>
      </c>
      <c r="J50" s="353" t="n">
        <f aca="false">SUM(J43:J49)</f>
        <v>45110</v>
      </c>
      <c r="K50" s="353" t="n">
        <f aca="false">SUM(K43:K49)</f>
        <v>68789.9</v>
      </c>
      <c r="L50" s="353" t="n">
        <f aca="false">SUM(L43:L49)</f>
        <v>45110</v>
      </c>
      <c r="M50" s="353" t="n">
        <f aca="false">SUM(M43:M49)</f>
        <v>45110</v>
      </c>
      <c r="N50" s="353" t="n">
        <f aca="false">SUM(N43:N49)</f>
        <v>49463.3</v>
      </c>
      <c r="O50" s="353" t="n">
        <f aca="false">SUM(O43:O49)</f>
        <v>628059.8</v>
      </c>
      <c r="Q50" s="145"/>
      <c r="R50" s="353" t="n">
        <f aca="false">SUM(R43:R49)</f>
        <v>204991.886017589</v>
      </c>
      <c r="S50" s="353" t="n">
        <f aca="false">SUM(S43:S49)</f>
        <v>204959.577259941</v>
      </c>
      <c r="T50" s="353" t="n">
        <f aca="false">SUM(T43:T49)</f>
        <v>204927.534417993</v>
      </c>
      <c r="U50" s="353" t="n">
        <f aca="false">SUM(U43:U49)</f>
        <v>198592.212107849</v>
      </c>
      <c r="V50" s="353" t="n">
        <f aca="false">SUM(V43:V49)</f>
        <v>198586.420085641</v>
      </c>
      <c r="W50" s="353" t="n">
        <f aca="false">SUM(W43:W49)</f>
        <v>198580.675153043</v>
      </c>
      <c r="X50" s="353" t="n">
        <f aca="false">SUM(X43:X49)</f>
        <v>198574.976738118</v>
      </c>
      <c r="Y50" s="353" t="n">
        <f aca="false">SUM(Y43:Y49)</f>
        <v>198569.324278153</v>
      </c>
      <c r="Z50" s="353" t="n">
        <f aca="false">SUM(Z43:Z49)</f>
        <v>198563.717219472</v>
      </c>
      <c r="AA50" s="353" t="n">
        <f aca="false">SUM(AA43:AA49)</f>
        <v>198558.155017261</v>
      </c>
      <c r="AB50" s="353" t="n">
        <f aca="false">SUM(AB43:AB49)</f>
        <v>198552.637135386</v>
      </c>
      <c r="AC50" s="353" t="n">
        <f aca="false">SUM(AC43:AC49)</f>
        <v>198547.163046225</v>
      </c>
      <c r="AD50" s="353" t="n">
        <f aca="false">SUM(AD43:AD49)</f>
        <v>2402004.27847667</v>
      </c>
      <c r="AF50" s="145"/>
      <c r="AG50" s="353" t="n">
        <f aca="false">SUM(AG43:AG49)</f>
        <v>220455.092712589</v>
      </c>
      <c r="AH50" s="353" t="n">
        <f aca="false">SUM(AH43:AH49)</f>
        <v>220424.066048498</v>
      </c>
      <c r="AI50" s="353" t="n">
        <f aca="false">SUM(AI43:AI49)</f>
        <v>220393.295803118</v>
      </c>
      <c r="AJ50" s="353" t="n">
        <f aca="false">SUM(AJ43:AJ49)</f>
        <v>214334.700127958</v>
      </c>
      <c r="AK50" s="353" t="n">
        <f aca="false">SUM(AK43:AK49)</f>
        <v>214329.138515412</v>
      </c>
      <c r="AL50" s="353" t="n">
        <f aca="false">SUM(AL43:AL49)</f>
        <v>214323.622303785</v>
      </c>
      <c r="AM50" s="353" t="n">
        <f aca="false">SUM(AM43:AM49)</f>
        <v>214318.150939406</v>
      </c>
      <c r="AN50" s="353" t="n">
        <f aca="false">SUM(AN43:AN49)</f>
        <v>214312.723877573</v>
      </c>
      <c r="AO50" s="353" t="n">
        <f aca="false">SUM(AO43:AO49)</f>
        <v>214307.340582368</v>
      </c>
      <c r="AP50" s="353" t="n">
        <f aca="false">SUM(AP43:AP49)</f>
        <v>214302.000526482</v>
      </c>
      <c r="AQ50" s="353" t="n">
        <f aca="false">SUM(AQ43:AQ49)</f>
        <v>214296.703191042</v>
      </c>
      <c r="AR50" s="353" t="n">
        <f aca="false">SUM(AR43:AR49)</f>
        <v>214291.448065447</v>
      </c>
      <c r="AS50" s="353" t="n">
        <f aca="false">SUM(AS43:AS49)</f>
        <v>2590088.28269368</v>
      </c>
    </row>
    <row r="51" customFormat="false" ht="13.8" hidden="false" customHeight="false" outlineLevel="0" collapsed="false">
      <c r="A51" s="145"/>
      <c r="B51" s="360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39"/>
      <c r="Q51" s="35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F51" s="35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</row>
    <row r="52" customFormat="false" ht="13.2" hidden="false" customHeight="false" outlineLevel="0" collapsed="false">
      <c r="A52" s="392" t="s">
        <v>1026</v>
      </c>
      <c r="B52" s="205" t="s">
        <v>1172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5"/>
      <c r="Q52" s="205" t="s">
        <v>1173</v>
      </c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5"/>
      <c r="AF52" s="205" t="s">
        <v>1173</v>
      </c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5"/>
    </row>
    <row r="53" customFormat="false" ht="13.2" hidden="false" customHeight="false" outlineLevel="0" collapsed="false">
      <c r="A53" s="207" t="s">
        <v>207</v>
      </c>
      <c r="B53" s="205" t="s">
        <v>1174</v>
      </c>
      <c r="C53" s="146" t="n">
        <f aca="false">SiteServices!C24</f>
        <v>11007.25</v>
      </c>
      <c r="D53" s="146" t="n">
        <f aca="false">SiteServices!D24</f>
        <v>11007.25</v>
      </c>
      <c r="E53" s="146" t="n">
        <f aca="false">SiteServices!E24</f>
        <v>11007.25</v>
      </c>
      <c r="F53" s="146" t="n">
        <f aca="false">SiteServices!F24</f>
        <v>11007.25</v>
      </c>
      <c r="G53" s="146" t="n">
        <f aca="false">SiteServices!G24</f>
        <v>13208.7</v>
      </c>
      <c r="H53" s="146" t="n">
        <f aca="false">SiteServices!H24</f>
        <v>13208.7</v>
      </c>
      <c r="I53" s="146" t="n">
        <f aca="false">SiteServices!I24</f>
        <v>13060.15</v>
      </c>
      <c r="J53" s="146" t="n">
        <f aca="false">SiteServices!J24</f>
        <v>13060.15</v>
      </c>
      <c r="K53" s="146" t="n">
        <f aca="false">SiteServices!K24</f>
        <v>13060.15</v>
      </c>
      <c r="L53" s="146" t="n">
        <f aca="false">SiteServices!L24</f>
        <v>13060.15</v>
      </c>
      <c r="M53" s="146" t="n">
        <f aca="false">SiteServices!M24</f>
        <v>11258.75</v>
      </c>
      <c r="N53" s="146" t="n">
        <f aca="false">SiteServices!N24</f>
        <v>11258.75</v>
      </c>
      <c r="O53" s="139" t="n">
        <f aca="false">SUM(C53:N53)</f>
        <v>145204.5</v>
      </c>
      <c r="Q53" s="170" t="s">
        <v>1174</v>
      </c>
      <c r="R53" s="146" t="n">
        <f aca="false">SiteServices!Q24</f>
        <v>11007.25</v>
      </c>
      <c r="S53" s="146" t="n">
        <f aca="false">SiteServices!R24</f>
        <v>11007.25</v>
      </c>
      <c r="T53" s="146" t="n">
        <f aca="false">SiteServices!S24</f>
        <v>11007.25</v>
      </c>
      <c r="U53" s="146" t="n">
        <f aca="false">SiteServices!T24</f>
        <v>11007.25</v>
      </c>
      <c r="V53" s="146" t="n">
        <f aca="false">SiteServices!U24</f>
        <v>13208.7</v>
      </c>
      <c r="W53" s="146" t="n">
        <f aca="false">SiteServices!V24</f>
        <v>13208.7</v>
      </c>
      <c r="X53" s="146" t="n">
        <f aca="false">SiteServices!W24</f>
        <v>13060.15</v>
      </c>
      <c r="Y53" s="146" t="n">
        <f aca="false">SiteServices!X24</f>
        <v>13060.15</v>
      </c>
      <c r="Z53" s="146" t="n">
        <f aca="false">SiteServices!Y24</f>
        <v>13060.15</v>
      </c>
      <c r="AA53" s="146" t="n">
        <f aca="false">SiteServices!Z24</f>
        <v>13060.15</v>
      </c>
      <c r="AB53" s="146" t="n">
        <f aca="false">SiteServices!AA24</f>
        <v>11258.75</v>
      </c>
      <c r="AC53" s="146" t="n">
        <f aca="false">SiteServices!AB24</f>
        <v>11258.75</v>
      </c>
      <c r="AD53" s="146" t="n">
        <f aca="false">SUM(R53:AC53)</f>
        <v>145204.5</v>
      </c>
      <c r="AF53" s="170" t="s">
        <v>1174</v>
      </c>
      <c r="AG53" s="146" t="n">
        <f aca="false">SiteServices!AE24</f>
        <v>11007.25</v>
      </c>
      <c r="AH53" s="146" t="n">
        <f aca="false">SiteServices!AF24</f>
        <v>11007.25</v>
      </c>
      <c r="AI53" s="146" t="n">
        <f aca="false">SiteServices!AG24</f>
        <v>11007.25</v>
      </c>
      <c r="AJ53" s="146" t="n">
        <f aca="false">SiteServices!AH24</f>
        <v>11007.25</v>
      </c>
      <c r="AK53" s="146" t="n">
        <f aca="false">SiteServices!AI24</f>
        <v>13208.7</v>
      </c>
      <c r="AL53" s="146" t="n">
        <f aca="false">SiteServices!AJ24</f>
        <v>13208.7</v>
      </c>
      <c r="AM53" s="146" t="n">
        <f aca="false">SiteServices!AK24</f>
        <v>13060.15</v>
      </c>
      <c r="AN53" s="146" t="n">
        <f aca="false">SiteServices!AL24</f>
        <v>13060.15</v>
      </c>
      <c r="AO53" s="146" t="n">
        <f aca="false">SiteServices!AM24</f>
        <v>13060.15</v>
      </c>
      <c r="AP53" s="146" t="n">
        <f aca="false">SiteServices!AN24</f>
        <v>13060.15</v>
      </c>
      <c r="AQ53" s="146" t="n">
        <f aca="false">SiteServices!AO24</f>
        <v>11258.75</v>
      </c>
      <c r="AR53" s="146" t="n">
        <f aca="false">SiteServices!AP24</f>
        <v>11258.75</v>
      </c>
      <c r="AS53" s="146" t="n">
        <f aca="false">SUM(AG53:AR53)</f>
        <v>145204.5</v>
      </c>
    </row>
    <row r="54" customFormat="false" ht="13.2" hidden="false" customHeight="false" outlineLevel="0" collapsed="false">
      <c r="A54" s="207" t="s">
        <v>209</v>
      </c>
      <c r="B54" s="205" t="s">
        <v>1175</v>
      </c>
      <c r="C54" s="146" t="n">
        <f aca="false">SiteServices!C28</f>
        <v>250</v>
      </c>
      <c r="D54" s="146" t="n">
        <f aca="false">SiteServices!D28</f>
        <v>250</v>
      </c>
      <c r="E54" s="146" t="n">
        <f aca="false">SiteServices!E28</f>
        <v>250</v>
      </c>
      <c r="F54" s="146" t="n">
        <f aca="false">SiteServices!F28</f>
        <v>250</v>
      </c>
      <c r="G54" s="146" t="n">
        <f aca="false">SiteServices!G28</f>
        <v>250</v>
      </c>
      <c r="H54" s="146" t="n">
        <f aca="false">SiteServices!H28</f>
        <v>250</v>
      </c>
      <c r="I54" s="146" t="n">
        <f aca="false">SiteServices!I28</f>
        <v>250</v>
      </c>
      <c r="J54" s="146" t="n">
        <f aca="false">SiteServices!J28</f>
        <v>250</v>
      </c>
      <c r="K54" s="146" t="n">
        <f aca="false">SiteServices!K28</f>
        <v>250</v>
      </c>
      <c r="L54" s="146" t="n">
        <f aca="false">SiteServices!L28</f>
        <v>250</v>
      </c>
      <c r="M54" s="146" t="n">
        <f aca="false">SiteServices!M28</f>
        <v>250</v>
      </c>
      <c r="N54" s="146" t="n">
        <f aca="false">SiteServices!N28</f>
        <v>250</v>
      </c>
      <c r="O54" s="139" t="n">
        <f aca="false">SUM(C54:N54)</f>
        <v>3000</v>
      </c>
      <c r="Q54" s="170" t="s">
        <v>1175</v>
      </c>
      <c r="R54" s="146" t="n">
        <f aca="false">SiteServices!Q28</f>
        <v>250</v>
      </c>
      <c r="S54" s="146" t="n">
        <f aca="false">SiteServices!R28</f>
        <v>250</v>
      </c>
      <c r="T54" s="146" t="n">
        <f aca="false">SiteServices!S28</f>
        <v>250</v>
      </c>
      <c r="U54" s="146" t="n">
        <f aca="false">SiteServices!T28</f>
        <v>250</v>
      </c>
      <c r="V54" s="146" t="n">
        <f aca="false">SiteServices!U28</f>
        <v>250</v>
      </c>
      <c r="W54" s="146" t="n">
        <f aca="false">SiteServices!V28</f>
        <v>250</v>
      </c>
      <c r="X54" s="146" t="n">
        <f aca="false">SiteServices!W28</f>
        <v>250</v>
      </c>
      <c r="Y54" s="146" t="n">
        <f aca="false">SiteServices!X28</f>
        <v>250</v>
      </c>
      <c r="Z54" s="146" t="n">
        <f aca="false">SiteServices!Y28</f>
        <v>250</v>
      </c>
      <c r="AA54" s="146" t="n">
        <f aca="false">SiteServices!Z28</f>
        <v>250</v>
      </c>
      <c r="AB54" s="146" t="n">
        <f aca="false">SiteServices!AA28</f>
        <v>250</v>
      </c>
      <c r="AC54" s="146" t="n">
        <f aca="false">SiteServices!AB28</f>
        <v>250</v>
      </c>
      <c r="AD54" s="146" t="n">
        <f aca="false">SUM(R54:AC54)</f>
        <v>3000</v>
      </c>
      <c r="AF54" s="170" t="s">
        <v>1175</v>
      </c>
      <c r="AG54" s="146" t="n">
        <f aca="false">SiteServices!AE28</f>
        <v>250</v>
      </c>
      <c r="AH54" s="146" t="n">
        <f aca="false">SiteServices!AF28</f>
        <v>250</v>
      </c>
      <c r="AI54" s="146" t="n">
        <f aca="false">SiteServices!AG28</f>
        <v>250</v>
      </c>
      <c r="AJ54" s="146" t="n">
        <f aca="false">SiteServices!AH28</f>
        <v>250</v>
      </c>
      <c r="AK54" s="146" t="n">
        <f aca="false">SiteServices!AI28</f>
        <v>250</v>
      </c>
      <c r="AL54" s="146" t="n">
        <f aca="false">SiteServices!AJ28</f>
        <v>250</v>
      </c>
      <c r="AM54" s="146" t="n">
        <f aca="false">SiteServices!AK28</f>
        <v>250</v>
      </c>
      <c r="AN54" s="146" t="n">
        <f aca="false">SiteServices!AL28</f>
        <v>250</v>
      </c>
      <c r="AO54" s="146" t="n">
        <f aca="false">SiteServices!AM28</f>
        <v>250</v>
      </c>
      <c r="AP54" s="146" t="n">
        <f aca="false">SiteServices!AN28</f>
        <v>250</v>
      </c>
      <c r="AQ54" s="146" t="n">
        <f aca="false">SiteServices!AO28</f>
        <v>250</v>
      </c>
      <c r="AR54" s="146" t="n">
        <f aca="false">SiteServices!AP28</f>
        <v>250</v>
      </c>
      <c r="AS54" s="146" t="n">
        <f aca="false">SUM(AG54:AR54)</f>
        <v>3000</v>
      </c>
    </row>
    <row r="55" customFormat="false" ht="13.2" hidden="true" customHeight="false" outlineLevel="0" collapsed="false">
      <c r="A55" s="207" t="s">
        <v>1027</v>
      </c>
      <c r="B55" s="170" t="s">
        <v>1176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39" t="n">
        <f aca="false">SUM(C55:N55)</f>
        <v>0</v>
      </c>
      <c r="Q55" s="170" t="s">
        <v>1176</v>
      </c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 t="n">
        <f aca="false">SUM(R55:AC55)</f>
        <v>0</v>
      </c>
      <c r="AF55" s="170" t="s">
        <v>1176</v>
      </c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 t="n">
        <f aca="false">SUM(AG55:AR55)</f>
        <v>0</v>
      </c>
    </row>
    <row r="56" customFormat="false" ht="13.2" hidden="true" customHeight="false" outlineLevel="0" collapsed="false">
      <c r="A56" s="207" t="s">
        <v>1029</v>
      </c>
      <c r="B56" s="170" t="s">
        <v>1177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39" t="n">
        <f aca="false">SUM(C56:N56)</f>
        <v>0</v>
      </c>
      <c r="Q56" s="170" t="s">
        <v>1177</v>
      </c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 t="n">
        <f aca="false">SUM(R56:AC56)</f>
        <v>0</v>
      </c>
      <c r="AF56" s="170" t="s">
        <v>1177</v>
      </c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 t="n">
        <f aca="false">SUM(AG56:AR56)</f>
        <v>0</v>
      </c>
    </row>
    <row r="57" customFormat="false" ht="13.2" hidden="true" customHeight="false" outlineLevel="0" collapsed="false">
      <c r="A57" s="207" t="s">
        <v>213</v>
      </c>
      <c r="B57" s="170" t="s">
        <v>1178</v>
      </c>
      <c r="C57" s="146" t="n">
        <f aca="false">SiteServices!C40/Factors!C11</f>
        <v>0</v>
      </c>
      <c r="D57" s="146" t="n">
        <f aca="false">SiteServices!D40/Factors!D11</f>
        <v>0</v>
      </c>
      <c r="E57" s="146" t="n">
        <f aca="false">SiteServices!E40/Factors!E11</f>
        <v>0</v>
      </c>
      <c r="F57" s="146" t="n">
        <f aca="false">SiteServices!F40/Factors!F11</f>
        <v>0</v>
      </c>
      <c r="G57" s="146" t="n">
        <f aca="false">SiteServices!G40/Factors!G11</f>
        <v>0</v>
      </c>
      <c r="H57" s="146" t="n">
        <f aca="false">SiteServices!H40/Factors!H11</f>
        <v>0</v>
      </c>
      <c r="I57" s="146" t="n">
        <f aca="false">SiteServices!I40/Factors!I11</f>
        <v>0</v>
      </c>
      <c r="J57" s="146" t="n">
        <f aca="false">SiteServices!J40/Factors!J11</f>
        <v>0</v>
      </c>
      <c r="K57" s="146" t="n">
        <f aca="false">SiteServices!K40/Factors!K11</f>
        <v>0</v>
      </c>
      <c r="L57" s="146" t="n">
        <f aca="false">SiteServices!L40/Factors!L11</f>
        <v>0</v>
      </c>
      <c r="M57" s="146" t="n">
        <f aca="false">SiteServices!M40/Factors!M11</f>
        <v>0</v>
      </c>
      <c r="N57" s="146" t="n">
        <f aca="false">SiteServices!N40/Factors!N11</f>
        <v>0</v>
      </c>
      <c r="O57" s="139" t="n">
        <f aca="false">SUM(C57:N57)</f>
        <v>0</v>
      </c>
      <c r="Q57" s="170" t="s">
        <v>1178</v>
      </c>
      <c r="R57" s="146" t="n">
        <f aca="false">SiteServices!R40/Factors!R11</f>
        <v>0</v>
      </c>
      <c r="S57" s="146" t="n">
        <f aca="false">SiteServices!S40/Factors!S11</f>
        <v>0</v>
      </c>
      <c r="T57" s="146" t="n">
        <f aca="false">SiteServices!T40/Factors!T11</f>
        <v>0</v>
      </c>
      <c r="U57" s="146" t="n">
        <f aca="false">SiteServices!U40/Factors!U11</f>
        <v>0</v>
      </c>
      <c r="V57" s="146" t="n">
        <f aca="false">SiteServices!V40/Factors!V11</f>
        <v>0</v>
      </c>
      <c r="W57" s="146" t="n">
        <f aca="false">SiteServices!W40/Factors!W11</f>
        <v>0</v>
      </c>
      <c r="X57" s="146" t="n">
        <f aca="false">SiteServices!X40/Factors!X11</f>
        <v>0</v>
      </c>
      <c r="Y57" s="146" t="n">
        <f aca="false">SiteServices!Y40/Factors!Y11</f>
        <v>0</v>
      </c>
      <c r="Z57" s="146" t="n">
        <f aca="false">SiteServices!Z40/Factors!Z11</f>
        <v>0</v>
      </c>
      <c r="AA57" s="146" t="n">
        <f aca="false">SiteServices!AA40/Factors!AA11</f>
        <v>0</v>
      </c>
      <c r="AB57" s="146" t="n">
        <f aca="false">SiteServices!AB40/Factors!AB11</f>
        <v>0</v>
      </c>
      <c r="AC57" s="146" t="n">
        <f aca="false">SiteServices!AC40/Factors!AC11</f>
        <v>0</v>
      </c>
      <c r="AD57" s="146" t="n">
        <f aca="false">SUM(R57:AC57)</f>
        <v>0</v>
      </c>
      <c r="AF57" s="170" t="s">
        <v>1178</v>
      </c>
      <c r="AG57" s="146" t="n">
        <f aca="false">SiteServices!AG40/Factors!AG11</f>
        <v>0</v>
      </c>
      <c r="AH57" s="146" t="n">
        <f aca="false">SiteServices!AH40/Factors!AH11</f>
        <v>0</v>
      </c>
      <c r="AI57" s="146" t="n">
        <f aca="false">SiteServices!AI40/Factors!AI11</f>
        <v>0</v>
      </c>
      <c r="AJ57" s="146" t="n">
        <f aca="false">SiteServices!AJ40/Factors!AJ11</f>
        <v>0</v>
      </c>
      <c r="AK57" s="146" t="n">
        <f aca="false">SiteServices!AK40/Factors!AK11</f>
        <v>0</v>
      </c>
      <c r="AL57" s="146" t="n">
        <f aca="false">SiteServices!AL40/Factors!AL11</f>
        <v>0</v>
      </c>
      <c r="AM57" s="146" t="n">
        <f aca="false">SiteServices!AM40/Factors!AM11</f>
        <v>0</v>
      </c>
      <c r="AN57" s="146" t="n">
        <f aca="false">SiteServices!AN40/Factors!AN11</f>
        <v>0</v>
      </c>
      <c r="AO57" s="146" t="n">
        <f aca="false">SiteServices!AO40/Factors!AO11</f>
        <v>0</v>
      </c>
      <c r="AP57" s="146" t="n">
        <f aca="false">SiteServices!AP40/Factors!AP11</f>
        <v>0</v>
      </c>
      <c r="AQ57" s="146" t="n">
        <f aca="false">SiteServices!AQ40/Factors!AQ11</f>
        <v>0</v>
      </c>
      <c r="AR57" s="146" t="n">
        <f aca="false">SiteServices!AR40/Factors!AR11</f>
        <v>0</v>
      </c>
      <c r="AS57" s="146" t="n">
        <f aca="false">SUM(AG57:AR57)</f>
        <v>0</v>
      </c>
    </row>
    <row r="58" customFormat="false" ht="13.8" hidden="false" customHeight="false" outlineLevel="0" collapsed="false">
      <c r="A58" s="137"/>
      <c r="B58" s="285" t="s">
        <v>66</v>
      </c>
      <c r="C58" s="353" t="n">
        <f aca="false">SUM(C53:C57)</f>
        <v>11257.25</v>
      </c>
      <c r="D58" s="353" t="n">
        <f aca="false">SUM(D53:D57)</f>
        <v>11257.25</v>
      </c>
      <c r="E58" s="353" t="n">
        <f aca="false">SUM(E53:E57)</f>
        <v>11257.25</v>
      </c>
      <c r="F58" s="353" t="n">
        <f aca="false">SUM(F53:F57)</f>
        <v>11257.25</v>
      </c>
      <c r="G58" s="353" t="n">
        <f aca="false">SUM(G53:G57)</f>
        <v>13458.7</v>
      </c>
      <c r="H58" s="353" t="n">
        <f aca="false">SUM(H53:H57)</f>
        <v>13458.7</v>
      </c>
      <c r="I58" s="353" t="n">
        <f aca="false">SUM(I53:I57)</f>
        <v>13310.15</v>
      </c>
      <c r="J58" s="353" t="n">
        <f aca="false">SUM(J53:J57)</f>
        <v>13310.15</v>
      </c>
      <c r="K58" s="353" t="n">
        <f aca="false">SUM(K53:K57)</f>
        <v>13310.15</v>
      </c>
      <c r="L58" s="353" t="n">
        <f aca="false">SUM(L53:L57)</f>
        <v>13310.15</v>
      </c>
      <c r="M58" s="353" t="n">
        <f aca="false">SUM(M53:M57)</f>
        <v>11508.75</v>
      </c>
      <c r="N58" s="353" t="n">
        <f aca="false">SUM(N53:N57)</f>
        <v>11508.75</v>
      </c>
      <c r="O58" s="353" t="n">
        <f aca="false">SUM(O53:O57)</f>
        <v>148204.5</v>
      </c>
      <c r="P58" s="353" t="n">
        <f aca="false">SUM(P53:P57)</f>
        <v>0</v>
      </c>
      <c r="Q58" s="353" t="n">
        <f aca="false">SUM(Q53:Q57)</f>
        <v>0</v>
      </c>
      <c r="R58" s="353" t="n">
        <f aca="false">SUM(R53:R57)</f>
        <v>11257.25</v>
      </c>
      <c r="S58" s="353" t="n">
        <f aca="false">SUM(S53:S57)</f>
        <v>11257.25</v>
      </c>
      <c r="T58" s="353" t="n">
        <f aca="false">SUM(T53:T57)</f>
        <v>11257.25</v>
      </c>
      <c r="U58" s="353" t="n">
        <f aca="false">SUM(U53:U57)</f>
        <v>11257.25</v>
      </c>
      <c r="V58" s="353" t="n">
        <f aca="false">SUM(V53:V57)</f>
        <v>13458.7</v>
      </c>
      <c r="W58" s="353" t="n">
        <f aca="false">SUM(W53:W57)</f>
        <v>13458.7</v>
      </c>
      <c r="X58" s="353" t="n">
        <f aca="false">SUM(X53:X57)</f>
        <v>13310.15</v>
      </c>
      <c r="Y58" s="353" t="n">
        <f aca="false">SUM(Y53:Y57)</f>
        <v>13310.15</v>
      </c>
      <c r="Z58" s="353" t="n">
        <f aca="false">SUM(Z53:Z57)</f>
        <v>13310.15</v>
      </c>
      <c r="AA58" s="353" t="n">
        <f aca="false">SUM(AA53:AA57)</f>
        <v>13310.15</v>
      </c>
      <c r="AB58" s="353" t="n">
        <f aca="false">SUM(AB53:AB57)</f>
        <v>11508.75</v>
      </c>
      <c r="AC58" s="353" t="n">
        <f aca="false">SUM(AC53:AC57)</f>
        <v>11508.75</v>
      </c>
      <c r="AD58" s="353" t="n">
        <f aca="false">SUM(AD53:AD57)</f>
        <v>148204.5</v>
      </c>
      <c r="AF58" s="170"/>
      <c r="AG58" s="353" t="n">
        <f aca="false">SUM(AG53:AG57)</f>
        <v>11257.25</v>
      </c>
      <c r="AH58" s="364" t="n">
        <f aca="false">SUM(AH53:AH57)</f>
        <v>11257.25</v>
      </c>
      <c r="AI58" s="364" t="n">
        <f aca="false">SUM(AI53:AI57)</f>
        <v>11257.25</v>
      </c>
      <c r="AJ58" s="364" t="n">
        <f aca="false">SUM(AJ53:AJ57)</f>
        <v>11257.25</v>
      </c>
      <c r="AK58" s="364" t="n">
        <f aca="false">SUM(AK53:AK57)</f>
        <v>13458.7</v>
      </c>
      <c r="AL58" s="364" t="n">
        <f aca="false">SUM(AL53:AL57)</f>
        <v>13458.7</v>
      </c>
      <c r="AM58" s="364" t="n">
        <f aca="false">SUM(AM53:AM57)</f>
        <v>13310.15</v>
      </c>
      <c r="AN58" s="364" t="n">
        <f aca="false">SUM(AN53:AN57)</f>
        <v>13310.15</v>
      </c>
      <c r="AO58" s="364" t="n">
        <f aca="false">SUM(AO53:AO57)</f>
        <v>13310.15</v>
      </c>
      <c r="AP58" s="364" t="n">
        <f aca="false">SUM(AP53:AP57)</f>
        <v>13310.15</v>
      </c>
      <c r="AQ58" s="364" t="n">
        <f aca="false">SUM(AQ53:AQ57)</f>
        <v>11508.75</v>
      </c>
      <c r="AR58" s="364" t="n">
        <f aca="false">SUM(AR53:AR57)</f>
        <v>11508.75</v>
      </c>
      <c r="AS58" s="364" t="n">
        <f aca="false">SUM(AS53:AS57)</f>
        <v>148204.5</v>
      </c>
    </row>
    <row r="59" customFormat="false" ht="13.8" hidden="false" customHeight="false" outlineLevel="0" collapsed="false">
      <c r="A59" s="137"/>
      <c r="B59" s="170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Q59" s="170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F59" s="170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</row>
    <row r="60" customFormat="false" ht="13.2" hidden="false" customHeight="false" outlineLevel="0" collapsed="false">
      <c r="A60" s="141" t="s">
        <v>1032</v>
      </c>
      <c r="B60" s="205" t="s">
        <v>1179</v>
      </c>
      <c r="C60" s="153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Q60" s="205" t="s">
        <v>1180</v>
      </c>
      <c r="R60" s="357" t="s">
        <v>1181</v>
      </c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F60" s="205" t="s">
        <v>1180</v>
      </c>
      <c r="AG60" s="357" t="s">
        <v>1181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</row>
    <row r="61" customFormat="false" ht="13.2" hidden="false" customHeight="false" outlineLevel="0" collapsed="false">
      <c r="A61" s="137" t="s">
        <v>844</v>
      </c>
      <c r="B61" s="170" t="s">
        <v>1182</v>
      </c>
      <c r="C61" s="146" t="n">
        <f aca="false">Oheads!C8</f>
        <v>6545.56466</v>
      </c>
      <c r="D61" s="146" t="n">
        <f aca="false">Oheads!D8</f>
        <v>6545.56466</v>
      </c>
      <c r="E61" s="146" t="n">
        <f aca="false">Oheads!E8</f>
        <v>6545.56466</v>
      </c>
      <c r="F61" s="146" t="n">
        <f aca="false">Oheads!F8</f>
        <v>6545.56466</v>
      </c>
      <c r="G61" s="146" t="n">
        <f aca="false">Oheads!G8</f>
        <v>6545.56466</v>
      </c>
      <c r="H61" s="146" t="n">
        <f aca="false">Oheads!H8</f>
        <v>6545.56466</v>
      </c>
      <c r="I61" s="146" t="n">
        <f aca="false">Oheads!I8</f>
        <v>6545.56466</v>
      </c>
      <c r="J61" s="146" t="n">
        <f aca="false">Oheads!J8</f>
        <v>6545.56466</v>
      </c>
      <c r="K61" s="146" t="n">
        <f aca="false">Oheads!K8</f>
        <v>6545.56466</v>
      </c>
      <c r="L61" s="146" t="n">
        <f aca="false">Oheads!L8</f>
        <v>6545.56466</v>
      </c>
      <c r="M61" s="146" t="n">
        <f aca="false">Oheads!M8</f>
        <v>6545.56466</v>
      </c>
      <c r="N61" s="146" t="n">
        <f aca="false">Oheads!N8</f>
        <v>6545.56466</v>
      </c>
      <c r="O61" s="139" t="n">
        <f aca="false">SUM(C61:N61)</f>
        <v>78546.77592</v>
      </c>
      <c r="Q61" s="170" t="s">
        <v>1182</v>
      </c>
      <c r="R61" s="146" t="n">
        <f aca="false">Oheads!Q8</f>
        <v>6807.84</v>
      </c>
      <c r="S61" s="146" t="n">
        <f aca="false">Oheads!R8</f>
        <v>6807.84</v>
      </c>
      <c r="T61" s="146" t="n">
        <f aca="false">Oheads!S8</f>
        <v>6807.84</v>
      </c>
      <c r="U61" s="146" t="n">
        <f aca="false">Oheads!T8</f>
        <v>6807.84</v>
      </c>
      <c r="V61" s="146" t="n">
        <f aca="false">Oheads!U8</f>
        <v>6807.84</v>
      </c>
      <c r="W61" s="146" t="n">
        <f aca="false">Oheads!V8</f>
        <v>6807.84</v>
      </c>
      <c r="X61" s="146" t="n">
        <f aca="false">Oheads!W8</f>
        <v>6807.84</v>
      </c>
      <c r="Y61" s="146" t="n">
        <f aca="false">Oheads!X8</f>
        <v>6807.84</v>
      </c>
      <c r="Z61" s="146" t="n">
        <f aca="false">Oheads!Y8</f>
        <v>6807.84</v>
      </c>
      <c r="AA61" s="146" t="n">
        <f aca="false">Oheads!Z8</f>
        <v>6807.84</v>
      </c>
      <c r="AB61" s="146" t="n">
        <f aca="false">Oheads!AA8</f>
        <v>6807.84</v>
      </c>
      <c r="AC61" s="146" t="n">
        <f aca="false">Oheads!AB8</f>
        <v>6807.84</v>
      </c>
      <c r="AD61" s="146" t="n">
        <f aca="false">SUM(R61:AC61)</f>
        <v>81694.08</v>
      </c>
      <c r="AF61" s="170" t="s">
        <v>1182</v>
      </c>
      <c r="AG61" s="146" t="n">
        <f aca="false">Oheads!AE8</f>
        <v>7081.0584</v>
      </c>
      <c r="AH61" s="146" t="n">
        <f aca="false">Oheads!AF8</f>
        <v>7081.0584</v>
      </c>
      <c r="AI61" s="146" t="n">
        <f aca="false">Oheads!AG8</f>
        <v>7081.0584</v>
      </c>
      <c r="AJ61" s="146" t="n">
        <f aca="false">Oheads!AH8</f>
        <v>7081.0584</v>
      </c>
      <c r="AK61" s="146" t="n">
        <f aca="false">Oheads!AI8</f>
        <v>7081.0584</v>
      </c>
      <c r="AL61" s="146" t="n">
        <f aca="false">Oheads!AJ8</f>
        <v>7081.0584</v>
      </c>
      <c r="AM61" s="146" t="n">
        <f aca="false">Oheads!AK8</f>
        <v>7081.0584</v>
      </c>
      <c r="AN61" s="146" t="n">
        <f aca="false">Oheads!AL8</f>
        <v>7081.0584</v>
      </c>
      <c r="AO61" s="146" t="n">
        <f aca="false">Oheads!AM8</f>
        <v>7081.0584</v>
      </c>
      <c r="AP61" s="146" t="n">
        <f aca="false">Oheads!AN8</f>
        <v>7081.0584</v>
      </c>
      <c r="AQ61" s="146" t="n">
        <f aca="false">Oheads!AO8</f>
        <v>7081.0584</v>
      </c>
      <c r="AR61" s="146" t="n">
        <f aca="false">Oheads!AP8</f>
        <v>7081.0584</v>
      </c>
      <c r="AS61" s="146" t="n">
        <f aca="false">SUM(AG61:AR61)</f>
        <v>84972.7008</v>
      </c>
    </row>
    <row r="62" customFormat="false" ht="13.2" hidden="false" customHeight="false" outlineLevel="0" collapsed="false">
      <c r="A62" s="137" t="s">
        <v>846</v>
      </c>
      <c r="B62" s="170" t="s">
        <v>1183</v>
      </c>
      <c r="C62" s="146" t="n">
        <f aca="false">Oheads!C9</f>
        <v>58910.05056</v>
      </c>
      <c r="D62" s="146" t="n">
        <f aca="false">Oheads!D9</f>
        <v>58910.05056</v>
      </c>
      <c r="E62" s="146" t="n">
        <f aca="false">Oheads!E9</f>
        <v>58910.05056</v>
      </c>
      <c r="F62" s="146" t="n">
        <f aca="false">Oheads!F9</f>
        <v>58910.05056</v>
      </c>
      <c r="G62" s="146" t="n">
        <f aca="false">Oheads!G9</f>
        <v>58910.05056</v>
      </c>
      <c r="H62" s="146" t="n">
        <f aca="false">Oheads!H9</f>
        <v>58910.05056</v>
      </c>
      <c r="I62" s="146" t="n">
        <f aca="false">Oheads!I9</f>
        <v>58910.05056</v>
      </c>
      <c r="J62" s="146" t="n">
        <f aca="false">Oheads!J9</f>
        <v>58910.05056</v>
      </c>
      <c r="K62" s="146" t="n">
        <f aca="false">Oheads!K9</f>
        <v>58910.05056</v>
      </c>
      <c r="L62" s="146" t="n">
        <f aca="false">Oheads!L9</f>
        <v>58910.05056</v>
      </c>
      <c r="M62" s="146" t="n">
        <f aca="false">Oheads!M9</f>
        <v>58910.05056</v>
      </c>
      <c r="N62" s="146" t="n">
        <f aca="false">Oheads!N9</f>
        <v>58910.05056</v>
      </c>
      <c r="O62" s="139" t="n">
        <f aca="false">SUM(C62:N62)</f>
        <v>706920.60672</v>
      </c>
      <c r="Q62" s="170" t="s">
        <v>1183</v>
      </c>
      <c r="R62" s="146" t="n">
        <f aca="false">Oheads!Q9</f>
        <v>61266.4</v>
      </c>
      <c r="S62" s="146" t="n">
        <f aca="false">Oheads!R9</f>
        <v>61266.4</v>
      </c>
      <c r="T62" s="146" t="n">
        <f aca="false">Oheads!S9</f>
        <v>61266.4</v>
      </c>
      <c r="U62" s="146" t="n">
        <f aca="false">Oheads!T9</f>
        <v>61266.4</v>
      </c>
      <c r="V62" s="146" t="n">
        <f aca="false">Oheads!U9</f>
        <v>61266.4</v>
      </c>
      <c r="W62" s="146" t="n">
        <f aca="false">Oheads!V9</f>
        <v>61266.4</v>
      </c>
      <c r="X62" s="146" t="n">
        <f aca="false">Oheads!W9</f>
        <v>61266.4</v>
      </c>
      <c r="Y62" s="146" t="n">
        <f aca="false">Oheads!X9</f>
        <v>61266.4</v>
      </c>
      <c r="Z62" s="146" t="n">
        <f aca="false">Oheads!Y9</f>
        <v>61266.4</v>
      </c>
      <c r="AA62" s="146" t="n">
        <f aca="false">Oheads!Z9</f>
        <v>61266.4</v>
      </c>
      <c r="AB62" s="146" t="n">
        <f aca="false">Oheads!AA9</f>
        <v>61266.4</v>
      </c>
      <c r="AC62" s="146" t="n">
        <f aca="false">Oheads!AB9</f>
        <v>61266.4</v>
      </c>
      <c r="AD62" s="146" t="n">
        <f aca="false">SUM(R62:AC62)</f>
        <v>735196.8</v>
      </c>
      <c r="AF62" s="170" t="s">
        <v>1183</v>
      </c>
      <c r="AG62" s="146" t="n">
        <f aca="false">Oheads!AE9</f>
        <v>63716.64</v>
      </c>
      <c r="AH62" s="146" t="n">
        <f aca="false">Oheads!AF9</f>
        <v>63716.64</v>
      </c>
      <c r="AI62" s="146" t="n">
        <f aca="false">Oheads!AG9</f>
        <v>63716.64</v>
      </c>
      <c r="AJ62" s="146" t="n">
        <f aca="false">Oheads!AH9</f>
        <v>63716.64</v>
      </c>
      <c r="AK62" s="146" t="n">
        <f aca="false">Oheads!AI9</f>
        <v>63716.64</v>
      </c>
      <c r="AL62" s="146" t="n">
        <f aca="false">Oheads!AJ9</f>
        <v>63716.64</v>
      </c>
      <c r="AM62" s="146" t="n">
        <f aca="false">Oheads!AK9</f>
        <v>63716.64</v>
      </c>
      <c r="AN62" s="146" t="n">
        <f aca="false">Oheads!AL9</f>
        <v>63716.64</v>
      </c>
      <c r="AO62" s="146" t="n">
        <f aca="false">Oheads!AM9</f>
        <v>63716.64</v>
      </c>
      <c r="AP62" s="146" t="n">
        <f aca="false">Oheads!AN9</f>
        <v>63716.64</v>
      </c>
      <c r="AQ62" s="146" t="n">
        <f aca="false">Oheads!AO9</f>
        <v>63716.64</v>
      </c>
      <c r="AR62" s="146" t="n">
        <f aca="false">Oheads!AP9</f>
        <v>63716.64</v>
      </c>
      <c r="AS62" s="146" t="n">
        <f aca="false">SUM(AG62:AR62)</f>
        <v>764599.68</v>
      </c>
    </row>
    <row r="63" customFormat="false" ht="13.2" hidden="true" customHeight="false" outlineLevel="0" collapsed="false">
      <c r="A63" s="137" t="s">
        <v>1033</v>
      </c>
      <c r="B63" s="170" t="s">
        <v>1184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39"/>
      <c r="Q63" s="170" t="s">
        <v>1184</v>
      </c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F63" s="170" t="s">
        <v>1184</v>
      </c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</row>
    <row r="64" customFormat="false" ht="13.8" hidden="false" customHeight="false" outlineLevel="0" collapsed="false">
      <c r="A64" s="145"/>
      <c r="B64" s="285" t="s">
        <v>66</v>
      </c>
      <c r="C64" s="353" t="n">
        <f aca="false">SUM(C61:C63)</f>
        <v>65455.61522</v>
      </c>
      <c r="D64" s="353" t="n">
        <f aca="false">SUM(D61:D63)</f>
        <v>65455.61522</v>
      </c>
      <c r="E64" s="353" t="n">
        <f aca="false">SUM(E61:E63)</f>
        <v>65455.61522</v>
      </c>
      <c r="F64" s="353" t="n">
        <f aca="false">SUM(F61:F63)</f>
        <v>65455.61522</v>
      </c>
      <c r="G64" s="353" t="n">
        <f aca="false">SUM(G61:G63)</f>
        <v>65455.61522</v>
      </c>
      <c r="H64" s="353" t="n">
        <f aca="false">SUM(H61:H63)</f>
        <v>65455.61522</v>
      </c>
      <c r="I64" s="353" t="n">
        <f aca="false">SUM(I61:I63)</f>
        <v>65455.61522</v>
      </c>
      <c r="J64" s="353" t="n">
        <f aca="false">SUM(J61:J63)</f>
        <v>65455.61522</v>
      </c>
      <c r="K64" s="353" t="n">
        <f aca="false">SUM(K61:K63)</f>
        <v>65455.61522</v>
      </c>
      <c r="L64" s="353" t="n">
        <f aca="false">SUM(L61:L63)</f>
        <v>65455.61522</v>
      </c>
      <c r="M64" s="353" t="n">
        <f aca="false">SUM(M61:M63)</f>
        <v>65455.61522</v>
      </c>
      <c r="N64" s="353" t="n">
        <f aca="false">SUM(N61:N63)</f>
        <v>65455.61522</v>
      </c>
      <c r="O64" s="353" t="n">
        <f aca="false">SUM(O61:O63)</f>
        <v>785467.38264</v>
      </c>
      <c r="Q64" s="362"/>
      <c r="R64" s="353" t="n">
        <f aca="false">SUM(R61:R63)</f>
        <v>68074.24</v>
      </c>
      <c r="S64" s="353" t="n">
        <f aca="false">SUM(S61:S63)</f>
        <v>68074.24</v>
      </c>
      <c r="T64" s="353" t="n">
        <f aca="false">SUM(T61:T63)</f>
        <v>68074.24</v>
      </c>
      <c r="U64" s="353" t="n">
        <f aca="false">SUM(U61:U63)</f>
        <v>68074.24</v>
      </c>
      <c r="V64" s="353" t="n">
        <f aca="false">SUM(V61:V63)</f>
        <v>68074.24</v>
      </c>
      <c r="W64" s="353" t="n">
        <f aca="false">SUM(W61:W63)</f>
        <v>68074.24</v>
      </c>
      <c r="X64" s="353" t="n">
        <f aca="false">SUM(X61:X63)</f>
        <v>68074.24</v>
      </c>
      <c r="Y64" s="353" t="n">
        <f aca="false">SUM(Y61:Y63)</f>
        <v>68074.24</v>
      </c>
      <c r="Z64" s="353" t="n">
        <f aca="false">SUM(Z61:Z63)</f>
        <v>68074.24</v>
      </c>
      <c r="AA64" s="353" t="n">
        <f aca="false">SUM(AA61:AA63)</f>
        <v>68074.24</v>
      </c>
      <c r="AB64" s="353" t="n">
        <f aca="false">SUM(AB61:AB63)</f>
        <v>68074.24</v>
      </c>
      <c r="AC64" s="353" t="n">
        <f aca="false">SUM(AC61:AC63)</f>
        <v>68074.24</v>
      </c>
      <c r="AD64" s="353" t="n">
        <f aca="false">SUM(AD61:AD63)</f>
        <v>816890.88</v>
      </c>
      <c r="AF64" s="362"/>
      <c r="AG64" s="353" t="n">
        <f aca="false">SUM(AG61:AG63)</f>
        <v>70797.6984</v>
      </c>
      <c r="AH64" s="353" t="n">
        <f aca="false">SUM(AH61:AH63)</f>
        <v>70797.6984</v>
      </c>
      <c r="AI64" s="353" t="n">
        <f aca="false">SUM(AI61:AI63)</f>
        <v>70797.6984</v>
      </c>
      <c r="AJ64" s="353" t="n">
        <f aca="false">SUM(AJ61:AJ63)</f>
        <v>70797.6984</v>
      </c>
      <c r="AK64" s="353" t="n">
        <f aca="false">SUM(AK61:AK63)</f>
        <v>70797.6984</v>
      </c>
      <c r="AL64" s="353" t="n">
        <f aca="false">SUM(AL61:AL63)</f>
        <v>70797.6984</v>
      </c>
      <c r="AM64" s="353" t="n">
        <f aca="false">SUM(AM61:AM63)</f>
        <v>70797.6984</v>
      </c>
      <c r="AN64" s="353" t="n">
        <f aca="false">SUM(AN61:AN63)</f>
        <v>70797.6984</v>
      </c>
      <c r="AO64" s="353" t="n">
        <f aca="false">SUM(AO61:AO63)</f>
        <v>70797.6984</v>
      </c>
      <c r="AP64" s="353" t="n">
        <f aca="false">SUM(AP61:AP63)</f>
        <v>70797.6984</v>
      </c>
      <c r="AQ64" s="353" t="n">
        <f aca="false">SUM(AQ61:AQ63)</f>
        <v>70797.6984</v>
      </c>
      <c r="AR64" s="353" t="n">
        <f aca="false">SUM(AR61:AR63)</f>
        <v>70797.6984</v>
      </c>
      <c r="AS64" s="353" t="n">
        <f aca="false">SUM(AS61:AS63)</f>
        <v>849572.3808</v>
      </c>
    </row>
    <row r="65" customFormat="false" ht="13.8" hidden="false" customHeight="false" outlineLevel="0" collapsed="false">
      <c r="A65" s="145"/>
      <c r="B65" s="363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5"/>
      <c r="Q65" s="363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5"/>
      <c r="AF65" s="363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5"/>
    </row>
    <row r="66" customFormat="false" ht="13.2" hidden="false" customHeight="false" outlineLevel="0" collapsed="false">
      <c r="A66" s="392" t="s">
        <v>1035</v>
      </c>
      <c r="B66" s="205" t="s">
        <v>1185</v>
      </c>
      <c r="C66" s="153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5"/>
      <c r="Q66" s="205" t="s">
        <v>1186</v>
      </c>
      <c r="R66" s="357" t="s">
        <v>1181</v>
      </c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5"/>
      <c r="AF66" s="205" t="s">
        <v>1186</v>
      </c>
      <c r="AG66" s="357" t="s">
        <v>1181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5"/>
    </row>
    <row r="67" customFormat="false" ht="13.2" hidden="false" customHeight="false" outlineLevel="0" collapsed="false">
      <c r="A67" s="207" t="s">
        <v>851</v>
      </c>
      <c r="B67" s="170" t="s">
        <v>1187</v>
      </c>
      <c r="C67" s="139" t="n">
        <f aca="false">Oheads!C11</f>
        <v>15000</v>
      </c>
      <c r="D67" s="139" t="n">
        <f aca="false">Oheads!D11</f>
        <v>15000</v>
      </c>
      <c r="E67" s="139" t="n">
        <f aca="false">Oheads!E11</f>
        <v>15000</v>
      </c>
      <c r="F67" s="139" t="n">
        <f aca="false">Oheads!F11</f>
        <v>15000</v>
      </c>
      <c r="G67" s="139" t="n">
        <f aca="false">Oheads!G11</f>
        <v>15000</v>
      </c>
      <c r="H67" s="139" t="n">
        <f aca="false">Oheads!H11</f>
        <v>15000</v>
      </c>
      <c r="I67" s="139" t="n">
        <f aca="false">Oheads!I11</f>
        <v>15000</v>
      </c>
      <c r="J67" s="139" t="n">
        <f aca="false">Oheads!J11</f>
        <v>15000</v>
      </c>
      <c r="K67" s="139" t="n">
        <f aca="false">Oheads!K11</f>
        <v>15000</v>
      </c>
      <c r="L67" s="139" t="n">
        <f aca="false">Oheads!L11</f>
        <v>15000</v>
      </c>
      <c r="M67" s="139" t="n">
        <f aca="false">Oheads!M11</f>
        <v>15000</v>
      </c>
      <c r="N67" s="139" t="n">
        <f aca="false">Oheads!N11</f>
        <v>15000</v>
      </c>
      <c r="O67" s="139" t="n">
        <f aca="false">SUM(C67:N67)</f>
        <v>180000</v>
      </c>
      <c r="Q67" s="170" t="s">
        <v>1187</v>
      </c>
      <c r="R67" s="139" t="n">
        <f aca="false">Oheads!Q11</f>
        <v>1000</v>
      </c>
      <c r="S67" s="139" t="n">
        <f aca="false">Oheads!R11</f>
        <v>1000</v>
      </c>
      <c r="T67" s="139" t="n">
        <f aca="false">Oheads!S11</f>
        <v>1000</v>
      </c>
      <c r="U67" s="139" t="n">
        <f aca="false">Oheads!T11</f>
        <v>1000</v>
      </c>
      <c r="V67" s="139" t="n">
        <f aca="false">Oheads!U11</f>
        <v>1000</v>
      </c>
      <c r="W67" s="139" t="n">
        <f aca="false">Oheads!V11</f>
        <v>1000</v>
      </c>
      <c r="X67" s="139" t="n">
        <f aca="false">Oheads!W11</f>
        <v>1000</v>
      </c>
      <c r="Y67" s="139" t="n">
        <f aca="false">Oheads!X11</f>
        <v>1000</v>
      </c>
      <c r="Z67" s="139" t="n">
        <f aca="false">Oheads!Y11</f>
        <v>1000</v>
      </c>
      <c r="AA67" s="139" t="n">
        <f aca="false">Oheads!Z11</f>
        <v>1000</v>
      </c>
      <c r="AB67" s="139" t="n">
        <f aca="false">Oheads!AA11</f>
        <v>1000</v>
      </c>
      <c r="AC67" s="139" t="n">
        <f aca="false">Oheads!AB11</f>
        <v>1000</v>
      </c>
      <c r="AD67" s="146" t="n">
        <f aca="false">SUM(R67:AC67)</f>
        <v>12000</v>
      </c>
      <c r="AF67" s="170" t="s">
        <v>1187</v>
      </c>
      <c r="AG67" s="139" t="n">
        <f aca="false">Oheads!AE11</f>
        <v>1000</v>
      </c>
      <c r="AH67" s="139" t="n">
        <f aca="false">Oheads!AF11</f>
        <v>1000</v>
      </c>
      <c r="AI67" s="139" t="n">
        <f aca="false">Oheads!AG11</f>
        <v>1000</v>
      </c>
      <c r="AJ67" s="139" t="n">
        <f aca="false">Oheads!AH11</f>
        <v>1000</v>
      </c>
      <c r="AK67" s="139" t="n">
        <f aca="false">Oheads!AI11</f>
        <v>1000</v>
      </c>
      <c r="AL67" s="139" t="n">
        <f aca="false">Oheads!AJ11</f>
        <v>1000</v>
      </c>
      <c r="AM67" s="139" t="n">
        <f aca="false">Oheads!AK11</f>
        <v>1000</v>
      </c>
      <c r="AN67" s="139" t="n">
        <f aca="false">Oheads!AL11</f>
        <v>1000</v>
      </c>
      <c r="AO67" s="139" t="n">
        <f aca="false">Oheads!AM11</f>
        <v>1000</v>
      </c>
      <c r="AP67" s="139" t="n">
        <f aca="false">Oheads!AN11</f>
        <v>1000</v>
      </c>
      <c r="AQ67" s="139" t="n">
        <f aca="false">Oheads!AO11</f>
        <v>1000</v>
      </c>
      <c r="AR67" s="139" t="n">
        <f aca="false">Oheads!AP11</f>
        <v>1000</v>
      </c>
      <c r="AS67" s="146" t="n">
        <f aca="false">SUM(AG67:AR67)</f>
        <v>12000</v>
      </c>
    </row>
    <row r="68" customFormat="false" ht="13.2" hidden="false" customHeight="false" outlineLevel="0" collapsed="false">
      <c r="A68" s="207" t="s">
        <v>848</v>
      </c>
      <c r="B68" s="170" t="s">
        <v>1188</v>
      </c>
      <c r="C68" s="146" t="n">
        <f aca="false">Oheads!C10</f>
        <v>5000</v>
      </c>
      <c r="D68" s="146" t="n">
        <f aca="false">Oheads!D10</f>
        <v>5000</v>
      </c>
      <c r="E68" s="146" t="n">
        <f aca="false">Oheads!E10</f>
        <v>5000</v>
      </c>
      <c r="F68" s="146" t="n">
        <f aca="false">Oheads!F10</f>
        <v>5000</v>
      </c>
      <c r="G68" s="146" t="n">
        <f aca="false">Oheads!G10</f>
        <v>5000</v>
      </c>
      <c r="H68" s="146" t="n">
        <f aca="false">Oheads!H10</f>
        <v>5000</v>
      </c>
      <c r="I68" s="146" t="n">
        <f aca="false">Oheads!I10</f>
        <v>5000</v>
      </c>
      <c r="J68" s="146" t="n">
        <f aca="false">Oheads!J10</f>
        <v>5000</v>
      </c>
      <c r="K68" s="146" t="n">
        <f aca="false">Oheads!K10</f>
        <v>5000</v>
      </c>
      <c r="L68" s="146" t="n">
        <f aca="false">Oheads!L10</f>
        <v>5000</v>
      </c>
      <c r="M68" s="146" t="n">
        <f aca="false">Oheads!M10</f>
        <v>5000</v>
      </c>
      <c r="N68" s="146" t="n">
        <f aca="false">Oheads!N10</f>
        <v>5000</v>
      </c>
      <c r="O68" s="139" t="n">
        <f aca="false">SUM(C68:N68)</f>
        <v>60000</v>
      </c>
      <c r="Q68" s="170" t="s">
        <v>1188</v>
      </c>
      <c r="R68" s="146" t="n">
        <f aca="false">Oheads!Q10</f>
        <v>1000</v>
      </c>
      <c r="S68" s="146" t="n">
        <f aca="false">Oheads!R10</f>
        <v>1000</v>
      </c>
      <c r="T68" s="146" t="n">
        <f aca="false">Oheads!S10</f>
        <v>1000</v>
      </c>
      <c r="U68" s="146" t="n">
        <f aca="false">Oheads!T10</f>
        <v>1000</v>
      </c>
      <c r="V68" s="146" t="n">
        <f aca="false">Oheads!U10</f>
        <v>1000</v>
      </c>
      <c r="W68" s="146" t="n">
        <f aca="false">Oheads!V10</f>
        <v>1000</v>
      </c>
      <c r="X68" s="146" t="n">
        <f aca="false">Oheads!W10</f>
        <v>1000</v>
      </c>
      <c r="Y68" s="146" t="n">
        <f aca="false">Oheads!X10</f>
        <v>1000</v>
      </c>
      <c r="Z68" s="146" t="n">
        <f aca="false">Oheads!Y10</f>
        <v>1000</v>
      </c>
      <c r="AA68" s="146" t="n">
        <f aca="false">Oheads!Z10</f>
        <v>1000</v>
      </c>
      <c r="AB68" s="146" t="n">
        <f aca="false">Oheads!AA10</f>
        <v>1000</v>
      </c>
      <c r="AC68" s="146" t="n">
        <f aca="false">Oheads!AB10</f>
        <v>1000</v>
      </c>
      <c r="AD68" s="146" t="n">
        <f aca="false">SUM(R68:AC68)</f>
        <v>12000</v>
      </c>
      <c r="AF68" s="170" t="s">
        <v>1188</v>
      </c>
      <c r="AG68" s="146" t="n">
        <f aca="false">Oheads!AE10</f>
        <v>1000</v>
      </c>
      <c r="AH68" s="146" t="n">
        <f aca="false">Oheads!AF10</f>
        <v>1000</v>
      </c>
      <c r="AI68" s="146" t="n">
        <f aca="false">Oheads!AG10</f>
        <v>1000</v>
      </c>
      <c r="AJ68" s="146" t="n">
        <f aca="false">Oheads!AH10</f>
        <v>1000</v>
      </c>
      <c r="AK68" s="146" t="n">
        <f aca="false">Oheads!AI10</f>
        <v>1000</v>
      </c>
      <c r="AL68" s="146" t="n">
        <f aca="false">Oheads!AJ10</f>
        <v>1000</v>
      </c>
      <c r="AM68" s="146" t="n">
        <f aca="false">Oheads!AK10</f>
        <v>1000</v>
      </c>
      <c r="AN68" s="146" t="n">
        <f aca="false">Oheads!AL10</f>
        <v>1000</v>
      </c>
      <c r="AO68" s="146" t="n">
        <f aca="false">Oheads!AM10</f>
        <v>1000</v>
      </c>
      <c r="AP68" s="146" t="n">
        <f aca="false">Oheads!AN10</f>
        <v>1000</v>
      </c>
      <c r="AQ68" s="146" t="n">
        <f aca="false">Oheads!AO10</f>
        <v>1000</v>
      </c>
      <c r="AR68" s="146" t="n">
        <f aca="false">Oheads!AP10</f>
        <v>1000</v>
      </c>
      <c r="AS68" s="146" t="n">
        <f aca="false">SUM(AG68:AR68)</f>
        <v>12000</v>
      </c>
    </row>
    <row r="69" customFormat="false" ht="13.2" hidden="true" customHeight="false" outlineLevel="0" collapsed="false">
      <c r="A69" s="207" t="s">
        <v>1036</v>
      </c>
      <c r="B69" s="170" t="s">
        <v>1189</v>
      </c>
      <c r="C69" s="146" t="n">
        <f aca="false">Oheads!C12</f>
        <v>0</v>
      </c>
      <c r="D69" s="146" t="n">
        <f aca="false">Oheads!D12</f>
        <v>0</v>
      </c>
      <c r="E69" s="146" t="n">
        <f aca="false">Oheads!E12</f>
        <v>0</v>
      </c>
      <c r="F69" s="146" t="n">
        <f aca="false">Oheads!F12</f>
        <v>0</v>
      </c>
      <c r="G69" s="146" t="n">
        <f aca="false">Oheads!G12</f>
        <v>0</v>
      </c>
      <c r="H69" s="146" t="n">
        <f aca="false">Oheads!H12</f>
        <v>0</v>
      </c>
      <c r="I69" s="146" t="n">
        <f aca="false">Oheads!I12</f>
        <v>0</v>
      </c>
      <c r="J69" s="146" t="n">
        <f aca="false">Oheads!J12</f>
        <v>0</v>
      </c>
      <c r="K69" s="146" t="n">
        <f aca="false">Oheads!K12</f>
        <v>0</v>
      </c>
      <c r="L69" s="146" t="n">
        <f aca="false">Oheads!L12</f>
        <v>0</v>
      </c>
      <c r="M69" s="146" t="n">
        <f aca="false">Oheads!M12</f>
        <v>0</v>
      </c>
      <c r="N69" s="146" t="n">
        <f aca="false">Oheads!N12</f>
        <v>0</v>
      </c>
      <c r="O69" s="139" t="n">
        <f aca="false">SUM(C69:N69)</f>
        <v>0</v>
      </c>
      <c r="Q69" s="170" t="s">
        <v>1189</v>
      </c>
      <c r="R69" s="146" t="n">
        <f aca="false">Oheads!Q12</f>
        <v>0</v>
      </c>
      <c r="S69" s="146" t="n">
        <f aca="false">Oheads!R12</f>
        <v>0</v>
      </c>
      <c r="T69" s="146" t="n">
        <f aca="false">Oheads!S12</f>
        <v>0</v>
      </c>
      <c r="U69" s="146" t="n">
        <f aca="false">Oheads!T12</f>
        <v>0</v>
      </c>
      <c r="V69" s="146" t="n">
        <f aca="false">Oheads!U12</f>
        <v>0</v>
      </c>
      <c r="W69" s="146" t="n">
        <f aca="false">Oheads!V12</f>
        <v>0</v>
      </c>
      <c r="X69" s="146" t="n">
        <f aca="false">Oheads!W12</f>
        <v>0</v>
      </c>
      <c r="Y69" s="146" t="n">
        <f aca="false">Oheads!X12</f>
        <v>0</v>
      </c>
      <c r="Z69" s="146" t="n">
        <f aca="false">Oheads!Y12</f>
        <v>0</v>
      </c>
      <c r="AA69" s="146" t="n">
        <f aca="false">Oheads!Z12</f>
        <v>0</v>
      </c>
      <c r="AB69" s="146" t="n">
        <f aca="false">Oheads!AA12</f>
        <v>0</v>
      </c>
      <c r="AC69" s="146" t="n">
        <f aca="false">Oheads!AB12</f>
        <v>0</v>
      </c>
      <c r="AD69" s="146" t="n">
        <f aca="false">SUM(R69:AC69)</f>
        <v>0</v>
      </c>
      <c r="AF69" s="170" t="s">
        <v>1189</v>
      </c>
      <c r="AG69" s="146" t="n">
        <f aca="false">Oheads!AE12</f>
        <v>0</v>
      </c>
      <c r="AH69" s="146" t="n">
        <f aca="false">Oheads!AF12</f>
        <v>0</v>
      </c>
      <c r="AI69" s="146" t="n">
        <f aca="false">Oheads!AG12</f>
        <v>0</v>
      </c>
      <c r="AJ69" s="146" t="n">
        <f aca="false">Oheads!AH12</f>
        <v>0</v>
      </c>
      <c r="AK69" s="146" t="n">
        <f aca="false">Oheads!AI12</f>
        <v>0</v>
      </c>
      <c r="AL69" s="146" t="n">
        <f aca="false">Oheads!AJ12</f>
        <v>0</v>
      </c>
      <c r="AM69" s="146" t="n">
        <f aca="false">Oheads!AK12</f>
        <v>0</v>
      </c>
      <c r="AN69" s="146" t="n">
        <f aca="false">Oheads!AL12</f>
        <v>0</v>
      </c>
      <c r="AO69" s="146" t="n">
        <f aca="false">Oheads!AM12</f>
        <v>0</v>
      </c>
      <c r="AP69" s="146" t="n">
        <f aca="false">Oheads!AN12</f>
        <v>0</v>
      </c>
      <c r="AQ69" s="146" t="n">
        <f aca="false">Oheads!AO12</f>
        <v>0</v>
      </c>
      <c r="AR69" s="146" t="n">
        <f aca="false">Oheads!AP12</f>
        <v>0</v>
      </c>
      <c r="AS69" s="146" t="n">
        <f aca="false">SUM(AG69:AR69)</f>
        <v>0</v>
      </c>
    </row>
    <row r="70" customFormat="false" ht="13.2" hidden="false" customHeight="false" outlineLevel="0" collapsed="false">
      <c r="A70" s="207" t="s">
        <v>853</v>
      </c>
      <c r="B70" s="170" t="s">
        <v>1190</v>
      </c>
      <c r="C70" s="146" t="n">
        <f aca="false">Oheads!C13</f>
        <v>1000</v>
      </c>
      <c r="D70" s="146" t="n">
        <f aca="false">Oheads!D13</f>
        <v>1000</v>
      </c>
      <c r="E70" s="146" t="n">
        <f aca="false">Oheads!E13</f>
        <v>1000</v>
      </c>
      <c r="F70" s="146" t="n">
        <f aca="false">Oheads!F13</f>
        <v>1000</v>
      </c>
      <c r="G70" s="146" t="n">
        <f aca="false">Oheads!G13</f>
        <v>1000</v>
      </c>
      <c r="H70" s="146" t="n">
        <f aca="false">Oheads!H13</f>
        <v>1000</v>
      </c>
      <c r="I70" s="146" t="n">
        <f aca="false">Oheads!I13</f>
        <v>1000</v>
      </c>
      <c r="J70" s="146" t="n">
        <f aca="false">Oheads!J13</f>
        <v>1000</v>
      </c>
      <c r="K70" s="146" t="n">
        <f aca="false">Oheads!K13</f>
        <v>1000</v>
      </c>
      <c r="L70" s="146" t="n">
        <f aca="false">Oheads!L13</f>
        <v>1000</v>
      </c>
      <c r="M70" s="146" t="n">
        <f aca="false">Oheads!M13</f>
        <v>1000</v>
      </c>
      <c r="N70" s="146" t="n">
        <f aca="false">Oheads!N13</f>
        <v>1000</v>
      </c>
      <c r="O70" s="139" t="n">
        <f aca="false">SUM(C70:N70)</f>
        <v>12000</v>
      </c>
      <c r="Q70" s="170" t="s">
        <v>1190</v>
      </c>
      <c r="R70" s="146" t="n">
        <f aca="false">Oheads!Q13</f>
        <v>500</v>
      </c>
      <c r="S70" s="146" t="n">
        <f aca="false">Oheads!R13</f>
        <v>500</v>
      </c>
      <c r="T70" s="146" t="n">
        <f aca="false">Oheads!S13</f>
        <v>500</v>
      </c>
      <c r="U70" s="146" t="n">
        <f aca="false">Oheads!T13</f>
        <v>500</v>
      </c>
      <c r="V70" s="146" t="n">
        <f aca="false">Oheads!U13</f>
        <v>500</v>
      </c>
      <c r="W70" s="146" t="n">
        <f aca="false">Oheads!V13</f>
        <v>500</v>
      </c>
      <c r="X70" s="146" t="n">
        <f aca="false">Oheads!W13</f>
        <v>500</v>
      </c>
      <c r="Y70" s="146" t="n">
        <f aca="false">Oheads!X13</f>
        <v>500</v>
      </c>
      <c r="Z70" s="146" t="n">
        <f aca="false">Oheads!Y13</f>
        <v>500</v>
      </c>
      <c r="AA70" s="146" t="n">
        <f aca="false">Oheads!Z13</f>
        <v>500</v>
      </c>
      <c r="AB70" s="146" t="n">
        <f aca="false">Oheads!AA13</f>
        <v>500</v>
      </c>
      <c r="AC70" s="146" t="n">
        <f aca="false">Oheads!AB13</f>
        <v>500</v>
      </c>
      <c r="AD70" s="146" t="n">
        <f aca="false">SUM(R70:AC70)</f>
        <v>6000</v>
      </c>
      <c r="AF70" s="170" t="s">
        <v>1190</v>
      </c>
      <c r="AG70" s="146" t="n">
        <f aca="false">Oheads!AE13</f>
        <v>500</v>
      </c>
      <c r="AH70" s="146" t="n">
        <f aca="false">Oheads!AF13</f>
        <v>500</v>
      </c>
      <c r="AI70" s="146" t="n">
        <f aca="false">Oheads!AG13</f>
        <v>500</v>
      </c>
      <c r="AJ70" s="146" t="n">
        <f aca="false">Oheads!AH13</f>
        <v>500</v>
      </c>
      <c r="AK70" s="146" t="n">
        <f aca="false">Oheads!AI13</f>
        <v>500</v>
      </c>
      <c r="AL70" s="146" t="n">
        <f aca="false">Oheads!AJ13</f>
        <v>500</v>
      </c>
      <c r="AM70" s="146" t="n">
        <f aca="false">Oheads!AK13</f>
        <v>500</v>
      </c>
      <c r="AN70" s="146" t="n">
        <f aca="false">Oheads!AL13</f>
        <v>500</v>
      </c>
      <c r="AO70" s="146" t="n">
        <f aca="false">Oheads!AM13</f>
        <v>500</v>
      </c>
      <c r="AP70" s="146" t="n">
        <f aca="false">Oheads!AN13</f>
        <v>500</v>
      </c>
      <c r="AQ70" s="146" t="n">
        <f aca="false">Oheads!AO13</f>
        <v>500</v>
      </c>
      <c r="AR70" s="146" t="n">
        <f aca="false">Oheads!AP13</f>
        <v>500</v>
      </c>
      <c r="AS70" s="146" t="n">
        <f aca="false">SUM(AG70:AR70)</f>
        <v>6000</v>
      </c>
    </row>
    <row r="71" customFormat="false" ht="13.2" hidden="false" customHeight="false" outlineLevel="0" collapsed="false">
      <c r="A71" s="207" t="s">
        <v>855</v>
      </c>
      <c r="B71" s="170" t="s">
        <v>856</v>
      </c>
      <c r="C71" s="146" t="n">
        <f aca="false">Oheads!C14</f>
        <v>4000</v>
      </c>
      <c r="D71" s="146" t="n">
        <f aca="false">Oheads!D14</f>
        <v>4000</v>
      </c>
      <c r="E71" s="146" t="n">
        <f aca="false">Oheads!E14</f>
        <v>4000</v>
      </c>
      <c r="F71" s="146" t="n">
        <f aca="false">Oheads!F14</f>
        <v>4000</v>
      </c>
      <c r="G71" s="146" t="n">
        <f aca="false">Oheads!G14</f>
        <v>4000</v>
      </c>
      <c r="H71" s="146" t="n">
        <f aca="false">Oheads!H14</f>
        <v>4000</v>
      </c>
      <c r="I71" s="146" t="n">
        <f aca="false">Oheads!I14</f>
        <v>4000</v>
      </c>
      <c r="J71" s="146" t="n">
        <f aca="false">Oheads!J14</f>
        <v>4000</v>
      </c>
      <c r="K71" s="146" t="n">
        <f aca="false">Oheads!K14</f>
        <v>4000</v>
      </c>
      <c r="L71" s="146" t="n">
        <f aca="false">Oheads!L14</f>
        <v>4000</v>
      </c>
      <c r="M71" s="146" t="n">
        <f aca="false">Oheads!M14</f>
        <v>4000</v>
      </c>
      <c r="N71" s="146" t="n">
        <f aca="false">Oheads!N14</f>
        <v>4000</v>
      </c>
      <c r="O71" s="139" t="n">
        <f aca="false">SUM(C71:N71)</f>
        <v>48000</v>
      </c>
      <c r="Q71" s="170" t="s">
        <v>856</v>
      </c>
      <c r="R71" s="146" t="n">
        <f aca="false">Oheads!Q14</f>
        <v>4000</v>
      </c>
      <c r="S71" s="146" t="n">
        <f aca="false">Oheads!R14</f>
        <v>4000</v>
      </c>
      <c r="T71" s="146" t="n">
        <f aca="false">Oheads!S14</f>
        <v>4000</v>
      </c>
      <c r="U71" s="146" t="n">
        <f aca="false">Oheads!T14</f>
        <v>4000</v>
      </c>
      <c r="V71" s="146" t="n">
        <f aca="false">Oheads!U14</f>
        <v>4000</v>
      </c>
      <c r="W71" s="146" t="n">
        <f aca="false">Oheads!V14</f>
        <v>4000</v>
      </c>
      <c r="X71" s="146" t="n">
        <f aca="false">Oheads!W14</f>
        <v>4000</v>
      </c>
      <c r="Y71" s="146" t="n">
        <f aca="false">Oheads!X14</f>
        <v>4000</v>
      </c>
      <c r="Z71" s="146" t="n">
        <f aca="false">Oheads!Y14</f>
        <v>4000</v>
      </c>
      <c r="AA71" s="146" t="n">
        <f aca="false">Oheads!Z14</f>
        <v>4000</v>
      </c>
      <c r="AB71" s="146" t="n">
        <f aca="false">Oheads!AA14</f>
        <v>4000</v>
      </c>
      <c r="AC71" s="146" t="n">
        <f aca="false">Oheads!AB14</f>
        <v>4000</v>
      </c>
      <c r="AD71" s="146" t="n">
        <f aca="false">SUM(R71:AC71)</f>
        <v>48000</v>
      </c>
      <c r="AF71" s="170" t="s">
        <v>856</v>
      </c>
      <c r="AG71" s="146" t="n">
        <f aca="false">Oheads!AE14</f>
        <v>4000</v>
      </c>
      <c r="AH71" s="146" t="n">
        <f aca="false">Oheads!AF14</f>
        <v>4000</v>
      </c>
      <c r="AI71" s="146" t="n">
        <f aca="false">Oheads!AG14</f>
        <v>4000</v>
      </c>
      <c r="AJ71" s="146" t="n">
        <f aca="false">Oheads!AH14</f>
        <v>4000</v>
      </c>
      <c r="AK71" s="146" t="n">
        <f aca="false">Oheads!AI14</f>
        <v>4000</v>
      </c>
      <c r="AL71" s="146" t="n">
        <f aca="false">Oheads!AJ14</f>
        <v>4000</v>
      </c>
      <c r="AM71" s="146" t="n">
        <f aca="false">Oheads!AK14</f>
        <v>4000</v>
      </c>
      <c r="AN71" s="146" t="n">
        <f aca="false">Oheads!AL14</f>
        <v>4000</v>
      </c>
      <c r="AO71" s="146" t="n">
        <f aca="false">Oheads!AM14</f>
        <v>4000</v>
      </c>
      <c r="AP71" s="146" t="n">
        <f aca="false">Oheads!AN14</f>
        <v>4000</v>
      </c>
      <c r="AQ71" s="146" t="n">
        <f aca="false">Oheads!AO14</f>
        <v>4000</v>
      </c>
      <c r="AR71" s="146" t="n">
        <f aca="false">Oheads!AP14</f>
        <v>4000</v>
      </c>
      <c r="AS71" s="146" t="n">
        <f aca="false">SUM(AG71:AR71)</f>
        <v>48000</v>
      </c>
    </row>
    <row r="72" customFormat="false" ht="13.2" hidden="true" customHeight="false" outlineLevel="0" collapsed="false">
      <c r="A72" s="207" t="s">
        <v>857</v>
      </c>
      <c r="B72" s="170" t="s">
        <v>1191</v>
      </c>
      <c r="C72" s="146" t="n">
        <f aca="false">'P&amp;LPLN'!C71/Factors!C11</f>
        <v>0</v>
      </c>
      <c r="D72" s="146" t="n">
        <f aca="false">'P&amp;LPLN'!D71/Factors!D11</f>
        <v>0</v>
      </c>
      <c r="E72" s="146" t="n">
        <f aca="false">'P&amp;LPLN'!E71/Factors!E11</f>
        <v>0</v>
      </c>
      <c r="F72" s="146" t="n">
        <f aca="false">'P&amp;LPLN'!F71/Factors!F11</f>
        <v>0</v>
      </c>
      <c r="G72" s="146" t="n">
        <f aca="false">'P&amp;LPLN'!G71/Factors!G11</f>
        <v>0</v>
      </c>
      <c r="H72" s="146" t="n">
        <f aca="false">'P&amp;LPLN'!H71/Factors!H11</f>
        <v>0</v>
      </c>
      <c r="I72" s="146" t="n">
        <f aca="false">'P&amp;LPLN'!I71/Factors!I11</f>
        <v>0</v>
      </c>
      <c r="J72" s="146" t="n">
        <f aca="false">'P&amp;LPLN'!J71/Factors!J11</f>
        <v>0</v>
      </c>
      <c r="K72" s="146" t="n">
        <f aca="false">'P&amp;LPLN'!K71/Factors!K11</f>
        <v>0</v>
      </c>
      <c r="L72" s="146" t="n">
        <f aca="false">'P&amp;LPLN'!L71/Factors!L11</f>
        <v>0</v>
      </c>
      <c r="M72" s="146" t="n">
        <f aca="false">'P&amp;LPLN'!M71/Factors!M11</f>
        <v>0</v>
      </c>
      <c r="N72" s="146" t="n">
        <f aca="false">'P&amp;LPLN'!N71/Factors!N11</f>
        <v>0</v>
      </c>
      <c r="O72" s="139" t="n">
        <f aca="false">SUM(C72:N72)</f>
        <v>0</v>
      </c>
      <c r="P72" s="139"/>
      <c r="Q72" s="170" t="s">
        <v>1191</v>
      </c>
      <c r="R72" s="146" t="n">
        <f aca="false">'P&amp;LPLN'!R71/Factors!R11</f>
        <v>0</v>
      </c>
      <c r="S72" s="146" t="n">
        <f aca="false">'P&amp;LPLN'!S71/Factors!S11</f>
        <v>0</v>
      </c>
      <c r="T72" s="146" t="n">
        <f aca="false">'P&amp;LPLN'!T71/Factors!T11</f>
        <v>0</v>
      </c>
      <c r="U72" s="146" t="n">
        <f aca="false">'P&amp;LPLN'!U71/Factors!U11</f>
        <v>0</v>
      </c>
      <c r="V72" s="146" t="n">
        <f aca="false">'P&amp;LPLN'!V71/Factors!V11</f>
        <v>0</v>
      </c>
      <c r="W72" s="146" t="n">
        <f aca="false">'P&amp;LPLN'!W71/Factors!W11</f>
        <v>0</v>
      </c>
      <c r="X72" s="146" t="n">
        <f aca="false">'P&amp;LPLN'!X71/Factors!X11</f>
        <v>0</v>
      </c>
      <c r="Y72" s="146" t="n">
        <f aca="false">'P&amp;LPLN'!Y71/Factors!Y11</f>
        <v>0</v>
      </c>
      <c r="Z72" s="146" t="n">
        <f aca="false">'P&amp;LPLN'!Z71/Factors!Z11</f>
        <v>0</v>
      </c>
      <c r="AA72" s="146" t="n">
        <f aca="false">'P&amp;LPLN'!AA71/Factors!AA11</f>
        <v>0</v>
      </c>
      <c r="AB72" s="146" t="n">
        <f aca="false">'P&amp;LPLN'!AB71/Factors!AB11</f>
        <v>0</v>
      </c>
      <c r="AC72" s="146" t="n">
        <f aca="false">'P&amp;LPLN'!AC71/Factors!AC11</f>
        <v>0</v>
      </c>
      <c r="AD72" s="146" t="n">
        <f aca="false">SUM(R72:AC72)</f>
        <v>0</v>
      </c>
      <c r="AF72" s="170" t="s">
        <v>1191</v>
      </c>
      <c r="AG72" s="146" t="n">
        <f aca="false">'P&amp;LPLN'!AG71/Factors!AG11</f>
        <v>0</v>
      </c>
      <c r="AH72" s="146" t="n">
        <f aca="false">'P&amp;LPLN'!AH71/Factors!AH11</f>
        <v>0</v>
      </c>
      <c r="AI72" s="146" t="n">
        <f aca="false">'P&amp;LPLN'!AI71/Factors!AI11</f>
        <v>0</v>
      </c>
      <c r="AJ72" s="146" t="n">
        <f aca="false">'P&amp;LPLN'!AJ71/Factors!AJ11</f>
        <v>0</v>
      </c>
      <c r="AK72" s="146" t="n">
        <f aca="false">'P&amp;LPLN'!AK71/Factors!AK11</f>
        <v>0</v>
      </c>
      <c r="AL72" s="146" t="n">
        <f aca="false">'P&amp;LPLN'!AL71/Factors!AL11</f>
        <v>0</v>
      </c>
      <c r="AM72" s="146" t="n">
        <f aca="false">'P&amp;LPLN'!AM71/Factors!AM11</f>
        <v>0</v>
      </c>
      <c r="AN72" s="146" t="n">
        <f aca="false">'P&amp;LPLN'!AN71/Factors!AN11</f>
        <v>0</v>
      </c>
      <c r="AO72" s="146" t="n">
        <f aca="false">'P&amp;LPLN'!AO71/Factors!AO11</f>
        <v>0</v>
      </c>
      <c r="AP72" s="146" t="n">
        <f aca="false">'P&amp;LPLN'!AP71/Factors!AP11</f>
        <v>0</v>
      </c>
      <c r="AQ72" s="146" t="n">
        <f aca="false">'P&amp;LPLN'!AQ71/Factors!AQ11</f>
        <v>0</v>
      </c>
      <c r="AR72" s="146" t="n">
        <f aca="false">'P&amp;LPLN'!AR71/Factors!AR11</f>
        <v>0</v>
      </c>
      <c r="AS72" s="146" t="n">
        <f aca="false">SUM(AG72:AR72)</f>
        <v>0</v>
      </c>
    </row>
    <row r="73" customFormat="false" ht="13.2" hidden="false" customHeight="false" outlineLevel="0" collapsed="false">
      <c r="A73" s="207" t="s">
        <v>860</v>
      </c>
      <c r="B73" s="170" t="s">
        <v>1192</v>
      </c>
      <c r="C73" s="146" t="n">
        <f aca="false">'P&amp;LPLN'!C72/Factors!C11</f>
        <v>662.264526967593</v>
      </c>
      <c r="D73" s="146" t="n">
        <f aca="false">'P&amp;LPLN'!D72/Factors!D11</f>
        <v>661.339945458065</v>
      </c>
      <c r="E73" s="146" t="n">
        <f aca="false">'P&amp;LPLN'!E72/Factors!E11</f>
        <v>660.417941949161</v>
      </c>
      <c r="F73" s="146" t="n">
        <f aca="false">'P&amp;LPLN'!F72/Factors!F11</f>
        <v>659.498505673575</v>
      </c>
      <c r="G73" s="146" t="n">
        <f aca="false">'P&amp;LPLN'!G72/Factors!G11</f>
        <v>658.58162592388</v>
      </c>
      <c r="H73" s="146" t="n">
        <f aca="false">'P&amp;LPLN'!H72/Factors!H11</f>
        <v>657.66729205211</v>
      </c>
      <c r="I73" s="146" t="n">
        <f aca="false">'P&amp;LPLN'!I72/Factors!I11</f>
        <v>656.755493469348</v>
      </c>
      <c r="J73" s="146" t="n">
        <f aca="false">'P&amp;LPLN'!J72/Factors!J11</f>
        <v>655.84621964532</v>
      </c>
      <c r="K73" s="146" t="n">
        <f aca="false">'P&amp;LPLN'!K72/Factors!K11</f>
        <v>654.939460107986</v>
      </c>
      <c r="L73" s="146" t="n">
        <f aca="false">'P&amp;LPLN'!L72/Factors!L11</f>
        <v>654.035204443143</v>
      </c>
      <c r="M73" s="146" t="n">
        <f aca="false">'P&amp;LPLN'!M72/Factors!M11</f>
        <v>653.133442294019</v>
      </c>
      <c r="N73" s="146" t="n">
        <f aca="false">'P&amp;LPLN'!N72/Factors!N11</f>
        <v>652.234163360884</v>
      </c>
      <c r="O73" s="139" t="n">
        <f aca="false">SUM(C73:N73)</f>
        <v>7886.71382134508</v>
      </c>
      <c r="Q73" s="170" t="s">
        <v>1192</v>
      </c>
      <c r="R73" s="146" t="n">
        <f aca="false">'P&amp;LPLN'!R72/Factors!R11</f>
        <v>649.52779753781</v>
      </c>
      <c r="S73" s="146" t="n">
        <f aca="false">'P&amp;LPLN'!S72/Factors!S11</f>
        <v>646.843798374431</v>
      </c>
      <c r="T73" s="146" t="n">
        <f aca="false">'P&amp;LPLN'!T72/Factors!T11</f>
        <v>644.181889739145</v>
      </c>
      <c r="U73" s="146" t="n">
        <f aca="false">'P&amp;LPLN'!U72/Factors!U11</f>
        <v>641.541800027099</v>
      </c>
      <c r="V73" s="146" t="n">
        <f aca="false">'P&amp;LPLN'!V72/Factors!V11</f>
        <v>638.923262067805</v>
      </c>
      <c r="W73" s="146" t="n">
        <f aca="false">'P&amp;LPLN'!W72/Factors!W11</f>
        <v>636.326013035009</v>
      </c>
      <c r="X73" s="146" t="n">
        <f aca="false">'P&amp;LPLN'!X72/Factors!X11</f>
        <v>633.749794358754</v>
      </c>
      <c r="Y73" s="146" t="n">
        <f aca="false">'P&amp;LPLN'!Y72/Factors!Y11</f>
        <v>631.194351639565</v>
      </c>
      <c r="Z73" s="146" t="n">
        <f aca="false">'P&amp;LPLN'!Z72/Factors!Z11</f>
        <v>628.659434564708</v>
      </c>
      <c r="AA73" s="146" t="n">
        <f aca="false">'P&amp;LPLN'!AA72/Factors!AA11</f>
        <v>626.144796826449</v>
      </c>
      <c r="AB73" s="146" t="n">
        <f aca="false">'P&amp;LPLN'!AB72/Factors!AB11</f>
        <v>623.65019604228</v>
      </c>
      <c r="AC73" s="146" t="n">
        <f aca="false">'P&amp;LPLN'!AC72/Factors!AC11</f>
        <v>621.175393677033</v>
      </c>
      <c r="AD73" s="146" t="n">
        <f aca="false">SUM(R73:AC73)</f>
        <v>7621.91852789009</v>
      </c>
      <c r="AF73" s="170" t="s">
        <v>1192</v>
      </c>
      <c r="AG73" s="146" t="n">
        <f aca="false">'P&amp;LPLN'!AG72/Factors!AG11</f>
        <v>618.597902416962</v>
      </c>
      <c r="AH73" s="146" t="n">
        <f aca="false">'P&amp;LPLN'!AH72/Factors!AH11</f>
        <v>616.041712737553</v>
      </c>
      <c r="AI73" s="146" t="n">
        <f aca="false">'P&amp;LPLN'!AI72/Factors!AI11</f>
        <v>613.506561656329</v>
      </c>
      <c r="AJ73" s="146" t="n">
        <f aca="false">'P&amp;LPLN'!AJ72/Factors!AJ11</f>
        <v>610.992190501999</v>
      </c>
      <c r="AK73" s="146" t="n">
        <f aca="false">'P&amp;LPLN'!AK72/Factors!AK11</f>
        <v>608.498344826481</v>
      </c>
      <c r="AL73" s="146" t="n">
        <f aca="false">'P&amp;LPLN'!AL72/Factors!AL11</f>
        <v>606.024774319056</v>
      </c>
      <c r="AM73" s="146" t="n">
        <f aca="false">'P&amp;LPLN'!AM72/Factors!AM11</f>
        <v>603.571232722623</v>
      </c>
      <c r="AN73" s="146" t="n">
        <f aca="false">'P&amp;LPLN'!AN72/Factors!AN11</f>
        <v>601.137477751967</v>
      </c>
      <c r="AO73" s="146" t="n">
        <f aca="false">'P&amp;LPLN'!AO72/Factors!AO11</f>
        <v>598.723271014007</v>
      </c>
      <c r="AP73" s="146" t="n">
        <f aca="false">'P&amp;LPLN'!AP72/Factors!AP11</f>
        <v>596.328377929951</v>
      </c>
      <c r="AQ73" s="146" t="n">
        <f aca="false">'P&amp;LPLN'!AQ72/Factors!AQ11</f>
        <v>593.952567659314</v>
      </c>
      <c r="AR73" s="146" t="n">
        <f aca="false">'P&amp;LPLN'!AR72/Factors!AR11</f>
        <v>591.595613025745</v>
      </c>
      <c r="AS73" s="146" t="n">
        <f aca="false">SUM(AG73:AR73)</f>
        <v>7258.97002656199</v>
      </c>
    </row>
    <row r="74" customFormat="false" ht="13.2" hidden="false" customHeight="false" outlineLevel="0" collapsed="false">
      <c r="A74" s="207" t="s">
        <v>862</v>
      </c>
      <c r="B74" s="205" t="s">
        <v>1193</v>
      </c>
      <c r="C74" s="146" t="n">
        <f aca="false">'P&amp;LPLN'!C73/Factors!C11</f>
        <v>650.645851055881</v>
      </c>
      <c r="D74" s="146" t="n">
        <f aca="false">'P&amp;LPLN'!D73/Factors!D11</f>
        <v>649.73749027459</v>
      </c>
      <c r="E74" s="146" t="n">
        <f aca="false">'P&amp;LPLN'!E73/Factors!E11</f>
        <v>648.831662265842</v>
      </c>
      <c r="F74" s="146" t="n">
        <f aca="false">'P&amp;LPLN'!F73/Factors!F11</f>
        <v>647.928356451232</v>
      </c>
      <c r="G74" s="146" t="n">
        <f aca="false">'P&amp;LPLN'!G73/Factors!G11</f>
        <v>647.02756231118</v>
      </c>
      <c r="H74" s="146" t="n">
        <f aca="false">'P&amp;LPLN'!H73/Factors!H11</f>
        <v>646.129269384529</v>
      </c>
      <c r="I74" s="146" t="n">
        <f aca="false">'P&amp;LPLN'!I73/Factors!I11</f>
        <v>645.233467268131</v>
      </c>
      <c r="J74" s="146" t="n">
        <f aca="false">'P&amp;LPLN'!J73/Factors!J11</f>
        <v>644.340145616454</v>
      </c>
      <c r="K74" s="146" t="n">
        <f aca="false">'P&amp;LPLN'!K73/Factors!K11</f>
        <v>643.44929414118</v>
      </c>
      <c r="L74" s="146" t="n">
        <f aca="false">'P&amp;LPLN'!L73/Factors!L11</f>
        <v>642.560902610807</v>
      </c>
      <c r="M74" s="146" t="n">
        <f aca="false">'P&amp;LPLN'!M73/Factors!M11</f>
        <v>641.674960850264</v>
      </c>
      <c r="N74" s="146" t="n">
        <f aca="false">'P&amp;LPLN'!N73/Factors!N11</f>
        <v>640.791458740518</v>
      </c>
      <c r="O74" s="139" t="n">
        <f aca="false">SUM(C74:N74)</f>
        <v>7748.35042097061</v>
      </c>
      <c r="Q74" s="170" t="s">
        <v>1193</v>
      </c>
      <c r="R74" s="146" t="n">
        <f aca="false">'P&amp;LPLN'!R73/Factors!R11</f>
        <v>638.132573019603</v>
      </c>
      <c r="S74" s="146" t="n">
        <f aca="false">'P&amp;LPLN'!S73/Factors!S11</f>
        <v>635.495661560844</v>
      </c>
      <c r="T74" s="146" t="n">
        <f aca="false">'P&amp;LPLN'!T73/Factors!T11</f>
        <v>632.880453077055</v>
      </c>
      <c r="U74" s="146" t="n">
        <f aca="false">'P&amp;LPLN'!U73/Factors!U11</f>
        <v>630.286680728378</v>
      </c>
      <c r="V74" s="146" t="n">
        <f aca="false">'P&amp;LPLN'!V73/Factors!V11</f>
        <v>627.714082031528</v>
      </c>
      <c r="W74" s="146" t="n">
        <f aca="false">'P&amp;LPLN'!W73/Factors!W11</f>
        <v>625.162398771237</v>
      </c>
      <c r="X74" s="146" t="n">
        <f aca="false">'P&amp;LPLN'!X73/Factors!X11</f>
        <v>622.631376913864</v>
      </c>
      <c r="Y74" s="146" t="n">
        <f aca="false">'P&amp;LPLN'!Y73/Factors!Y11</f>
        <v>620.120766523082</v>
      </c>
      <c r="Z74" s="146" t="n">
        <f aca="false">'P&amp;LPLN'!Z73/Factors!Z11</f>
        <v>617.630321677608</v>
      </c>
      <c r="AA74" s="146" t="n">
        <f aca="false">'P&amp;LPLN'!AA73/Factors!AA11</f>
        <v>615.159800390897</v>
      </c>
      <c r="AB74" s="146" t="n">
        <f aca="false">'P&amp;LPLN'!AB73/Factors!AB11</f>
        <v>612.708964532766</v>
      </c>
      <c r="AC74" s="146" t="n">
        <f aca="false">'P&amp;LPLN'!AC73/Factors!AC11</f>
        <v>610.277579752874</v>
      </c>
      <c r="AD74" s="146" t="n">
        <f aca="false">SUM(R74:AC74)</f>
        <v>7488.20065897974</v>
      </c>
      <c r="AF74" s="170" t="s">
        <v>1193</v>
      </c>
      <c r="AG74" s="146" t="n">
        <f aca="false">'P&amp;LPLN'!AG73/Factors!AG11</f>
        <v>607.745307637717</v>
      </c>
      <c r="AH74" s="146" t="n">
        <f aca="false">'P&amp;LPLN'!AH73/Factors!AH11</f>
        <v>605.23396339128</v>
      </c>
      <c r="AI74" s="146" t="n">
        <f aca="false">'P&amp;LPLN'!AI73/Factors!AI11</f>
        <v>602.743288644814</v>
      </c>
      <c r="AJ74" s="146" t="n">
        <f aca="false">'P&amp;LPLN'!AJ73/Factors!AJ11</f>
        <v>600.273029265122</v>
      </c>
      <c r="AK74" s="146" t="n">
        <f aca="false">'P&amp;LPLN'!AK73/Factors!AK11</f>
        <v>597.822935268122</v>
      </c>
      <c r="AL74" s="146" t="n">
        <f aca="false">'P&amp;LPLN'!AL73/Factors!AL11</f>
        <v>595.392760734511</v>
      </c>
      <c r="AM74" s="146" t="n">
        <f aca="false">'P&amp;LPLN'!AM73/Factors!AM11</f>
        <v>592.982263727489</v>
      </c>
      <c r="AN74" s="146" t="n">
        <f aca="false">'P&amp;LPLN'!AN73/Factors!AN11</f>
        <v>590.591206212459</v>
      </c>
      <c r="AO74" s="146" t="n">
        <f aca="false">'P&amp;LPLN'!AO73/Factors!AO11</f>
        <v>588.219353978674</v>
      </c>
      <c r="AP74" s="146" t="n">
        <f aca="false">'P&amp;LPLN'!AP73/Factors!AP11</f>
        <v>585.866476562759</v>
      </c>
      <c r="AQ74" s="146" t="n">
        <f aca="false">'P&amp;LPLN'!AQ73/Factors!AQ11</f>
        <v>583.532347174063</v>
      </c>
      <c r="AR74" s="146" t="n">
        <f aca="false">'P&amp;LPLN'!AR73/Factors!AR11</f>
        <v>581.216742621785</v>
      </c>
      <c r="AS74" s="146" t="n">
        <f aca="false">SUM(AG74:AR74)</f>
        <v>7131.6196752188</v>
      </c>
    </row>
    <row r="75" customFormat="false" ht="13.8" hidden="false" customHeight="false" outlineLevel="0" collapsed="false">
      <c r="A75" s="207"/>
      <c r="B75" s="285" t="s">
        <v>66</v>
      </c>
      <c r="C75" s="353" t="n">
        <f aca="false">SUM(C67:C74)</f>
        <v>26312.9103780235</v>
      </c>
      <c r="D75" s="353" t="n">
        <f aca="false">SUM(D67:D74)</f>
        <v>26311.0774357327</v>
      </c>
      <c r="E75" s="353" t="n">
        <f aca="false">SUM(E67:E74)</f>
        <v>26309.249604215</v>
      </c>
      <c r="F75" s="353" t="n">
        <f aca="false">SUM(F67:F74)</f>
        <v>26307.4268621248</v>
      </c>
      <c r="G75" s="353" t="n">
        <f aca="false">SUM(G67:G74)</f>
        <v>26305.6091882351</v>
      </c>
      <c r="H75" s="353" t="n">
        <f aca="false">SUM(H67:H74)</f>
        <v>26303.7965614366</v>
      </c>
      <c r="I75" s="353" t="n">
        <f aca="false">SUM(I67:I74)</f>
        <v>26301.9889607375</v>
      </c>
      <c r="J75" s="353" t="n">
        <f aca="false">SUM(J67:J74)</f>
        <v>26300.1863652618</v>
      </c>
      <c r="K75" s="353" t="n">
        <f aca="false">SUM(K67:K74)</f>
        <v>26298.3887542492</v>
      </c>
      <c r="L75" s="353" t="n">
        <f aca="false">SUM(L67:L74)</f>
        <v>26296.596107054</v>
      </c>
      <c r="M75" s="353" t="n">
        <f aca="false">SUM(M67:M74)</f>
        <v>26294.8084031443</v>
      </c>
      <c r="N75" s="353" t="n">
        <f aca="false">SUM(N67:N74)</f>
        <v>26293.0256221014</v>
      </c>
      <c r="O75" s="353" t="n">
        <f aca="false">SUM(O67:O74)</f>
        <v>315635.064242316</v>
      </c>
      <c r="Q75" s="170"/>
      <c r="R75" s="353" t="n">
        <f aca="false">SUM(R68:R74)</f>
        <v>6787.66037055741</v>
      </c>
      <c r="S75" s="364" t="n">
        <f aca="false">SUM(S67:S74)</f>
        <v>7782.33945993528</v>
      </c>
      <c r="T75" s="364" t="n">
        <f aca="false">SUM(T67:T74)</f>
        <v>7777.0623428162</v>
      </c>
      <c r="U75" s="364" t="n">
        <f aca="false">SUM(U67:U74)</f>
        <v>7771.82848075548</v>
      </c>
      <c r="V75" s="364" t="n">
        <f aca="false">SUM(V67:V74)</f>
        <v>7766.63734409933</v>
      </c>
      <c r="W75" s="364" t="n">
        <f aca="false">SUM(W67:W74)</f>
        <v>7761.48841180625</v>
      </c>
      <c r="X75" s="364" t="n">
        <f aca="false">SUM(X67:X74)</f>
        <v>7756.38117127262</v>
      </c>
      <c r="Y75" s="364" t="n">
        <f aca="false">SUM(Y67:Y74)</f>
        <v>7751.31511816265</v>
      </c>
      <c r="Z75" s="364" t="n">
        <f aca="false">SUM(Z67:Z74)</f>
        <v>7746.28975624232</v>
      </c>
      <c r="AA75" s="364" t="n">
        <f aca="false">SUM(AA67:AA74)</f>
        <v>7741.30459721735</v>
      </c>
      <c r="AB75" s="364" t="n">
        <f aca="false">SUM(AB67:AB74)</f>
        <v>7736.35916057505</v>
      </c>
      <c r="AC75" s="364" t="n">
        <f aca="false">SUM(AC67:AC74)</f>
        <v>7731.45297342991</v>
      </c>
      <c r="AD75" s="364" t="n">
        <f aca="false">SUM(AD67:AD74)</f>
        <v>93110.1191868698</v>
      </c>
      <c r="AF75" s="170"/>
      <c r="AG75" s="353" t="n">
        <f aca="false">SUM(AG68:AG74)</f>
        <v>6726.34321005468</v>
      </c>
      <c r="AH75" s="364" t="n">
        <f aca="false">SUM(AH67:AH74)</f>
        <v>7721.27567612883</v>
      </c>
      <c r="AI75" s="364" t="n">
        <f aca="false">SUM(AI67:AI74)</f>
        <v>7716.24985030114</v>
      </c>
      <c r="AJ75" s="364" t="n">
        <f aca="false">SUM(AJ67:AJ74)</f>
        <v>7711.26521976712</v>
      </c>
      <c r="AK75" s="364" t="n">
        <f aca="false">SUM(AK67:AK74)</f>
        <v>7706.3212800946</v>
      </c>
      <c r="AL75" s="364" t="n">
        <f aca="false">SUM(AL67:AL74)</f>
        <v>7701.41753505357</v>
      </c>
      <c r="AM75" s="364" t="n">
        <f aca="false">SUM(AM67:AM74)</f>
        <v>7696.55349645011</v>
      </c>
      <c r="AN75" s="364" t="n">
        <f aca="false">SUM(AN67:AN74)</f>
        <v>7691.72868396443</v>
      </c>
      <c r="AO75" s="364" t="n">
        <f aca="false">SUM(AO67:AO74)</f>
        <v>7686.94262499268</v>
      </c>
      <c r="AP75" s="364" t="n">
        <f aca="false">SUM(AP67:AP74)</f>
        <v>7682.19485449271</v>
      </c>
      <c r="AQ75" s="364" t="n">
        <f aca="false">SUM(AQ67:AQ74)</f>
        <v>7677.48491483338</v>
      </c>
      <c r="AR75" s="364" t="n">
        <f aca="false">SUM(AR67:AR74)</f>
        <v>7672.81235564753</v>
      </c>
      <c r="AS75" s="364" t="n">
        <f aca="false">SUM(AS67:AS74)</f>
        <v>92390.5897017808</v>
      </c>
    </row>
    <row r="76" customFormat="false" ht="13.8" hidden="false" customHeight="false" outlineLevel="0" collapsed="false">
      <c r="A76" s="137"/>
      <c r="B76" s="205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5"/>
      <c r="Q76" s="170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5"/>
      <c r="AF76" s="170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5"/>
    </row>
    <row r="77" customFormat="false" ht="13.2" hidden="false" customHeight="false" outlineLevel="0" collapsed="false">
      <c r="A77" s="392" t="s">
        <v>1037</v>
      </c>
      <c r="B77" s="205" t="s">
        <v>1194</v>
      </c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Q77" s="205" t="s">
        <v>1195</v>
      </c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F77" s="205" t="s">
        <v>1195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</row>
    <row r="78" customFormat="false" ht="13.2" hidden="false" customHeight="false" outlineLevel="0" collapsed="false">
      <c r="A78" s="207" t="s">
        <v>868</v>
      </c>
      <c r="B78" s="170" t="s">
        <v>1196</v>
      </c>
      <c r="C78" s="146" t="n">
        <f aca="false">'P&amp;LPLN'!C77/Factors!C$11</f>
        <v>640.421416253574</v>
      </c>
      <c r="D78" s="146" t="n">
        <f aca="false">'P&amp;LPLN'!D77/Factors!D$11</f>
        <v>639.527329713132</v>
      </c>
      <c r="E78" s="146" t="n">
        <f aca="false">'P&amp;LPLN'!E77/Factors!E$11</f>
        <v>638.635736144522</v>
      </c>
      <c r="F78" s="146" t="n">
        <f aca="false">'P&amp;LPLN'!F77/Factors!F$11</f>
        <v>637.74662513557</v>
      </c>
      <c r="G78" s="146" t="n">
        <f aca="false">'P&amp;LPLN'!G77/Factors!G$11</f>
        <v>636.859986332005</v>
      </c>
      <c r="H78" s="146" t="n">
        <f aca="false">'P&amp;LPLN'!H77/Factors!H$11</f>
        <v>635.975809437058</v>
      </c>
      <c r="I78" s="146" t="n">
        <f aca="false">'P&amp;LPLN'!I77/Factors!I$11</f>
        <v>635.09408421106</v>
      </c>
      <c r="J78" s="146" t="n">
        <f aca="false">'P&amp;LPLN'!J77/Factors!J$11</f>
        <v>634.214800471053</v>
      </c>
      <c r="K78" s="146" t="n">
        <f aca="false">'P&amp;LPLN'!K77/Factors!K$11</f>
        <v>633.33794809039</v>
      </c>
      <c r="L78" s="146" t="n">
        <f aca="false">'P&amp;LPLN'!L77/Factors!L$11</f>
        <v>632.463516998352</v>
      </c>
      <c r="M78" s="146" t="n">
        <f aca="false">'P&amp;LPLN'!M77/Factors!M$11</f>
        <v>631.59149717976</v>
      </c>
      <c r="N78" s="146" t="n">
        <f aca="false">'P&amp;LPLN'!N77/Factors!N$11</f>
        <v>630.721878674595</v>
      </c>
      <c r="O78" s="139" t="n">
        <f aca="false">SUM(C78:N78)</f>
        <v>7626.59062864107</v>
      </c>
      <c r="Q78" s="170" t="s">
        <v>1196</v>
      </c>
      <c r="R78" s="146" t="n">
        <f aca="false">'P&amp;LPLN'!R77/Factors!R$11</f>
        <v>653.228966461324</v>
      </c>
      <c r="S78" s="146" t="n">
        <f aca="false">'P&amp;LPLN'!S77/Factors!S$11</f>
        <v>650.529673211484</v>
      </c>
      <c r="T78" s="146" t="n">
        <f aca="false">'P&amp;LPLN'!T77/Factors!T$11</f>
        <v>647.852596366992</v>
      </c>
      <c r="U78" s="146" t="n">
        <f aca="false">'P&amp;LPLN'!U77/Factors!U$11</f>
        <v>645.197462775324</v>
      </c>
      <c r="V78" s="146" t="n">
        <f aca="false">'P&amp;LPLN'!V77/Factors!V$11</f>
        <v>642.564003743588</v>
      </c>
      <c r="W78" s="146" t="n">
        <f aca="false">'P&amp;LPLN'!W77/Factors!W$11</f>
        <v>639.951954947882</v>
      </c>
      <c r="X78" s="146" t="n">
        <f aca="false">'P&amp;LPLN'!X77/Factors!X$11</f>
        <v>637.361056344854</v>
      </c>
      <c r="Y78" s="146" t="n">
        <f aca="false">'P&amp;LPLN'!Y77/Factors!Y$11</f>
        <v>634.791052085399</v>
      </c>
      <c r="Z78" s="146" t="n">
        <f aca="false">'P&amp;LPLN'!Z77/Factors!Z$11</f>
        <v>632.241690430438</v>
      </c>
      <c r="AA78" s="146" t="n">
        <f aca="false">'P&amp;LPLN'!AA77/Factors!AA$11</f>
        <v>629.712723668716</v>
      </c>
      <c r="AB78" s="146" t="n">
        <f aca="false">'P&amp;LPLN'!AB77/Factors!AB$11</f>
        <v>627.20390803657</v>
      </c>
      <c r="AC78" s="146" t="n">
        <f aca="false">'P&amp;LPLN'!AC77/Factors!AC$11</f>
        <v>624.715003639599</v>
      </c>
      <c r="AD78" s="146" t="n">
        <f aca="false">SUM(R78:AC78)</f>
        <v>7665.35009171217</v>
      </c>
      <c r="AF78" s="170" t="s">
        <v>1196</v>
      </c>
      <c r="AG78" s="146" t="n">
        <f aca="false">'P&amp;LPLN'!AG77/Factors!AG$11</f>
        <v>659.450194713337</v>
      </c>
      <c r="AH78" s="146" t="n">
        <f aca="false">'P&amp;LPLN'!AH77/Factors!AH$11</f>
        <v>656.725193908736</v>
      </c>
      <c r="AI78" s="146" t="n">
        <f aca="false">'P&amp;LPLN'!AI77/Factors!AI$11</f>
        <v>654.022621094297</v>
      </c>
      <c r="AJ78" s="146" t="n">
        <f aca="false">'P&amp;LPLN'!AJ77/Factors!AJ$11</f>
        <v>651.342200516041</v>
      </c>
      <c r="AK78" s="146" t="n">
        <f aca="false">'P&amp;LPLN'!AK77/Factors!AK$11</f>
        <v>648.683660922098</v>
      </c>
      <c r="AL78" s="146" t="n">
        <f aca="false">'P&amp;LPLN'!AL77/Factors!AL$11</f>
        <v>646.046735471196</v>
      </c>
      <c r="AM78" s="146" t="n">
        <f aca="false">'P&amp;LPLN'!AM77/Factors!AM$11</f>
        <v>643.431161643377</v>
      </c>
      <c r="AN78" s="146" t="n">
        <f aca="false">'P&amp;LPLN'!AN77/Factors!AN$11</f>
        <v>640.836681152879</v>
      </c>
      <c r="AO78" s="146" t="n">
        <f aca="false">'P&amp;LPLN'!AO77/Factors!AO$11</f>
        <v>638.263039863109</v>
      </c>
      <c r="AP78" s="146" t="n">
        <f aca="false">'P&amp;LPLN'!AP77/Factors!AP$11</f>
        <v>635.709987703656</v>
      </c>
      <c r="AQ78" s="146" t="n">
        <f aca="false">'P&amp;LPLN'!AQ77/Factors!AQ$11</f>
        <v>633.177278589299</v>
      </c>
      <c r="AR78" s="146" t="n">
        <f aca="false">'P&amp;LPLN'!AR77/Factors!AR$11</f>
        <v>630.664670340929</v>
      </c>
      <c r="AS78" s="146" t="n">
        <f aca="false">SUM(AG78:AR78)</f>
        <v>7738.35342591895</v>
      </c>
    </row>
    <row r="79" customFormat="false" ht="13.2" hidden="false" customHeight="false" outlineLevel="0" collapsed="false">
      <c r="A79" s="207" t="s">
        <v>870</v>
      </c>
      <c r="B79" s="170" t="s">
        <v>1197</v>
      </c>
      <c r="C79" s="146" t="n">
        <f aca="false">'P&amp;LPLN'!C78/Factors!C$11</f>
        <v>374.400212579013</v>
      </c>
      <c r="D79" s="146" t="n">
        <f aca="false">'P&amp;LPLN'!D78/Factors!D$11</f>
        <v>373.877515832293</v>
      </c>
      <c r="E79" s="146" t="n">
        <f aca="false">'P&amp;LPLN'!E78/Factors!E$11</f>
        <v>373.356276515259</v>
      </c>
      <c r="F79" s="146" t="n">
        <f aca="false">'P&amp;LPLN'!F78/Factors!F$11</f>
        <v>372.836488540795</v>
      </c>
      <c r="G79" s="146" t="n">
        <f aca="false">'P&amp;LPLN'!G78/Factors!G$11</f>
        <v>372.318145855634</v>
      </c>
      <c r="H79" s="146" t="n">
        <f aca="false">'P&amp;LPLN'!H78/Factors!H$11</f>
        <v>371.801242440126</v>
      </c>
      <c r="I79" s="146" t="n">
        <f aca="false">'P&amp;LPLN'!I78/Factors!I$11</f>
        <v>371.285772308005</v>
      </c>
      <c r="J79" s="146" t="n">
        <f aca="false">'P&amp;LPLN'!J78/Factors!J$11</f>
        <v>370.771729506154</v>
      </c>
      <c r="K79" s="146" t="n">
        <f aca="false">'P&amp;LPLN'!K78/Factors!K$11</f>
        <v>370.259108114382</v>
      </c>
      <c r="L79" s="146" t="n">
        <f aca="false">'P&amp;LPLN'!L78/Factors!L$11</f>
        <v>369.74790224519</v>
      </c>
      <c r="M79" s="146" t="n">
        <f aca="false">'P&amp;LPLN'!M78/Factors!M$11</f>
        <v>369.238106043552</v>
      </c>
      <c r="N79" s="146" t="n">
        <f aca="false">'P&amp;LPLN'!N78/Factors!N$11</f>
        <v>368.729713686687</v>
      </c>
      <c r="O79" s="139" t="n">
        <f aca="false">SUM(C79:N79)</f>
        <v>4458.62221366709</v>
      </c>
      <c r="Q79" s="170" t="s">
        <v>1197</v>
      </c>
      <c r="R79" s="146" t="n">
        <f aca="false">'P&amp;LPLN'!R78/Factors!R$11</f>
        <v>381.887703469697</v>
      </c>
      <c r="S79" s="146" t="n">
        <f aca="false">'P&amp;LPLN'!S78/Factors!S$11</f>
        <v>380.309655108252</v>
      </c>
      <c r="T79" s="146" t="n">
        <f aca="false">'P&amp;LPLN'!T78/Factors!T$11</f>
        <v>378.744594799165</v>
      </c>
      <c r="U79" s="146" t="n">
        <f aca="false">'P&amp;LPLN'!U78/Factors!U$11</f>
        <v>377.192362853266</v>
      </c>
      <c r="V79" s="146" t="n">
        <f aca="false">'P&amp;LPLN'!V78/Factors!V$11</f>
        <v>375.652802188559</v>
      </c>
      <c r="W79" s="146" t="n">
        <f aca="false">'P&amp;LPLN'!W78/Factors!W$11</f>
        <v>374.125758277223</v>
      </c>
      <c r="X79" s="146" t="n">
        <f aca="false">'P&amp;LPLN'!X78/Factors!X$11</f>
        <v>372.611079093915</v>
      </c>
      <c r="Y79" s="146" t="n">
        <f aca="false">'P&amp;LPLN'!Y78/Factors!Y$11</f>
        <v>371.10861506531</v>
      </c>
      <c r="Z79" s="146" t="n">
        <f aca="false">'P&amp;LPLN'!Z78/Factors!Z$11</f>
        <v>369.618219020871</v>
      </c>
      <c r="AA79" s="146" t="n">
        <f aca="false">'P&amp;LPLN'!AA78/Factors!AA$11</f>
        <v>368.139746144788</v>
      </c>
      <c r="AB79" s="146" t="n">
        <f aca="false">'P&amp;LPLN'!AB78/Factors!AB$11</f>
        <v>366.673053929072</v>
      </c>
      <c r="AC79" s="146" t="n">
        <f aca="false">'P&amp;LPLN'!AC78/Factors!AC$11</f>
        <v>365.218002127766</v>
      </c>
      <c r="AD79" s="146" t="n">
        <f aca="false">SUM(R79:AC79)</f>
        <v>4481.28159207788</v>
      </c>
      <c r="AF79" s="170" t="s">
        <v>1197</v>
      </c>
      <c r="AG79" s="146" t="n">
        <f aca="false">'P&amp;LPLN'!AG78/Factors!AG$11</f>
        <v>385.524729217027</v>
      </c>
      <c r="AH79" s="146" t="n">
        <f aca="false">'P&amp;LPLN'!AH78/Factors!AH$11</f>
        <v>383.931651823569</v>
      </c>
      <c r="AI79" s="146" t="n">
        <f aca="false">'P&amp;LPLN'!AI78/Factors!AI$11</f>
        <v>382.351686178204</v>
      </c>
      <c r="AJ79" s="146" t="n">
        <f aca="false">'P&amp;LPLN'!AJ78/Factors!AJ$11</f>
        <v>380.784671070917</v>
      </c>
      <c r="AK79" s="146" t="n">
        <f aca="false">'P&amp;LPLN'!AK78/Factors!AK$11</f>
        <v>379.230447923688</v>
      </c>
      <c r="AL79" s="146" t="n">
        <f aca="false">'P&amp;LPLN'!AL78/Factors!AL$11</f>
        <v>377.688860737007</v>
      </c>
      <c r="AM79" s="146" t="n">
        <f aca="false">'P&amp;LPLN'!AM78/Factors!AM$11</f>
        <v>376.159756037666</v>
      </c>
      <c r="AN79" s="146" t="n">
        <f aca="false">'P&amp;LPLN'!AN78/Factors!AN$11</f>
        <v>374.642982827837</v>
      </c>
      <c r="AO79" s="146" t="n">
        <f aca="false">'P&amp;LPLN'!AO78/Factors!AO$11</f>
        <v>373.138392535356</v>
      </c>
      <c r="AP79" s="146" t="n">
        <f aca="false">'P&amp;LPLN'!AP78/Factors!AP$11</f>
        <v>371.645838965214</v>
      </c>
      <c r="AQ79" s="146" t="n">
        <f aca="false">'P&amp;LPLN'!AQ78/Factors!AQ$11</f>
        <v>370.165178252206</v>
      </c>
      <c r="AR79" s="146" t="n">
        <f aca="false">'P&amp;LPLN'!AR78/Factors!AR$11</f>
        <v>368.696268814697</v>
      </c>
      <c r="AS79" s="146" t="n">
        <f aca="false">SUM(AG79:AR79)</f>
        <v>4523.96046438339</v>
      </c>
    </row>
    <row r="80" customFormat="false" ht="13.2" hidden="false" customHeight="false" outlineLevel="0" collapsed="false">
      <c r="A80" s="207" t="s">
        <v>872</v>
      </c>
      <c r="B80" s="170" t="s">
        <v>1198</v>
      </c>
      <c r="C80" s="146" t="n">
        <f aca="false">'P&amp;LPLN'!C79/Factors!C$11</f>
        <v>763.579380917723</v>
      </c>
      <c r="D80" s="146" t="n">
        <f aca="false">'P&amp;LPLN'!D79/Factors!D$11</f>
        <v>762.513354657965</v>
      </c>
      <c r="E80" s="146" t="n">
        <f aca="false">'P&amp;LPLN'!E79/Factors!E$11</f>
        <v>761.450300787699</v>
      </c>
      <c r="F80" s="146" t="n">
        <f aca="false">'P&amp;LPLN'!F79/Factors!F$11</f>
        <v>760.39020689241</v>
      </c>
      <c r="G80" s="146" t="n">
        <f aca="false">'P&amp;LPLN'!G79/Factors!G$11</f>
        <v>759.333060626621</v>
      </c>
      <c r="H80" s="146" t="n">
        <f aca="false">'P&amp;LPLN'!H79/Factors!H$11</f>
        <v>758.278849713415</v>
      </c>
      <c r="I80" s="146" t="n">
        <f aca="false">'P&amp;LPLN'!I79/Factors!I$11</f>
        <v>757.227561943957</v>
      </c>
      <c r="J80" s="146" t="n">
        <f aca="false">'P&amp;LPLN'!J79/Factors!J$11</f>
        <v>756.179185177025</v>
      </c>
      <c r="K80" s="146" t="n">
        <f aca="false">'P&amp;LPLN'!K79/Factors!K$11</f>
        <v>755.133707338542</v>
      </c>
      <c r="L80" s="146" t="n">
        <f aca="false">'P&amp;LPLN'!L79/Factors!L$11</f>
        <v>754.091116421112</v>
      </c>
      <c r="M80" s="146" t="n">
        <f aca="false">'P&amp;LPLN'!M79/Factors!M$11</f>
        <v>753.05140048356</v>
      </c>
      <c r="N80" s="146" t="n">
        <f aca="false">'P&amp;LPLN'!N79/Factors!N$11</f>
        <v>752.014547650479</v>
      </c>
      <c r="O80" s="139" t="n">
        <f aca="false">SUM(C80:N80)</f>
        <v>9093.24267261051</v>
      </c>
      <c r="Q80" s="170" t="s">
        <v>1198</v>
      </c>
      <c r="R80" s="146" t="n">
        <f aca="false">'P&amp;LPLN'!R79/Factors!R$11</f>
        <v>778.84992155004</v>
      </c>
      <c r="S80" s="146" t="n">
        <f aca="false">'P&amp;LPLN'!S79/Factors!S$11</f>
        <v>775.631533444461</v>
      </c>
      <c r="T80" s="146" t="n">
        <f aca="false">'P&amp;LPLN'!T79/Factors!T$11</f>
        <v>772.439634129875</v>
      </c>
      <c r="U80" s="146" t="n">
        <f aca="false">'P&amp;LPLN'!U79/Factors!U$11</f>
        <v>769.273897924425</v>
      </c>
      <c r="V80" s="146" t="n">
        <f aca="false">'P&amp;LPLN'!V79/Factors!V$11</f>
        <v>766.134004463509</v>
      </c>
      <c r="W80" s="146" t="n">
        <f aca="false">'P&amp;LPLN'!W79/Factors!W$11</f>
        <v>763.019638591706</v>
      </c>
      <c r="X80" s="146" t="n">
        <f aca="false">'P&amp;LPLN'!X79/Factors!X$11</f>
        <v>759.930490257326</v>
      </c>
      <c r="Y80" s="146" t="n">
        <f aca="false">'P&amp;LPLN'!Y79/Factors!Y$11</f>
        <v>756.866254409515</v>
      </c>
      <c r="Z80" s="146" t="n">
        <f aca="false">'P&amp;LPLN'!Z79/Factors!Z$11</f>
        <v>753.82663089783</v>
      </c>
      <c r="AA80" s="146" t="n">
        <f aca="false">'P&amp;LPLN'!AA79/Factors!AA$11</f>
        <v>750.811324374238</v>
      </c>
      <c r="AB80" s="146" t="n">
        <f aca="false">'P&amp;LPLN'!AB79/Factors!AB$11</f>
        <v>747.820044197449</v>
      </c>
      <c r="AC80" s="146" t="n">
        <f aca="false">'P&amp;LPLN'!AC79/Factors!AC$11</f>
        <v>744.852504339522</v>
      </c>
      <c r="AD80" s="146" t="n">
        <f aca="false">SUM(R80:AC80)</f>
        <v>9139.45587857989</v>
      </c>
      <c r="AF80" s="170" t="s">
        <v>1198</v>
      </c>
      <c r="AG80" s="146" t="n">
        <f aca="false">'P&amp;LPLN'!AG79/Factors!AG$11</f>
        <v>786.267539850517</v>
      </c>
      <c r="AH80" s="146" t="n">
        <f aca="false">'P&amp;LPLN'!AH79/Factors!AH$11</f>
        <v>783.018500429647</v>
      </c>
      <c r="AI80" s="146" t="n">
        <f aca="false">'P&amp;LPLN'!AI79/Factors!AI$11</f>
        <v>779.796202073969</v>
      </c>
      <c r="AJ80" s="146" t="n">
        <f aca="false">'P&amp;LPLN'!AJ79/Factors!AJ$11</f>
        <v>776.600315999895</v>
      </c>
      <c r="AK80" s="146" t="n">
        <f aca="false">'P&amp;LPLN'!AK79/Factors!AK$11</f>
        <v>773.430518791733</v>
      </c>
      <c r="AL80" s="146" t="n">
        <f aca="false">'P&amp;LPLN'!AL79/Factors!AL$11</f>
        <v>770.286492292579</v>
      </c>
      <c r="AM80" s="146" t="n">
        <f aca="false">'P&amp;LPLN'!AM79/Factors!AM$11</f>
        <v>767.167923497872</v>
      </c>
      <c r="AN80" s="146" t="n">
        <f aca="false">'P&amp;LPLN'!AN79/Factors!AN$11</f>
        <v>764.07450445151</v>
      </c>
      <c r="AO80" s="146" t="n">
        <f aca="false">'P&amp;LPLN'!AO79/Factors!AO$11</f>
        <v>761.005932144476</v>
      </c>
      <c r="AP80" s="146" t="n">
        <f aca="false">'P&amp;LPLN'!AP79/Factors!AP$11</f>
        <v>757.961908415898</v>
      </c>
      <c r="AQ80" s="146" t="n">
        <f aca="false">'P&amp;LPLN'!AQ79/Factors!AQ$11</f>
        <v>754.942139856472</v>
      </c>
      <c r="AR80" s="146" t="n">
        <f aca="false">'P&amp;LPLN'!AR79/Factors!AR$11</f>
        <v>751.946337714184</v>
      </c>
      <c r="AS80" s="146" t="n">
        <f aca="false">SUM(AG80:AR80)</f>
        <v>9226.49831551875</v>
      </c>
    </row>
    <row r="81" customFormat="false" ht="13.2" hidden="false" customHeight="false" outlineLevel="0" collapsed="false">
      <c r="A81" s="207" t="s">
        <v>874</v>
      </c>
      <c r="B81" s="170" t="s">
        <v>1199</v>
      </c>
      <c r="C81" s="146" t="n">
        <f aca="false">'P&amp;LPLN'!C80/Factors!C$11</f>
        <v>232.373518234243</v>
      </c>
      <c r="D81" s="146" t="n">
        <f aca="false">'P&amp;LPLN'!D80/Factors!D$11</f>
        <v>232.049103669496</v>
      </c>
      <c r="E81" s="146" t="n">
        <f aca="false">'P&amp;LPLN'!E80/Factors!E$11</f>
        <v>231.725593666372</v>
      </c>
      <c r="F81" s="146" t="n">
        <f aca="false">'P&amp;LPLN'!F80/Factors!F$11</f>
        <v>231.402984446869</v>
      </c>
      <c r="G81" s="146" t="n">
        <f aca="false">'P&amp;LPLN'!G80/Factors!G$11</f>
        <v>231.081272253993</v>
      </c>
      <c r="H81" s="146" t="n">
        <f aca="false">'P&amp;LPLN'!H80/Factors!H$11</f>
        <v>230.760453351617</v>
      </c>
      <c r="I81" s="146" t="n">
        <f aca="false">'P&amp;LPLN'!I80/Factors!I$11</f>
        <v>230.440524024333</v>
      </c>
      <c r="J81" s="146" t="n">
        <f aca="false">'P&amp;LPLN'!J80/Factors!J$11</f>
        <v>230.121480577305</v>
      </c>
      <c r="K81" s="146" t="n">
        <f aca="false">'P&amp;LPLN'!K80/Factors!K$11</f>
        <v>229.803319336136</v>
      </c>
      <c r="L81" s="146" t="n">
        <f aca="false">'P&amp;LPLN'!L80/Factors!L$11</f>
        <v>229.486036646717</v>
      </c>
      <c r="M81" s="146" t="n">
        <f aca="false">'P&amp;LPLN'!M80/Factors!M$11</f>
        <v>229.169628875094</v>
      </c>
      <c r="N81" s="146" t="n">
        <f aca="false">'P&amp;LPLN'!N80/Factors!N$11</f>
        <v>228.854092407328</v>
      </c>
      <c r="O81" s="139" t="n">
        <f aca="false">SUM(C81:N81)</f>
        <v>2767.2680074895</v>
      </c>
      <c r="Q81" s="170" t="s">
        <v>1199</v>
      </c>
      <c r="R81" s="146" t="n">
        <f aca="false">'P&amp;LPLN'!R80/Factors!R$11</f>
        <v>237.02066997871</v>
      </c>
      <c r="S81" s="146" t="n">
        <f aca="false">'P&amp;LPLN'!S80/Factors!S$11</f>
        <v>236.041245722599</v>
      </c>
      <c r="T81" s="146" t="n">
        <f aca="false">'P&amp;LPLN'!T80/Factors!T$11</f>
        <v>235.069882571477</v>
      </c>
      <c r="U81" s="146" t="n">
        <f aca="false">'P&amp;LPLN'!U80/Factors!U$11</f>
        <v>234.106481413398</v>
      </c>
      <c r="V81" s="146" t="n">
        <f aca="false">'P&amp;LPLN'!V80/Factors!V$11</f>
        <v>233.150944754567</v>
      </c>
      <c r="W81" s="146" t="n">
        <f aca="false">'P&amp;LPLN'!W80/Factors!W$11</f>
        <v>232.203176686459</v>
      </c>
      <c r="X81" s="146" t="n">
        <f aca="false">'P&amp;LPLN'!X80/Factors!X$11</f>
        <v>231.263082853721</v>
      </c>
      <c r="Y81" s="146" t="n">
        <f aca="false">'P&amp;LPLN'!Y80/Factors!Y$11</f>
        <v>230.330570422859</v>
      </c>
      <c r="Z81" s="146" t="n">
        <f aca="false">'P&amp;LPLN'!Z80/Factors!Z$11</f>
        <v>229.405548051683</v>
      </c>
      <c r="AA81" s="146" t="n">
        <f aca="false">'P&amp;LPLN'!AA80/Factors!AA$11</f>
        <v>228.487925859476</v>
      </c>
      <c r="AB81" s="146" t="n">
        <f aca="false">'P&amp;LPLN'!AB80/Factors!AB$11</f>
        <v>227.577615397885</v>
      </c>
      <c r="AC81" s="146" t="n">
        <f aca="false">'P&amp;LPLN'!AC80/Factors!AC$11</f>
        <v>226.674529622496</v>
      </c>
      <c r="AD81" s="146" t="n">
        <f aca="false">SUM(R81:AC81)</f>
        <v>2781.33167333533</v>
      </c>
      <c r="AF81" s="170" t="s">
        <v>1199</v>
      </c>
      <c r="AG81" s="146" t="n">
        <f aca="false">'P&amp;LPLN'!AG80/Factors!AG$11</f>
        <v>239.278009692793</v>
      </c>
      <c r="AH81" s="146" t="n">
        <f aca="false">'P&amp;LPLN'!AH80/Factors!AH$11</f>
        <v>238.289257586624</v>
      </c>
      <c r="AI81" s="146" t="n">
        <f aca="false">'P&amp;LPLN'!AI80/Factors!AI$11</f>
        <v>237.308643357873</v>
      </c>
      <c r="AJ81" s="146" t="n">
        <f aca="false">'P&amp;LPLN'!AJ80/Factors!AJ$11</f>
        <v>236.336066950668</v>
      </c>
      <c r="AK81" s="146" t="n">
        <f aca="false">'P&amp;LPLN'!AK80/Factors!AK$11</f>
        <v>235.371429942706</v>
      </c>
      <c r="AL81" s="146" t="n">
        <f aca="false">'P&amp;LPLN'!AL80/Factors!AL$11</f>
        <v>234.414635512045</v>
      </c>
      <c r="AM81" s="146" t="n">
        <f aca="false">'P&amp;LPLN'!AM80/Factors!AM$11</f>
        <v>233.465588404709</v>
      </c>
      <c r="AN81" s="146" t="n">
        <f aca="false">'P&amp;LPLN'!AN80/Factors!AN$11</f>
        <v>232.524194903077</v>
      </c>
      <c r="AO81" s="146" t="n">
        <f aca="false">'P&amp;LPLN'!AO80/Factors!AO$11</f>
        <v>231.590362795032</v>
      </c>
      <c r="AP81" s="146" t="n">
        <f aca="false">'P&amp;LPLN'!AP80/Factors!AP$11</f>
        <v>230.664001343852</v>
      </c>
      <c r="AQ81" s="146" t="n">
        <f aca="false">'P&amp;LPLN'!AQ80/Factors!AQ$11</f>
        <v>229.745021258817</v>
      </c>
      <c r="AR81" s="146" t="n">
        <f aca="false">'P&amp;LPLN'!AR80/Factors!AR$11</f>
        <v>228.83333466652</v>
      </c>
      <c r="AS81" s="146" t="n">
        <f aca="false">SUM(AG81:AR81)</f>
        <v>2807.82054641471</v>
      </c>
    </row>
    <row r="82" customFormat="false" ht="13.2" hidden="false" customHeight="false" outlineLevel="0" collapsed="false">
      <c r="A82" s="207" t="s">
        <v>876</v>
      </c>
      <c r="B82" s="170" t="s">
        <v>1200</v>
      </c>
      <c r="C82" s="146" t="n">
        <f aca="false">'P&amp;LPLN'!C81/Factors!C$11</f>
        <v>4248.94978091313</v>
      </c>
      <c r="D82" s="146" t="n">
        <f aca="false">'P&amp;LPLN'!D81/Factors!D$11</f>
        <v>4243.01786059674</v>
      </c>
      <c r="E82" s="146" t="n">
        <f aca="false">'P&amp;LPLN'!E81/Factors!E$11</f>
        <v>4237.10248018962</v>
      </c>
      <c r="F82" s="146" t="n">
        <f aca="false">'P&amp;LPLN'!F81/Factors!F$11</f>
        <v>4231.20357061099</v>
      </c>
      <c r="G82" s="146" t="n">
        <f aca="false">'P&amp;LPLN'!G81/Factors!G$11</f>
        <v>4225.32106316426</v>
      </c>
      <c r="H82" s="146" t="n">
        <f aca="false">'P&amp;LPLN'!H81/Factors!H$11</f>
        <v>4219.45488953432</v>
      </c>
      <c r="I82" s="146" t="n">
        <f aca="false">'P&amp;LPLN'!I81/Factors!I$11</f>
        <v>4213.60498178492</v>
      </c>
      <c r="J82" s="146" t="n">
        <f aca="false">'P&amp;LPLN'!J81/Factors!J$11</f>
        <v>4207.77127235602</v>
      </c>
      <c r="K82" s="146" t="n">
        <f aca="false">'P&amp;LPLN'!K81/Factors!K$11</f>
        <v>4201.95369406124</v>
      </c>
      <c r="L82" s="146" t="n">
        <f aca="false">'P&amp;LPLN'!L81/Factors!L$11</f>
        <v>4196.15218008522</v>
      </c>
      <c r="M82" s="146" t="n">
        <f aca="false">'P&amp;LPLN'!M81/Factors!M$11</f>
        <v>4190.3666639811</v>
      </c>
      <c r="N82" s="146" t="n">
        <f aca="false">'P&amp;LPLN'!N81/Factors!N$11</f>
        <v>4184.59707966799</v>
      </c>
      <c r="O82" s="139" t="n">
        <f aca="false">SUM(C82:N82)</f>
        <v>50599.4955169456</v>
      </c>
      <c r="P82" s="139"/>
      <c r="Q82" s="170" t="s">
        <v>1200</v>
      </c>
      <c r="R82" s="146" t="n">
        <f aca="false">'P&amp;LPLN'!R81/Factors!R$11</f>
        <v>4333.92295056071</v>
      </c>
      <c r="S82" s="146" t="n">
        <f aca="false">'P&amp;LPLN'!S81/Factors!S$11</f>
        <v>4316.01417803773</v>
      </c>
      <c r="T82" s="146" t="n">
        <f aca="false">'P&amp;LPLN'!T81/Factors!T$11</f>
        <v>4298.25280281947</v>
      </c>
      <c r="U82" s="146" t="n">
        <f aca="false">'P&amp;LPLN'!U81/Factors!U$11</f>
        <v>4280.63701264398</v>
      </c>
      <c r="V82" s="146" t="n">
        <f aca="false">'P&amp;LPLN'!V81/Factors!V$11</f>
        <v>4263.16502483727</v>
      </c>
      <c r="W82" s="146" t="n">
        <f aca="false">'P&amp;LPLN'!W81/Factors!W$11</f>
        <v>4245.83508571191</v>
      </c>
      <c r="X82" s="146" t="n">
        <f aca="false">'P&amp;LPLN'!X81/Factors!X$11</f>
        <v>4228.64546998028</v>
      </c>
      <c r="Y82" s="146" t="n">
        <f aca="false">'P&amp;LPLN'!Y81/Factors!Y$11</f>
        <v>4211.59448018198</v>
      </c>
      <c r="Z82" s="146" t="n">
        <f aca="false">'P&amp;LPLN'!Z81/Factors!Z$11</f>
        <v>4194.68044612502</v>
      </c>
      <c r="AA82" s="146" t="n">
        <f aca="false">'P&amp;LPLN'!AA81/Factors!AA$11</f>
        <v>4177.90172434052</v>
      </c>
      <c r="AB82" s="146" t="n">
        <f aca="false">'P&amp;LPLN'!AB81/Factors!AB$11</f>
        <v>4161.25669755032</v>
      </c>
      <c r="AC82" s="146" t="n">
        <f aca="false">'P&amp;LPLN'!AC81/Factors!AC$11</f>
        <v>4144.74377414734</v>
      </c>
      <c r="AD82" s="146" t="n">
        <f aca="false">SUM(R82:AC82)</f>
        <v>50856.6496469365</v>
      </c>
      <c r="AF82" s="170" t="s">
        <v>1200</v>
      </c>
      <c r="AG82" s="146" t="n">
        <f aca="false">'P&amp;LPLN'!AG81/Factors!AG$11</f>
        <v>4375.19840723271</v>
      </c>
      <c r="AH82" s="146" t="n">
        <f aca="false">'P&amp;LPLN'!AH81/Factors!AH$11</f>
        <v>4357.11907497142</v>
      </c>
      <c r="AI82" s="146" t="n">
        <f aca="false">'P&amp;LPLN'!AI81/Factors!AI$11</f>
        <v>4339.1885437987</v>
      </c>
      <c r="AJ82" s="146" t="n">
        <f aca="false">'P&amp;LPLN'!AJ81/Factors!AJ$11</f>
        <v>4321.40498419297</v>
      </c>
      <c r="AK82" s="146" t="n">
        <f aca="false">'P&amp;LPLN'!AK81/Factors!AK$11</f>
        <v>4303.76659650238</v>
      </c>
      <c r="AL82" s="146" t="n">
        <f aca="false">'P&amp;LPLN'!AL81/Factors!AL$11</f>
        <v>4286.27161033774</v>
      </c>
      <c r="AM82" s="146" t="n">
        <f aca="false">'P&amp;LPLN'!AM81/Factors!AM$11</f>
        <v>4268.9182839801</v>
      </c>
      <c r="AN82" s="146" t="n">
        <f aca="false">'P&amp;LPLN'!AN81/Factors!AN$11</f>
        <v>4251.70490380276</v>
      </c>
      <c r="AO82" s="146" t="n">
        <f aca="false">'P&amp;LPLN'!AO81/Factors!AO$11</f>
        <v>4234.62978370716</v>
      </c>
      <c r="AP82" s="146" t="n">
        <f aca="false">'P&amp;LPLN'!AP81/Factors!AP$11</f>
        <v>4217.69126457234</v>
      </c>
      <c r="AQ82" s="146" t="n">
        <f aca="false">'P&amp;LPLN'!AQ81/Factors!AQ$11</f>
        <v>4200.88771371747</v>
      </c>
      <c r="AR82" s="146" t="n">
        <f aca="false">'P&amp;LPLN'!AR81/Factors!AR$11</f>
        <v>4184.21752437732</v>
      </c>
      <c r="AS82" s="146" t="n">
        <f aca="false">SUM(AG82:AR82)</f>
        <v>51340.9986911931</v>
      </c>
    </row>
    <row r="83" customFormat="false" ht="13.2" hidden="false" customHeight="false" outlineLevel="0" collapsed="false">
      <c r="A83" s="207" t="s">
        <v>878</v>
      </c>
      <c r="B83" s="170" t="s">
        <v>1201</v>
      </c>
      <c r="C83" s="146" t="n">
        <f aca="false">'P&amp;LPLN'!C82/Factors!C$11</f>
        <v>573.96259003858</v>
      </c>
      <c r="D83" s="146" t="n">
        <f aca="false">'P&amp;LPLN'!D82/Factors!D$11</f>
        <v>573.161286063656</v>
      </c>
      <c r="E83" s="146" t="n">
        <f aca="false">'P&amp;LPLN'!E82/Factors!E$11</f>
        <v>572.362216355939</v>
      </c>
      <c r="F83" s="146" t="n">
        <f aca="false">'P&amp;LPLN'!F82/Factors!F$11</f>
        <v>571.565371583765</v>
      </c>
      <c r="G83" s="146" t="n">
        <f aca="false">'P&amp;LPLN'!G82/Factors!G$11</f>
        <v>570.770742467363</v>
      </c>
      <c r="H83" s="146" t="n">
        <f aca="false">'P&amp;LPLN'!H82/Factors!H$11</f>
        <v>569.978319778495</v>
      </c>
      <c r="I83" s="146" t="n">
        <f aca="false">'P&amp;LPLN'!I82/Factors!I$11</f>
        <v>569.188094340101</v>
      </c>
      <c r="J83" s="146" t="n">
        <f aca="false">'P&amp;LPLN'!J82/Factors!J$11</f>
        <v>568.400057025944</v>
      </c>
      <c r="K83" s="146" t="n">
        <f aca="false">'P&amp;LPLN'!K82/Factors!K$11</f>
        <v>567.614198760255</v>
      </c>
      <c r="L83" s="146" t="n">
        <f aca="false">'P&amp;LPLN'!L82/Factors!L$11</f>
        <v>566.830510517391</v>
      </c>
      <c r="M83" s="146" t="n">
        <f aca="false">'P&amp;LPLN'!M82/Factors!M$11</f>
        <v>566.048983321483</v>
      </c>
      <c r="N83" s="146" t="n">
        <f aca="false">'P&amp;LPLN'!N82/Factors!N$11</f>
        <v>565.2696082461</v>
      </c>
      <c r="O83" s="139" t="n">
        <f aca="false">SUM(C83:N83)</f>
        <v>6835.15197849907</v>
      </c>
      <c r="Q83" s="170" t="s">
        <v>1201</v>
      </c>
      <c r="R83" s="146" t="n">
        <f aca="false">'P&amp;LPLN'!R82/Factors!R$11</f>
        <v>585.441054847413</v>
      </c>
      <c r="S83" s="146" t="n">
        <f aca="false">'P&amp;LPLN'!S82/Factors!S$11</f>
        <v>583.02187693482</v>
      </c>
      <c r="T83" s="146" t="n">
        <f aca="false">'P&amp;LPLN'!T82/Factors!T$11</f>
        <v>580.622609951549</v>
      </c>
      <c r="U83" s="146" t="n">
        <f aca="false">'P&amp;LPLN'!U82/Factors!U$11</f>
        <v>578.243009091092</v>
      </c>
      <c r="V83" s="146" t="n">
        <f aca="false">'P&amp;LPLN'!V82/Factors!V$11</f>
        <v>575.882833543782</v>
      </c>
      <c r="W83" s="146" t="n">
        <f aca="false">'P&amp;LPLN'!W82/Factors!W$11</f>
        <v>573.541846415555</v>
      </c>
      <c r="X83" s="146" t="n">
        <f aca="false">'P&amp;LPLN'!X82/Factors!X$11</f>
        <v>571.21981464869</v>
      </c>
      <c r="Y83" s="146" t="n">
        <f aca="false">'P&amp;LPLN'!Y82/Factors!Y$11</f>
        <v>568.916508944462</v>
      </c>
      <c r="Z83" s="146" t="n">
        <f aca="false">'P&amp;LPLN'!Z82/Factors!Z$11</f>
        <v>566.631703687657</v>
      </c>
      <c r="AA83" s="146" t="n">
        <f aca="false">'P&amp;LPLN'!AA82/Factors!AA$11</f>
        <v>564.365176872906</v>
      </c>
      <c r="AB83" s="146" t="n">
        <f aca="false">'P&amp;LPLN'!AB82/Factors!AB$11</f>
        <v>562.116710032775</v>
      </c>
      <c r="AC83" s="146" t="n">
        <f aca="false">'P&amp;LPLN'!AC82/Factors!AC$11</f>
        <v>559.886088167566</v>
      </c>
      <c r="AD83" s="146" t="n">
        <f aca="false">SUM(R83:AC83)</f>
        <v>6869.88923313827</v>
      </c>
      <c r="AF83" s="170" t="s">
        <v>1201</v>
      </c>
      <c r="AG83" s="146" t="n">
        <f aca="false">'P&amp;LPLN'!AG82/Factors!AG$11</f>
        <v>591.016683941198</v>
      </c>
      <c r="AH83" s="146" t="n">
        <f aca="false">'P&amp;LPLN'!AH82/Factors!AH$11</f>
        <v>588.574466238962</v>
      </c>
      <c r="AI83" s="146" t="n">
        <f aca="false">'P&amp;LPLN'!AI82/Factors!AI$11</f>
        <v>586.152349093945</v>
      </c>
      <c r="AJ83" s="146" t="n">
        <f aca="false">'P&amp;LPLN'!AJ82/Factors!AJ$11</f>
        <v>583.75008536815</v>
      </c>
      <c r="AK83" s="146" t="n">
        <f aca="false">'P&amp;LPLN'!AK82/Factors!AK$11</f>
        <v>581.367431958484</v>
      </c>
      <c r="AL83" s="146" t="n">
        <f aca="false">'P&amp;LPLN'!AL82/Factors!AL$11</f>
        <v>579.004149714751</v>
      </c>
      <c r="AM83" s="146" t="n">
        <f aca="false">'P&amp;LPLN'!AM82/Factors!AM$11</f>
        <v>576.66000335963</v>
      </c>
      <c r="AN83" s="146" t="n">
        <f aca="false">'P&amp;LPLN'!AN82/Factors!AN$11</f>
        <v>574.334761410599</v>
      </c>
      <c r="AO83" s="146" t="n">
        <f aca="false">'P&amp;LPLN'!AO82/Factors!AO$11</f>
        <v>572.02819610373</v>
      </c>
      <c r="AP83" s="146" t="n">
        <f aca="false">'P&amp;LPLN'!AP82/Factors!AP$11</f>
        <v>569.740083319315</v>
      </c>
      <c r="AQ83" s="146" t="n">
        <f aca="false">'P&amp;LPLN'!AQ82/Factors!AQ$11</f>
        <v>567.470202509278</v>
      </c>
      <c r="AR83" s="146" t="n">
        <f aca="false">'P&amp;LPLN'!AR82/Factors!AR$11</f>
        <v>565.218336626304</v>
      </c>
      <c r="AS83" s="146" t="n">
        <f aca="false">SUM(AG83:AR83)</f>
        <v>6935.31674964435</v>
      </c>
    </row>
    <row r="84" customFormat="false" ht="13.2" hidden="false" customHeight="false" outlineLevel="0" collapsed="false">
      <c r="A84" s="207" t="s">
        <v>880</v>
      </c>
      <c r="B84" s="170" t="s">
        <v>1202</v>
      </c>
      <c r="C84" s="146" t="n">
        <f aca="false">'P&amp;LPLN'!C83/Factors!C$11</f>
        <v>69.7120554702729</v>
      </c>
      <c r="D84" s="146" t="n">
        <f aca="false">'P&amp;LPLN'!D83/Factors!D$11</f>
        <v>69.6147311008489</v>
      </c>
      <c r="E84" s="146" t="n">
        <f aca="false">'P&amp;LPLN'!E83/Factors!E$11</f>
        <v>69.5176780999117</v>
      </c>
      <c r="F84" s="146" t="n">
        <f aca="false">'P&amp;LPLN'!F83/Factors!F$11</f>
        <v>69.4208953340606</v>
      </c>
      <c r="G84" s="146" t="n">
        <f aca="false">'P&amp;LPLN'!G83/Factors!G$11</f>
        <v>69.3243816761979</v>
      </c>
      <c r="H84" s="146" t="n">
        <f aca="false">'P&amp;LPLN'!H83/Factors!H$11</f>
        <v>69.2281360054852</v>
      </c>
      <c r="I84" s="146" t="n">
        <f aca="false">'P&amp;LPLN'!I83/Factors!I$11</f>
        <v>69.1321572072997</v>
      </c>
      <c r="J84" s="146" t="n">
        <f aca="false">'P&amp;LPLN'!J83/Factors!J$11</f>
        <v>69.0364441731915</v>
      </c>
      <c r="K84" s="146" t="n">
        <f aca="false">'P&amp;LPLN'!K83/Factors!K$11</f>
        <v>68.9409958008407</v>
      </c>
      <c r="L84" s="146" t="n">
        <f aca="false">'P&amp;LPLN'!L83/Factors!L$11</f>
        <v>68.8458109940151</v>
      </c>
      <c r="M84" s="146" t="n">
        <f aca="false">'P&amp;LPLN'!M83/Factors!M$11</f>
        <v>68.7508886625283</v>
      </c>
      <c r="N84" s="146" t="n">
        <f aca="false">'P&amp;LPLN'!N83/Factors!N$11</f>
        <v>68.6562277221983</v>
      </c>
      <c r="O84" s="139" t="n">
        <f aca="false">SUM(C84:N84)</f>
        <v>830.180402246851</v>
      </c>
      <c r="Q84" s="170" t="s">
        <v>1202</v>
      </c>
      <c r="R84" s="146" t="n">
        <f aca="false">'P&amp;LPLN'!R83/Factors!R$11</f>
        <v>71.1062009936129</v>
      </c>
      <c r="S84" s="146" t="n">
        <f aca="false">'P&amp;LPLN'!S83/Factors!S$11</f>
        <v>70.8123737167798</v>
      </c>
      <c r="T84" s="146" t="n">
        <f aca="false">'P&amp;LPLN'!T83/Factors!T$11</f>
        <v>70.5209647714432</v>
      </c>
      <c r="U84" s="146" t="n">
        <f aca="false">'P&amp;LPLN'!U83/Factors!U$11</f>
        <v>70.2319444240193</v>
      </c>
      <c r="V84" s="146" t="n">
        <f aca="false">'P&amp;LPLN'!V83/Factors!V$11</f>
        <v>69.9452834263702</v>
      </c>
      <c r="W84" s="146" t="n">
        <f aca="false">'P&amp;LPLN'!W83/Factors!W$11</f>
        <v>69.6609530059378</v>
      </c>
      <c r="X84" s="146" t="n">
        <f aca="false">'P&amp;LPLN'!X83/Factors!X$11</f>
        <v>69.3789248561162</v>
      </c>
      <c r="Y84" s="146" t="n">
        <f aca="false">'P&amp;LPLN'!Y83/Factors!Y$11</f>
        <v>69.0991711268577</v>
      </c>
      <c r="Z84" s="146" t="n">
        <f aca="false">'P&amp;LPLN'!Z83/Factors!Z$11</f>
        <v>68.8216644155048</v>
      </c>
      <c r="AA84" s="146" t="n">
        <f aca="false">'P&amp;LPLN'!AA83/Factors!AA$11</f>
        <v>68.5463777578428</v>
      </c>
      <c r="AB84" s="146" t="n">
        <f aca="false">'P&amp;LPLN'!AB83/Factors!AB$11</f>
        <v>68.2732846193654</v>
      </c>
      <c r="AC84" s="146" t="n">
        <f aca="false">'P&amp;LPLN'!AC83/Factors!AC$11</f>
        <v>68.0023588867488</v>
      </c>
      <c r="AD84" s="146" t="n">
        <f aca="false">SUM(R84:AC84)</f>
        <v>834.399502000599</v>
      </c>
      <c r="AF84" s="170" t="s">
        <v>1202</v>
      </c>
      <c r="AG84" s="146" t="n">
        <f aca="false">'P&amp;LPLN'!AG83/Factors!AG$11</f>
        <v>71.7834029078378</v>
      </c>
      <c r="AH84" s="146" t="n">
        <f aca="false">'P&amp;LPLN'!AH83/Factors!AH$11</f>
        <v>71.4867772759872</v>
      </c>
      <c r="AI84" s="146" t="n">
        <f aca="false">'P&amp;LPLN'!AI83/Factors!AI$11</f>
        <v>71.1925930073618</v>
      </c>
      <c r="AJ84" s="146" t="n">
        <f aca="false">'P&amp;LPLN'!AJ83/Factors!AJ$11</f>
        <v>70.9008200852004</v>
      </c>
      <c r="AK84" s="146" t="n">
        <f aca="false">'P&amp;LPLN'!AK83/Factors!AK$11</f>
        <v>70.6114289828119</v>
      </c>
      <c r="AL84" s="146" t="n">
        <f aca="false">'P&amp;LPLN'!AL83/Factors!AL$11</f>
        <v>70.3243906536134</v>
      </c>
      <c r="AM84" s="146" t="n">
        <f aca="false">'P&amp;LPLN'!AM83/Factors!AM$11</f>
        <v>70.0396765214126</v>
      </c>
      <c r="AN84" s="146" t="n">
        <f aca="false">'P&amp;LPLN'!AN83/Factors!AN$11</f>
        <v>69.757258470923</v>
      </c>
      <c r="AO84" s="146" t="n">
        <f aca="false">'P&amp;LPLN'!AO83/Factors!AO$11</f>
        <v>69.4771088385097</v>
      </c>
      <c r="AP84" s="146" t="n">
        <f aca="false">'P&amp;LPLN'!AP83/Factors!AP$11</f>
        <v>69.1992004031556</v>
      </c>
      <c r="AQ84" s="146" t="n">
        <f aca="false">'P&amp;LPLN'!AQ83/Factors!AQ$11</f>
        <v>68.923506377645</v>
      </c>
      <c r="AR84" s="146" t="n">
        <f aca="false">'P&amp;LPLN'!AR83/Factors!AR$11</f>
        <v>68.650000399956</v>
      </c>
      <c r="AS84" s="146" t="n">
        <f aca="false">SUM(AG84:AR84)</f>
        <v>842.346163924414</v>
      </c>
    </row>
    <row r="85" customFormat="false" ht="13.2" hidden="true" customHeight="false" outlineLevel="0" collapsed="false">
      <c r="A85" s="207" t="s">
        <v>882</v>
      </c>
      <c r="B85" s="170" t="s">
        <v>1203</v>
      </c>
      <c r="C85" s="146" t="n">
        <f aca="false">'P&amp;LPLN'!C84/Factors!C$11</f>
        <v>0</v>
      </c>
      <c r="D85" s="146" t="n">
        <f aca="false">'P&amp;LPLN'!D84/Factors!D$11</f>
        <v>0</v>
      </c>
      <c r="E85" s="146" t="n">
        <f aca="false">'P&amp;LPLN'!E84/Factors!E$11</f>
        <v>0</v>
      </c>
      <c r="F85" s="146" t="n">
        <f aca="false">'P&amp;LPLN'!F84/Factors!F$11</f>
        <v>0</v>
      </c>
      <c r="G85" s="146" t="n">
        <f aca="false">'P&amp;LPLN'!G84/Factors!G$11</f>
        <v>0</v>
      </c>
      <c r="H85" s="146" t="n">
        <f aca="false">'P&amp;LPLN'!H84/Factors!H$11</f>
        <v>0</v>
      </c>
      <c r="I85" s="146" t="n">
        <f aca="false">'P&amp;LPLN'!I84/Factors!I$11</f>
        <v>0</v>
      </c>
      <c r="J85" s="146" t="n">
        <f aca="false">'P&amp;LPLN'!J84/Factors!J$11</f>
        <v>0</v>
      </c>
      <c r="K85" s="146" t="n">
        <f aca="false">'P&amp;LPLN'!K84/Factors!K$11</f>
        <v>0</v>
      </c>
      <c r="L85" s="146" t="n">
        <f aca="false">'P&amp;LPLN'!L84/Factors!L$11</f>
        <v>0</v>
      </c>
      <c r="M85" s="146" t="n">
        <f aca="false">'P&amp;LPLN'!M84/Factors!M$11</f>
        <v>0</v>
      </c>
      <c r="N85" s="146" t="n">
        <f aca="false">'P&amp;LPLN'!N84/Factors!N$11</f>
        <v>0</v>
      </c>
      <c r="O85" s="139" t="n">
        <f aca="false">SUM(C85:N85)</f>
        <v>0</v>
      </c>
      <c r="Q85" s="170" t="s">
        <v>1203</v>
      </c>
      <c r="R85" s="146" t="n">
        <f aca="false">'P&amp;LPLN'!R84/Factors!R$11</f>
        <v>0</v>
      </c>
      <c r="S85" s="146" t="n">
        <f aca="false">'P&amp;LPLN'!S84/Factors!S$11</f>
        <v>0</v>
      </c>
      <c r="T85" s="146" t="n">
        <f aca="false">'P&amp;LPLN'!T84/Factors!T$11</f>
        <v>0</v>
      </c>
      <c r="U85" s="146" t="n">
        <f aca="false">'P&amp;LPLN'!U84/Factors!U$11</f>
        <v>0</v>
      </c>
      <c r="V85" s="146" t="n">
        <f aca="false">'P&amp;LPLN'!V84/Factors!V$11</f>
        <v>0</v>
      </c>
      <c r="W85" s="146" t="n">
        <f aca="false">'P&amp;LPLN'!W84/Factors!W$11</f>
        <v>0</v>
      </c>
      <c r="X85" s="146" t="n">
        <f aca="false">'P&amp;LPLN'!X84/Factors!X$11</f>
        <v>0</v>
      </c>
      <c r="Y85" s="146" t="n">
        <f aca="false">'P&amp;LPLN'!Y84/Factors!Y$11</f>
        <v>0</v>
      </c>
      <c r="Z85" s="146" t="n">
        <f aca="false">'P&amp;LPLN'!Z84/Factors!Z$11</f>
        <v>0</v>
      </c>
      <c r="AA85" s="146" t="n">
        <f aca="false">'P&amp;LPLN'!AA84/Factors!AA$11</f>
        <v>0</v>
      </c>
      <c r="AB85" s="146" t="n">
        <f aca="false">'P&amp;LPLN'!AB84/Factors!AB$11</f>
        <v>0</v>
      </c>
      <c r="AC85" s="146" t="n">
        <f aca="false">'P&amp;LPLN'!AC84/Factors!AC$11</f>
        <v>0</v>
      </c>
      <c r="AD85" s="146" t="n">
        <f aca="false">SUM(R85:AC85)</f>
        <v>0</v>
      </c>
      <c r="AF85" s="170" t="s">
        <v>1203</v>
      </c>
      <c r="AG85" s="146" t="n">
        <f aca="false">'P&amp;LPLN'!AG84/Factors!AG$11</f>
        <v>0</v>
      </c>
      <c r="AH85" s="146" t="n">
        <f aca="false">'P&amp;LPLN'!AH84/Factors!AH$11</f>
        <v>0</v>
      </c>
      <c r="AI85" s="146" t="n">
        <f aca="false">'P&amp;LPLN'!AI84/Factors!AI$11</f>
        <v>0</v>
      </c>
      <c r="AJ85" s="146" t="n">
        <f aca="false">'P&amp;LPLN'!AJ84/Factors!AJ$11</f>
        <v>0</v>
      </c>
      <c r="AK85" s="146" t="n">
        <f aca="false">'P&amp;LPLN'!AK84/Factors!AK$11</f>
        <v>0</v>
      </c>
      <c r="AL85" s="146" t="n">
        <f aca="false">'P&amp;LPLN'!AL84/Factors!AL$11</f>
        <v>0</v>
      </c>
      <c r="AM85" s="146" t="n">
        <f aca="false">'P&amp;LPLN'!AM84/Factors!AM$11</f>
        <v>0</v>
      </c>
      <c r="AN85" s="146" t="n">
        <f aca="false">'P&amp;LPLN'!AN84/Factors!AN$11</f>
        <v>0</v>
      </c>
      <c r="AO85" s="146" t="n">
        <f aca="false">'P&amp;LPLN'!AO84/Factors!AO$11</f>
        <v>0</v>
      </c>
      <c r="AP85" s="146" t="n">
        <f aca="false">'P&amp;LPLN'!AP84/Factors!AP$11</f>
        <v>0</v>
      </c>
      <c r="AQ85" s="146" t="n">
        <f aca="false">'P&amp;LPLN'!AQ84/Factors!AQ$11</f>
        <v>0</v>
      </c>
      <c r="AR85" s="146" t="n">
        <f aca="false">'P&amp;LPLN'!AR84/Factors!AR$11</f>
        <v>0</v>
      </c>
      <c r="AS85" s="146" t="n">
        <f aca="false">SUM(AG85:AR85)</f>
        <v>0</v>
      </c>
    </row>
    <row r="86" customFormat="false" ht="13.2" hidden="true" customHeight="false" outlineLevel="0" collapsed="false">
      <c r="A86" s="207" t="s">
        <v>884</v>
      </c>
      <c r="B86" s="170" t="s">
        <v>1204</v>
      </c>
      <c r="C86" s="146" t="n">
        <f aca="false">'P&amp;LPLN'!C85/Factors!C$11</f>
        <v>0</v>
      </c>
      <c r="D86" s="146" t="n">
        <f aca="false">'P&amp;LPLN'!D85/Factors!D$11</f>
        <v>0</v>
      </c>
      <c r="E86" s="146" t="n">
        <f aca="false">'P&amp;LPLN'!E85/Factors!E$11</f>
        <v>0</v>
      </c>
      <c r="F86" s="146" t="n">
        <f aca="false">'P&amp;LPLN'!F85/Factors!F$11</f>
        <v>0</v>
      </c>
      <c r="G86" s="146" t="n">
        <f aca="false">'P&amp;LPLN'!G85/Factors!G$11</f>
        <v>0</v>
      </c>
      <c r="H86" s="146" t="n">
        <f aca="false">'P&amp;LPLN'!H85/Factors!H$11</f>
        <v>0</v>
      </c>
      <c r="I86" s="146" t="n">
        <f aca="false">'P&amp;LPLN'!I85/Factors!I$11</f>
        <v>0</v>
      </c>
      <c r="J86" s="146" t="n">
        <f aca="false">'P&amp;LPLN'!J85/Factors!J$11</f>
        <v>0</v>
      </c>
      <c r="K86" s="146" t="n">
        <f aca="false">'P&amp;LPLN'!K85/Factors!K$11</f>
        <v>0</v>
      </c>
      <c r="L86" s="146" t="n">
        <f aca="false">'P&amp;LPLN'!L85/Factors!L$11</f>
        <v>0</v>
      </c>
      <c r="M86" s="146" t="n">
        <f aca="false">'P&amp;LPLN'!M85/Factors!M$11</f>
        <v>0</v>
      </c>
      <c r="N86" s="146" t="n">
        <f aca="false">'P&amp;LPLN'!N85/Factors!N$11</f>
        <v>0</v>
      </c>
      <c r="O86" s="139" t="n">
        <f aca="false">SUM(C86:N86)</f>
        <v>0</v>
      </c>
      <c r="Q86" s="170" t="s">
        <v>1204</v>
      </c>
      <c r="R86" s="146" t="n">
        <f aca="false">'P&amp;LPLN'!R85/Factors!R$11</f>
        <v>0</v>
      </c>
      <c r="S86" s="146" t="n">
        <f aca="false">'P&amp;LPLN'!S85/Factors!S$11</f>
        <v>0</v>
      </c>
      <c r="T86" s="146" t="n">
        <f aca="false">'P&amp;LPLN'!T85/Factors!T$11</f>
        <v>0</v>
      </c>
      <c r="U86" s="146" t="n">
        <f aca="false">'P&amp;LPLN'!U85/Factors!U$11</f>
        <v>0</v>
      </c>
      <c r="V86" s="146" t="n">
        <f aca="false">'P&amp;LPLN'!V85/Factors!V$11</f>
        <v>0</v>
      </c>
      <c r="W86" s="146" t="n">
        <f aca="false">'P&amp;LPLN'!W85/Factors!W$11</f>
        <v>0</v>
      </c>
      <c r="X86" s="146" t="n">
        <f aca="false">'P&amp;LPLN'!X85/Factors!X$11</f>
        <v>0</v>
      </c>
      <c r="Y86" s="146" t="n">
        <f aca="false">'P&amp;LPLN'!Y85/Factors!Y$11</f>
        <v>0</v>
      </c>
      <c r="Z86" s="146" t="n">
        <f aca="false">'P&amp;LPLN'!Z85/Factors!Z$11</f>
        <v>0</v>
      </c>
      <c r="AA86" s="146" t="n">
        <f aca="false">'P&amp;LPLN'!AA85/Factors!AA$11</f>
        <v>0</v>
      </c>
      <c r="AB86" s="146" t="n">
        <f aca="false">'P&amp;LPLN'!AB85/Factors!AB$11</f>
        <v>0</v>
      </c>
      <c r="AC86" s="146" t="n">
        <f aca="false">'P&amp;LPLN'!AC85/Factors!AC$11</f>
        <v>0</v>
      </c>
      <c r="AD86" s="146" t="n">
        <f aca="false">SUM(R86:AC86)</f>
        <v>0</v>
      </c>
      <c r="AF86" s="170" t="s">
        <v>1204</v>
      </c>
      <c r="AG86" s="146" t="n">
        <f aca="false">'P&amp;LPLN'!AG85/Factors!AG$11</f>
        <v>0</v>
      </c>
      <c r="AH86" s="146" t="n">
        <f aca="false">'P&amp;LPLN'!AH85/Factors!AH$11</f>
        <v>0</v>
      </c>
      <c r="AI86" s="146" t="n">
        <f aca="false">'P&amp;LPLN'!AI85/Factors!AI$11</f>
        <v>0</v>
      </c>
      <c r="AJ86" s="146" t="n">
        <f aca="false">'P&amp;LPLN'!AJ85/Factors!AJ$11</f>
        <v>0</v>
      </c>
      <c r="AK86" s="146" t="n">
        <f aca="false">'P&amp;LPLN'!AK85/Factors!AK$11</f>
        <v>0</v>
      </c>
      <c r="AL86" s="146" t="n">
        <f aca="false">'P&amp;LPLN'!AL85/Factors!AL$11</f>
        <v>0</v>
      </c>
      <c r="AM86" s="146" t="n">
        <f aca="false">'P&amp;LPLN'!AM85/Factors!AM$11</f>
        <v>0</v>
      </c>
      <c r="AN86" s="146" t="n">
        <f aca="false">'P&amp;LPLN'!AN85/Factors!AN$11</f>
        <v>0</v>
      </c>
      <c r="AO86" s="146" t="n">
        <f aca="false">'P&amp;LPLN'!AO85/Factors!AO$11</f>
        <v>0</v>
      </c>
      <c r="AP86" s="146" t="n">
        <f aca="false">'P&amp;LPLN'!AP85/Factors!AP$11</f>
        <v>0</v>
      </c>
      <c r="AQ86" s="146" t="n">
        <f aca="false">'P&amp;LPLN'!AQ85/Factors!AQ$11</f>
        <v>0</v>
      </c>
      <c r="AR86" s="146" t="n">
        <f aca="false">'P&amp;LPLN'!AR85/Factors!AR$11</f>
        <v>0</v>
      </c>
      <c r="AS86" s="146" t="n">
        <f aca="false">SUM(AG86:AR86)</f>
        <v>0</v>
      </c>
    </row>
    <row r="87" customFormat="false" ht="13.2" hidden="false" customHeight="false" outlineLevel="0" collapsed="false">
      <c r="A87" s="207" t="s">
        <v>886</v>
      </c>
      <c r="B87" s="170" t="s">
        <v>1205</v>
      </c>
      <c r="C87" s="146" t="n">
        <f aca="false">'P&amp;LPLN'!C86/Factors!C$11</f>
        <v>487.705540070029</v>
      </c>
      <c r="D87" s="146" t="n">
        <f aca="false">'P&amp;LPLN'!D86/Factors!D$11</f>
        <v>487.024658781539</v>
      </c>
      <c r="E87" s="146" t="n">
        <f aca="false">'P&amp;LPLN'!E86/Factors!E$11</f>
        <v>486.345675986982</v>
      </c>
      <c r="F87" s="146" t="n">
        <f aca="false">'P&amp;LPLN'!F86/Factors!F$11</f>
        <v>485.668583757088</v>
      </c>
      <c r="G87" s="146" t="n">
        <f aca="false">'P&amp;LPLN'!G86/Factors!G$11</f>
        <v>484.993374206681</v>
      </c>
      <c r="H87" s="146" t="n">
        <f aca="false">'P&amp;LPLN'!H86/Factors!H$11</f>
        <v>484.320039494375</v>
      </c>
      <c r="I87" s="146" t="n">
        <f aca="false">'P&amp;LPLN'!I86/Factors!I$11</f>
        <v>483.648571822269</v>
      </c>
      <c r="J87" s="146" t="n">
        <f aca="false">'P&amp;LPLN'!J86/Factors!J$11</f>
        <v>482.978963435648</v>
      </c>
      <c r="K87" s="146" t="n">
        <f aca="false">'P&amp;LPLN'!K86/Factors!K$11</f>
        <v>482.311206622681</v>
      </c>
      <c r="L87" s="146" t="n">
        <f aca="false">'P&amp;LPLN'!L86/Factors!L$11</f>
        <v>481.645293714129</v>
      </c>
      <c r="M87" s="146" t="n">
        <f aca="false">'P&amp;LPLN'!M86/Factors!M$11</f>
        <v>480.981217083048</v>
      </c>
      <c r="N87" s="146" t="n">
        <f aca="false">'P&amp;LPLN'!N86/Factors!N$11</f>
        <v>480.3189691445</v>
      </c>
      <c r="O87" s="139" t="n">
        <f aca="false">SUM(C87:N87)</f>
        <v>5807.94209411897</v>
      </c>
      <c r="Q87" s="170" t="s">
        <v>1205</v>
      </c>
      <c r="R87" s="146" t="n">
        <f aca="false">'P&amp;LPLN'!R86/Factors!R$11</f>
        <v>497.458982151316</v>
      </c>
      <c r="S87" s="146" t="n">
        <f aca="false">'P&amp;LPLN'!S86/Factors!S$11</f>
        <v>495.403366522591</v>
      </c>
      <c r="T87" s="146" t="n">
        <f aca="false">'P&amp;LPLN'!T86/Factors!T$11</f>
        <v>493.364669541017</v>
      </c>
      <c r="U87" s="146" t="n">
        <f aca="false">'P&amp;LPLN'!U86/Factors!U$11</f>
        <v>491.342683190439</v>
      </c>
      <c r="V87" s="146" t="n">
        <f aca="false">'P&amp;LPLN'!V86/Factors!V$11</f>
        <v>489.337202850886</v>
      </c>
      <c r="W87" s="146" t="n">
        <f aca="false">'P&amp;LPLN'!W86/Factors!W$11</f>
        <v>487.348027229541</v>
      </c>
      <c r="X87" s="146" t="n">
        <f aca="false">'P&amp;LPLN'!X86/Factors!X$11</f>
        <v>485.374958293389</v>
      </c>
      <c r="Y87" s="146" t="n">
        <f aca="false">'P&amp;LPLN'!Y86/Factors!Y$11</f>
        <v>483.417801203497</v>
      </c>
      <c r="Z87" s="146" t="n">
        <f aca="false">'P&amp;LPLN'!Z86/Factors!Z$11</f>
        <v>481.476364250872</v>
      </c>
      <c r="AA87" s="146" t="n">
        <f aca="false">'P&amp;LPLN'!AA86/Factors!AA$11</f>
        <v>479.550458793869</v>
      </c>
      <c r="AB87" s="146" t="n">
        <f aca="false">'P&amp;LPLN'!AB86/Factors!AB$11</f>
        <v>477.63989919708</v>
      </c>
      <c r="AC87" s="146" t="n">
        <f aca="false">'P&amp;LPLN'!AC86/Factors!AC$11</f>
        <v>475.744502771695</v>
      </c>
      <c r="AD87" s="146" t="n">
        <f aca="false">SUM(R87:AC87)</f>
        <v>5837.45891599619</v>
      </c>
      <c r="AF87" s="170" t="s">
        <v>1205</v>
      </c>
      <c r="AG87" s="146" t="n">
        <f aca="false">'P&amp;LPLN'!AG86/Factors!AG$11</f>
        <v>502.196686743233</v>
      </c>
      <c r="AH87" s="146" t="n">
        <f aca="false">'P&amp;LPLN'!AH86/Factors!AH$11</f>
        <v>500.121493822807</v>
      </c>
      <c r="AI87" s="146" t="n">
        <f aca="false">'P&amp;LPLN'!AI86/Factors!AI$11</f>
        <v>498.063380679503</v>
      </c>
      <c r="AJ87" s="146" t="n">
        <f aca="false">'P&amp;LPLN'!AJ86/Factors!AJ$11</f>
        <v>496.022137316062</v>
      </c>
      <c r="AK87" s="146" t="n">
        <f aca="false">'P&amp;LPLN'!AK86/Factors!AK$11</f>
        <v>493.997557163752</v>
      </c>
      <c r="AL87" s="146" t="n">
        <f aca="false">'P&amp;LPLN'!AL86/Factors!AL$11</f>
        <v>491.98943701268</v>
      </c>
      <c r="AM87" s="146" t="n">
        <f aca="false">'P&amp;LPLN'!AM86/Factors!AM$11</f>
        <v>489.997576943802</v>
      </c>
      <c r="AN87" s="146" t="n">
        <f aca="false">'P&amp;LPLN'!AN86/Factors!AN$11</f>
        <v>488.021780262577</v>
      </c>
      <c r="AO87" s="146" t="n">
        <f aca="false">'P&amp;LPLN'!AO86/Factors!AO$11</f>
        <v>486.061853434214</v>
      </c>
      <c r="AP87" s="146" t="n">
        <f aca="false">'P&amp;LPLN'!AP86/Factors!AP$11</f>
        <v>484.117606020477</v>
      </c>
      <c r="AQ87" s="146" t="n">
        <f aca="false">'P&amp;LPLN'!AQ86/Factors!AQ$11</f>
        <v>482.188850618005</v>
      </c>
      <c r="AR87" s="146" t="n">
        <f aca="false">'P&amp;LPLN'!AR86/Factors!AR$11</f>
        <v>480.275402798092</v>
      </c>
      <c r="AS87" s="146" t="n">
        <f aca="false">SUM(AG87:AR87)</f>
        <v>5893.0537628152</v>
      </c>
    </row>
    <row r="88" customFormat="false" ht="13.2" hidden="false" customHeight="false" outlineLevel="0" collapsed="false">
      <c r="A88" s="207" t="s">
        <v>888</v>
      </c>
      <c r="B88" s="170" t="s">
        <v>1206</v>
      </c>
      <c r="C88" s="146" t="n">
        <f aca="false">'P&amp;LPLN'!C87/Factors!C$11</f>
        <v>2290.73814275317</v>
      </c>
      <c r="D88" s="146" t="n">
        <f aca="false">'P&amp;LPLN'!D87/Factors!D$11</f>
        <v>2287.5400639739</v>
      </c>
      <c r="E88" s="146" t="n">
        <f aca="false">'P&amp;LPLN'!E87/Factors!E$11</f>
        <v>2284.3509023631</v>
      </c>
      <c r="F88" s="146" t="n">
        <f aca="false">'P&amp;LPLN'!F87/Factors!F$11</f>
        <v>2281.17062067723</v>
      </c>
      <c r="G88" s="146" t="n">
        <f aca="false">'P&amp;LPLN'!G87/Factors!G$11</f>
        <v>2277.99918187986</v>
      </c>
      <c r="H88" s="146" t="n">
        <f aca="false">'P&amp;LPLN'!H87/Factors!H$11</f>
        <v>2274.83654914024</v>
      </c>
      <c r="I88" s="146" t="n">
        <f aca="false">'P&amp;LPLN'!I87/Factors!I$11</f>
        <v>2271.68268583187</v>
      </c>
      <c r="J88" s="146" t="n">
        <f aca="false">'P&amp;LPLN'!J87/Factors!J$11</f>
        <v>2268.53755553107</v>
      </c>
      <c r="K88" s="146" t="n">
        <f aca="false">'P&amp;LPLN'!K87/Factors!K$11</f>
        <v>2265.40112201563</v>
      </c>
      <c r="L88" s="146" t="n">
        <f aca="false">'P&amp;LPLN'!L87/Factors!L$11</f>
        <v>2262.27334926333</v>
      </c>
      <c r="M88" s="146" t="n">
        <f aca="false">'P&amp;LPLN'!M87/Factors!M$11</f>
        <v>2259.15420145068</v>
      </c>
      <c r="N88" s="146" t="n">
        <f aca="false">'P&amp;LPLN'!N87/Factors!N$11</f>
        <v>2256.04364295144</v>
      </c>
      <c r="O88" s="139" t="n">
        <f aca="false">SUM(C88:N88)</f>
        <v>27279.7280178315</v>
      </c>
      <c r="P88" s="139"/>
      <c r="Q88" s="170" t="s">
        <v>1206</v>
      </c>
      <c r="R88" s="146" t="n">
        <f aca="false">'P&amp;LPLN'!R87/Factors!R$11</f>
        <v>2336.54976465012</v>
      </c>
      <c r="S88" s="146" t="n">
        <f aca="false">'P&amp;LPLN'!S87/Factors!S$11</f>
        <v>2326.89460033338</v>
      </c>
      <c r="T88" s="146" t="n">
        <f aca="false">'P&amp;LPLN'!T87/Factors!T$11</f>
        <v>2317.31890238962</v>
      </c>
      <c r="U88" s="146" t="n">
        <f aca="false">'P&amp;LPLN'!U87/Factors!U$11</f>
        <v>2307.82169377327</v>
      </c>
      <c r="V88" s="146" t="n">
        <f aca="false">'P&amp;LPLN'!V87/Factors!V$11</f>
        <v>2298.40201339053</v>
      </c>
      <c r="W88" s="146" t="n">
        <f aca="false">'P&amp;LPLN'!W87/Factors!W$11</f>
        <v>2289.05891577512</v>
      </c>
      <c r="X88" s="146" t="n">
        <f aca="false">'P&amp;LPLN'!X87/Factors!X$11</f>
        <v>2279.79147077198</v>
      </c>
      <c r="Y88" s="146" t="n">
        <f aca="false">'P&amp;LPLN'!Y87/Factors!Y$11</f>
        <v>2270.59876322854</v>
      </c>
      <c r="Z88" s="146" t="n">
        <f aca="false">'P&amp;LPLN'!Z87/Factors!Z$11</f>
        <v>2261.47989269349</v>
      </c>
      <c r="AA88" s="146" t="n">
        <f aca="false">'P&amp;LPLN'!AA87/Factors!AA$11</f>
        <v>2252.43397312272</v>
      </c>
      <c r="AB88" s="146" t="n">
        <f aca="false">'P&amp;LPLN'!AB87/Factors!AB$11</f>
        <v>2243.46013259235</v>
      </c>
      <c r="AC88" s="146" t="n">
        <f aca="false">'P&amp;LPLN'!AC87/Factors!AC$11</f>
        <v>2234.55751301857</v>
      </c>
      <c r="AD88" s="146" t="n">
        <f aca="false">SUM(R88:AC88)</f>
        <v>27418.3676357397</v>
      </c>
      <c r="AF88" s="170" t="s">
        <v>1206</v>
      </c>
      <c r="AG88" s="146" t="n">
        <f aca="false">'P&amp;LPLN'!AG87/Factors!AG$11</f>
        <v>2358.80261955155</v>
      </c>
      <c r="AH88" s="146" t="n">
        <f aca="false">'P&amp;LPLN'!AH87/Factors!AH$11</f>
        <v>2349.05550128894</v>
      </c>
      <c r="AI88" s="146" t="n">
        <f aca="false">'P&amp;LPLN'!AI87/Factors!AI$11</f>
        <v>2339.38860622191</v>
      </c>
      <c r="AJ88" s="146" t="n">
        <f aca="false">'P&amp;LPLN'!AJ87/Factors!AJ$11</f>
        <v>2329.80094799969</v>
      </c>
      <c r="AK88" s="146" t="n">
        <f aca="false">'P&amp;LPLN'!AK87/Factors!AK$11</f>
        <v>2320.2915563752</v>
      </c>
      <c r="AL88" s="146" t="n">
        <f aca="false">'P&amp;LPLN'!AL87/Factors!AL$11</f>
        <v>2310.85947687774</v>
      </c>
      <c r="AM88" s="146" t="n">
        <f aca="false">'P&amp;LPLN'!AM87/Factors!AM$11</f>
        <v>2301.50377049362</v>
      </c>
      <c r="AN88" s="146" t="n">
        <f aca="false">'P&amp;LPLN'!AN87/Factors!AN$11</f>
        <v>2292.22351335453</v>
      </c>
      <c r="AO88" s="146" t="n">
        <f aca="false">'P&amp;LPLN'!AO87/Factors!AO$11</f>
        <v>2283.01779643343</v>
      </c>
      <c r="AP88" s="146" t="n">
        <f aca="false">'P&amp;LPLN'!AP87/Factors!AP$11</f>
        <v>2273.88572524769</v>
      </c>
      <c r="AQ88" s="146" t="n">
        <f aca="false">'P&amp;LPLN'!AQ87/Factors!AQ$11</f>
        <v>2264.82641956942</v>
      </c>
      <c r="AR88" s="146" t="n">
        <f aca="false">'P&amp;LPLN'!AR87/Factors!AR$11</f>
        <v>2255.83901314255</v>
      </c>
      <c r="AS88" s="146" t="n">
        <f aca="false">SUM(AG88:AR88)</f>
        <v>27679.4949465563</v>
      </c>
    </row>
    <row r="89" customFormat="false" ht="13.2" hidden="false" customHeight="false" outlineLevel="0" collapsed="false">
      <c r="A89" s="207" t="s">
        <v>890</v>
      </c>
      <c r="B89" s="170" t="s">
        <v>1207</v>
      </c>
      <c r="C89" s="146" t="n">
        <f aca="false">'P&amp;LPLN'!C88/Factors!C$11</f>
        <v>1133.05327491017</v>
      </c>
      <c r="D89" s="146" t="n">
        <f aca="false">'P&amp;LPLN'!D88/Factors!D$11</f>
        <v>1131.47142949246</v>
      </c>
      <c r="E89" s="146" t="n">
        <f aca="false">'P&amp;LPLN'!E88/Factors!E$11</f>
        <v>1129.89399471723</v>
      </c>
      <c r="F89" s="146" t="n">
        <f aca="false">'P&amp;LPLN'!F88/Factors!F$11</f>
        <v>1128.32095216293</v>
      </c>
      <c r="G89" s="146" t="n">
        <f aca="false">'P&amp;LPLN'!G88/Factors!G$11</f>
        <v>1126.75228351047</v>
      </c>
      <c r="H89" s="146" t="n">
        <f aca="false">'P&amp;LPLN'!H88/Factors!H$11</f>
        <v>1125.18797054249</v>
      </c>
      <c r="I89" s="146" t="n">
        <f aca="false">'P&amp;LPLN'!I88/Factors!I$11</f>
        <v>1123.62799514265</v>
      </c>
      <c r="J89" s="146" t="n">
        <f aca="false">'P&amp;LPLN'!J88/Factors!J$11</f>
        <v>1122.07233929494</v>
      </c>
      <c r="K89" s="146" t="n">
        <f aca="false">'P&amp;LPLN'!K88/Factors!K$11</f>
        <v>1120.520985083</v>
      </c>
      <c r="L89" s="146" t="n">
        <f aca="false">'P&amp;LPLN'!L88/Factors!L$11</f>
        <v>1118.97391468939</v>
      </c>
      <c r="M89" s="146" t="n">
        <f aca="false">'P&amp;LPLN'!M88/Factors!M$11</f>
        <v>1117.43111039496</v>
      </c>
      <c r="N89" s="146" t="n">
        <f aca="false">'P&amp;LPLN'!N88/Factors!N$11</f>
        <v>1115.89255457813</v>
      </c>
      <c r="O89" s="139" t="n">
        <f aca="false">SUM(C89:N89)</f>
        <v>13493.1988045188</v>
      </c>
      <c r="Q89" s="170" t="s">
        <v>1207</v>
      </c>
      <c r="R89" s="146" t="n">
        <f aca="false">'P&amp;LPLN'!R88/Factors!R$11</f>
        <v>1155.71278681619</v>
      </c>
      <c r="S89" s="146" t="n">
        <f aca="false">'P&amp;LPLN'!S88/Factors!S$11</f>
        <v>1150.93711414339</v>
      </c>
      <c r="T89" s="146" t="n">
        <f aca="false">'P&amp;LPLN'!T88/Factors!T$11</f>
        <v>1146.20074741852</v>
      </c>
      <c r="U89" s="146" t="n">
        <f aca="false">'P&amp;LPLN'!U88/Factors!U$11</f>
        <v>1141.50320337173</v>
      </c>
      <c r="V89" s="146" t="n">
        <f aca="false">'P&amp;LPLN'!V88/Factors!V$11</f>
        <v>1136.84400662327</v>
      </c>
      <c r="W89" s="146" t="n">
        <f aca="false">'P&amp;LPLN'!W88/Factors!W$11</f>
        <v>1132.22268952318</v>
      </c>
      <c r="X89" s="146" t="n">
        <f aca="false">'P&amp;LPLN'!X88/Factors!X$11</f>
        <v>1127.63879199474</v>
      </c>
      <c r="Y89" s="146" t="n">
        <f aca="false">'P&amp;LPLN'!Y88/Factors!Y$11</f>
        <v>1123.09186138186</v>
      </c>
      <c r="Z89" s="146" t="n">
        <f aca="false">'P&amp;LPLN'!Z88/Factors!Z$11</f>
        <v>1118.58145230001</v>
      </c>
      <c r="AA89" s="146" t="n">
        <f aca="false">'P&amp;LPLN'!AA88/Factors!AA$11</f>
        <v>1114.10712649081</v>
      </c>
      <c r="AB89" s="146" t="n">
        <f aca="false">'P&amp;LPLN'!AB88/Factors!AB$11</f>
        <v>1109.66845268009</v>
      </c>
      <c r="AC89" s="146" t="n">
        <f aca="false">'P&amp;LPLN'!AC88/Factors!AC$11</f>
        <v>1105.26500643929</v>
      </c>
      <c r="AD89" s="146" t="n">
        <f aca="false">SUM(R89:AC89)</f>
        <v>13561.7732391831</v>
      </c>
      <c r="AF89" s="170" t="s">
        <v>1207</v>
      </c>
      <c r="AG89" s="146" t="n">
        <f aca="false">'P&amp;LPLN'!AG88/Factors!AG$11</f>
        <v>1166.71957526206</v>
      </c>
      <c r="AH89" s="146" t="n">
        <f aca="false">'P&amp;LPLN'!AH88/Factors!AH$11</f>
        <v>1161.89841999238</v>
      </c>
      <c r="AI89" s="146" t="n">
        <f aca="false">'P&amp;LPLN'!AI88/Factors!AI$11</f>
        <v>1157.11694501299</v>
      </c>
      <c r="AJ89" s="146" t="n">
        <f aca="false">'P&amp;LPLN'!AJ88/Factors!AJ$11</f>
        <v>1152.37466245146</v>
      </c>
      <c r="AK89" s="146" t="n">
        <f aca="false">'P&amp;LPLN'!AK88/Factors!AK$11</f>
        <v>1147.67109240064</v>
      </c>
      <c r="AL89" s="146" t="n">
        <f aca="false">'P&amp;LPLN'!AL88/Factors!AL$11</f>
        <v>1143.00576275673</v>
      </c>
      <c r="AM89" s="146" t="n">
        <f aca="false">'P&amp;LPLN'!AM88/Factors!AM$11</f>
        <v>1138.37820906136</v>
      </c>
      <c r="AN89" s="146" t="n">
        <f aca="false">'P&amp;LPLN'!AN88/Factors!AN$11</f>
        <v>1133.7879743474</v>
      </c>
      <c r="AO89" s="146" t="n">
        <f aca="false">'P&amp;LPLN'!AO88/Factors!AO$11</f>
        <v>1129.23460898858</v>
      </c>
      <c r="AP89" s="146" t="n">
        <f aca="false">'P&amp;LPLN'!AP88/Factors!AP$11</f>
        <v>1124.71767055262</v>
      </c>
      <c r="AQ89" s="146" t="n">
        <f aca="false">'P&amp;LPLN'!AQ88/Factors!AQ$11</f>
        <v>1120.23672365799</v>
      </c>
      <c r="AR89" s="146" t="n">
        <f aca="false">'P&amp;LPLN'!AR88/Factors!AR$11</f>
        <v>1115.79133983395</v>
      </c>
      <c r="AS89" s="146" t="n">
        <f aca="false">SUM(AG89:AR89)</f>
        <v>13690.9329843182</v>
      </c>
    </row>
    <row r="90" customFormat="false" ht="13.2" hidden="false" customHeight="false" outlineLevel="0" collapsed="false">
      <c r="A90" s="207" t="s">
        <v>892</v>
      </c>
      <c r="B90" s="170" t="s">
        <v>1208</v>
      </c>
      <c r="C90" s="146" t="n">
        <f aca="false">'P&amp;LPLN'!C89/Factors!C$11</f>
        <v>1170.00066430941</v>
      </c>
      <c r="D90" s="146" t="n">
        <f aca="false">'P&amp;LPLN'!D89/Factors!D$11</f>
        <v>1168.36723697591</v>
      </c>
      <c r="E90" s="146" t="n">
        <f aca="false">'P&amp;LPLN'!E89/Factors!E$11</f>
        <v>1166.73836411018</v>
      </c>
      <c r="F90" s="146" t="n">
        <f aca="false">'P&amp;LPLN'!F89/Factors!F$11</f>
        <v>1165.11402668998</v>
      </c>
      <c r="G90" s="146" t="n">
        <f aca="false">'P&amp;LPLN'!G89/Factors!G$11</f>
        <v>1163.49420579885</v>
      </c>
      <c r="H90" s="146" t="n">
        <f aca="false">'P&amp;LPLN'!H89/Factors!H$11</f>
        <v>1161.87888262539</v>
      </c>
      <c r="I90" s="146" t="n">
        <f aca="false">'P&amp;LPLN'!I89/Factors!I$11</f>
        <v>1160.26803846251</v>
      </c>
      <c r="J90" s="146" t="n">
        <f aca="false">'P&amp;LPLN'!J89/Factors!J$11</f>
        <v>1158.66165470673</v>
      </c>
      <c r="K90" s="146" t="n">
        <f aca="false">'P&amp;LPLN'!K89/Factors!K$11</f>
        <v>1157.05971285744</v>
      </c>
      <c r="L90" s="146" t="n">
        <f aca="false">'P&amp;LPLN'!L89/Factors!L$11</f>
        <v>1155.46219451622</v>
      </c>
      <c r="M90" s="146" t="n">
        <f aca="false">'P&amp;LPLN'!M89/Factors!M$11</f>
        <v>1153.8690813861</v>
      </c>
      <c r="N90" s="146" t="n">
        <f aca="false">'P&amp;LPLN'!N89/Factors!N$11</f>
        <v>1152.2803552709</v>
      </c>
      <c r="O90" s="139" t="n">
        <f aca="false">SUM(C90:N90)</f>
        <v>13933.1944177096</v>
      </c>
      <c r="Q90" s="170" t="s">
        <v>1208</v>
      </c>
      <c r="R90" s="146" t="n">
        <f aca="false">'P&amp;LPLN'!R89/Factors!R$11</f>
        <v>1193.3990733428</v>
      </c>
      <c r="S90" s="146" t="n">
        <f aca="false">'P&amp;LPLN'!S89/Factors!S$11</f>
        <v>1188.46767221329</v>
      </c>
      <c r="T90" s="146" t="n">
        <f aca="false">'P&amp;LPLN'!T89/Factors!T$11</f>
        <v>1183.57685874739</v>
      </c>
      <c r="U90" s="146" t="n">
        <f aca="false">'P&amp;LPLN'!U89/Factors!U$11</f>
        <v>1178.72613391646</v>
      </c>
      <c r="V90" s="146" t="n">
        <f aca="false">'P&amp;LPLN'!V89/Factors!V$11</f>
        <v>1173.91500683925</v>
      </c>
      <c r="W90" s="146" t="n">
        <f aca="false">'P&amp;LPLN'!W89/Factors!W$11</f>
        <v>1169.14299461632</v>
      </c>
      <c r="X90" s="146" t="n">
        <f aca="false">'P&amp;LPLN'!X89/Factors!X$11</f>
        <v>1164.40962216848</v>
      </c>
      <c r="Y90" s="146" t="n">
        <f aca="false">'P&amp;LPLN'!Y89/Factors!Y$11</f>
        <v>1159.7144220791</v>
      </c>
      <c r="Z90" s="146" t="n">
        <f aca="false">'P&amp;LPLN'!Z89/Factors!Z$11</f>
        <v>1155.05693444022</v>
      </c>
      <c r="AA90" s="146" t="n">
        <f aca="false">'P&amp;LPLN'!AA89/Factors!AA$11</f>
        <v>1150.43670670246</v>
      </c>
      <c r="AB90" s="146" t="n">
        <f aca="false">'P&amp;LPLN'!AB89/Factors!AB$11</f>
        <v>1145.85329352835</v>
      </c>
      <c r="AC90" s="146" t="n">
        <f aca="false">'P&amp;LPLN'!AC89/Factors!AC$11</f>
        <v>1141.30625664927</v>
      </c>
      <c r="AD90" s="146" t="n">
        <f aca="false">SUM(R90:AC90)</f>
        <v>14004.0049752434</v>
      </c>
      <c r="AF90" s="170" t="s">
        <v>1208</v>
      </c>
      <c r="AG90" s="146" t="n">
        <f aca="false">'P&amp;LPLN'!AG89/Factors!AG$11</f>
        <v>1204.76477880321</v>
      </c>
      <c r="AH90" s="146" t="n">
        <f aca="false">'P&amp;LPLN'!AH89/Factors!AH$11</f>
        <v>1199.78641194865</v>
      </c>
      <c r="AI90" s="146" t="n">
        <f aca="false">'P&amp;LPLN'!AI89/Factors!AI$11</f>
        <v>1194.84901930689</v>
      </c>
      <c r="AJ90" s="146" t="n">
        <f aca="false">'P&amp;LPLN'!AJ89/Factors!AJ$11</f>
        <v>1189.95209709661</v>
      </c>
      <c r="AK90" s="146" t="n">
        <f aca="false">'P&amp;LPLN'!AK89/Factors!AK$11</f>
        <v>1185.09514976153</v>
      </c>
      <c r="AL90" s="146" t="n">
        <f aca="false">'P&amp;LPLN'!AL89/Factors!AL$11</f>
        <v>1180.27768980315</v>
      </c>
      <c r="AM90" s="146" t="n">
        <f aca="false">'P&amp;LPLN'!AM89/Factors!AM$11</f>
        <v>1175.49923761771</v>
      </c>
      <c r="AN90" s="146" t="n">
        <f aca="false">'P&amp;LPLN'!AN89/Factors!AN$11</f>
        <v>1170.75932133699</v>
      </c>
      <c r="AO90" s="146" t="n">
        <f aca="false">'P&amp;LPLN'!AO89/Factors!AO$11</f>
        <v>1166.05747667299</v>
      </c>
      <c r="AP90" s="146" t="n">
        <f aca="false">'P&amp;LPLN'!AP89/Factors!AP$11</f>
        <v>1161.3932467663</v>
      </c>
      <c r="AQ90" s="146" t="n">
        <f aca="false">'P&amp;LPLN'!AQ89/Factors!AQ$11</f>
        <v>1156.76618203814</v>
      </c>
      <c r="AR90" s="146" t="n">
        <f aca="false">'P&amp;LPLN'!AR89/Factors!AR$11</f>
        <v>1152.17584004593</v>
      </c>
      <c r="AS90" s="146" t="n">
        <f aca="false">SUM(AG90:AR90)</f>
        <v>14137.3764511981</v>
      </c>
    </row>
    <row r="91" customFormat="false" ht="13.2" hidden="false" customHeight="false" outlineLevel="0" collapsed="false">
      <c r="A91" s="207" t="s">
        <v>895</v>
      </c>
      <c r="B91" s="170" t="s">
        <v>1209</v>
      </c>
      <c r="C91" s="146" t="n">
        <f aca="false">'P&amp;LPLN'!C90/Factors!C$11</f>
        <v>3941.05486925276</v>
      </c>
      <c r="D91" s="146" t="n">
        <f aca="false">'P&amp;LPLN'!D90/Factors!D$11</f>
        <v>3935.55279823466</v>
      </c>
      <c r="E91" s="146" t="n">
        <f aca="false">'P&amp;LPLN'!E90/Factors!E$11</f>
        <v>3930.06606858167</v>
      </c>
      <c r="F91" s="146" t="n">
        <f aca="false">'P&amp;LPLN'!F90/Factors!F$11</f>
        <v>3924.59461621889</v>
      </c>
      <c r="G91" s="146" t="n">
        <f aca="false">'P&amp;LPLN'!G90/Factors!G$11</f>
        <v>3919.13837742772</v>
      </c>
      <c r="H91" s="146" t="n">
        <f aca="false">'P&amp;LPLN'!H90/Factors!H$11</f>
        <v>3913.69728884343</v>
      </c>
      <c r="I91" s="146" t="n">
        <f aca="false">'P&amp;LPLN'!I90/Factors!I$11</f>
        <v>3908.27128745268</v>
      </c>
      <c r="J91" s="146" t="n">
        <f aca="false">'P&amp;LPLN'!J90/Factors!J$11</f>
        <v>3902.86031059109</v>
      </c>
      <c r="K91" s="146" t="n">
        <f aca="false">'P&amp;LPLN'!K90/Factors!K$11</f>
        <v>3897.46429594086</v>
      </c>
      <c r="L91" s="146" t="n">
        <f aca="false">'P&amp;LPLN'!L90/Factors!L$11</f>
        <v>3892.08318152832</v>
      </c>
      <c r="M91" s="146" t="n">
        <f aca="false">'P&amp;LPLN'!M90/Factors!M$11</f>
        <v>3886.7169057216</v>
      </c>
      <c r="N91" s="146" t="n">
        <f aca="false">'P&amp;LPLN'!N90/Factors!N$11</f>
        <v>3881.36540722828</v>
      </c>
      <c r="O91" s="139" t="n">
        <f aca="false">SUM(C91:N91)</f>
        <v>46932.865407022</v>
      </c>
      <c r="Q91" s="170" t="s">
        <v>1209</v>
      </c>
      <c r="R91" s="146" t="n">
        <f aca="false">'P&amp;LPLN'!R90/Factors!R$11</f>
        <v>4019.87056283892</v>
      </c>
      <c r="S91" s="146" t="n">
        <f aca="false">'P&amp;LPLN'!S90/Factors!S$11</f>
        <v>4003.25952745528</v>
      </c>
      <c r="T91" s="146" t="n">
        <f aca="false">'P&amp;LPLN'!T90/Factors!T$11</f>
        <v>3986.78520841226</v>
      </c>
      <c r="U91" s="146" t="n">
        <f aca="false">'P&amp;LPLN'!U90/Factors!U$11</f>
        <v>3970.44592477122</v>
      </c>
      <c r="V91" s="146" t="n">
        <f aca="false">'P&amp;LPLN'!V90/Factors!V$11</f>
        <v>3954.24002303746</v>
      </c>
      <c r="W91" s="146" t="n">
        <f aca="false">'P&amp;LPLN'!W90/Factors!W$11</f>
        <v>3938.16587660235</v>
      </c>
      <c r="X91" s="146" t="n">
        <f aca="false">'P&amp;LPLN'!X90/Factors!X$11</f>
        <v>3922.2218851991</v>
      </c>
      <c r="Y91" s="146" t="n">
        <f aca="false">'P&amp;LPLN'!Y90/Factors!Y$11</f>
        <v>3906.40647437169</v>
      </c>
      <c r="Z91" s="146" t="n">
        <f aca="false">'P&amp;LPLN'!Z90/Factors!Z$11</f>
        <v>3890.71809495654</v>
      </c>
      <c r="AA91" s="146" t="n">
        <f aca="false">'P&amp;LPLN'!AA90/Factors!AA$11</f>
        <v>3875.15522257672</v>
      </c>
      <c r="AB91" s="146" t="n">
        <f aca="false">'P&amp;LPLN'!AB90/Factors!AB$11</f>
        <v>3859.71635714812</v>
      </c>
      <c r="AC91" s="146" t="n">
        <f aca="false">'P&amp;LPLN'!AC90/Factors!AC$11</f>
        <v>3844.40002239754</v>
      </c>
      <c r="AD91" s="146" t="n">
        <f aca="false">SUM(R91:AC91)</f>
        <v>47171.3851797672</v>
      </c>
      <c r="AF91" s="170" t="s">
        <v>1209</v>
      </c>
      <c r="AG91" s="146" t="n">
        <f aca="false">'P&amp;LPLN'!AG90/Factors!AG$11</f>
        <v>4058.15504438976</v>
      </c>
      <c r="AH91" s="146" t="n">
        <f aca="false">'P&amp;LPLN'!AH90/Factors!AH$11</f>
        <v>4041.38580866914</v>
      </c>
      <c r="AI91" s="146" t="n">
        <f aca="false">'P&amp;LPLN'!AI90/Factors!AI$11</f>
        <v>4024.75459134952</v>
      </c>
      <c r="AJ91" s="146" t="n">
        <f aca="false">'P&amp;LPLN'!AJ90/Factors!AJ$11</f>
        <v>4008.25969548333</v>
      </c>
      <c r="AK91" s="146" t="n">
        <f aca="false">'P&amp;LPLN'!AK90/Factors!AK$11</f>
        <v>3991.8994518283</v>
      </c>
      <c r="AL91" s="146" t="n">
        <f aca="false">'P&amp;LPLN'!AL90/Factors!AL$11</f>
        <v>3975.67221828428</v>
      </c>
      <c r="AM91" s="146" t="n">
        <f aca="false">'P&amp;LPLN'!AM90/Factors!AM$11</f>
        <v>3959.57637934386</v>
      </c>
      <c r="AN91" s="146" t="n">
        <f aca="false">'P&amp;LPLN'!AN90/Factors!AN$11</f>
        <v>3943.61034555618</v>
      </c>
      <c r="AO91" s="146" t="n">
        <f aca="false">'P&amp;LPLN'!AO90/Factors!AO$11</f>
        <v>3927.77255300375</v>
      </c>
      <c r="AP91" s="146" t="n">
        <f aca="false">'P&amp;LPLN'!AP90/Factors!AP$11</f>
        <v>3912.06146279173</v>
      </c>
      <c r="AQ91" s="146" t="n">
        <f aca="false">'P&amp;LPLN'!AQ90/Factors!AQ$11</f>
        <v>3896.47556054953</v>
      </c>
      <c r="AR91" s="146" t="n">
        <f aca="false">'P&amp;LPLN'!AR90/Factors!AR$11</f>
        <v>3881.01335594418</v>
      </c>
      <c r="AS91" s="146" t="n">
        <f aca="false">SUM(AG91:AR91)</f>
        <v>47620.6364671936</v>
      </c>
    </row>
    <row r="92" customFormat="false" ht="13.2" hidden="false" customHeight="false" outlineLevel="0" collapsed="false">
      <c r="A92" s="207" t="s">
        <v>897</v>
      </c>
      <c r="B92" s="170" t="s">
        <v>1210</v>
      </c>
      <c r="C92" s="146" t="n">
        <f aca="false">'P&amp;LPLN'!C91/Factors!C$11</f>
        <v>2463.15929328298</v>
      </c>
      <c r="D92" s="146" t="n">
        <f aca="false">'P&amp;LPLN'!D91/Factors!D$11</f>
        <v>2459.72049889666</v>
      </c>
      <c r="E92" s="146" t="n">
        <f aca="false">'P&amp;LPLN'!E91/Factors!E$11</f>
        <v>2456.29129286355</v>
      </c>
      <c r="F92" s="146" t="n">
        <f aca="false">'P&amp;LPLN'!F91/Factors!F$11</f>
        <v>2452.87163513681</v>
      </c>
      <c r="G92" s="146" t="n">
        <f aca="false">'P&amp;LPLN'!G91/Factors!G$11</f>
        <v>2449.46148589233</v>
      </c>
      <c r="H92" s="146" t="n">
        <f aca="false">'P&amp;LPLN'!H91/Factors!H$11</f>
        <v>2446.06080552714</v>
      </c>
      <c r="I92" s="146" t="n">
        <f aca="false">'P&amp;LPLN'!I91/Factors!I$11</f>
        <v>2442.66955465792</v>
      </c>
      <c r="J92" s="146" t="n">
        <f aca="false">'P&amp;LPLN'!J91/Factors!J$11</f>
        <v>2439.28769411943</v>
      </c>
      <c r="K92" s="146" t="n">
        <f aca="false">'P&amp;LPLN'!K91/Factors!K$11</f>
        <v>2435.91518496304</v>
      </c>
      <c r="L92" s="146" t="n">
        <f aca="false">'P&amp;LPLN'!L91/Factors!L$11</f>
        <v>2432.5519884552</v>
      </c>
      <c r="M92" s="146" t="n">
        <f aca="false">'P&amp;LPLN'!M91/Factors!M$11</f>
        <v>2429.198066076</v>
      </c>
      <c r="N92" s="146" t="n">
        <f aca="false">'P&amp;LPLN'!N91/Factors!N$11</f>
        <v>2425.85337951767</v>
      </c>
      <c r="O92" s="139" t="n">
        <f aca="false">SUM(C92:N92)</f>
        <v>29333.0408793887</v>
      </c>
      <c r="Q92" s="170" t="s">
        <v>1210</v>
      </c>
      <c r="R92" s="146" t="n">
        <f aca="false">'P&amp;LPLN'!R91/Factors!R$11</f>
        <v>2512.41910177432</v>
      </c>
      <c r="S92" s="146" t="n">
        <f aca="false">'P&amp;LPLN'!S91/Factors!S$11</f>
        <v>2502.03720465955</v>
      </c>
      <c r="T92" s="146" t="n">
        <f aca="false">'P&amp;LPLN'!T91/Factors!T$11</f>
        <v>2491.74075525766</v>
      </c>
      <c r="U92" s="146" t="n">
        <f aca="false">'P&amp;LPLN'!U91/Factors!U$11</f>
        <v>2481.52870298201</v>
      </c>
      <c r="V92" s="146" t="n">
        <f aca="false">'P&amp;LPLN'!V91/Factors!V$11</f>
        <v>2471.40001439841</v>
      </c>
      <c r="W92" s="146" t="n">
        <f aca="false">'P&amp;LPLN'!W91/Factors!W$11</f>
        <v>2461.35367287647</v>
      </c>
      <c r="X92" s="146" t="n">
        <f aca="false">'P&amp;LPLN'!X91/Factors!X$11</f>
        <v>2451.38867824944</v>
      </c>
      <c r="Y92" s="146" t="n">
        <f aca="false">'P&amp;LPLN'!Y91/Factors!Y$11</f>
        <v>2441.50404648231</v>
      </c>
      <c r="Z92" s="146" t="n">
        <f aca="false">'P&amp;LPLN'!Z91/Factors!Z$11</f>
        <v>2431.69880934784</v>
      </c>
      <c r="AA92" s="146" t="n">
        <f aca="false">'P&amp;LPLN'!AA91/Factors!AA$11</f>
        <v>2421.97201411045</v>
      </c>
      <c r="AB92" s="146" t="n">
        <f aca="false">'P&amp;LPLN'!AB91/Factors!AB$11</f>
        <v>2412.32272321758</v>
      </c>
      <c r="AC92" s="146" t="n">
        <f aca="false">'P&amp;LPLN'!AC91/Factors!AC$11</f>
        <v>2402.75001399846</v>
      </c>
      <c r="AD92" s="146" t="n">
        <f aca="false">SUM(R92:AC92)</f>
        <v>29482.1157373545</v>
      </c>
      <c r="AF92" s="170" t="s">
        <v>1210</v>
      </c>
      <c r="AG92" s="146" t="n">
        <f aca="false">'P&amp;LPLN'!AG91/Factors!AG$11</f>
        <v>2536.3469027436</v>
      </c>
      <c r="AH92" s="146" t="n">
        <f aca="false">'P&amp;LPLN'!AH91/Factors!AH$11</f>
        <v>2525.86613041822</v>
      </c>
      <c r="AI92" s="146" t="n">
        <f aca="false">'P&amp;LPLN'!AI91/Factors!AI$11</f>
        <v>2515.47161959345</v>
      </c>
      <c r="AJ92" s="146" t="n">
        <f aca="false">'P&amp;LPLN'!AJ91/Factors!AJ$11</f>
        <v>2505.16230967708</v>
      </c>
      <c r="AK92" s="146" t="n">
        <f aca="false">'P&amp;LPLN'!AK91/Factors!AK$11</f>
        <v>2494.93715739269</v>
      </c>
      <c r="AL92" s="146" t="n">
        <f aca="false">'P&amp;LPLN'!AL91/Factors!AL$11</f>
        <v>2484.79513642767</v>
      </c>
      <c r="AM92" s="146" t="n">
        <f aca="false">'P&amp;LPLN'!AM91/Factors!AM$11</f>
        <v>2474.73523708991</v>
      </c>
      <c r="AN92" s="146" t="n">
        <f aca="false">'P&amp;LPLN'!AN91/Factors!AN$11</f>
        <v>2464.75646597261</v>
      </c>
      <c r="AO92" s="146" t="n">
        <f aca="false">'P&amp;LPLN'!AO91/Factors!AO$11</f>
        <v>2454.85784562734</v>
      </c>
      <c r="AP92" s="146" t="n">
        <f aca="false">'P&amp;LPLN'!AP91/Factors!AP$11</f>
        <v>2445.03841424483</v>
      </c>
      <c r="AQ92" s="146" t="n">
        <f aca="false">'P&amp;LPLN'!AQ91/Factors!AQ$11</f>
        <v>2435.29722534346</v>
      </c>
      <c r="AR92" s="146" t="n">
        <f aca="false">'P&amp;LPLN'!AR91/Factors!AR$11</f>
        <v>2425.63334746511</v>
      </c>
      <c r="AS92" s="146" t="n">
        <f aca="false">SUM(AG92:AR92)</f>
        <v>29762.897791996</v>
      </c>
    </row>
    <row r="93" customFormat="false" ht="13.2" hidden="false" customHeight="false" outlineLevel="0" collapsed="false">
      <c r="A93" s="207" t="s">
        <v>899</v>
      </c>
      <c r="B93" s="170" t="s">
        <v>1211</v>
      </c>
      <c r="C93" s="146" t="n">
        <f aca="false">'P&amp;LPLN'!C92/Factors!C$11</f>
        <v>394.105486925276</v>
      </c>
      <c r="D93" s="146" t="n">
        <f aca="false">'P&amp;LPLN'!D92/Factors!D$11</f>
        <v>393.555279823466</v>
      </c>
      <c r="E93" s="146" t="n">
        <f aca="false">'P&amp;LPLN'!E92/Factors!E$11</f>
        <v>393.006606858167</v>
      </c>
      <c r="F93" s="146" t="n">
        <f aca="false">'P&amp;LPLN'!F92/Factors!F$11</f>
        <v>392.459461621889</v>
      </c>
      <c r="G93" s="146" t="n">
        <f aca="false">'P&amp;LPLN'!G92/Factors!G$11</f>
        <v>391.913837742772</v>
      </c>
      <c r="H93" s="146" t="n">
        <f aca="false">'P&amp;LPLN'!H92/Factors!H$11</f>
        <v>391.369728884343</v>
      </c>
      <c r="I93" s="146" t="n">
        <f aca="false">'P&amp;LPLN'!I92/Factors!I$11</f>
        <v>390.827128745268</v>
      </c>
      <c r="J93" s="146" t="n">
        <f aca="false">'P&amp;LPLN'!J92/Factors!J$11</f>
        <v>390.286031059109</v>
      </c>
      <c r="K93" s="146" t="n">
        <f aca="false">'P&amp;LPLN'!K92/Factors!K$11</f>
        <v>389.746429594086</v>
      </c>
      <c r="L93" s="146" t="n">
        <f aca="false">'P&amp;LPLN'!L92/Factors!L$11</f>
        <v>389.208318152832</v>
      </c>
      <c r="M93" s="146" t="n">
        <f aca="false">'P&amp;LPLN'!M92/Factors!M$11</f>
        <v>388.67169057216</v>
      </c>
      <c r="N93" s="146" t="n">
        <f aca="false">'P&amp;LPLN'!N92/Factors!N$11</f>
        <v>388.136540722828</v>
      </c>
      <c r="O93" s="139" t="n">
        <f aca="false">SUM(C93:N93)</f>
        <v>4693.2865407022</v>
      </c>
      <c r="Q93" s="170" t="s">
        <v>1211</v>
      </c>
      <c r="R93" s="146" t="n">
        <f aca="false">'P&amp;LPLN'!R92/Factors!R$11</f>
        <v>401.987056283892</v>
      </c>
      <c r="S93" s="146" t="n">
        <f aca="false">'P&amp;LPLN'!S92/Factors!S$11</f>
        <v>400.325952745528</v>
      </c>
      <c r="T93" s="146" t="n">
        <f aca="false">'P&amp;LPLN'!T92/Factors!T$11</f>
        <v>398.678520841226</v>
      </c>
      <c r="U93" s="146" t="n">
        <f aca="false">'P&amp;LPLN'!U92/Factors!U$11</f>
        <v>397.044592477122</v>
      </c>
      <c r="V93" s="146" t="n">
        <f aca="false">'P&amp;LPLN'!V92/Factors!V$11</f>
        <v>395.424002303746</v>
      </c>
      <c r="W93" s="146" t="n">
        <f aca="false">'P&amp;LPLN'!W92/Factors!W$11</f>
        <v>393.816587660235</v>
      </c>
      <c r="X93" s="146" t="n">
        <f aca="false">'P&amp;LPLN'!X92/Factors!X$11</f>
        <v>392.22218851991</v>
      </c>
      <c r="Y93" s="146" t="n">
        <f aca="false">'P&amp;LPLN'!Y92/Factors!Y$11</f>
        <v>390.640647437169</v>
      </c>
      <c r="Z93" s="146" t="n">
        <f aca="false">'P&amp;LPLN'!Z92/Factors!Z$11</f>
        <v>389.071809495654</v>
      </c>
      <c r="AA93" s="146" t="n">
        <f aca="false">'P&amp;LPLN'!AA92/Factors!AA$11</f>
        <v>387.515522257672</v>
      </c>
      <c r="AB93" s="146" t="n">
        <f aca="false">'P&amp;LPLN'!AB92/Factors!AB$11</f>
        <v>385.971635714812</v>
      </c>
      <c r="AC93" s="146" t="n">
        <f aca="false">'P&amp;LPLN'!AC92/Factors!AC$11</f>
        <v>384.440002239754</v>
      </c>
      <c r="AD93" s="146" t="n">
        <f aca="false">SUM(R93:AC93)</f>
        <v>4717.13851797672</v>
      </c>
      <c r="AF93" s="170" t="s">
        <v>1211</v>
      </c>
      <c r="AG93" s="146" t="n">
        <f aca="false">'P&amp;LPLN'!AG92/Factors!AG$11</f>
        <v>405.815504438976</v>
      </c>
      <c r="AH93" s="146" t="n">
        <f aca="false">'P&amp;LPLN'!AH92/Factors!AH$11</f>
        <v>404.138580866914</v>
      </c>
      <c r="AI93" s="146" t="n">
        <f aca="false">'P&amp;LPLN'!AI92/Factors!AI$11</f>
        <v>402.475459134952</v>
      </c>
      <c r="AJ93" s="146" t="n">
        <f aca="false">'P&amp;LPLN'!AJ92/Factors!AJ$11</f>
        <v>400.825969548333</v>
      </c>
      <c r="AK93" s="146" t="n">
        <f aca="false">'P&amp;LPLN'!AK92/Factors!AK$11</f>
        <v>399.18994518283</v>
      </c>
      <c r="AL93" s="146" t="n">
        <f aca="false">'P&amp;LPLN'!AL92/Factors!AL$11</f>
        <v>397.567221828428</v>
      </c>
      <c r="AM93" s="146" t="n">
        <f aca="false">'P&amp;LPLN'!AM92/Factors!AM$11</f>
        <v>395.957637934386</v>
      </c>
      <c r="AN93" s="146" t="n">
        <f aca="false">'P&amp;LPLN'!AN92/Factors!AN$11</f>
        <v>394.361034555618</v>
      </c>
      <c r="AO93" s="146" t="n">
        <f aca="false">'P&amp;LPLN'!AO92/Factors!AO$11</f>
        <v>392.777255300375</v>
      </c>
      <c r="AP93" s="146" t="n">
        <f aca="false">'P&amp;LPLN'!AP92/Factors!AP$11</f>
        <v>391.206146279173</v>
      </c>
      <c r="AQ93" s="146" t="n">
        <f aca="false">'P&amp;LPLN'!AQ92/Factors!AQ$11</f>
        <v>389.647556054953</v>
      </c>
      <c r="AR93" s="146" t="n">
        <f aca="false">'P&amp;LPLN'!AR92/Factors!AR$11</f>
        <v>388.101335594418</v>
      </c>
      <c r="AS93" s="146" t="n">
        <f aca="false">SUM(AG93:AR93)</f>
        <v>4762.06364671936</v>
      </c>
    </row>
    <row r="94" customFormat="false" ht="13.2" hidden="false" customHeight="false" outlineLevel="0" collapsed="false">
      <c r="A94" s="207" t="s">
        <v>901</v>
      </c>
      <c r="B94" s="170" t="s">
        <v>1212</v>
      </c>
      <c r="C94" s="146" t="n">
        <f aca="false">'P&amp;LPLN'!C93/Factors!C$11</f>
        <v>464.747036468486</v>
      </c>
      <c r="D94" s="146" t="n">
        <f aca="false">'P&amp;LPLN'!D93/Factors!D$11</f>
        <v>464.098207338993</v>
      </c>
      <c r="E94" s="146" t="n">
        <f aca="false">'P&amp;LPLN'!E93/Factors!E$11</f>
        <v>463.451187332745</v>
      </c>
      <c r="F94" s="146" t="n">
        <f aca="false">'P&amp;LPLN'!F93/Factors!F$11</f>
        <v>462.805968893737</v>
      </c>
      <c r="G94" s="146" t="n">
        <f aca="false">'P&amp;LPLN'!G93/Factors!G$11</f>
        <v>462.162544507986</v>
      </c>
      <c r="H94" s="146" t="n">
        <f aca="false">'P&amp;LPLN'!H93/Factors!H$11</f>
        <v>461.520906703235</v>
      </c>
      <c r="I94" s="146" t="n">
        <f aca="false">'P&amp;LPLN'!I93/Factors!I$11</f>
        <v>460.881048048665</v>
      </c>
      <c r="J94" s="146" t="n">
        <f aca="false">'P&amp;LPLN'!J93/Factors!J$11</f>
        <v>460.24296115461</v>
      </c>
      <c r="K94" s="146" t="n">
        <f aca="false">'P&amp;LPLN'!K93/Factors!K$11</f>
        <v>459.606638672271</v>
      </c>
      <c r="L94" s="146" t="n">
        <f aca="false">'P&amp;LPLN'!L93/Factors!L$11</f>
        <v>458.972073293434</v>
      </c>
      <c r="M94" s="146" t="n">
        <f aca="false">'P&amp;LPLN'!M93/Factors!M$11</f>
        <v>458.339257750189</v>
      </c>
      <c r="N94" s="146" t="n">
        <f aca="false">'P&amp;LPLN'!N93/Factors!N$11</f>
        <v>457.708184814656</v>
      </c>
      <c r="O94" s="139" t="n">
        <f aca="false">SUM(C94:N94)</f>
        <v>5534.53601497901</v>
      </c>
      <c r="Q94" s="170" t="s">
        <v>1212</v>
      </c>
      <c r="R94" s="146" t="n">
        <f aca="false">'P&amp;LPLN'!R93/Factors!R$11</f>
        <v>474.041339957419</v>
      </c>
      <c r="S94" s="146" t="n">
        <f aca="false">'P&amp;LPLN'!S93/Factors!S$11</f>
        <v>472.082491445198</v>
      </c>
      <c r="T94" s="146" t="n">
        <f aca="false">'P&amp;LPLN'!T93/Factors!T$11</f>
        <v>470.139765142955</v>
      </c>
      <c r="U94" s="146" t="n">
        <f aca="false">'P&amp;LPLN'!U93/Factors!U$11</f>
        <v>468.212962826795</v>
      </c>
      <c r="V94" s="146" t="n">
        <f aca="false">'P&amp;LPLN'!V93/Factors!V$11</f>
        <v>466.301889509135</v>
      </c>
      <c r="W94" s="146" t="n">
        <f aca="false">'P&amp;LPLN'!W93/Factors!W$11</f>
        <v>464.406353372919</v>
      </c>
      <c r="X94" s="146" t="n">
        <f aca="false">'P&amp;LPLN'!X93/Factors!X$11</f>
        <v>462.526165707441</v>
      </c>
      <c r="Y94" s="146" t="n">
        <f aca="false">'P&amp;LPLN'!Y93/Factors!Y$11</f>
        <v>460.661140845718</v>
      </c>
      <c r="Z94" s="146" t="n">
        <f aca="false">'P&amp;LPLN'!Z93/Factors!Z$11</f>
        <v>458.811096103366</v>
      </c>
      <c r="AA94" s="146" t="n">
        <f aca="false">'P&amp;LPLN'!AA93/Factors!AA$11</f>
        <v>456.975851718952</v>
      </c>
      <c r="AB94" s="146" t="n">
        <f aca="false">'P&amp;LPLN'!AB93/Factors!AB$11</f>
        <v>455.155230795769</v>
      </c>
      <c r="AC94" s="146" t="n">
        <f aca="false">'P&amp;LPLN'!AC93/Factors!AC$11</f>
        <v>453.349059244992</v>
      </c>
      <c r="AD94" s="146" t="n">
        <f aca="false">SUM(R94:AC94)</f>
        <v>5562.66334667066</v>
      </c>
      <c r="AF94" s="170" t="s">
        <v>1212</v>
      </c>
      <c r="AG94" s="146" t="n">
        <f aca="false">'P&amp;LPLN'!AG93/Factors!AG$11</f>
        <v>478.556019385585</v>
      </c>
      <c r="AH94" s="146" t="n">
        <f aca="false">'P&amp;LPLN'!AH93/Factors!AH$11</f>
        <v>476.578515173248</v>
      </c>
      <c r="AI94" s="146" t="n">
        <f aca="false">'P&amp;LPLN'!AI93/Factors!AI$11</f>
        <v>474.617286715745</v>
      </c>
      <c r="AJ94" s="146" t="n">
        <f aca="false">'P&amp;LPLN'!AJ93/Factors!AJ$11</f>
        <v>472.672133901336</v>
      </c>
      <c r="AK94" s="146" t="n">
        <f aca="false">'P&amp;LPLN'!AK93/Factors!AK$11</f>
        <v>470.742859885412</v>
      </c>
      <c r="AL94" s="146" t="n">
        <f aca="false">'P&amp;LPLN'!AL93/Factors!AL$11</f>
        <v>468.82927102409</v>
      </c>
      <c r="AM94" s="146" t="n">
        <f aca="false">'P&amp;LPLN'!AM93/Factors!AM$11</f>
        <v>466.931176809417</v>
      </c>
      <c r="AN94" s="146" t="n">
        <f aca="false">'P&amp;LPLN'!AN93/Factors!AN$11</f>
        <v>465.048389806153</v>
      </c>
      <c r="AO94" s="146" t="n">
        <f aca="false">'P&amp;LPLN'!AO93/Factors!AO$11</f>
        <v>463.180725590064</v>
      </c>
      <c r="AP94" s="146" t="n">
        <f aca="false">'P&amp;LPLN'!AP93/Factors!AP$11</f>
        <v>461.328002687704</v>
      </c>
      <c r="AQ94" s="146" t="n">
        <f aca="false">'P&amp;LPLN'!AQ93/Factors!AQ$11</f>
        <v>459.490042517634</v>
      </c>
      <c r="AR94" s="146" t="n">
        <f aca="false">'P&amp;LPLN'!AR93/Factors!AR$11</f>
        <v>457.66666933304</v>
      </c>
      <c r="AS94" s="146" t="n">
        <f aca="false">SUM(AG94:AR94)</f>
        <v>5615.64109282943</v>
      </c>
    </row>
    <row r="95" customFormat="false" ht="13.8" hidden="false" customHeight="false" outlineLevel="0" collapsed="false">
      <c r="A95" s="137"/>
      <c r="B95" s="285" t="s">
        <v>66</v>
      </c>
      <c r="C95" s="353" t="n">
        <f aca="false">SUM(C78:C94)</f>
        <v>19247.9632623788</v>
      </c>
      <c r="D95" s="353" t="n">
        <f aca="false">SUM(D78:D94)</f>
        <v>19221.0913551517</v>
      </c>
      <c r="E95" s="353" t="n">
        <f aca="false">SUM(E78:E94)</f>
        <v>19194.2943745729</v>
      </c>
      <c r="F95" s="353" t="n">
        <f aca="false">SUM(F78:F94)</f>
        <v>19167.572007703</v>
      </c>
      <c r="G95" s="353" t="n">
        <f aca="false">SUM(G78:G94)</f>
        <v>19140.9239433427</v>
      </c>
      <c r="H95" s="353" t="n">
        <f aca="false">SUM(H78:H94)</f>
        <v>19114.3498720212</v>
      </c>
      <c r="I95" s="353" t="n">
        <f aca="false">SUM(I78:I94)</f>
        <v>19087.8494859835</v>
      </c>
      <c r="J95" s="353" t="n">
        <f aca="false">SUM(J78:J94)</f>
        <v>19061.4224791793</v>
      </c>
      <c r="K95" s="353" t="n">
        <f aca="false">SUM(K78:K94)</f>
        <v>19035.0685472508</v>
      </c>
      <c r="L95" s="353" t="n">
        <f aca="false">SUM(L78:L94)</f>
        <v>19008.7873875209</v>
      </c>
      <c r="M95" s="353" t="n">
        <f aca="false">SUM(M78:M94)</f>
        <v>18982.5786989818</v>
      </c>
      <c r="N95" s="353" t="n">
        <f aca="false">SUM(N78:N94)</f>
        <v>18956.4421822838</v>
      </c>
      <c r="O95" s="353" t="n">
        <f aca="false">SUM(O78:O94)</f>
        <v>229218.343596371</v>
      </c>
      <c r="Q95" s="170"/>
      <c r="R95" s="353" t="n">
        <f aca="false">SUM(R78:R94)</f>
        <v>19632.8961356765</v>
      </c>
      <c r="S95" s="364" t="n">
        <f aca="false">SUM(S78:S94)</f>
        <v>19551.7684656943</v>
      </c>
      <c r="T95" s="364" t="n">
        <f aca="false">SUM(T78:T94)</f>
        <v>19471.3085131606</v>
      </c>
      <c r="U95" s="364" t="n">
        <f aca="false">SUM(U78:U94)</f>
        <v>19391.5080684346</v>
      </c>
      <c r="V95" s="364" t="n">
        <f aca="false">SUM(V78:V94)</f>
        <v>19312.3590559103</v>
      </c>
      <c r="W95" s="364" t="n">
        <f aca="false">SUM(W78:W94)</f>
        <v>19233.8535312928</v>
      </c>
      <c r="X95" s="364" t="n">
        <f aca="false">SUM(X78:X94)</f>
        <v>19155.9836789394</v>
      </c>
      <c r="Y95" s="364" t="n">
        <f aca="false">SUM(Y78:Y94)</f>
        <v>19078.7418092663</v>
      </c>
      <c r="Z95" s="364" t="n">
        <f aca="false">SUM(Z78:Z94)</f>
        <v>19002.120356217</v>
      </c>
      <c r="AA95" s="364" t="n">
        <f aca="false">SUM(AA78:AA94)</f>
        <v>18926.1118747921</v>
      </c>
      <c r="AB95" s="364" t="n">
        <f aca="false">SUM(AB78:AB94)</f>
        <v>18850.7090386376</v>
      </c>
      <c r="AC95" s="364" t="n">
        <f aca="false">SUM(AC78:AC94)</f>
        <v>18775.9046376906</v>
      </c>
      <c r="AD95" s="364" t="n">
        <f aca="false">SUM(AD78:AD94)</f>
        <v>230383.265165712</v>
      </c>
      <c r="AF95" s="170"/>
      <c r="AG95" s="353" t="n">
        <f aca="false">SUM(AG78:AG94)</f>
        <v>19819.8760988734</v>
      </c>
      <c r="AH95" s="364" t="n">
        <f aca="false">SUM(AH78:AH94)</f>
        <v>19737.9757844152</v>
      </c>
      <c r="AI95" s="364" t="n">
        <f aca="false">SUM(AI78:AI94)</f>
        <v>19656.7495466193</v>
      </c>
      <c r="AJ95" s="364" t="n">
        <f aca="false">SUM(AJ78:AJ94)</f>
        <v>19576.1890976577</v>
      </c>
      <c r="AK95" s="364" t="n">
        <f aca="false">SUM(AK78:AK94)</f>
        <v>19496.2862850142</v>
      </c>
      <c r="AL95" s="364" t="n">
        <f aca="false">SUM(AL78:AL94)</f>
        <v>19417.0330887337</v>
      </c>
      <c r="AM95" s="364" t="n">
        <f aca="false">SUM(AM78:AM94)</f>
        <v>19338.4216187388</v>
      </c>
      <c r="AN95" s="364" t="n">
        <f aca="false">SUM(AN78:AN94)</f>
        <v>19260.4441122116</v>
      </c>
      <c r="AO95" s="364" t="n">
        <f aca="false">SUM(AO78:AO94)</f>
        <v>19183.0929310381</v>
      </c>
      <c r="AP95" s="364" t="n">
        <f aca="false">SUM(AP78:AP94)</f>
        <v>19106.360559314</v>
      </c>
      <c r="AQ95" s="364" t="n">
        <f aca="false">SUM(AQ78:AQ94)</f>
        <v>19030.2396009103</v>
      </c>
      <c r="AR95" s="364" t="n">
        <f aca="false">SUM(AR78:AR94)</f>
        <v>18954.7227770972</v>
      </c>
      <c r="AS95" s="364" t="n">
        <f aca="false">SUM(AS78:AS94)</f>
        <v>232577.391500624</v>
      </c>
    </row>
    <row r="96" customFormat="false" ht="13.8" hidden="false" customHeight="false" outlineLevel="0" collapsed="false">
      <c r="A96" s="137"/>
      <c r="B96" s="20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5"/>
      <c r="Q96" s="170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5"/>
      <c r="AF96" s="170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5"/>
    </row>
    <row r="97" customFormat="false" ht="13.2" hidden="false" customHeight="false" outlineLevel="0" collapsed="false">
      <c r="A97" s="392" t="s">
        <v>903</v>
      </c>
      <c r="B97" s="205" t="s">
        <v>1213</v>
      </c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5"/>
      <c r="Q97" s="205" t="s">
        <v>1214</v>
      </c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5"/>
      <c r="AF97" s="205" t="s">
        <v>1214</v>
      </c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5"/>
    </row>
    <row r="98" customFormat="false" ht="13.2" hidden="false" customHeight="false" outlineLevel="0" collapsed="false">
      <c r="A98" s="207" t="s">
        <v>905</v>
      </c>
      <c r="B98" s="170" t="s">
        <v>1215</v>
      </c>
      <c r="C98" s="146" t="n">
        <f aca="false">'P&amp;LPLN'!C97/Factors!C$11</f>
        <v>2025.13521141143</v>
      </c>
      <c r="D98" s="146" t="n">
        <f aca="false">'P&amp;LPLN'!D97/Factors!D$11</f>
        <v>2022.30793847966</v>
      </c>
      <c r="E98" s="146" t="n">
        <f aca="false">'P&amp;LPLN'!E97/Factors!E$11</f>
        <v>2019.48854880243</v>
      </c>
      <c r="F98" s="146" t="n">
        <f aca="false">'P&amp;LPLN'!F97/Factors!F$11</f>
        <v>2016.67700945446</v>
      </c>
      <c r="G98" s="146" t="n">
        <f aca="false">'P&amp;LPLN'!G97/Factors!G$11</f>
        <v>2013.87328769355</v>
      </c>
      <c r="H98" s="146" t="n">
        <f aca="false">'P&amp;LPLN'!H97/Factors!H$11</f>
        <v>2011.07735095935</v>
      </c>
      <c r="I98" s="146" t="n">
        <f aca="false">'P&amp;LPLN'!I97/Factors!I$11</f>
        <v>2008.28916687206</v>
      </c>
      <c r="J98" s="146" t="n">
        <f aca="false">'P&amp;LPLN'!J97/Factors!J$11</f>
        <v>2005.50870323121</v>
      </c>
      <c r="K98" s="146" t="n">
        <f aca="false">'P&amp;LPLN'!K97/Factors!K$11</f>
        <v>2002.73592801442</v>
      </c>
      <c r="L98" s="146" t="n">
        <f aca="false">'P&amp;LPLN'!L97/Factors!L$11</f>
        <v>1999.97080937614</v>
      </c>
      <c r="M98" s="146" t="n">
        <f aca="false">'P&amp;LPLN'!M97/Factors!M$11</f>
        <v>1997.21331564645</v>
      </c>
      <c r="N98" s="146" t="n">
        <f aca="false">'P&amp;LPLN'!N97/Factors!N$11</f>
        <v>1994.46341532986</v>
      </c>
      <c r="O98" s="139" t="n">
        <f aca="false">SUM(C98:N98)</f>
        <v>24116.740685271</v>
      </c>
      <c r="Q98" s="170" t="s">
        <v>1215</v>
      </c>
      <c r="R98" s="146" t="n">
        <f aca="false">'P&amp;LPLN'!R97/Factors!R$11</f>
        <v>2065.63513886445</v>
      </c>
      <c r="S98" s="146" t="n">
        <f aca="false">'P&amp;LPLN'!S97/Factors!S$11</f>
        <v>2057.09945647245</v>
      </c>
      <c r="T98" s="146" t="n">
        <f aca="false">'P&amp;LPLN'!T97/Factors!T$11</f>
        <v>2048.63402661043</v>
      </c>
      <c r="U98" s="146" t="n">
        <f aca="false">'P&amp;LPLN'!U97/Factors!U$11</f>
        <v>2040.23798551776</v>
      </c>
      <c r="V98" s="146" t="n">
        <f aca="false">'P&amp;LPLN'!V97/Factors!V$11</f>
        <v>2031.91048353606</v>
      </c>
      <c r="W98" s="146" t="n">
        <f aca="false">'P&amp;LPLN'!W97/Factors!W$11</f>
        <v>2023.65068482249</v>
      </c>
      <c r="X98" s="146" t="n">
        <f aca="false">'P&amp;LPLN'!X97/Factors!X$11</f>
        <v>2015.45776707018</v>
      </c>
      <c r="Y98" s="146" t="n">
        <f aca="false">'P&amp;LPLN'!Y97/Factors!Y$11</f>
        <v>2007.33092123522</v>
      </c>
      <c r="Z98" s="146" t="n">
        <f aca="false">'P&amp;LPLN'!Z97/Factors!Z$11</f>
        <v>1999.26935127042</v>
      </c>
      <c r="AA98" s="146" t="n">
        <f aca="false">'P&amp;LPLN'!AA97/Factors!AA$11</f>
        <v>1991.27227386533</v>
      </c>
      <c r="AB98" s="146" t="n">
        <f aca="false">'P&amp;LPLN'!AB97/Factors!AB$11</f>
        <v>1983.33891819256</v>
      </c>
      <c r="AC98" s="146" t="n">
        <f aca="false">'P&amp;LPLN'!AC97/Factors!AC$11</f>
        <v>1975.46852566005</v>
      </c>
      <c r="AD98" s="146" t="n">
        <f aca="false">SUM(R98:AC98)</f>
        <v>24239.3055331174</v>
      </c>
      <c r="AF98" s="170" t="s">
        <v>1215</v>
      </c>
      <c r="AG98" s="146" t="n">
        <f aca="false">'P&amp;LPLN'!AG97/Factors!AG$11</f>
        <v>2085.30785447269</v>
      </c>
      <c r="AH98" s="146" t="n">
        <f aca="false">'P&amp;LPLN'!AH97/Factors!AH$11</f>
        <v>2076.69087986743</v>
      </c>
      <c r="AI98" s="146" t="n">
        <f aca="false">'P&amp;LPLN'!AI97/Factors!AI$11</f>
        <v>2068.14482686386</v>
      </c>
      <c r="AJ98" s="146" t="n">
        <f aca="false">'P&amp;LPLN'!AJ97/Factors!AJ$11</f>
        <v>2059.66882347507</v>
      </c>
      <c r="AK98" s="146" t="n">
        <f aca="false">'P&amp;LPLN'!AK97/Factors!AK$11</f>
        <v>2051.26201195068</v>
      </c>
      <c r="AL98" s="146" t="n">
        <f aca="false">'P&amp;LPLN'!AL97/Factors!AL$11</f>
        <v>2042.92354848747</v>
      </c>
      <c r="AM98" s="146" t="n">
        <f aca="false">'P&amp;LPLN'!AM97/Factors!AM$11</f>
        <v>2034.65260294704</v>
      </c>
      <c r="AN98" s="146" t="n">
        <f aca="false">'P&amp;LPLN'!AN97/Factors!AN$11</f>
        <v>2026.44835858031</v>
      </c>
      <c r="AO98" s="146" t="n">
        <f aca="false">'P&amp;LPLN'!AO97/Factors!AO$11</f>
        <v>2018.31001175871</v>
      </c>
      <c r="AP98" s="146" t="n">
        <f aca="false">'P&amp;LPLN'!AP97/Factors!AP$11</f>
        <v>2010.23677171167</v>
      </c>
      <c r="AQ98" s="146" t="n">
        <f aca="false">'P&amp;LPLN'!AQ97/Factors!AQ$11</f>
        <v>2002.22786027059</v>
      </c>
      <c r="AR98" s="146" t="n">
        <f aca="false">'P&amp;LPLN'!AR97/Factors!AR$11</f>
        <v>1994.28251161872</v>
      </c>
      <c r="AS98" s="146" t="n">
        <f aca="false">SUM(AG98:AR98)</f>
        <v>24470.1560620042</v>
      </c>
    </row>
    <row r="99" customFormat="false" ht="13.2" hidden="false" customHeight="false" outlineLevel="0" collapsed="false">
      <c r="A99" s="207" t="s">
        <v>907</v>
      </c>
      <c r="B99" s="45" t="s">
        <v>1216</v>
      </c>
      <c r="C99" s="146" t="n">
        <f aca="false">'P&amp;LPLN'!C98/Factors!C$11</f>
        <v>19854.9228920067</v>
      </c>
      <c r="D99" s="146" t="n">
        <f aca="false">'P&amp;LPLN'!D98/Factors!D$11</f>
        <v>19827.2036139365</v>
      </c>
      <c r="E99" s="146" t="n">
        <f aca="false">'P&amp;LPLN'!E98/Factors!E$11</f>
        <v>19799.5616252295</v>
      </c>
      <c r="F99" s="146" t="n">
        <f aca="false">'P&amp;LPLN'!F98/Factors!F$11</f>
        <v>19771.9966030782</v>
      </c>
      <c r="G99" s="146" t="n">
        <f aca="false">'P&amp;LPLN'!G98/Factors!G$11</f>
        <v>19744.5082264702</v>
      </c>
      <c r="H99" s="146" t="n">
        <f aca="false">'P&amp;LPLN'!H98/Factors!H$11</f>
        <v>19717.0961761756</v>
      </c>
      <c r="I99" s="146" t="n">
        <f aca="false">'P&amp;LPLN'!I98/Factors!I$11</f>
        <v>19689.7601347351</v>
      </c>
      <c r="J99" s="146" t="n">
        <f aca="false">'P&amp;LPLN'!J98/Factors!J$11</f>
        <v>19662.4997864473</v>
      </c>
      <c r="K99" s="146" t="n">
        <f aca="false">'P&amp;LPLN'!K98/Factors!K$11</f>
        <v>19635.3148173568</v>
      </c>
      <c r="L99" s="146" t="n">
        <f aca="false">'P&amp;LPLN'!L98/Factors!L$11</f>
        <v>19608.2049152421</v>
      </c>
      <c r="M99" s="146" t="n">
        <f aca="false">'P&amp;LPLN'!M98/Factors!M$11</f>
        <v>19581.1697696036</v>
      </c>
      <c r="N99" s="146" t="n">
        <f aca="false">'P&amp;LPLN'!N98/Factors!N$11</f>
        <v>19554.2090716517</v>
      </c>
      <c r="O99" s="139" t="n">
        <f aca="false">SUM(C99:N99)</f>
        <v>236446.447631933</v>
      </c>
      <c r="P99" s="139"/>
      <c r="Q99" s="45" t="s">
        <v>1216</v>
      </c>
      <c r="R99" s="146" t="n">
        <f aca="false">'P&amp;LPLN'!R98/Factors!R$11</f>
        <v>20251.9941256609</v>
      </c>
      <c r="S99" s="146" t="n">
        <f aca="false">'P&amp;LPLN'!S98/Factors!S$11</f>
        <v>20168.3081995218</v>
      </c>
      <c r="T99" s="146" t="n">
        <f aca="false">'P&amp;LPLN'!T98/Factors!T$11</f>
        <v>20085.3110464373</v>
      </c>
      <c r="U99" s="146" t="n">
        <f aca="false">'P&amp;LPLN'!U98/Factors!U$11</f>
        <v>20002.9941978863</v>
      </c>
      <c r="V99" s="146" t="n">
        <f aca="false">'P&amp;LPLN'!V98/Factors!V$11</f>
        <v>19921.3493236093</v>
      </c>
      <c r="W99" s="146" t="n">
        <f aca="false">'P&amp;LPLN'!W98/Factors!W$11</f>
        <v>19840.3682287978</v>
      </c>
      <c r="X99" s="146" t="n">
        <f aca="false">'P&amp;LPLN'!X98/Factors!X$11</f>
        <v>19760.0428513533</v>
      </c>
      <c r="Y99" s="146" t="n">
        <f aca="false">'P&amp;LPLN'!Y98/Factors!Y$11</f>
        <v>19680.3652592108</v>
      </c>
      <c r="Z99" s="146" t="n">
        <f aca="false">'P&amp;LPLN'!Z98/Factors!Z$11</f>
        <v>19601.327647728</v>
      </c>
      <c r="AA99" s="146" t="n">
        <f aca="false">'P&amp;LPLN'!AA98/Factors!AA$11</f>
        <v>19522.9223371371</v>
      </c>
      <c r="AB99" s="146" t="n">
        <f aca="false">'P&amp;LPLN'!AB98/Factors!AB$11</f>
        <v>19445.1417700569</v>
      </c>
      <c r="AC99" s="146" t="n">
        <f aca="false">'P&amp;LPLN'!AC98/Factors!AC$11</f>
        <v>19367.9785090646</v>
      </c>
      <c r="AD99" s="146" t="n">
        <f aca="false">SUM(R99:AC99)</f>
        <v>237648.103496464</v>
      </c>
      <c r="AF99" s="45" t="s">
        <v>1216</v>
      </c>
      <c r="AG99" s="146" t="n">
        <f aca="false">'P&amp;LPLN'!AG98/Factors!AG$11</f>
        <v>20444.870260191</v>
      </c>
      <c r="AH99" s="146" t="n">
        <f aca="false">'P&amp;LPLN'!AH98/Factors!AH$11</f>
        <v>20360.3873252315</v>
      </c>
      <c r="AI99" s="146" t="n">
        <f aca="false">'P&amp;LPLN'!AI98/Factors!AI$11</f>
        <v>20276.5997230701</v>
      </c>
      <c r="AJ99" s="146" t="n">
        <f aca="false">'P&amp;LPLN'!AJ98/Factors!AJ$11</f>
        <v>20193.4989045329</v>
      </c>
      <c r="AK99" s="146" t="n">
        <f aca="false">'P&amp;LPLN'!AK98/Factors!AK$11</f>
        <v>20111.0764600246</v>
      </c>
      <c r="AL99" s="146" t="n">
        <f aca="false">'P&amp;LPLN'!AL98/Factors!AL$11</f>
        <v>20029.3241166912</v>
      </c>
      <c r="AM99" s="146" t="n">
        <f aca="false">'P&amp;LPLN'!AM98/Factors!AM$11</f>
        <v>19948.2337356519</v>
      </c>
      <c r="AN99" s="146" t="n">
        <f aca="false">'P&amp;LPLN'!AN98/Factors!AN$11</f>
        <v>19867.7973092985</v>
      </c>
      <c r="AO99" s="146" t="n">
        <f aca="false">'P&amp;LPLN'!AO98/Factors!AO$11</f>
        <v>19788.0069586587</v>
      </c>
      <c r="AP99" s="146" t="n">
        <f aca="false">'P&amp;LPLN'!AP98/Factors!AP$11</f>
        <v>19708.8549308241</v>
      </c>
      <c r="AQ99" s="146" t="n">
        <f aca="false">'P&amp;LPLN'!AQ98/Factors!AQ$11</f>
        <v>19630.3335964383</v>
      </c>
      <c r="AR99" s="146" t="n">
        <f aca="false">'P&amp;LPLN'!AR98/Factors!AR$11</f>
        <v>19552.4354472461</v>
      </c>
      <c r="AS99" s="146" t="n">
        <f aca="false">SUM(AG99:AR99)</f>
        <v>239911.418767859</v>
      </c>
    </row>
    <row r="100" customFormat="false" ht="13.2" hidden="false" customHeight="false" outlineLevel="0" collapsed="false">
      <c r="A100" s="207" t="s">
        <v>909</v>
      </c>
      <c r="B100" s="45" t="s">
        <v>910</v>
      </c>
      <c r="C100" s="146" t="n">
        <f aca="false">'P&amp;LPLN'!C99/Factors!C$11</f>
        <v>580.933795585608</v>
      </c>
      <c r="D100" s="146" t="n">
        <f aca="false">'P&amp;LPLN'!D99/Factors!D$11</f>
        <v>580.122759173741</v>
      </c>
      <c r="E100" s="146" t="n">
        <f aca="false">'P&amp;LPLN'!E99/Factors!E$11</f>
        <v>579.313984165931</v>
      </c>
      <c r="F100" s="146" t="n">
        <f aca="false">'P&amp;LPLN'!F99/Factors!F$11</f>
        <v>578.507461117171</v>
      </c>
      <c r="G100" s="146" t="n">
        <f aca="false">'P&amp;LPLN'!G99/Factors!G$11</f>
        <v>577.703180634983</v>
      </c>
      <c r="H100" s="146" t="n">
        <f aca="false">'P&amp;LPLN'!H99/Factors!H$11</f>
        <v>576.901133379044</v>
      </c>
      <c r="I100" s="146" t="n">
        <f aca="false">'P&amp;LPLN'!I99/Factors!I$11</f>
        <v>576.101310060831</v>
      </c>
      <c r="J100" s="146" t="n">
        <f aca="false">'P&amp;LPLN'!J99/Factors!J$11</f>
        <v>575.303701443263</v>
      </c>
      <c r="K100" s="146" t="n">
        <f aca="false">'P&amp;LPLN'!K99/Factors!K$11</f>
        <v>574.508298340339</v>
      </c>
      <c r="L100" s="146" t="n">
        <f aca="false">'P&amp;LPLN'!L99/Factors!L$11</f>
        <v>573.715091616792</v>
      </c>
      <c r="M100" s="146" t="n">
        <f aca="false">'P&amp;LPLN'!M99/Factors!M$11</f>
        <v>572.924072187736</v>
      </c>
      <c r="N100" s="146" t="n">
        <f aca="false">'P&amp;LPLN'!N99/Factors!N$11</f>
        <v>572.135231018319</v>
      </c>
      <c r="O100" s="139" t="n">
        <f aca="false">SUM(C100:N100)</f>
        <v>6918.17001872376</v>
      </c>
      <c r="Q100" s="45" t="s">
        <v>910</v>
      </c>
      <c r="R100" s="146" t="n">
        <f aca="false">'P&amp;LPLN'!R99/Factors!R$11</f>
        <v>592.551674946774</v>
      </c>
      <c r="S100" s="146" t="n">
        <f aca="false">'P&amp;LPLN'!S99/Factors!S$11</f>
        <v>590.103114306498</v>
      </c>
      <c r="T100" s="146" t="n">
        <f aca="false">'P&amp;LPLN'!T99/Factors!T$11</f>
        <v>587.674706428694</v>
      </c>
      <c r="U100" s="146" t="n">
        <f aca="false">'P&amp;LPLN'!U99/Factors!U$11</f>
        <v>585.266203533494</v>
      </c>
      <c r="V100" s="146" t="n">
        <f aca="false">'P&amp;LPLN'!V99/Factors!V$11</f>
        <v>582.877361886419</v>
      </c>
      <c r="W100" s="146" t="n">
        <f aca="false">'P&amp;LPLN'!W99/Factors!W$11</f>
        <v>580.507941716149</v>
      </c>
      <c r="X100" s="146" t="n">
        <f aca="false">'P&amp;LPLN'!X99/Factors!X$11</f>
        <v>578.157707134302</v>
      </c>
      <c r="Y100" s="146" t="n">
        <f aca="false">'P&amp;LPLN'!Y99/Factors!Y$11</f>
        <v>575.826426057147</v>
      </c>
      <c r="Z100" s="146" t="n">
        <f aca="false">'P&amp;LPLN'!Z99/Factors!Z$11</f>
        <v>573.513870129207</v>
      </c>
      <c r="AA100" s="146" t="n">
        <f aca="false">'P&amp;LPLN'!AA99/Factors!AA$11</f>
        <v>571.21981464869</v>
      </c>
      <c r="AB100" s="146" t="n">
        <f aca="false">'P&amp;LPLN'!AB99/Factors!AB$11</f>
        <v>568.944038494711</v>
      </c>
      <c r="AC100" s="146" t="n">
        <f aca="false">'P&amp;LPLN'!AC99/Factors!AC$11</f>
        <v>566.68632405624</v>
      </c>
      <c r="AD100" s="146" t="n">
        <f aca="false">SUM(R100:AC100)</f>
        <v>6953.32918333833</v>
      </c>
      <c r="AF100" s="45" t="s">
        <v>910</v>
      </c>
      <c r="AG100" s="146" t="n">
        <f aca="false">'P&amp;LPLN'!AG99/Factors!AG$11</f>
        <v>598.195024231982</v>
      </c>
      <c r="AH100" s="146" t="n">
        <f aca="false">'P&amp;LPLN'!AH99/Factors!AH$11</f>
        <v>595.72314396656</v>
      </c>
      <c r="AI100" s="146" t="n">
        <f aca="false">'P&amp;LPLN'!AI99/Factors!AI$11</f>
        <v>593.271608394681</v>
      </c>
      <c r="AJ100" s="146" t="n">
        <f aca="false">'P&amp;LPLN'!AJ99/Factors!AJ$11</f>
        <v>590.84016737667</v>
      </c>
      <c r="AK100" s="146" t="n">
        <f aca="false">'P&amp;LPLN'!AK99/Factors!AK$11</f>
        <v>588.428574856766</v>
      </c>
      <c r="AL100" s="146" t="n">
        <f aca="false">'P&amp;LPLN'!AL99/Factors!AL$11</f>
        <v>586.036588780112</v>
      </c>
      <c r="AM100" s="146" t="n">
        <f aca="false">'P&amp;LPLN'!AM99/Factors!AM$11</f>
        <v>583.663971011771</v>
      </c>
      <c r="AN100" s="146" t="n">
        <f aca="false">'P&amp;LPLN'!AN99/Factors!AN$11</f>
        <v>581.310487257692</v>
      </c>
      <c r="AO100" s="146" t="n">
        <f aca="false">'P&amp;LPLN'!AO99/Factors!AO$11</f>
        <v>578.975906987581</v>
      </c>
      <c r="AP100" s="146" t="n">
        <f aca="false">'P&amp;LPLN'!AP99/Factors!AP$11</f>
        <v>576.66000335963</v>
      </c>
      <c r="AQ100" s="146" t="n">
        <f aca="false">'P&amp;LPLN'!AQ99/Factors!AQ$11</f>
        <v>574.362553147042</v>
      </c>
      <c r="AR100" s="146" t="n">
        <f aca="false">'P&amp;LPLN'!AR99/Factors!AR$11</f>
        <v>572.0833366663</v>
      </c>
      <c r="AS100" s="146" t="n">
        <f aca="false">SUM(AG100:AR100)</f>
        <v>7019.55136603679</v>
      </c>
    </row>
    <row r="101" customFormat="false" ht="13.2" hidden="true" customHeight="false" outlineLevel="0" collapsed="false">
      <c r="A101" s="207" t="s">
        <v>911</v>
      </c>
      <c r="B101" s="45" t="s">
        <v>1217</v>
      </c>
      <c r="C101" s="146" t="n">
        <f aca="false">'P&amp;LPLN'!C100/Factors!C$11</f>
        <v>0</v>
      </c>
      <c r="D101" s="146" t="n">
        <f aca="false">'P&amp;LPLN'!D100/Factors!D$11</f>
        <v>0</v>
      </c>
      <c r="E101" s="146" t="n">
        <f aca="false">'P&amp;LPLN'!E100/Factors!E$11</f>
        <v>0</v>
      </c>
      <c r="F101" s="146" t="n">
        <f aca="false">'P&amp;LPLN'!F100/Factors!F$11</f>
        <v>0</v>
      </c>
      <c r="G101" s="146" t="n">
        <f aca="false">'P&amp;LPLN'!G100/Factors!G$11</f>
        <v>0</v>
      </c>
      <c r="H101" s="146" t="n">
        <f aca="false">'P&amp;LPLN'!H100/Factors!H$11</f>
        <v>0</v>
      </c>
      <c r="I101" s="146" t="n">
        <f aca="false">'P&amp;LPLN'!I100/Factors!I$11</f>
        <v>0</v>
      </c>
      <c r="J101" s="146" t="n">
        <f aca="false">'P&amp;LPLN'!J100/Factors!J$11</f>
        <v>0</v>
      </c>
      <c r="K101" s="146" t="n">
        <f aca="false">'P&amp;LPLN'!K100/Factors!K$11</f>
        <v>0</v>
      </c>
      <c r="L101" s="146" t="n">
        <f aca="false">'P&amp;LPLN'!L100/Factors!L$11</f>
        <v>0</v>
      </c>
      <c r="M101" s="146" t="n">
        <f aca="false">'P&amp;LPLN'!M100/Factors!M$11</f>
        <v>0</v>
      </c>
      <c r="N101" s="146" t="n">
        <f aca="false">'P&amp;LPLN'!N100/Factors!N$11</f>
        <v>0</v>
      </c>
      <c r="O101" s="139" t="n">
        <f aca="false">SUM(C101:N101)</f>
        <v>0</v>
      </c>
      <c r="Q101" s="45" t="s">
        <v>1217</v>
      </c>
      <c r="R101" s="146" t="n">
        <f aca="false">'P&amp;LPLN'!R100/Factors!R$11</f>
        <v>0</v>
      </c>
      <c r="S101" s="146" t="n">
        <f aca="false">'P&amp;LPLN'!S100/Factors!S$11</f>
        <v>0</v>
      </c>
      <c r="T101" s="146" t="n">
        <f aca="false">'P&amp;LPLN'!T100/Factors!T$11</f>
        <v>0</v>
      </c>
      <c r="U101" s="146" t="n">
        <f aca="false">'P&amp;LPLN'!U100/Factors!U$11</f>
        <v>0</v>
      </c>
      <c r="V101" s="146" t="n">
        <f aca="false">'P&amp;LPLN'!V100/Factors!V$11</f>
        <v>0</v>
      </c>
      <c r="W101" s="146" t="n">
        <f aca="false">'P&amp;LPLN'!W100/Factors!W$11</f>
        <v>0</v>
      </c>
      <c r="X101" s="146" t="n">
        <f aca="false">'P&amp;LPLN'!X100/Factors!X$11</f>
        <v>0</v>
      </c>
      <c r="Y101" s="146" t="n">
        <f aca="false">'P&amp;LPLN'!Y100/Factors!Y$11</f>
        <v>0</v>
      </c>
      <c r="Z101" s="146" t="n">
        <f aca="false">'P&amp;LPLN'!Z100/Factors!Z$11</f>
        <v>0</v>
      </c>
      <c r="AA101" s="146" t="n">
        <f aca="false">'P&amp;LPLN'!AA100/Factors!AA$11</f>
        <v>0</v>
      </c>
      <c r="AB101" s="146" t="n">
        <f aca="false">'P&amp;LPLN'!AB100/Factors!AB$11</f>
        <v>0</v>
      </c>
      <c r="AC101" s="146" t="n">
        <f aca="false">'P&amp;LPLN'!AC100/Factors!AC$11</f>
        <v>0</v>
      </c>
      <c r="AD101" s="146" t="n">
        <f aca="false">SUM(R101:AC101)</f>
        <v>0</v>
      </c>
      <c r="AF101" s="45" t="s">
        <v>1217</v>
      </c>
      <c r="AG101" s="146" t="n">
        <f aca="false">'P&amp;LPLN'!AG100/Factors!AG$11</f>
        <v>0</v>
      </c>
      <c r="AH101" s="146" t="n">
        <f aca="false">'P&amp;LPLN'!AH100/Factors!AH$11</f>
        <v>0</v>
      </c>
      <c r="AI101" s="146" t="n">
        <f aca="false">'P&amp;LPLN'!AI100/Factors!AI$11</f>
        <v>0</v>
      </c>
      <c r="AJ101" s="146" t="n">
        <f aca="false">'P&amp;LPLN'!AJ100/Factors!AJ$11</f>
        <v>0</v>
      </c>
      <c r="AK101" s="146" t="n">
        <f aca="false">'P&amp;LPLN'!AK100/Factors!AK$11</f>
        <v>0</v>
      </c>
      <c r="AL101" s="146" t="n">
        <f aca="false">'P&amp;LPLN'!AL100/Factors!AL$11</f>
        <v>0</v>
      </c>
      <c r="AM101" s="146" t="n">
        <f aca="false">'P&amp;LPLN'!AM100/Factors!AM$11</f>
        <v>0</v>
      </c>
      <c r="AN101" s="146" t="n">
        <f aca="false">'P&amp;LPLN'!AN100/Factors!AN$11</f>
        <v>0</v>
      </c>
      <c r="AO101" s="146" t="n">
        <f aca="false">'P&amp;LPLN'!AO100/Factors!AO$11</f>
        <v>0</v>
      </c>
      <c r="AP101" s="146" t="n">
        <f aca="false">'P&amp;LPLN'!AP100/Factors!AP$11</f>
        <v>0</v>
      </c>
      <c r="AQ101" s="146" t="n">
        <f aca="false">'P&amp;LPLN'!AQ100/Factors!AQ$11</f>
        <v>0</v>
      </c>
      <c r="AR101" s="146" t="n">
        <f aca="false">'P&amp;LPLN'!AR100/Factors!AR$11</f>
        <v>0</v>
      </c>
      <c r="AS101" s="146" t="n">
        <f aca="false">SUM(AG101:AR101)</f>
        <v>0</v>
      </c>
    </row>
    <row r="102" customFormat="false" ht="13.2" hidden="false" customHeight="false" outlineLevel="0" collapsed="false">
      <c r="A102" s="207" t="s">
        <v>913</v>
      </c>
      <c r="B102" s="45" t="s">
        <v>1218</v>
      </c>
      <c r="C102" s="146" t="n">
        <f aca="false">'P&amp;LPLN'!C101/Factors!C$11</f>
        <v>2521.25267284154</v>
      </c>
      <c r="D102" s="146" t="n">
        <f aca="false">'P&amp;LPLN'!D101/Factors!D$11</f>
        <v>2517.73277481404</v>
      </c>
      <c r="E102" s="146" t="n">
        <f aca="false">'P&amp;LPLN'!E101/Factors!E$11</f>
        <v>2514.22269128014</v>
      </c>
      <c r="F102" s="146" t="n">
        <f aca="false">'P&amp;LPLN'!F101/Factors!F$11</f>
        <v>2510.72238124852</v>
      </c>
      <c r="G102" s="146" t="n">
        <f aca="false">'P&amp;LPLN'!G101/Factors!G$11</f>
        <v>2507.23180395582</v>
      </c>
      <c r="H102" s="146" t="n">
        <f aca="false">'P&amp;LPLN'!H101/Factors!H$11</f>
        <v>2503.75091886505</v>
      </c>
      <c r="I102" s="146" t="n">
        <f aca="false">'P&amp;LPLN'!I101/Factors!I$11</f>
        <v>2500.27968566401</v>
      </c>
      <c r="J102" s="146" t="n">
        <f aca="false">'P&amp;LPLN'!J101/Factors!J$11</f>
        <v>2496.81806426376</v>
      </c>
      <c r="K102" s="146" t="n">
        <f aca="false">'P&amp;LPLN'!K101/Factors!K$11</f>
        <v>2493.36601479707</v>
      </c>
      <c r="L102" s="146" t="n">
        <f aca="false">'P&amp;LPLN'!L101/Factors!L$11</f>
        <v>2489.92349761688</v>
      </c>
      <c r="M102" s="146" t="n">
        <f aca="false">'P&amp;LPLN'!M101/Factors!M$11</f>
        <v>2486.49047329477</v>
      </c>
      <c r="N102" s="146" t="n">
        <f aca="false">'P&amp;LPLN'!N101/Factors!N$11</f>
        <v>2483.06690261951</v>
      </c>
      <c r="O102" s="139" t="n">
        <f aca="false">SUM(C102:N102)</f>
        <v>30024.8578812611</v>
      </c>
      <c r="Q102" s="45" t="s">
        <v>1218</v>
      </c>
      <c r="R102" s="146" t="n">
        <f aca="false">'P&amp;LPLN'!R101/Factors!R$11</f>
        <v>2571.674269269</v>
      </c>
      <c r="S102" s="146" t="n">
        <f aca="false">'P&amp;LPLN'!S101/Factors!S$11</f>
        <v>2561.0475160902</v>
      </c>
      <c r="T102" s="146" t="n">
        <f aca="false">'P&amp;LPLN'!T101/Factors!T$11</f>
        <v>2550.50822590053</v>
      </c>
      <c r="U102" s="146" t="n">
        <f aca="false">'P&amp;LPLN'!U101/Factors!U$11</f>
        <v>2540.05532333536</v>
      </c>
      <c r="V102" s="146" t="n">
        <f aca="false">'P&amp;LPLN'!V101/Factors!V$11</f>
        <v>2529.68775058706</v>
      </c>
      <c r="W102" s="146" t="n">
        <f aca="false">'P&amp;LPLN'!W101/Factors!W$11</f>
        <v>2519.40446704809</v>
      </c>
      <c r="X102" s="146" t="n">
        <f aca="false">'P&amp;LPLN'!X101/Factors!X$11</f>
        <v>2509.20444896287</v>
      </c>
      <c r="Y102" s="146" t="n">
        <f aca="false">'P&amp;LPLN'!Y101/Factors!Y$11</f>
        <v>2499.08668908802</v>
      </c>
      <c r="Z102" s="146" t="n">
        <f aca="false">'P&amp;LPLN'!Z101/Factors!Z$11</f>
        <v>2489.05019636076</v>
      </c>
      <c r="AA102" s="146" t="n">
        <f aca="false">'P&amp;LPLN'!AA101/Factors!AA$11</f>
        <v>2479.09399557532</v>
      </c>
      <c r="AB102" s="146" t="n">
        <f aca="false">'P&amp;LPLN'!AB101/Factors!AB$11</f>
        <v>2469.21712706705</v>
      </c>
      <c r="AC102" s="146" t="n">
        <f aca="false">'P&amp;LPLN'!AC101/Factors!AC$11</f>
        <v>2459.41864640408</v>
      </c>
      <c r="AD102" s="146" t="n">
        <f aca="false">SUM(R102:AC102)</f>
        <v>30177.4486556883</v>
      </c>
      <c r="AF102" s="45" t="s">
        <v>1218</v>
      </c>
      <c r="AG102" s="146" t="n">
        <f aca="false">'P&amp;LPLN'!AG101/Factors!AG$11</f>
        <v>2596.1664051668</v>
      </c>
      <c r="AH102" s="146" t="n">
        <f aca="false">'P&amp;LPLN'!AH101/Factors!AH$11</f>
        <v>2585.43844481487</v>
      </c>
      <c r="AI102" s="146" t="n">
        <f aca="false">'P&amp;LPLN'!AI101/Factors!AI$11</f>
        <v>2574.79878043292</v>
      </c>
      <c r="AJ102" s="146" t="n">
        <f aca="false">'P&amp;LPLN'!AJ101/Factors!AJ$11</f>
        <v>2564.24632641475</v>
      </c>
      <c r="AK102" s="146" t="n">
        <f aca="false">'P&amp;LPLN'!AK101/Factors!AK$11</f>
        <v>2553.78001487836</v>
      </c>
      <c r="AL102" s="146" t="n">
        <f aca="false">'P&amp;LPLN'!AL101/Factors!AL$11</f>
        <v>2543.39879530569</v>
      </c>
      <c r="AM102" s="146" t="n">
        <f aca="false">'P&amp;LPLN'!AM101/Factors!AM$11</f>
        <v>2533.10163419109</v>
      </c>
      <c r="AN102" s="146" t="n">
        <f aca="false">'P&amp;LPLN'!AN101/Factors!AN$11</f>
        <v>2522.88751469838</v>
      </c>
      <c r="AO102" s="146" t="n">
        <f aca="false">'P&amp;LPLN'!AO101/Factors!AO$11</f>
        <v>2512.7554363261</v>
      </c>
      <c r="AP102" s="146" t="n">
        <f aca="false">'P&amp;LPLN'!AP101/Factors!AP$11</f>
        <v>2502.7044145808</v>
      </c>
      <c r="AQ102" s="146" t="n">
        <f aca="false">'P&amp;LPLN'!AQ101/Factors!AQ$11</f>
        <v>2492.73348065816</v>
      </c>
      <c r="AR102" s="146" t="n">
        <f aca="false">'P&amp;LPLN'!AR101/Factors!AR$11</f>
        <v>2482.84168113174</v>
      </c>
      <c r="AS102" s="146" t="n">
        <f aca="false">SUM(AG102:AR102)</f>
        <v>30464.8529285997</v>
      </c>
    </row>
    <row r="103" customFormat="false" ht="13.2" hidden="false" customHeight="false" outlineLevel="0" collapsed="false">
      <c r="A103" s="207" t="s">
        <v>915</v>
      </c>
      <c r="B103" s="45" t="s">
        <v>1219</v>
      </c>
      <c r="C103" s="146" t="n">
        <f aca="false">'P&amp;LPLN'!C102/Factors!C$11</f>
        <v>220.754842322531</v>
      </c>
      <c r="D103" s="146" t="n">
        <f aca="false">'P&amp;LPLN'!D102/Factors!D$11</f>
        <v>220.446648486022</v>
      </c>
      <c r="E103" s="146" t="n">
        <f aca="false">'P&amp;LPLN'!E102/Factors!E$11</f>
        <v>220.139313983054</v>
      </c>
      <c r="F103" s="146" t="n">
        <f aca="false">'P&amp;LPLN'!F102/Factors!F$11</f>
        <v>219.832835224525</v>
      </c>
      <c r="G103" s="146" t="n">
        <f aca="false">'P&amp;LPLN'!G102/Factors!G$11</f>
        <v>219.527208641293</v>
      </c>
      <c r="H103" s="146" t="n">
        <f aca="false">'P&amp;LPLN'!H102/Factors!H$11</f>
        <v>219.222430684037</v>
      </c>
      <c r="I103" s="146" t="n">
        <f aca="false">'P&amp;LPLN'!I102/Factors!I$11</f>
        <v>218.918497823116</v>
      </c>
      <c r="J103" s="146" t="n">
        <f aca="false">'P&amp;LPLN'!J102/Factors!J$11</f>
        <v>218.61540654844</v>
      </c>
      <c r="K103" s="146" t="n">
        <f aca="false">'P&amp;LPLN'!K102/Factors!K$11</f>
        <v>218.313153369329</v>
      </c>
      <c r="L103" s="146" t="n">
        <f aca="false">'P&amp;LPLN'!L102/Factors!L$11</f>
        <v>218.011734814381</v>
      </c>
      <c r="M103" s="146" t="n">
        <f aca="false">'P&amp;LPLN'!M102/Factors!M$11</f>
        <v>217.71114743134</v>
      </c>
      <c r="N103" s="146" t="n">
        <f aca="false">'P&amp;LPLN'!N102/Factors!N$11</f>
        <v>217.411387786961</v>
      </c>
      <c r="O103" s="139" t="n">
        <f aca="false">SUM(C103:N103)</f>
        <v>2628.90460711503</v>
      </c>
      <c r="Q103" s="45" t="s">
        <v>1219</v>
      </c>
      <c r="R103" s="146" t="n">
        <f aca="false">'P&amp;LPLN'!R102/Factors!R$11</f>
        <v>225.169636479774</v>
      </c>
      <c r="S103" s="146" t="n">
        <f aca="false">'P&amp;LPLN'!S102/Factors!S$11</f>
        <v>224.239183436469</v>
      </c>
      <c r="T103" s="146" t="n">
        <f aca="false">'P&amp;LPLN'!T102/Factors!T$11</f>
        <v>223.316388442904</v>
      </c>
      <c r="U103" s="146" t="n">
        <f aca="false">'P&amp;LPLN'!U102/Factors!U$11</f>
        <v>222.401157342728</v>
      </c>
      <c r="V103" s="146" t="n">
        <f aca="false">'P&amp;LPLN'!V102/Factors!V$11</f>
        <v>221.493397516839</v>
      </c>
      <c r="W103" s="146" t="n">
        <f aca="false">'P&amp;LPLN'!W102/Factors!W$11</f>
        <v>220.593017852136</v>
      </c>
      <c r="X103" s="146" t="n">
        <f aca="false">'P&amp;LPLN'!X102/Factors!X$11</f>
        <v>219.699928711035</v>
      </c>
      <c r="Y103" s="146" t="n">
        <f aca="false">'P&amp;LPLN'!Y102/Factors!Y$11</f>
        <v>218.814041901716</v>
      </c>
      <c r="Z103" s="146" t="n">
        <f aca="false">'P&amp;LPLN'!Z102/Factors!Z$11</f>
        <v>217.935270649099</v>
      </c>
      <c r="AA103" s="146" t="n">
        <f aca="false">'P&amp;LPLN'!AA102/Factors!AA$11</f>
        <v>217.063529566502</v>
      </c>
      <c r="AB103" s="146" t="n">
        <f aca="false">'P&amp;LPLN'!AB102/Factors!AB$11</f>
        <v>216.19873462799</v>
      </c>
      <c r="AC103" s="146" t="n">
        <f aca="false">'P&amp;LPLN'!AC102/Factors!AC$11</f>
        <v>215.340803141371</v>
      </c>
      <c r="AD103" s="146" t="n">
        <f aca="false">SUM(R103:AC103)</f>
        <v>2642.26508966856</v>
      </c>
      <c r="AF103" s="45" t="s">
        <v>1219</v>
      </c>
      <c r="AG103" s="146" t="n">
        <f aca="false">'P&amp;LPLN'!AG102/Factors!AG$11</f>
        <v>227.314109208153</v>
      </c>
      <c r="AH103" s="146" t="n">
        <f aca="false">'P&amp;LPLN'!AH102/Factors!AH$11</f>
        <v>226.374794707293</v>
      </c>
      <c r="AI103" s="146" t="n">
        <f aca="false">'P&amp;LPLN'!AI102/Factors!AI$11</f>
        <v>225.443211189979</v>
      </c>
      <c r="AJ103" s="146" t="n">
        <f aca="false">'P&amp;LPLN'!AJ102/Factors!AJ$11</f>
        <v>224.519263603135</v>
      </c>
      <c r="AK103" s="146" t="n">
        <f aca="false">'P&amp;LPLN'!AK102/Factors!AK$11</f>
        <v>223.602858445571</v>
      </c>
      <c r="AL103" s="146" t="n">
        <f aca="false">'P&amp;LPLN'!AL102/Factors!AL$11</f>
        <v>222.693903736443</v>
      </c>
      <c r="AM103" s="146" t="n">
        <f aca="false">'P&amp;LPLN'!AM102/Factors!AM$11</f>
        <v>221.792308984473</v>
      </c>
      <c r="AN103" s="146" t="n">
        <f aca="false">'P&amp;LPLN'!AN102/Factors!AN$11</f>
        <v>220.897985157923</v>
      </c>
      <c r="AO103" s="146" t="n">
        <f aca="false">'P&amp;LPLN'!AO102/Factors!AO$11</f>
        <v>220.010844655281</v>
      </c>
      <c r="AP103" s="146" t="n">
        <f aca="false">'P&amp;LPLN'!AP102/Factors!AP$11</f>
        <v>219.130801276659</v>
      </c>
      <c r="AQ103" s="146" t="n">
        <f aca="false">'P&amp;LPLN'!AQ102/Factors!AQ$11</f>
        <v>218.257770195876</v>
      </c>
      <c r="AR103" s="146" t="n">
        <f aca="false">'P&amp;LPLN'!AR102/Factors!AR$11</f>
        <v>217.391667933194</v>
      </c>
      <c r="AS103" s="146" t="n">
        <f aca="false">SUM(AG103:AR103)</f>
        <v>2667.42951909398</v>
      </c>
    </row>
    <row r="104" customFormat="false" ht="13.2" hidden="false" customHeight="false" outlineLevel="0" collapsed="false">
      <c r="A104" s="207" t="s">
        <v>917</v>
      </c>
      <c r="B104" s="45" t="s">
        <v>1220</v>
      </c>
      <c r="C104" s="146" t="n">
        <f aca="false">'P&amp;LPLN'!C103/Factors!C$11</f>
        <v>372.262376211257</v>
      </c>
      <c r="D104" s="146" t="n">
        <f aca="false">'P&amp;LPLN'!D103/Factors!D$11</f>
        <v>371.742664078533</v>
      </c>
      <c r="E104" s="146" t="n">
        <f aca="false">'P&amp;LPLN'!E103/Factors!E$11</f>
        <v>371.224401053528</v>
      </c>
      <c r="F104" s="146" t="n">
        <f aca="false">'P&amp;LPLN'!F103/Factors!F$11</f>
        <v>370.707581083883</v>
      </c>
      <c r="G104" s="146" t="n">
        <f aca="false">'P&amp;LPLN'!G103/Factors!G$11</f>
        <v>370.192198150897</v>
      </c>
      <c r="H104" s="146" t="n">
        <f aca="false">'P&amp;LPLN'!H103/Factors!H$11</f>
        <v>369.678246269291</v>
      </c>
      <c r="I104" s="146" t="n">
        <f aca="false">'P&amp;LPLN'!I103/Factors!I$11</f>
        <v>369.165719486981</v>
      </c>
      <c r="J104" s="146" t="n">
        <f aca="false">'P&amp;LPLN'!J103/Factors!J$11</f>
        <v>368.654611884843</v>
      </c>
      <c r="K104" s="146" t="n">
        <f aca="false">'P&amp;LPLN'!K103/Factors!K$11</f>
        <v>368.144917576489</v>
      </c>
      <c r="L104" s="146" t="n">
        <f aca="false">'P&amp;LPLN'!L103/Factors!L$11</f>
        <v>367.63663070804</v>
      </c>
      <c r="M104" s="146" t="n">
        <f aca="false">'P&amp;LPLN'!M103/Factors!M$11</f>
        <v>367.129745457901</v>
      </c>
      <c r="N104" s="146" t="n">
        <f aca="false">'P&amp;LPLN'!N103/Factors!N$11</f>
        <v>366.624256036539</v>
      </c>
      <c r="O104" s="139" t="n">
        <f aca="false">SUM(C104:N104)</f>
        <v>4433.16334799818</v>
      </c>
      <c r="Q104" s="45" t="s">
        <v>1220</v>
      </c>
      <c r="R104" s="146" t="n">
        <f aca="false">'P&amp;LPLN'!R103/Factors!R$11</f>
        <v>379.707113305893</v>
      </c>
      <c r="S104" s="146" t="n">
        <f aca="false">'P&amp;LPLN'!S103/Factors!S$11</f>
        <v>378.138075647604</v>
      </c>
      <c r="T104" s="146" t="n">
        <f aca="false">'P&amp;LPLN'!T103/Factors!T$11</f>
        <v>376.581951879507</v>
      </c>
      <c r="U104" s="146" t="n">
        <f aca="false">'P&amp;LPLN'!U103/Factors!U$11</f>
        <v>375.038583224263</v>
      </c>
      <c r="V104" s="146" t="n">
        <f aca="false">'P&amp;LPLN'!V103/Factors!V$11</f>
        <v>373.507813496817</v>
      </c>
      <c r="W104" s="146" t="n">
        <f aca="false">'P&amp;LPLN'!W103/Factors!W$11</f>
        <v>371.989489051708</v>
      </c>
      <c r="X104" s="146" t="n">
        <f aca="false">'P&amp;LPLN'!X103/Factors!X$11</f>
        <v>370.483458731661</v>
      </c>
      <c r="Y104" s="146" t="n">
        <f aca="false">'P&amp;LPLN'!Y103/Factors!Y$11</f>
        <v>368.98957381742</v>
      </c>
      <c r="Z104" s="146" t="n">
        <f aca="false">'P&amp;LPLN'!Z103/Factors!Z$11</f>
        <v>367.507687978796</v>
      </c>
      <c r="AA104" s="146" t="n">
        <f aca="false">'P&amp;LPLN'!AA103/Factors!AA$11</f>
        <v>366.037657226881</v>
      </c>
      <c r="AB104" s="146" t="n">
        <f aca="false">'P&amp;LPLN'!AB103/Factors!AB$11</f>
        <v>364.579339867411</v>
      </c>
      <c r="AC104" s="146" t="n">
        <f aca="false">'P&amp;LPLN'!AC103/Factors!AC$11</f>
        <v>363.132596455239</v>
      </c>
      <c r="AD104" s="146" t="n">
        <f aca="false">SUM(R104:AC104)</f>
        <v>4455.6933406832</v>
      </c>
      <c r="AF104" s="45" t="s">
        <v>1220</v>
      </c>
      <c r="AG104" s="146" t="n">
        <f aca="false">'P&amp;LPLN'!AG103/Factors!AG$11</f>
        <v>383.323371527854</v>
      </c>
      <c r="AH104" s="146" t="n">
        <f aca="false">'P&amp;LPLN'!AH103/Factors!AH$11</f>
        <v>381.739390653772</v>
      </c>
      <c r="AI104" s="146" t="n">
        <f aca="false">'P&amp;LPLN'!AI103/Factors!AI$11</f>
        <v>380.168446659312</v>
      </c>
      <c r="AJ104" s="146" t="n">
        <f aca="false">'P&amp;LPLN'!AJ103/Factors!AJ$11</f>
        <v>378.61037925497</v>
      </c>
      <c r="AK104" s="146" t="n">
        <f aca="false">'P&amp;LPLN'!AK103/Factors!AK$11</f>
        <v>377.065030768215</v>
      </c>
      <c r="AL104" s="146" t="n">
        <f aca="false">'P&amp;LPLN'!AL103/Factors!AL$11</f>
        <v>375.532246090296</v>
      </c>
      <c r="AM104" s="146" t="n">
        <f aca="false">'P&amp;LPLN'!AM103/Factors!AM$11</f>
        <v>374.011872624343</v>
      </c>
      <c r="AN104" s="146" t="n">
        <f aca="false">'P&amp;LPLN'!AN103/Factors!AN$11</f>
        <v>372.503760234729</v>
      </c>
      <c r="AO104" s="146" t="n">
        <f aca="false">'P&amp;LPLN'!AO103/Factors!AO$11</f>
        <v>371.007761197642</v>
      </c>
      <c r="AP104" s="146" t="n">
        <f aca="false">'P&amp;LPLN'!AP103/Factors!AP$11</f>
        <v>369.523730152851</v>
      </c>
      <c r="AQ104" s="146" t="n">
        <f aca="false">'P&amp;LPLN'!AQ103/Factors!AQ$11</f>
        <v>368.051524056625</v>
      </c>
      <c r="AR104" s="146" t="n">
        <f aca="false">'P&amp;LPLN'!AR103/Factors!AR$11</f>
        <v>366.591002135765</v>
      </c>
      <c r="AS104" s="146" t="n">
        <f aca="false">SUM(AG104:AR104)</f>
        <v>4498.12851535637</v>
      </c>
    </row>
    <row r="105" customFormat="false" ht="13.2" hidden="false" customHeight="false" outlineLevel="0" collapsed="false">
      <c r="A105" s="207" t="s">
        <v>919</v>
      </c>
      <c r="B105" s="45" t="s">
        <v>1221</v>
      </c>
      <c r="C105" s="146" t="n">
        <f aca="false">'P&amp;LPLN'!C104/Factors!C$11</f>
        <v>255.610870057667</v>
      </c>
      <c r="D105" s="146" t="n">
        <f aca="false">'P&amp;LPLN'!D104/Factors!D$11</f>
        <v>255.254014036446</v>
      </c>
      <c r="E105" s="146" t="n">
        <f aca="false">'P&amp;LPLN'!E104/Factors!E$11</f>
        <v>254.898153033009</v>
      </c>
      <c r="F105" s="146" t="n">
        <f aca="false">'P&amp;LPLN'!F104/Factors!F$11</f>
        <v>254.543282891555</v>
      </c>
      <c r="G105" s="146" t="n">
        <f aca="false">'P&amp;LPLN'!G104/Factors!G$11</f>
        <v>254.189399479392</v>
      </c>
      <c r="H105" s="146" t="n">
        <f aca="false">'P&amp;LPLN'!H104/Factors!H$11</f>
        <v>253.836498686779</v>
      </c>
      <c r="I105" s="146" t="n">
        <f aca="false">'P&amp;LPLN'!I104/Factors!I$11</f>
        <v>253.484576426766</v>
      </c>
      <c r="J105" s="146" t="n">
        <f aca="false">'P&amp;LPLN'!J104/Factors!J$11</f>
        <v>253.133628635036</v>
      </c>
      <c r="K105" s="146" t="n">
        <f aca="false">'P&amp;LPLN'!K104/Factors!K$11</f>
        <v>252.783651269749</v>
      </c>
      <c r="L105" s="146" t="n">
        <f aca="false">'P&amp;LPLN'!L104/Factors!L$11</f>
        <v>252.434640311389</v>
      </c>
      <c r="M105" s="146" t="n">
        <f aca="false">'P&amp;LPLN'!M104/Factors!M$11</f>
        <v>252.086591762604</v>
      </c>
      <c r="N105" s="146" t="n">
        <f aca="false">'P&amp;LPLN'!N104/Factors!N$11</f>
        <v>251.739501648061</v>
      </c>
      <c r="O105" s="139" t="n">
        <f aca="false">SUM(C105:N105)</f>
        <v>3043.99480823845</v>
      </c>
      <c r="Q105" s="45" t="s">
        <v>1221</v>
      </c>
      <c r="R105" s="146" t="n">
        <f aca="false">'P&amp;LPLN'!R104/Factors!R$11</f>
        <v>260.722736976581</v>
      </c>
      <c r="S105" s="146" t="n">
        <f aca="false">'P&amp;LPLN'!S104/Factors!S$11</f>
        <v>259.645370294859</v>
      </c>
      <c r="T105" s="146" t="n">
        <f aca="false">'P&amp;LPLN'!T104/Factors!T$11</f>
        <v>258.576870828625</v>
      </c>
      <c r="U105" s="146" t="n">
        <f aca="false">'P&amp;LPLN'!U104/Factors!U$11</f>
        <v>257.517129554737</v>
      </c>
      <c r="V105" s="146" t="n">
        <f aca="false">'P&amp;LPLN'!V104/Factors!V$11</f>
        <v>256.466039230024</v>
      </c>
      <c r="W105" s="146" t="n">
        <f aca="false">'P&amp;LPLN'!W104/Factors!W$11</f>
        <v>255.423494355105</v>
      </c>
      <c r="X105" s="146" t="n">
        <f aca="false">'P&amp;LPLN'!X104/Factors!X$11</f>
        <v>254.389391139093</v>
      </c>
      <c r="Y105" s="146" t="n">
        <f aca="false">'P&amp;LPLN'!Y104/Factors!Y$11</f>
        <v>253.363627465145</v>
      </c>
      <c r="Z105" s="146" t="n">
        <f aca="false">'P&amp;LPLN'!Z104/Factors!Z$11</f>
        <v>252.346102856851</v>
      </c>
      <c r="AA105" s="146" t="n">
        <f aca="false">'P&amp;LPLN'!AA104/Factors!AA$11</f>
        <v>251.336718445424</v>
      </c>
      <c r="AB105" s="146" t="n">
        <f aca="false">'P&amp;LPLN'!AB104/Factors!AB$11</f>
        <v>250.335376937673</v>
      </c>
      <c r="AC105" s="146" t="n">
        <f aca="false">'P&amp;LPLN'!AC104/Factors!AC$11</f>
        <v>249.341982584746</v>
      </c>
      <c r="AD105" s="146" t="n">
        <f aca="false">SUM(R105:AC105)</f>
        <v>3059.46484066886</v>
      </c>
      <c r="AF105" s="45" t="s">
        <v>1221</v>
      </c>
      <c r="AG105" s="146" t="n">
        <f aca="false">'P&amp;LPLN'!AG104/Factors!AG$11</f>
        <v>263.205810662072</v>
      </c>
      <c r="AH105" s="146" t="n">
        <f aca="false">'P&amp;LPLN'!AH104/Factors!AH$11</f>
        <v>262.118183345286</v>
      </c>
      <c r="AI105" s="146" t="n">
        <f aca="false">'P&amp;LPLN'!AI104/Factors!AI$11</f>
        <v>261.03950769366</v>
      </c>
      <c r="AJ105" s="146" t="n">
        <f aca="false">'P&amp;LPLN'!AJ104/Factors!AJ$11</f>
        <v>259.969673645735</v>
      </c>
      <c r="AK105" s="146" t="n">
        <f aca="false">'P&amp;LPLN'!AK104/Factors!AK$11</f>
        <v>258.908572936977</v>
      </c>
      <c r="AL105" s="146" t="n">
        <f aca="false">'P&amp;LPLN'!AL104/Factors!AL$11</f>
        <v>257.856099063249</v>
      </c>
      <c r="AM105" s="146" t="n">
        <f aca="false">'P&amp;LPLN'!AM104/Factors!AM$11</f>
        <v>256.812147245179</v>
      </c>
      <c r="AN105" s="146" t="n">
        <f aca="false">'P&amp;LPLN'!AN104/Factors!AN$11</f>
        <v>255.776614393384</v>
      </c>
      <c r="AO105" s="146" t="n">
        <f aca="false">'P&amp;LPLN'!AO104/Factors!AO$11</f>
        <v>254.749399074535</v>
      </c>
      <c r="AP105" s="146" t="n">
        <f aca="false">'P&amp;LPLN'!AP104/Factors!AP$11</f>
        <v>253.730401478237</v>
      </c>
      <c r="AQ105" s="146" t="n">
        <f aca="false">'P&amp;LPLN'!AQ104/Factors!AQ$11</f>
        <v>252.719523384698</v>
      </c>
      <c r="AR105" s="146" t="n">
        <f aca="false">'P&amp;LPLN'!AR104/Factors!AR$11</f>
        <v>251.716668133172</v>
      </c>
      <c r="AS105" s="146" t="n">
        <f aca="false">SUM(AG105:AR105)</f>
        <v>3088.60260105619</v>
      </c>
    </row>
    <row r="106" customFormat="false" ht="13.2" hidden="false" customHeight="false" outlineLevel="0" collapsed="false">
      <c r="A106" s="207" t="s">
        <v>921</v>
      </c>
      <c r="B106" s="45" t="s">
        <v>1222</v>
      </c>
      <c r="C106" s="146" t="n">
        <f aca="false">'P&amp;LPLN'!C105/Factors!C$11</f>
        <v>4.64747036468486</v>
      </c>
      <c r="D106" s="146" t="n">
        <f aca="false">'P&amp;LPLN'!D105/Factors!D$11</f>
        <v>4.64098207338993</v>
      </c>
      <c r="E106" s="146" t="n">
        <f aca="false">'P&amp;LPLN'!E105/Factors!E$11</f>
        <v>4.63451187332745</v>
      </c>
      <c r="F106" s="146" t="n">
        <f aca="false">'P&amp;LPLN'!F105/Factors!F$11</f>
        <v>4.62805968893737</v>
      </c>
      <c r="G106" s="146" t="n">
        <f aca="false">'P&amp;LPLN'!G105/Factors!G$11</f>
        <v>4.62162544507986</v>
      </c>
      <c r="H106" s="146" t="n">
        <f aca="false">'P&amp;LPLN'!H105/Factors!H$11</f>
        <v>4.61520906703235</v>
      </c>
      <c r="I106" s="146" t="n">
        <f aca="false">'P&amp;LPLN'!I105/Factors!I$11</f>
        <v>4.60881048048665</v>
      </c>
      <c r="J106" s="146" t="n">
        <f aca="false">'P&amp;LPLN'!J105/Factors!J$11</f>
        <v>4.6024296115461</v>
      </c>
      <c r="K106" s="146" t="n">
        <f aca="false">'P&amp;LPLN'!K105/Factors!K$11</f>
        <v>4.59606638672271</v>
      </c>
      <c r="L106" s="146" t="n">
        <f aca="false">'P&amp;LPLN'!L105/Factors!L$11</f>
        <v>4.58972073293434</v>
      </c>
      <c r="M106" s="146" t="n">
        <f aca="false">'P&amp;LPLN'!M105/Factors!M$11</f>
        <v>4.58339257750189</v>
      </c>
      <c r="N106" s="146" t="n">
        <f aca="false">'P&amp;LPLN'!N105/Factors!N$11</f>
        <v>4.57708184814656</v>
      </c>
      <c r="O106" s="139" t="n">
        <f aca="false">SUM(C106:N106)</f>
        <v>55.3453601497901</v>
      </c>
      <c r="Q106" s="45" t="s">
        <v>1222</v>
      </c>
      <c r="R106" s="146" t="n">
        <f aca="false">'P&amp;LPLN'!R105/Factors!R$11</f>
        <v>4.74041339957419</v>
      </c>
      <c r="S106" s="146" t="n">
        <f aca="false">'P&amp;LPLN'!S105/Factors!S$11</f>
        <v>4.72082491445199</v>
      </c>
      <c r="T106" s="146" t="n">
        <f aca="false">'P&amp;LPLN'!T105/Factors!T$11</f>
        <v>4.70139765142955</v>
      </c>
      <c r="U106" s="146" t="n">
        <f aca="false">'P&amp;LPLN'!U105/Factors!U$11</f>
        <v>4.68212962826795</v>
      </c>
      <c r="V106" s="146" t="n">
        <f aca="false">'P&amp;LPLN'!V105/Factors!V$11</f>
        <v>4.66301889509135</v>
      </c>
      <c r="W106" s="146" t="n">
        <f aca="false">'P&amp;LPLN'!W105/Factors!W$11</f>
        <v>4.64406353372919</v>
      </c>
      <c r="X106" s="146" t="n">
        <f aca="false">'P&amp;LPLN'!X105/Factors!X$11</f>
        <v>4.62526165707441</v>
      </c>
      <c r="Y106" s="146" t="n">
        <f aca="false">'P&amp;LPLN'!Y105/Factors!Y$11</f>
        <v>4.60661140845718</v>
      </c>
      <c r="Z106" s="146" t="n">
        <f aca="false">'P&amp;LPLN'!Z105/Factors!Z$11</f>
        <v>4.58811096103366</v>
      </c>
      <c r="AA106" s="146" t="n">
        <f aca="false">'P&amp;LPLN'!AA105/Factors!AA$11</f>
        <v>4.56975851718952</v>
      </c>
      <c r="AB106" s="146" t="n">
        <f aca="false">'P&amp;LPLN'!AB105/Factors!AB$11</f>
        <v>4.55155230795769</v>
      </c>
      <c r="AC106" s="146" t="n">
        <f aca="false">'P&amp;LPLN'!AC105/Factors!AC$11</f>
        <v>4.53349059244992</v>
      </c>
      <c r="AD106" s="146" t="n">
        <f aca="false">SUM(R106:AC106)</f>
        <v>55.6266334667066</v>
      </c>
      <c r="AF106" s="45" t="s">
        <v>1222</v>
      </c>
      <c r="AG106" s="146" t="n">
        <f aca="false">'P&amp;LPLN'!AG105/Factors!AG$11</f>
        <v>4.78556019385585</v>
      </c>
      <c r="AH106" s="146" t="n">
        <f aca="false">'P&amp;LPLN'!AH105/Factors!AH$11</f>
        <v>4.76578515173248</v>
      </c>
      <c r="AI106" s="146" t="n">
        <f aca="false">'P&amp;LPLN'!AI105/Factors!AI$11</f>
        <v>4.74617286715745</v>
      </c>
      <c r="AJ106" s="146" t="n">
        <f aca="false">'P&amp;LPLN'!AJ105/Factors!AJ$11</f>
        <v>4.72672133901336</v>
      </c>
      <c r="AK106" s="146" t="n">
        <f aca="false">'P&amp;LPLN'!AK105/Factors!AK$11</f>
        <v>4.70742859885412</v>
      </c>
      <c r="AL106" s="146" t="n">
        <f aca="false">'P&amp;LPLN'!AL105/Factors!AL$11</f>
        <v>4.6882927102409</v>
      </c>
      <c r="AM106" s="146" t="n">
        <f aca="false">'P&amp;LPLN'!AM105/Factors!AM$11</f>
        <v>4.66931176809417</v>
      </c>
      <c r="AN106" s="146" t="n">
        <f aca="false">'P&amp;LPLN'!AN105/Factors!AN$11</f>
        <v>4.65048389806153</v>
      </c>
      <c r="AO106" s="146" t="n">
        <f aca="false">'P&amp;LPLN'!AO105/Factors!AO$11</f>
        <v>4.63180725590064</v>
      </c>
      <c r="AP106" s="146" t="n">
        <f aca="false">'P&amp;LPLN'!AP105/Factors!AP$11</f>
        <v>4.61328002687704</v>
      </c>
      <c r="AQ106" s="146" t="n">
        <f aca="false">'P&amp;LPLN'!AQ105/Factors!AQ$11</f>
        <v>4.59490042517634</v>
      </c>
      <c r="AR106" s="146" t="n">
        <f aca="false">'P&amp;LPLN'!AR105/Factors!AR$11</f>
        <v>4.5766666933304</v>
      </c>
      <c r="AS106" s="146" t="n">
        <f aca="false">SUM(AG106:AR106)</f>
        <v>56.1564109282943</v>
      </c>
    </row>
    <row r="107" customFormat="false" ht="13.2" hidden="false" customHeight="false" outlineLevel="0" collapsed="false">
      <c r="A107" s="207" t="s">
        <v>923</v>
      </c>
      <c r="B107" s="45" t="s">
        <v>1223</v>
      </c>
      <c r="C107" s="146" t="n">
        <f aca="false">'P&amp;LPLN'!C106/Factors!C$11</f>
        <v>23.2373518234243</v>
      </c>
      <c r="D107" s="146" t="n">
        <f aca="false">'P&amp;LPLN'!D106/Factors!D$11</f>
        <v>23.2049103669496</v>
      </c>
      <c r="E107" s="146" t="n">
        <f aca="false">'P&amp;LPLN'!E106/Factors!E$11</f>
        <v>23.1725593666372</v>
      </c>
      <c r="F107" s="146" t="n">
        <f aca="false">'P&amp;LPLN'!F106/Factors!F$11</f>
        <v>23.1402984446869</v>
      </c>
      <c r="G107" s="146" t="n">
        <f aca="false">'P&amp;LPLN'!G106/Factors!G$11</f>
        <v>23.1081272253993</v>
      </c>
      <c r="H107" s="146" t="n">
        <f aca="false">'P&amp;LPLN'!H106/Factors!H$11</f>
        <v>23.0760453351617</v>
      </c>
      <c r="I107" s="146" t="n">
        <f aca="false">'P&amp;LPLN'!I106/Factors!I$11</f>
        <v>23.0440524024333</v>
      </c>
      <c r="J107" s="146" t="n">
        <f aca="false">'P&amp;LPLN'!J106/Factors!J$11</f>
        <v>23.0121480577305</v>
      </c>
      <c r="K107" s="146" t="n">
        <f aca="false">'P&amp;LPLN'!K106/Factors!K$11</f>
        <v>22.9803319336136</v>
      </c>
      <c r="L107" s="146" t="n">
        <f aca="false">'P&amp;LPLN'!L106/Factors!L$11</f>
        <v>22.9486036646717</v>
      </c>
      <c r="M107" s="146" t="n">
        <f aca="false">'P&amp;LPLN'!M106/Factors!M$11</f>
        <v>22.9169628875094</v>
      </c>
      <c r="N107" s="146" t="n">
        <f aca="false">'P&amp;LPLN'!N106/Factors!N$11</f>
        <v>22.8854092407328</v>
      </c>
      <c r="O107" s="139" t="n">
        <f aca="false">SUM(C107:N107)</f>
        <v>276.72680074895</v>
      </c>
      <c r="Q107" s="45" t="s">
        <v>1223</v>
      </c>
      <c r="R107" s="146" t="n">
        <f aca="false">'P&amp;LPLN'!R106/Factors!R$11</f>
        <v>23.702066997871</v>
      </c>
      <c r="S107" s="146" t="n">
        <f aca="false">'P&amp;LPLN'!S106/Factors!S$11</f>
        <v>23.6041245722599</v>
      </c>
      <c r="T107" s="146" t="n">
        <f aca="false">'P&amp;LPLN'!T106/Factors!T$11</f>
        <v>23.5069882571477</v>
      </c>
      <c r="U107" s="146" t="n">
        <f aca="false">'P&amp;LPLN'!U106/Factors!U$11</f>
        <v>23.4106481413398</v>
      </c>
      <c r="V107" s="146" t="n">
        <f aca="false">'P&amp;LPLN'!V106/Factors!V$11</f>
        <v>23.3150944754567</v>
      </c>
      <c r="W107" s="146" t="n">
        <f aca="false">'P&amp;LPLN'!W106/Factors!W$11</f>
        <v>23.2203176686459</v>
      </c>
      <c r="X107" s="146" t="n">
        <f aca="false">'P&amp;LPLN'!X106/Factors!X$11</f>
        <v>23.1263082853721</v>
      </c>
      <c r="Y107" s="146" t="n">
        <f aca="false">'P&amp;LPLN'!Y106/Factors!Y$11</f>
        <v>23.0330570422859</v>
      </c>
      <c r="Z107" s="146" t="n">
        <f aca="false">'P&amp;LPLN'!Z106/Factors!Z$11</f>
        <v>22.9405548051683</v>
      </c>
      <c r="AA107" s="146" t="n">
        <f aca="false">'P&amp;LPLN'!AA106/Factors!AA$11</f>
        <v>22.8487925859476</v>
      </c>
      <c r="AB107" s="146" t="n">
        <f aca="false">'P&amp;LPLN'!AB106/Factors!AB$11</f>
        <v>22.7577615397885</v>
      </c>
      <c r="AC107" s="146" t="n">
        <f aca="false">'P&amp;LPLN'!AC106/Factors!AC$11</f>
        <v>22.6674529622496</v>
      </c>
      <c r="AD107" s="146" t="n">
        <f aca="false">SUM(R107:AC107)</f>
        <v>278.133167333533</v>
      </c>
      <c r="AF107" s="45" t="s">
        <v>1223</v>
      </c>
      <c r="AG107" s="146" t="n">
        <f aca="false">'P&amp;LPLN'!AG106/Factors!AG$11</f>
        <v>23.9278009692793</v>
      </c>
      <c r="AH107" s="146" t="n">
        <f aca="false">'P&amp;LPLN'!AH106/Factors!AH$11</f>
        <v>23.8289257586624</v>
      </c>
      <c r="AI107" s="146" t="n">
        <f aca="false">'P&amp;LPLN'!AI106/Factors!AI$11</f>
        <v>23.7308643357873</v>
      </c>
      <c r="AJ107" s="146" t="n">
        <f aca="false">'P&amp;LPLN'!AJ106/Factors!AJ$11</f>
        <v>23.6336066950668</v>
      </c>
      <c r="AK107" s="146" t="n">
        <f aca="false">'P&amp;LPLN'!AK106/Factors!AK$11</f>
        <v>23.5371429942706</v>
      </c>
      <c r="AL107" s="146" t="n">
        <f aca="false">'P&amp;LPLN'!AL106/Factors!AL$11</f>
        <v>23.4414635512045</v>
      </c>
      <c r="AM107" s="146" t="n">
        <f aca="false">'P&amp;LPLN'!AM106/Factors!AM$11</f>
        <v>23.3465588404709</v>
      </c>
      <c r="AN107" s="146" t="n">
        <f aca="false">'P&amp;LPLN'!AN106/Factors!AN$11</f>
        <v>23.2524194903077</v>
      </c>
      <c r="AO107" s="146" t="n">
        <f aca="false">'P&amp;LPLN'!AO106/Factors!AO$11</f>
        <v>23.1590362795032</v>
      </c>
      <c r="AP107" s="146" t="n">
        <f aca="false">'P&amp;LPLN'!AP106/Factors!AP$11</f>
        <v>23.0664001343852</v>
      </c>
      <c r="AQ107" s="146" t="n">
        <f aca="false">'P&amp;LPLN'!AQ106/Factors!AQ$11</f>
        <v>22.9745021258817</v>
      </c>
      <c r="AR107" s="146" t="n">
        <f aca="false">'P&amp;LPLN'!AR106/Factors!AR$11</f>
        <v>22.883333466652</v>
      </c>
      <c r="AS107" s="146" t="n">
        <f aca="false">SUM(AG107:AR107)</f>
        <v>280.782054641471</v>
      </c>
    </row>
    <row r="108" customFormat="false" ht="13.2" hidden="false" customHeight="false" outlineLevel="0" collapsed="false">
      <c r="A108" s="207" t="s">
        <v>925</v>
      </c>
      <c r="B108" s="45" t="s">
        <v>1224</v>
      </c>
      <c r="C108" s="146" t="n">
        <f aca="false">'P&amp;LPLN'!C107/Factors!C$11</f>
        <v>174.280138675682</v>
      </c>
      <c r="D108" s="146" t="n">
        <f aca="false">'P&amp;LPLN'!D107/Factors!D$11</f>
        <v>174.036827752122</v>
      </c>
      <c r="E108" s="146" t="n">
        <f aca="false">'P&amp;LPLN'!E107/Factors!E$11</f>
        <v>173.794195249779</v>
      </c>
      <c r="F108" s="146" t="n">
        <f aca="false">'P&amp;LPLN'!F107/Factors!F$11</f>
        <v>173.552238335151</v>
      </c>
      <c r="G108" s="146" t="n">
        <f aca="false">'P&amp;LPLN'!G107/Factors!G$11</f>
        <v>173.310954190495</v>
      </c>
      <c r="H108" s="146" t="n">
        <f aca="false">'P&amp;LPLN'!H107/Factors!H$11</f>
        <v>173.070340013713</v>
      </c>
      <c r="I108" s="146" t="n">
        <f aca="false">'P&amp;LPLN'!I107/Factors!I$11</f>
        <v>172.830393018249</v>
      </c>
      <c r="J108" s="146" t="n">
        <f aca="false">'P&amp;LPLN'!J107/Factors!J$11</f>
        <v>172.591110432979</v>
      </c>
      <c r="K108" s="146" t="n">
        <f aca="false">'P&amp;LPLN'!K107/Factors!K$11</f>
        <v>172.352489502102</v>
      </c>
      <c r="L108" s="146" t="n">
        <f aca="false">'P&amp;LPLN'!L107/Factors!L$11</f>
        <v>172.114527485038</v>
      </c>
      <c r="M108" s="146" t="n">
        <f aca="false">'P&amp;LPLN'!M107/Factors!M$11</f>
        <v>171.877221656321</v>
      </c>
      <c r="N108" s="146" t="n">
        <f aca="false">'P&amp;LPLN'!N107/Factors!N$11</f>
        <v>171.640569305496</v>
      </c>
      <c r="O108" s="139" t="n">
        <f aca="false">SUM(C108:N108)</f>
        <v>2075.45100561713</v>
      </c>
      <c r="Q108" s="45" t="s">
        <v>1224</v>
      </c>
      <c r="R108" s="146" t="n">
        <f aca="false">'P&amp;LPLN'!R107/Factors!R$11</f>
        <v>177.765502484032</v>
      </c>
      <c r="S108" s="146" t="n">
        <f aca="false">'P&amp;LPLN'!S107/Factors!S$11</f>
        <v>177.030934291949</v>
      </c>
      <c r="T108" s="146" t="n">
        <f aca="false">'P&amp;LPLN'!T107/Factors!T$11</f>
        <v>176.302411928608</v>
      </c>
      <c r="U108" s="146" t="n">
        <f aca="false">'P&amp;LPLN'!U107/Factors!U$11</f>
        <v>175.579861060048</v>
      </c>
      <c r="V108" s="146" t="n">
        <f aca="false">'P&amp;LPLN'!V107/Factors!V$11</f>
        <v>174.863208565926</v>
      </c>
      <c r="W108" s="146" t="n">
        <f aca="false">'P&amp;LPLN'!W107/Factors!W$11</f>
        <v>174.152382514845</v>
      </c>
      <c r="X108" s="146" t="n">
        <f aca="false">'P&amp;LPLN'!X107/Factors!X$11</f>
        <v>173.447312140291</v>
      </c>
      <c r="Y108" s="146" t="n">
        <f aca="false">'P&amp;LPLN'!Y107/Factors!Y$11</f>
        <v>172.747927817144</v>
      </c>
      <c r="Z108" s="146" t="n">
        <f aca="false">'P&amp;LPLN'!Z107/Factors!Z$11</f>
        <v>172.054161038762</v>
      </c>
      <c r="AA108" s="146" t="n">
        <f aca="false">'P&amp;LPLN'!AA107/Factors!AA$11</f>
        <v>171.365944394607</v>
      </c>
      <c r="AB108" s="146" t="n">
        <f aca="false">'P&amp;LPLN'!AB107/Factors!AB$11</f>
        <v>170.683211548413</v>
      </c>
      <c r="AC108" s="146" t="n">
        <f aca="false">'P&amp;LPLN'!AC107/Factors!AC$11</f>
        <v>170.005897216872</v>
      </c>
      <c r="AD108" s="146" t="n">
        <f aca="false">SUM(R108:AC108)</f>
        <v>2085.9987550015</v>
      </c>
      <c r="AF108" s="45" t="s">
        <v>1224</v>
      </c>
      <c r="AG108" s="146" t="n">
        <f aca="false">'P&amp;LPLN'!AG107/Factors!AG$11</f>
        <v>179.458507269594</v>
      </c>
      <c r="AH108" s="146" t="n">
        <f aca="false">'P&amp;LPLN'!AH107/Factors!AH$11</f>
        <v>178.716943189968</v>
      </c>
      <c r="AI108" s="146" t="n">
        <f aca="false">'P&amp;LPLN'!AI107/Factors!AI$11</f>
        <v>177.981482518404</v>
      </c>
      <c r="AJ108" s="146" t="n">
        <f aca="false">'P&amp;LPLN'!AJ107/Factors!AJ$11</f>
        <v>177.252050213001</v>
      </c>
      <c r="AK108" s="146" t="n">
        <f aca="false">'P&amp;LPLN'!AK107/Factors!AK$11</f>
        <v>176.52857245703</v>
      </c>
      <c r="AL108" s="146" t="n">
        <f aca="false">'P&amp;LPLN'!AL107/Factors!AL$11</f>
        <v>175.810976634034</v>
      </c>
      <c r="AM108" s="146" t="n">
        <f aca="false">'P&amp;LPLN'!AM107/Factors!AM$11</f>
        <v>175.099191303531</v>
      </c>
      <c r="AN108" s="146" t="n">
        <f aca="false">'P&amp;LPLN'!AN107/Factors!AN$11</f>
        <v>174.393146177308</v>
      </c>
      <c r="AO108" s="146" t="n">
        <f aca="false">'P&amp;LPLN'!AO107/Factors!AO$11</f>
        <v>173.692772096274</v>
      </c>
      <c r="AP108" s="146" t="n">
        <f aca="false">'P&amp;LPLN'!AP107/Factors!AP$11</f>
        <v>172.998001007889</v>
      </c>
      <c r="AQ108" s="146" t="n">
        <f aca="false">'P&amp;LPLN'!AQ107/Factors!AQ$11</f>
        <v>172.308765944113</v>
      </c>
      <c r="AR108" s="146" t="n">
        <f aca="false">'P&amp;LPLN'!AR107/Factors!AR$11</f>
        <v>171.62500099989</v>
      </c>
      <c r="AS108" s="146" t="n">
        <f aca="false">SUM(AG108:AR108)</f>
        <v>2105.86540981104</v>
      </c>
    </row>
    <row r="109" customFormat="false" ht="13.2" hidden="false" customHeight="false" outlineLevel="0" collapsed="false">
      <c r="A109" s="207" t="s">
        <v>927</v>
      </c>
      <c r="B109" s="45" t="s">
        <v>1225</v>
      </c>
      <c r="C109" s="146" t="n">
        <f aca="false">'P&amp;LPLN'!C108/Factors!C$11</f>
        <v>209.136166410819</v>
      </c>
      <c r="D109" s="146" t="n">
        <f aca="false">'P&amp;LPLN'!D108/Factors!D$11</f>
        <v>208.844193302547</v>
      </c>
      <c r="E109" s="146" t="n">
        <f aca="false">'P&amp;LPLN'!E108/Factors!E$11</f>
        <v>208.553034299735</v>
      </c>
      <c r="F109" s="146" t="n">
        <f aca="false">'P&amp;LPLN'!F108/Factors!F$11</f>
        <v>208.262686002182</v>
      </c>
      <c r="G109" s="146" t="n">
        <f aca="false">'P&amp;LPLN'!G108/Factors!G$11</f>
        <v>207.973145028594</v>
      </c>
      <c r="H109" s="146" t="n">
        <f aca="false">'P&amp;LPLN'!H108/Factors!H$11</f>
        <v>207.684408016456</v>
      </c>
      <c r="I109" s="146" t="n">
        <f aca="false">'P&amp;LPLN'!I108/Factors!I$11</f>
        <v>207.396471621899</v>
      </c>
      <c r="J109" s="146" t="n">
        <f aca="false">'P&amp;LPLN'!J108/Factors!J$11</f>
        <v>207.109332519575</v>
      </c>
      <c r="K109" s="146" t="n">
        <f aca="false">'P&amp;LPLN'!K108/Factors!K$11</f>
        <v>206.822987402522</v>
      </c>
      <c r="L109" s="146" t="n">
        <f aca="false">'P&amp;LPLN'!L108/Factors!L$11</f>
        <v>206.537432982045</v>
      </c>
      <c r="M109" s="146" t="n">
        <f aca="false">'P&amp;LPLN'!M108/Factors!M$11</f>
        <v>206.252665987585</v>
      </c>
      <c r="N109" s="146" t="n">
        <f aca="false">'P&amp;LPLN'!N108/Factors!N$11</f>
        <v>205.968683166595</v>
      </c>
      <c r="O109" s="139" t="n">
        <f aca="false">SUM(C109:N109)</f>
        <v>2490.54120674055</v>
      </c>
      <c r="Q109" s="45" t="s">
        <v>1225</v>
      </c>
      <c r="R109" s="146" t="n">
        <f aca="false">'P&amp;LPLN'!R108/Factors!R$11</f>
        <v>213.318602980839</v>
      </c>
      <c r="S109" s="146" t="n">
        <f aca="false">'P&amp;LPLN'!S108/Factors!S$11</f>
        <v>212.437121150339</v>
      </c>
      <c r="T109" s="146" t="n">
        <f aca="false">'P&amp;LPLN'!T108/Factors!T$11</f>
        <v>211.56289431433</v>
      </c>
      <c r="U109" s="146" t="n">
        <f aca="false">'P&amp;LPLN'!U108/Factors!U$11</f>
        <v>210.695833272058</v>
      </c>
      <c r="V109" s="146" t="n">
        <f aca="false">'P&amp;LPLN'!V108/Factors!V$11</f>
        <v>209.835850279111</v>
      </c>
      <c r="W109" s="146" t="n">
        <f aca="false">'P&amp;LPLN'!W108/Factors!W$11</f>
        <v>208.982859017814</v>
      </c>
      <c r="X109" s="146" t="n">
        <f aca="false">'P&amp;LPLN'!X108/Factors!X$11</f>
        <v>208.136774568349</v>
      </c>
      <c r="Y109" s="146" t="n">
        <f aca="false">'P&amp;LPLN'!Y108/Factors!Y$11</f>
        <v>207.297513380573</v>
      </c>
      <c r="Z109" s="146" t="n">
        <f aca="false">'P&amp;LPLN'!Z108/Factors!Z$11</f>
        <v>206.464993246515</v>
      </c>
      <c r="AA109" s="146" t="n">
        <f aca="false">'P&amp;LPLN'!AA108/Factors!AA$11</f>
        <v>205.639133273529</v>
      </c>
      <c r="AB109" s="146" t="n">
        <f aca="false">'P&amp;LPLN'!AB108/Factors!AB$11</f>
        <v>204.819853858096</v>
      </c>
      <c r="AC109" s="146" t="n">
        <f aca="false">'P&amp;LPLN'!AC108/Factors!AC$11</f>
        <v>204.007076660247</v>
      </c>
      <c r="AD109" s="146" t="n">
        <f aca="false">SUM(R109:AC109)</f>
        <v>2503.1985060018</v>
      </c>
      <c r="AF109" s="45" t="s">
        <v>1225</v>
      </c>
      <c r="AG109" s="146" t="n">
        <f aca="false">'P&amp;LPLN'!AG108/Factors!AG$11</f>
        <v>215.350208723513</v>
      </c>
      <c r="AH109" s="146" t="n">
        <f aca="false">'P&amp;LPLN'!AH108/Factors!AH$11</f>
        <v>214.460331827962</v>
      </c>
      <c r="AI109" s="146" t="n">
        <f aca="false">'P&amp;LPLN'!AI108/Factors!AI$11</f>
        <v>213.577779022085</v>
      </c>
      <c r="AJ109" s="146" t="n">
        <f aca="false">'P&amp;LPLN'!AJ108/Factors!AJ$11</f>
        <v>212.702460255601</v>
      </c>
      <c r="AK109" s="146" t="n">
        <f aca="false">'P&amp;LPLN'!AK108/Factors!AK$11</f>
        <v>211.834286948436</v>
      </c>
      <c r="AL109" s="146" t="n">
        <f aca="false">'P&amp;LPLN'!AL108/Factors!AL$11</f>
        <v>210.97317196084</v>
      </c>
      <c r="AM109" s="146" t="n">
        <f aca="false">'P&amp;LPLN'!AM108/Factors!AM$11</f>
        <v>210.119029564238</v>
      </c>
      <c r="AN109" s="146" t="n">
        <f aca="false">'P&amp;LPLN'!AN108/Factors!AN$11</f>
        <v>209.271775412769</v>
      </c>
      <c r="AO109" s="146" t="n">
        <f aca="false">'P&amp;LPLN'!AO108/Factors!AO$11</f>
        <v>208.431326515529</v>
      </c>
      <c r="AP109" s="146" t="n">
        <f aca="false">'P&amp;LPLN'!AP108/Factors!AP$11</f>
        <v>207.597601209467</v>
      </c>
      <c r="AQ109" s="146" t="n">
        <f aca="false">'P&amp;LPLN'!AQ108/Factors!AQ$11</f>
        <v>206.770519132935</v>
      </c>
      <c r="AR109" s="146" t="n">
        <f aca="false">'P&amp;LPLN'!AR108/Factors!AR$11</f>
        <v>205.950001199868</v>
      </c>
      <c r="AS109" s="146" t="n">
        <f aca="false">SUM(AG109:AR109)</f>
        <v>2527.03849177324</v>
      </c>
    </row>
    <row r="110" customFormat="false" ht="13.2" hidden="true" customHeight="false" outlineLevel="0" collapsed="false">
      <c r="A110" s="207" t="s">
        <v>929</v>
      </c>
      <c r="B110" s="45" t="s">
        <v>930</v>
      </c>
      <c r="C110" s="146" t="n">
        <f aca="false">'P&amp;LPLN'!C109/Factors!C$11</f>
        <v>0</v>
      </c>
      <c r="D110" s="146" t="n">
        <f aca="false">'P&amp;LPLN'!D109/Factors!D$11</f>
        <v>0</v>
      </c>
      <c r="E110" s="146" t="n">
        <f aca="false">'P&amp;LPLN'!E109/Factors!E$11</f>
        <v>0</v>
      </c>
      <c r="F110" s="146" t="n">
        <f aca="false">'P&amp;LPLN'!F109/Factors!F$11</f>
        <v>0</v>
      </c>
      <c r="G110" s="146" t="n">
        <f aca="false">'P&amp;LPLN'!G109/Factors!G$11</f>
        <v>0</v>
      </c>
      <c r="H110" s="146" t="n">
        <f aca="false">'P&amp;LPLN'!H109/Factors!H$11</f>
        <v>0</v>
      </c>
      <c r="I110" s="146" t="n">
        <f aca="false">'P&amp;LPLN'!I109/Factors!I$11</f>
        <v>0</v>
      </c>
      <c r="J110" s="146" t="n">
        <f aca="false">'P&amp;LPLN'!J109/Factors!J$11</f>
        <v>0</v>
      </c>
      <c r="K110" s="146" t="n">
        <f aca="false">'P&amp;LPLN'!K109/Factors!K$11</f>
        <v>0</v>
      </c>
      <c r="L110" s="146" t="n">
        <f aca="false">'P&amp;LPLN'!L109/Factors!L$11</f>
        <v>0</v>
      </c>
      <c r="M110" s="146" t="n">
        <f aca="false">'P&amp;LPLN'!M109/Factors!M$11</f>
        <v>0</v>
      </c>
      <c r="N110" s="146" t="n">
        <f aca="false">'P&amp;LPLN'!N109/Factors!N$11</f>
        <v>0</v>
      </c>
      <c r="O110" s="139" t="n">
        <f aca="false">SUM(C110:N110)</f>
        <v>0</v>
      </c>
      <c r="Q110" s="45" t="s">
        <v>930</v>
      </c>
      <c r="R110" s="146" t="n">
        <f aca="false">'P&amp;LPLN'!R109/Factors!R$11</f>
        <v>0</v>
      </c>
      <c r="S110" s="146" t="n">
        <f aca="false">'P&amp;LPLN'!S109/Factors!S$11</f>
        <v>0</v>
      </c>
      <c r="T110" s="146" t="n">
        <f aca="false">'P&amp;LPLN'!T109/Factors!T$11</f>
        <v>0</v>
      </c>
      <c r="U110" s="146" t="n">
        <f aca="false">'P&amp;LPLN'!U109/Factors!U$11</f>
        <v>0</v>
      </c>
      <c r="V110" s="146" t="n">
        <f aca="false">'P&amp;LPLN'!V109/Factors!V$11</f>
        <v>0</v>
      </c>
      <c r="W110" s="146" t="n">
        <f aca="false">'P&amp;LPLN'!W109/Factors!W$11</f>
        <v>0</v>
      </c>
      <c r="X110" s="146" t="n">
        <f aca="false">'P&amp;LPLN'!X109/Factors!X$11</f>
        <v>0</v>
      </c>
      <c r="Y110" s="146" t="n">
        <f aca="false">'P&amp;LPLN'!Y109/Factors!Y$11</f>
        <v>0</v>
      </c>
      <c r="Z110" s="146" t="n">
        <f aca="false">'P&amp;LPLN'!Z109/Factors!Z$11</f>
        <v>0</v>
      </c>
      <c r="AA110" s="146" t="n">
        <f aca="false">'P&amp;LPLN'!AA109/Factors!AA$11</f>
        <v>0</v>
      </c>
      <c r="AB110" s="146" t="n">
        <f aca="false">'P&amp;LPLN'!AB109/Factors!AB$11</f>
        <v>0</v>
      </c>
      <c r="AC110" s="146" t="n">
        <f aca="false">'P&amp;LPLN'!AC109/Factors!AC$11</f>
        <v>0</v>
      </c>
      <c r="AD110" s="146" t="n">
        <f aca="false">SUM(R110:AC110)</f>
        <v>0</v>
      </c>
      <c r="AF110" s="45" t="s">
        <v>930</v>
      </c>
      <c r="AG110" s="146" t="n">
        <f aca="false">'P&amp;LPLN'!AG109/Factors!AG$11</f>
        <v>0</v>
      </c>
      <c r="AH110" s="146" t="n">
        <f aca="false">'P&amp;LPLN'!AH109/Factors!AH$11</f>
        <v>0</v>
      </c>
      <c r="AI110" s="146" t="n">
        <f aca="false">'P&amp;LPLN'!AI109/Factors!AI$11</f>
        <v>0</v>
      </c>
      <c r="AJ110" s="146" t="n">
        <f aca="false">'P&amp;LPLN'!AJ109/Factors!AJ$11</f>
        <v>0</v>
      </c>
      <c r="AK110" s="146" t="n">
        <f aca="false">'P&amp;LPLN'!AK109/Factors!AK$11</f>
        <v>0</v>
      </c>
      <c r="AL110" s="146" t="n">
        <f aca="false">'P&amp;LPLN'!AL109/Factors!AL$11</f>
        <v>0</v>
      </c>
      <c r="AM110" s="146" t="n">
        <f aca="false">'P&amp;LPLN'!AM109/Factors!AM$11</f>
        <v>0</v>
      </c>
      <c r="AN110" s="146" t="n">
        <f aca="false">'P&amp;LPLN'!AN109/Factors!AN$11</f>
        <v>0</v>
      </c>
      <c r="AO110" s="146" t="n">
        <f aca="false">'P&amp;LPLN'!AO109/Factors!AO$11</f>
        <v>0</v>
      </c>
      <c r="AP110" s="146" t="n">
        <f aca="false">'P&amp;LPLN'!AP109/Factors!AP$11</f>
        <v>0</v>
      </c>
      <c r="AQ110" s="146" t="n">
        <f aca="false">'P&amp;LPLN'!AQ109/Factors!AQ$11</f>
        <v>0</v>
      </c>
      <c r="AR110" s="146" t="n">
        <f aca="false">'P&amp;LPLN'!AR109/Factors!AR$11</f>
        <v>0</v>
      </c>
      <c r="AS110" s="146" t="n">
        <f aca="false">SUM(AG110:AR110)</f>
        <v>0</v>
      </c>
    </row>
    <row r="111" customFormat="false" ht="13.2" hidden="false" customHeight="false" outlineLevel="0" collapsed="false">
      <c r="A111" s="207" t="s">
        <v>931</v>
      </c>
      <c r="B111" s="45" t="s">
        <v>1226</v>
      </c>
      <c r="C111" s="146" t="n">
        <f aca="false">'P&amp;LPLN'!C110/Factors!C$11</f>
        <v>290.466897792804</v>
      </c>
      <c r="D111" s="146" t="n">
        <f aca="false">'P&amp;LPLN'!D110/Factors!D$11</f>
        <v>290.061379586871</v>
      </c>
      <c r="E111" s="146" t="n">
        <f aca="false">'P&amp;LPLN'!E110/Factors!E$11</f>
        <v>289.656992082965</v>
      </c>
      <c r="F111" s="146" t="n">
        <f aca="false">'P&amp;LPLN'!F110/Factors!F$11</f>
        <v>289.253730558586</v>
      </c>
      <c r="G111" s="146" t="n">
        <f aca="false">'P&amp;LPLN'!G110/Factors!G$11</f>
        <v>288.851590317491</v>
      </c>
      <c r="H111" s="146" t="n">
        <f aca="false">'P&amp;LPLN'!H110/Factors!H$11</f>
        <v>288.450566689522</v>
      </c>
      <c r="I111" s="146" t="n">
        <f aca="false">'P&amp;LPLN'!I110/Factors!I$11</f>
        <v>288.050655030416</v>
      </c>
      <c r="J111" s="146" t="n">
        <f aca="false">'P&amp;LPLN'!J110/Factors!J$11</f>
        <v>287.651850721631</v>
      </c>
      <c r="K111" s="146" t="n">
        <f aca="false">'P&amp;LPLN'!K110/Factors!K$11</f>
        <v>287.25414917017</v>
      </c>
      <c r="L111" s="146" t="n">
        <f aca="false">'P&amp;LPLN'!L110/Factors!L$11</f>
        <v>286.857545808396</v>
      </c>
      <c r="M111" s="146" t="n">
        <f aca="false">'P&amp;LPLN'!M110/Factors!M$11</f>
        <v>286.462036093868</v>
      </c>
      <c r="N111" s="146" t="n">
        <f aca="false">'P&amp;LPLN'!N110/Factors!N$11</f>
        <v>286.06761550916</v>
      </c>
      <c r="O111" s="139" t="n">
        <f aca="false">SUM(C111:N111)</f>
        <v>3459.08500936188</v>
      </c>
      <c r="Q111" s="45" t="s">
        <v>1226</v>
      </c>
      <c r="R111" s="146" t="n">
        <f aca="false">'P&amp;LPLN'!R110/Factors!R$11</f>
        <v>296.275837473387</v>
      </c>
      <c r="S111" s="146" t="n">
        <f aca="false">'P&amp;LPLN'!S110/Factors!S$11</f>
        <v>295.051557153249</v>
      </c>
      <c r="T111" s="146" t="n">
        <f aca="false">'P&amp;LPLN'!T110/Factors!T$11</f>
        <v>293.837353214347</v>
      </c>
      <c r="U111" s="146" t="n">
        <f aca="false">'P&amp;LPLN'!U110/Factors!U$11</f>
        <v>292.633101766747</v>
      </c>
      <c r="V111" s="146" t="n">
        <f aca="false">'P&amp;LPLN'!V110/Factors!V$11</f>
        <v>291.438680943209</v>
      </c>
      <c r="W111" s="146" t="n">
        <f aca="false">'P&amp;LPLN'!W110/Factors!W$11</f>
        <v>290.253970858074</v>
      </c>
      <c r="X111" s="146" t="n">
        <f aca="false">'P&amp;LPLN'!X110/Factors!X$11</f>
        <v>289.078853567151</v>
      </c>
      <c r="Y111" s="146" t="n">
        <f aca="false">'P&amp;LPLN'!Y110/Factors!Y$11</f>
        <v>287.913213028574</v>
      </c>
      <c r="Z111" s="146" t="n">
        <f aca="false">'P&amp;LPLN'!Z110/Factors!Z$11</f>
        <v>286.756935064604</v>
      </c>
      <c r="AA111" s="146" t="n">
        <f aca="false">'P&amp;LPLN'!AA110/Factors!AA$11</f>
        <v>285.609907324345</v>
      </c>
      <c r="AB111" s="146" t="n">
        <f aca="false">'P&amp;LPLN'!AB110/Factors!AB$11</f>
        <v>284.472019247356</v>
      </c>
      <c r="AC111" s="146" t="n">
        <f aca="false">'P&amp;LPLN'!AC110/Factors!AC$11</f>
        <v>283.34316202812</v>
      </c>
      <c r="AD111" s="146" t="n">
        <f aca="false">SUM(R111:AC111)</f>
        <v>3476.66459166916</v>
      </c>
      <c r="AF111" s="45" t="s">
        <v>1226</v>
      </c>
      <c r="AG111" s="146" t="n">
        <f aca="false">'P&amp;LPLN'!AG110/Factors!AG$11</f>
        <v>299.097512115991</v>
      </c>
      <c r="AH111" s="146" t="n">
        <f aca="false">'P&amp;LPLN'!AH110/Factors!AH$11</f>
        <v>297.86157198328</v>
      </c>
      <c r="AI111" s="146" t="n">
        <f aca="false">'P&amp;LPLN'!AI110/Factors!AI$11</f>
        <v>296.635804197341</v>
      </c>
      <c r="AJ111" s="146" t="n">
        <f aca="false">'P&amp;LPLN'!AJ110/Factors!AJ$11</f>
        <v>295.420083688335</v>
      </c>
      <c r="AK111" s="146" t="n">
        <f aca="false">'P&amp;LPLN'!AK110/Factors!AK$11</f>
        <v>294.214287428383</v>
      </c>
      <c r="AL111" s="146" t="n">
        <f aca="false">'P&amp;LPLN'!AL110/Factors!AL$11</f>
        <v>293.018294390056</v>
      </c>
      <c r="AM111" s="146" t="n">
        <f aca="false">'P&amp;LPLN'!AM110/Factors!AM$11</f>
        <v>291.831985505886</v>
      </c>
      <c r="AN111" s="146" t="n">
        <f aca="false">'P&amp;LPLN'!AN110/Factors!AN$11</f>
        <v>290.655243628846</v>
      </c>
      <c r="AO111" s="146" t="n">
        <f aca="false">'P&amp;LPLN'!AO110/Factors!AO$11</f>
        <v>289.48795349379</v>
      </c>
      <c r="AP111" s="146" t="n">
        <f aca="false">'P&amp;LPLN'!AP110/Factors!AP$11</f>
        <v>288.330001679815</v>
      </c>
      <c r="AQ111" s="146" t="n">
        <f aca="false">'P&amp;LPLN'!AQ110/Factors!AQ$11</f>
        <v>287.181276573521</v>
      </c>
      <c r="AR111" s="146" t="n">
        <f aca="false">'P&amp;LPLN'!AR110/Factors!AR$11</f>
        <v>286.04166833315</v>
      </c>
      <c r="AS111" s="146" t="n">
        <f aca="false">SUM(AG111:AR111)</f>
        <v>3509.77568301839</v>
      </c>
    </row>
    <row r="112" customFormat="false" ht="13.8" hidden="false" customHeight="false" outlineLevel="0" collapsed="false">
      <c r="A112" s="207"/>
      <c r="B112" s="285" t="s">
        <v>66</v>
      </c>
      <c r="C112" s="353" t="n">
        <f aca="false">SUM(C98:C111)</f>
        <v>26532.6406855041</v>
      </c>
      <c r="D112" s="353" t="n">
        <f aca="false">SUM(D98:D111)</f>
        <v>26495.5987060868</v>
      </c>
      <c r="E112" s="353" t="n">
        <f aca="false">SUM(E98:E111)</f>
        <v>26458.66001042</v>
      </c>
      <c r="F112" s="353" t="n">
        <f aca="false">SUM(F98:F111)</f>
        <v>26421.8241671279</v>
      </c>
      <c r="G112" s="353" t="n">
        <f aca="false">SUM(G98:G111)</f>
        <v>26385.0907472332</v>
      </c>
      <c r="H112" s="353" t="n">
        <f aca="false">SUM(H98:H111)</f>
        <v>26348.459324141</v>
      </c>
      <c r="I112" s="353" t="n">
        <f aca="false">SUM(I98:I111)</f>
        <v>26311.9294736223</v>
      </c>
      <c r="J112" s="353" t="n">
        <f aca="false">SUM(J98:J111)</f>
        <v>26275.5007737973</v>
      </c>
      <c r="K112" s="353" t="n">
        <f aca="false">SUM(K98:K111)</f>
        <v>26239.1728051193</v>
      </c>
      <c r="L112" s="353" t="n">
        <f aca="false">SUM(L98:L111)</f>
        <v>26202.9451503588</v>
      </c>
      <c r="M112" s="353" t="n">
        <f aca="false">SUM(M98:M111)</f>
        <v>26166.8173945872</v>
      </c>
      <c r="N112" s="353" t="n">
        <f aca="false">SUM(N98:N111)</f>
        <v>26130.7891251611</v>
      </c>
      <c r="O112" s="353" t="n">
        <f aca="false">SUM(O98:O111)</f>
        <v>315969.428363159</v>
      </c>
      <c r="Q112" s="45"/>
      <c r="R112" s="353" t="n">
        <f aca="false">SUM(R98:R111)</f>
        <v>27063.257118839</v>
      </c>
      <c r="S112" s="364" t="n">
        <f aca="false">SUM(S98:S111)</f>
        <v>26951.4254778521</v>
      </c>
      <c r="T112" s="364" t="n">
        <f aca="false">SUM(T98:T111)</f>
        <v>26840.5142618939</v>
      </c>
      <c r="U112" s="364" t="n">
        <f aca="false">SUM(U98:U111)</f>
        <v>26730.5121542632</v>
      </c>
      <c r="V112" s="364" t="n">
        <f aca="false">SUM(V98:V111)</f>
        <v>26621.4080230213</v>
      </c>
      <c r="W112" s="364" t="n">
        <f aca="false">SUM(W98:W111)</f>
        <v>26513.1909172366</v>
      </c>
      <c r="X112" s="364" t="n">
        <f aca="false">SUM(X98:X111)</f>
        <v>26405.8500633207</v>
      </c>
      <c r="Y112" s="364" t="n">
        <f aca="false">SUM(Y98:Y111)</f>
        <v>26299.3748614525</v>
      </c>
      <c r="Z112" s="364" t="n">
        <f aca="false">SUM(Z98:Z111)</f>
        <v>26193.7548820892</v>
      </c>
      <c r="AA112" s="364" t="n">
        <f aca="false">SUM(AA98:AA111)</f>
        <v>26088.9798625608</v>
      </c>
      <c r="AB112" s="364" t="n">
        <f aca="false">SUM(AB98:AB111)</f>
        <v>25985.0397037459</v>
      </c>
      <c r="AC112" s="364" t="n">
        <f aca="false">SUM(AC98:AC111)</f>
        <v>25881.9244668262</v>
      </c>
      <c r="AD112" s="364" t="n">
        <f aca="false">SUM(AD98:AD111)</f>
        <v>317575.231793101</v>
      </c>
      <c r="AF112" s="45"/>
      <c r="AG112" s="353" t="n">
        <f aca="false">SUM(AG98:AG111)</f>
        <v>27321.0024247328</v>
      </c>
      <c r="AH112" s="364" t="n">
        <f aca="false">SUM(AH98:AH111)</f>
        <v>27208.1057204983</v>
      </c>
      <c r="AI112" s="364" t="n">
        <f aca="false">SUM(AI98:AI111)</f>
        <v>27096.1382072452</v>
      </c>
      <c r="AJ112" s="364" t="n">
        <f aca="false">SUM(AJ98:AJ111)</f>
        <v>26985.0884604942</v>
      </c>
      <c r="AK112" s="364" t="n">
        <f aca="false">SUM(AK98:AK111)</f>
        <v>26874.9452422881</v>
      </c>
      <c r="AL112" s="364" t="n">
        <f aca="false">SUM(AL98:AL111)</f>
        <v>26765.6974974008</v>
      </c>
      <c r="AM112" s="364" t="n">
        <f aca="false">SUM(AM98:AM111)</f>
        <v>26657.334349638</v>
      </c>
      <c r="AN112" s="364" t="n">
        <f aca="false">SUM(AN98:AN111)</f>
        <v>26549.8450982282</v>
      </c>
      <c r="AO112" s="364" t="n">
        <f aca="false">SUM(AO98:AO111)</f>
        <v>26443.2192142996</v>
      </c>
      <c r="AP112" s="364" t="n">
        <f aca="false">SUM(AP98:AP111)</f>
        <v>26337.4463374424</v>
      </c>
      <c r="AQ112" s="364" t="n">
        <f aca="false">SUM(AQ98:AQ111)</f>
        <v>26232.516272353</v>
      </c>
      <c r="AR112" s="364" t="n">
        <f aca="false">SUM(AR98:AR111)</f>
        <v>26128.4189855579</v>
      </c>
      <c r="AS112" s="364" t="n">
        <f aca="false">SUM(AS98:AS111)</f>
        <v>320599.757810179</v>
      </c>
    </row>
    <row r="113" customFormat="false" ht="13.8" hidden="false" customHeight="false" outlineLevel="0" collapsed="false">
      <c r="A113" s="207"/>
      <c r="B113" s="144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Q113" s="45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F113" s="45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</row>
    <row r="114" customFormat="false" ht="13.2" hidden="false" customHeight="false" outlineLevel="0" collapsed="false">
      <c r="A114" s="392" t="s">
        <v>1039</v>
      </c>
      <c r="B114" s="144" t="s">
        <v>1227</v>
      </c>
      <c r="C114" s="153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5"/>
      <c r="Q114" s="144" t="s">
        <v>1228</v>
      </c>
      <c r="R114" s="357" t="s">
        <v>1040</v>
      </c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5"/>
      <c r="AF114" s="144" t="s">
        <v>1228</v>
      </c>
      <c r="AG114" s="357" t="s">
        <v>1040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5"/>
    </row>
    <row r="115" customFormat="false" ht="13.2" hidden="false" customHeight="false" outlineLevel="0" collapsed="false">
      <c r="A115" s="207" t="s">
        <v>1041</v>
      </c>
      <c r="B115" s="45" t="s">
        <v>1229</v>
      </c>
      <c r="C115" s="146" t="n">
        <f aca="false">employees!D76+employees!D67/Factors!C11+employees!D78/Factors!C11-employees!D79/Factors!C11</f>
        <v>127854.347977674</v>
      </c>
      <c r="D115" s="146" t="n">
        <f aca="false">employees!E76+employees!E67/Factors!D11+employees!E78/Factors!D11</f>
        <v>56490.4777072375</v>
      </c>
      <c r="E115" s="146" t="n">
        <f aca="false">employees!F76+employees!F67/Factors!E11+employees!F78/Factors!E11</f>
        <v>56411.7218132023</v>
      </c>
      <c r="F115" s="146" t="n">
        <f aca="false">employees!G76+employees!G67/Factors!F11+employees!G78/Factors!F11</f>
        <v>56333.1852076549</v>
      </c>
      <c r="G115" s="146" t="n">
        <f aca="false">employees!H76+employees!H67/Factors!G11+employees!H78/Factors!G11</f>
        <v>56254.8669759859</v>
      </c>
      <c r="H115" s="146" t="n">
        <f aca="false">employees!I76+employees!I67/Factors!H11+employees!I78/Factors!H11</f>
        <v>56176.766208665</v>
      </c>
      <c r="I115" s="146" t="n">
        <f aca="false">employees!J76+employees!J67/Factors!I11+employees!J78/Factors!I11</f>
        <v>56098.882001206</v>
      </c>
      <c r="J115" s="146" t="n">
        <f aca="false">employees!K76+employees!K67/Factors!J11+employees!K78/Factors!J11</f>
        <v>56021.2134541315</v>
      </c>
      <c r="K115" s="146" t="n">
        <f aca="false">employees!L76+employees!L67/Factors!K11+employees!L78/Factors!K11</f>
        <v>55943.7596729387</v>
      </c>
      <c r="L115" s="146" t="n">
        <f aca="false">employees!M76+employees!M67/Factors!L11+employees!M78/Factors!L11</f>
        <v>55866.5197680649</v>
      </c>
      <c r="M115" s="146" t="n">
        <f aca="false">employees!N76+employees!N67/Factors!M11+employees!N78/Factors!M11</f>
        <v>55789.492854853</v>
      </c>
      <c r="N115" s="146" t="n">
        <f aca="false">employees!O76+employees!O67/Factors!N11+employees!O78/Factors!N11</f>
        <v>55712.6780535187</v>
      </c>
      <c r="O115" s="139" t="n">
        <f aca="false">SUM(C115:N115)</f>
        <v>744953.911695133</v>
      </c>
      <c r="Q115" s="45" t="s">
        <v>1229</v>
      </c>
      <c r="R115" s="146" t="n">
        <f aca="false">employees!T76+employees!T67/Factors!R11</f>
        <v>61029.655627091</v>
      </c>
      <c r="S115" s="146" t="n">
        <f aca="false">employees!U76+employees!U67/Factors!S11</f>
        <v>60777.4669674749</v>
      </c>
      <c r="T115" s="146" t="n">
        <f aca="false">employees!V76+employees!V67/Factors!T11</f>
        <v>60527.3539346869</v>
      </c>
      <c r="U115" s="146" t="n">
        <f aca="false">employees!W76+employees!W67/Factors!U11</f>
        <v>60279.2910087251</v>
      </c>
      <c r="V115" s="146" t="n">
        <f aca="false">employees!X76+employees!X67/Factors!V11</f>
        <v>60033.2530862405</v>
      </c>
      <c r="W115" s="146" t="n">
        <f aca="false">employees!Y76+employees!Y67/Factors!W11</f>
        <v>59789.2154720688</v>
      </c>
      <c r="X115" s="146" t="n">
        <f aca="false">employees!Z76+employees!Z67/Factors!X11</f>
        <v>59547.1538709673</v>
      </c>
      <c r="Y115" s="146" t="n">
        <f aca="false">employees!AA76+employees!AA67/Factors!Y11</f>
        <v>59307.0443795521</v>
      </c>
      <c r="Z115" s="146" t="n">
        <f aca="false">employees!AB76+employees!AB67/Factors!Z11</f>
        <v>59068.8634784294</v>
      </c>
      <c r="AA115" s="146" t="n">
        <f aca="false">employees!AC76+employees!AC67/Factors!AA11</f>
        <v>58832.5880245157</v>
      </c>
      <c r="AB115" s="146" t="n">
        <f aca="false">employees!AD76+employees!AD67/Factors!AB11</f>
        <v>58598.1952435415</v>
      </c>
      <c r="AC115" s="146" t="n">
        <f aca="false">employees!AE76+employees!AE67/Factors!AC11</f>
        <v>58365.6627227338</v>
      </c>
      <c r="AD115" s="146" t="n">
        <f aca="false">SUM(R115:AC115)</f>
        <v>716155.743816027</v>
      </c>
      <c r="AF115" s="45" t="s">
        <v>1229</v>
      </c>
      <c r="AG115" s="146" t="n">
        <f aca="false">employees!AH76+employees!AH67/Factors!AG11</f>
        <v>0</v>
      </c>
      <c r="AH115" s="146" t="n">
        <f aca="false">employees!AI76+employees!AI67/Factors!AH11</f>
        <v>0</v>
      </c>
      <c r="AI115" s="146" t="n">
        <f aca="false">employees!AJ76+employees!AJ67/Factors!AI11</f>
        <v>0</v>
      </c>
      <c r="AJ115" s="146" t="n">
        <f aca="false">employees!AK76+employees!AK67/Factors!AJ11</f>
        <v>0</v>
      </c>
      <c r="AK115" s="146" t="n">
        <f aca="false">employees!AL76+employees!AL67/Factors!AK11</f>
        <v>0</v>
      </c>
      <c r="AL115" s="146" t="n">
        <f aca="false">employees!AM76+employees!AM67/Factors!AL11</f>
        <v>0</v>
      </c>
      <c r="AM115" s="146" t="n">
        <f aca="false">employees!AN76+employees!AN67/Factors!AM11</f>
        <v>0</v>
      </c>
      <c r="AN115" s="146" t="n">
        <f aca="false">employees!AO76+employees!AO67/Factors!AN11</f>
        <v>0</v>
      </c>
      <c r="AO115" s="146" t="n">
        <f aca="false">employees!AP76+employees!AP67/Factors!AO11</f>
        <v>0</v>
      </c>
      <c r="AP115" s="146" t="n">
        <f aca="false">employees!AQ76+employees!AQ67/Factors!AP11</f>
        <v>0</v>
      </c>
      <c r="AQ115" s="146" t="n">
        <f aca="false">employees!AR76+employees!AR67/Factors!AQ11</f>
        <v>0</v>
      </c>
      <c r="AR115" s="146" t="n">
        <f aca="false">employees!AS76+employees!AS67/Factors!AR11</f>
        <v>0</v>
      </c>
      <c r="AS115" s="146" t="n">
        <f aca="false">SUM(AG115:AR115)</f>
        <v>0</v>
      </c>
    </row>
    <row r="116" customFormat="false" ht="13.2" hidden="false" customHeight="false" outlineLevel="0" collapsed="false">
      <c r="A116" s="207" t="s">
        <v>1042</v>
      </c>
      <c r="B116" s="45" t="s">
        <v>1230</v>
      </c>
      <c r="C116" s="365" t="n">
        <f aca="false">employees!D68/Factors!C11+employees!D79/Factors!C11</f>
        <v>25152.3294610271</v>
      </c>
      <c r="D116" s="365" t="n">
        <f aca="false">employees!E68/Factors!D11</f>
        <v>10168.2859873028</v>
      </c>
      <c r="E116" s="365" t="n">
        <f aca="false">employees!F68/Factors!E11</f>
        <v>10154.1099263764</v>
      </c>
      <c r="F116" s="365" t="n">
        <f aca="false">employees!G68/Factors!F11</f>
        <v>10139.9733373779</v>
      </c>
      <c r="G116" s="365" t="n">
        <f aca="false">employees!H68/Factors!G11</f>
        <v>10125.8760556775</v>
      </c>
      <c r="H116" s="365" t="n">
        <f aca="false">employees!I68/Factors!H11</f>
        <v>10111.8179175597</v>
      </c>
      <c r="I116" s="365" t="n">
        <f aca="false">employees!J68/Factors!I11</f>
        <v>10097.7987602171</v>
      </c>
      <c r="J116" s="365" t="n">
        <f aca="false">employees!K68/Factors!J11</f>
        <v>10083.8184217437</v>
      </c>
      <c r="K116" s="365" t="n">
        <f aca="false">employees!L68/Factors!K11</f>
        <v>10069.876741129</v>
      </c>
      <c r="L116" s="365" t="n">
        <f aca="false">employees!M68/Factors!L11</f>
        <v>10055.9735582517</v>
      </c>
      <c r="M116" s="365" t="n">
        <f aca="false">employees!N68/Factors!M11</f>
        <v>10042.1087138735</v>
      </c>
      <c r="N116" s="365" t="n">
        <f aca="false">employees!O68/Factors!N11</f>
        <v>10028.2820496334</v>
      </c>
      <c r="O116" s="102" t="n">
        <f aca="false">SUM(C116:N116)</f>
        <v>136230.25093017</v>
      </c>
      <c r="Q116" s="45" t="s">
        <v>1230</v>
      </c>
      <c r="R116" s="365" t="n">
        <f aca="false">employees!T68/Factors!R11</f>
        <v>10985.3380128764</v>
      </c>
      <c r="S116" s="365" t="n">
        <f aca="false">employees!U68/Factors!S11</f>
        <v>10939.9440541455</v>
      </c>
      <c r="T116" s="365" t="n">
        <f aca="false">employees!V68/Factors!T11</f>
        <v>10894.9237082437</v>
      </c>
      <c r="U116" s="365" t="n">
        <f aca="false">employees!W68/Factors!U11</f>
        <v>10850.2723815705</v>
      </c>
      <c r="V116" s="365" t="n">
        <f aca="false">employees!X68/Factors!V11</f>
        <v>10805.9855555233</v>
      </c>
      <c r="W116" s="365" t="n">
        <f aca="false">employees!Y68/Factors!W11</f>
        <v>10762.0587849724</v>
      </c>
      <c r="X116" s="365" t="n">
        <f aca="false">employees!Z68/Factors!X11</f>
        <v>10718.4876967741</v>
      </c>
      <c r="Y116" s="365" t="n">
        <f aca="false">employees!AA68/Factors!Y11</f>
        <v>10675.2679883194</v>
      </c>
      <c r="Z116" s="365" t="n">
        <f aca="false">employees!AB68/Factors!Z11</f>
        <v>10632.3954261173</v>
      </c>
      <c r="AA116" s="365" t="n">
        <f aca="false">employees!AC68/Factors!AA11</f>
        <v>10589.8658444128</v>
      </c>
      <c r="AB116" s="365" t="n">
        <f aca="false">employees!AD68/Factors!AB11</f>
        <v>10547.6751438375</v>
      </c>
      <c r="AC116" s="365" t="n">
        <f aca="false">employees!AE68/Factors!AC11</f>
        <v>10505.8192900921</v>
      </c>
      <c r="AD116" s="361" t="n">
        <f aca="false">SUM(R116:AC116)</f>
        <v>128908.033886885</v>
      </c>
      <c r="AE116" s="2"/>
      <c r="AF116" s="45" t="s">
        <v>1230</v>
      </c>
      <c r="AG116" s="365" t="n">
        <f aca="false">employees!AH68/Factors!AG11</f>
        <v>0</v>
      </c>
      <c r="AH116" s="365" t="n">
        <f aca="false">employees!AI68/Factors!AH11</f>
        <v>0</v>
      </c>
      <c r="AI116" s="365" t="n">
        <f aca="false">employees!AJ68/Factors!AI11</f>
        <v>0</v>
      </c>
      <c r="AJ116" s="365" t="n">
        <f aca="false">employees!AK68/Factors!AJ11</f>
        <v>0</v>
      </c>
      <c r="AK116" s="365" t="n">
        <f aca="false">employees!AL68/Factors!AK11</f>
        <v>0</v>
      </c>
      <c r="AL116" s="365" t="n">
        <f aca="false">employees!AM68/Factors!AL11</f>
        <v>0</v>
      </c>
      <c r="AM116" s="365" t="n">
        <f aca="false">employees!AN68/Factors!AM11</f>
        <v>0</v>
      </c>
      <c r="AN116" s="365" t="n">
        <f aca="false">employees!AO68/Factors!AN11</f>
        <v>0</v>
      </c>
      <c r="AO116" s="365" t="n">
        <f aca="false">employees!AP68/Factors!AO11</f>
        <v>0</v>
      </c>
      <c r="AP116" s="365" t="n">
        <f aca="false">employees!AQ68/Factors!AP11</f>
        <v>0</v>
      </c>
      <c r="AQ116" s="365" t="n">
        <f aca="false">employees!AR68/Factors!AQ11</f>
        <v>0</v>
      </c>
      <c r="AR116" s="365" t="n">
        <f aca="false">employees!AS68/Factors!AR11</f>
        <v>0</v>
      </c>
      <c r="AS116" s="361" t="n">
        <f aca="false">SUM(AG116:AR116)</f>
        <v>0</v>
      </c>
    </row>
    <row r="117" customFormat="false" ht="13.2" hidden="true" customHeight="false" outlineLevel="0" collapsed="false">
      <c r="A117" s="207" t="s">
        <v>1043</v>
      </c>
      <c r="B117" s="45" t="s">
        <v>1231</v>
      </c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39" t="n">
        <f aca="false">SUM(C117:N117)</f>
        <v>0</v>
      </c>
      <c r="Q117" s="45" t="s">
        <v>1231</v>
      </c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 t="n">
        <f aca="false">SUM(R117:AC117)</f>
        <v>0</v>
      </c>
      <c r="AF117" s="45" t="s">
        <v>1231</v>
      </c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 t="n">
        <f aca="false">SUM(AG117:AR117)</f>
        <v>0</v>
      </c>
    </row>
    <row r="118" customFormat="false" ht="13.2" hidden="false" customHeight="false" outlineLevel="0" collapsed="false">
      <c r="A118" s="207" t="s">
        <v>1044</v>
      </c>
      <c r="B118" s="45" t="s">
        <v>1232</v>
      </c>
      <c r="C118" s="146" t="n">
        <f aca="false">'P&amp;LPLN'!C117/Factors!C11</f>
        <v>5562.66295793265</v>
      </c>
      <c r="D118" s="146" t="n">
        <f aca="false">'P&amp;LPLN'!D117/Factors!D11</f>
        <v>5554.89697454502</v>
      </c>
      <c r="E118" s="146" t="n">
        <f aca="false">'P&amp;LPLN'!E117/Factors!E11</f>
        <v>5547.1526449649</v>
      </c>
      <c r="F118" s="146" t="n">
        <f aca="false">'P&amp;LPLN'!F117/Factors!F11</f>
        <v>5539.42987875273</v>
      </c>
      <c r="G118" s="146" t="n">
        <f aca="false">'P&amp;LPLN'!G117/Factors!G11</f>
        <v>5531.72858597195</v>
      </c>
      <c r="H118" s="146" t="n">
        <f aca="false">'P&amp;LPLN'!H117/Factors!H11</f>
        <v>5524.04867718539</v>
      </c>
      <c r="I118" s="146" t="n">
        <f aca="false">'P&amp;LPLN'!I117/Factors!I11</f>
        <v>5516.39006345192</v>
      </c>
      <c r="J118" s="146" t="n">
        <f aca="false">'P&amp;LPLN'!J117/Factors!J11</f>
        <v>5508.75265632293</v>
      </c>
      <c r="K118" s="146" t="n">
        <f aca="false">'P&amp;LPLN'!K117/Factors!K11</f>
        <v>5501.13636783898</v>
      </c>
      <c r="L118" s="146" t="n">
        <f aca="false">'P&amp;LPLN'!L117/Factors!L11</f>
        <v>5493.54111052638</v>
      </c>
      <c r="M118" s="146" t="n">
        <f aca="false">'P&amp;LPLN'!M117/Factors!M11</f>
        <v>5485.96679739388</v>
      </c>
      <c r="N118" s="146" t="n">
        <f aca="false">'P&amp;LPLN'!N117/Factors!N11</f>
        <v>5478.41334192933</v>
      </c>
      <c r="O118" s="139" t="n">
        <f aca="false">SUM(C118:N118)</f>
        <v>66244.1200568161</v>
      </c>
      <c r="Q118" s="45" t="s">
        <v>1232</v>
      </c>
      <c r="R118" s="146" t="n">
        <f aca="false">'P&amp;LPLN'!R117/Factors!R11</f>
        <v>6001.24946999728</v>
      </c>
      <c r="S118" s="146" t="n">
        <f aca="false">'P&amp;LPLN'!S117/Factors!S11</f>
        <v>5976.45091846837</v>
      </c>
      <c r="T118" s="146" t="n">
        <f aca="false">'P&amp;LPLN'!T117/Factors!T11</f>
        <v>5951.85647024422</v>
      </c>
      <c r="U118" s="146" t="n">
        <f aca="false">'P&amp;LPLN'!U117/Factors!U11</f>
        <v>5927.46361585797</v>
      </c>
      <c r="V118" s="146" t="n">
        <f aca="false">'P&amp;LPLN'!V117/Factors!V11</f>
        <v>5903.26988681365</v>
      </c>
      <c r="W118" s="146" t="n">
        <f aca="false">'P&amp;LPLN'!W117/Factors!W11</f>
        <v>5879.27285475343</v>
      </c>
      <c r="X118" s="146" t="n">
        <f aca="false">'P&amp;LPLN'!X117/Factors!X11</f>
        <v>5855.47013064512</v>
      </c>
      <c r="Y118" s="146" t="n">
        <f aca="false">'P&amp;LPLN'!Y117/Factors!Y11</f>
        <v>5831.85936398929</v>
      </c>
      <c r="Z118" s="146" t="n">
        <f aca="false">'P&amp;LPLN'!Z117/Factors!Z11</f>
        <v>5808.43824204556</v>
      </c>
      <c r="AA118" s="146" t="n">
        <f aca="false">'P&amp;LPLN'!AA117/Factors!AA11</f>
        <v>5785.20448907738</v>
      </c>
      <c r="AB118" s="146" t="n">
        <f aca="false">'P&amp;LPLN'!AB117/Factors!AB11</f>
        <v>5762.15586561492</v>
      </c>
      <c r="AC118" s="146" t="n">
        <f aca="false">'P&amp;LPLN'!AC117/Factors!AC11</f>
        <v>5739.2901677355</v>
      </c>
      <c r="AD118" s="146" t="n">
        <f aca="false">SUM(R118:AC118)</f>
        <v>70421.9814752427</v>
      </c>
      <c r="AF118" s="45" t="s">
        <v>1232</v>
      </c>
      <c r="AG118" s="146" t="n">
        <f aca="false">'P&amp;LPLN'!AG117/Factors!AG11</f>
        <v>0</v>
      </c>
      <c r="AH118" s="146" t="n">
        <f aca="false">'P&amp;LPLN'!AH117/Factors!AH11</f>
        <v>0</v>
      </c>
      <c r="AI118" s="146" t="n">
        <f aca="false">'P&amp;LPLN'!AI117/Factors!AI11</f>
        <v>0</v>
      </c>
      <c r="AJ118" s="146" t="n">
        <f aca="false">'P&amp;LPLN'!AJ117/Factors!AJ11</f>
        <v>0</v>
      </c>
      <c r="AK118" s="146" t="n">
        <f aca="false">'P&amp;LPLN'!AK117/Factors!AK11</f>
        <v>0</v>
      </c>
      <c r="AL118" s="146" t="n">
        <f aca="false">'P&amp;LPLN'!AL117/Factors!AL11</f>
        <v>0</v>
      </c>
      <c r="AM118" s="146" t="n">
        <f aca="false">'P&amp;LPLN'!AM117/Factors!AM11</f>
        <v>0</v>
      </c>
      <c r="AN118" s="146" t="n">
        <f aca="false">'P&amp;LPLN'!AN117/Factors!AN11</f>
        <v>0</v>
      </c>
      <c r="AO118" s="146" t="n">
        <f aca="false">'P&amp;LPLN'!AO117/Factors!AO11</f>
        <v>0</v>
      </c>
      <c r="AP118" s="146" t="n">
        <f aca="false">'P&amp;LPLN'!AP117/Factors!AP11</f>
        <v>0</v>
      </c>
      <c r="AQ118" s="146" t="n">
        <f aca="false">'P&amp;LPLN'!AQ117/Factors!AQ11</f>
        <v>0</v>
      </c>
      <c r="AR118" s="146" t="n">
        <f aca="false">'P&amp;LPLN'!AR117/Factors!AR11</f>
        <v>0</v>
      </c>
      <c r="AS118" s="146" t="n">
        <f aca="false">SUM(AG118:AR118)</f>
        <v>0</v>
      </c>
    </row>
    <row r="119" customFormat="false" ht="13.2" hidden="true" customHeight="false" outlineLevel="0" collapsed="false">
      <c r="A119" s="207" t="s">
        <v>1045</v>
      </c>
      <c r="B119" s="144" t="s">
        <v>1233</v>
      </c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39" t="n">
        <f aca="false">SUM(C119:N119)</f>
        <v>0</v>
      </c>
      <c r="Q119" s="45" t="s">
        <v>1234</v>
      </c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 t="n">
        <f aca="false">SUM(R119:AC119)</f>
        <v>0</v>
      </c>
      <c r="AF119" s="45" t="s">
        <v>1234</v>
      </c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 t="n">
        <f aca="false">SUM(AG119:AR119)</f>
        <v>0</v>
      </c>
    </row>
    <row r="120" customFormat="false" ht="13.8" hidden="false" customHeight="false" outlineLevel="0" collapsed="false">
      <c r="A120" s="207"/>
      <c r="B120" s="285" t="s">
        <v>66</v>
      </c>
      <c r="C120" s="353" t="n">
        <f aca="false">SUM(C115:C119)</f>
        <v>158569.340396634</v>
      </c>
      <c r="D120" s="353" t="n">
        <f aca="false">SUM(D115:D119)</f>
        <v>72213.6606690853</v>
      </c>
      <c r="E120" s="353" t="n">
        <f aca="false">SUM(E115:E119)</f>
        <v>72112.9843845437</v>
      </c>
      <c r="F120" s="353" t="n">
        <f aca="false">SUM(F115:F119)</f>
        <v>72012.5884237856</v>
      </c>
      <c r="G120" s="353" t="n">
        <f aca="false">SUM(G115:G119)</f>
        <v>71912.4716176353</v>
      </c>
      <c r="H120" s="353" t="n">
        <f aca="false">SUM(H115:H119)</f>
        <v>71812.6328034101</v>
      </c>
      <c r="I120" s="353" t="n">
        <f aca="false">SUM(I115:I119)</f>
        <v>71713.070824875</v>
      </c>
      <c r="J120" s="353" t="n">
        <f aca="false">SUM(J115:J119)</f>
        <v>71613.7845321981</v>
      </c>
      <c r="K120" s="353" t="n">
        <f aca="false">SUM(K115:K119)</f>
        <v>71514.7727819067</v>
      </c>
      <c r="L120" s="353" t="n">
        <f aca="false">SUM(L115:L119)</f>
        <v>71416.0344368429</v>
      </c>
      <c r="M120" s="353" t="n">
        <f aca="false">SUM(M115:M119)</f>
        <v>71317.5683661204</v>
      </c>
      <c r="N120" s="353" t="n">
        <f aca="false">SUM(N115:N119)</f>
        <v>71219.3734450813</v>
      </c>
      <c r="O120" s="353" t="n">
        <f aca="false">SUM(O115:O119)</f>
        <v>947428.282682118</v>
      </c>
      <c r="Q120" s="45"/>
      <c r="R120" s="353" t="n">
        <f aca="false">SUM(R115:R119)</f>
        <v>78016.2431099646</v>
      </c>
      <c r="S120" s="364" t="n">
        <f aca="false">SUM(S115:S119)</f>
        <v>77693.8619400887</v>
      </c>
      <c r="T120" s="364" t="n">
        <f aca="false">SUM(T115:T119)</f>
        <v>77374.1341131748</v>
      </c>
      <c r="U120" s="364" t="n">
        <f aca="false">SUM(U115:U119)</f>
        <v>77057.0270061536</v>
      </c>
      <c r="V120" s="364" t="n">
        <f aca="false">SUM(V115:V119)</f>
        <v>76742.5085285775</v>
      </c>
      <c r="W120" s="364" t="n">
        <f aca="false">SUM(W115:W119)</f>
        <v>76430.5471117946</v>
      </c>
      <c r="X120" s="364" t="n">
        <f aca="false">SUM(X115:X119)</f>
        <v>76121.1116983866</v>
      </c>
      <c r="Y120" s="364" t="n">
        <f aca="false">SUM(Y115:Y119)</f>
        <v>75814.1717318608</v>
      </c>
      <c r="Z120" s="364" t="n">
        <f aca="false">SUM(Z115:Z119)</f>
        <v>75509.6971465923</v>
      </c>
      <c r="AA120" s="364" t="n">
        <f aca="false">SUM(AA115:AA119)</f>
        <v>75207.6583580059</v>
      </c>
      <c r="AB120" s="364" t="n">
        <f aca="false">SUM(AB115:AB119)</f>
        <v>74908.0262529939</v>
      </c>
      <c r="AC120" s="364" t="n">
        <f aca="false">SUM(AC115:AC119)</f>
        <v>74610.7721805614</v>
      </c>
      <c r="AD120" s="364" t="n">
        <f aca="false">SUM(AD115:AD119)</f>
        <v>915485.759178155</v>
      </c>
      <c r="AF120" s="45"/>
      <c r="AG120" s="353" t="n">
        <f aca="false">SUM(AG115:AG119)</f>
        <v>0</v>
      </c>
      <c r="AH120" s="364" t="n">
        <f aca="false">SUM(AH115:AH119)</f>
        <v>0</v>
      </c>
      <c r="AI120" s="364" t="n">
        <f aca="false">SUM(AI115:AI119)</f>
        <v>0</v>
      </c>
      <c r="AJ120" s="364" t="n">
        <f aca="false">SUM(AJ115:AJ119)</f>
        <v>0</v>
      </c>
      <c r="AK120" s="364" t="n">
        <f aca="false">SUM(AK115:AK119)</f>
        <v>0</v>
      </c>
      <c r="AL120" s="364" t="n">
        <f aca="false">SUM(AL115:AL119)</f>
        <v>0</v>
      </c>
      <c r="AM120" s="364" t="n">
        <f aca="false">SUM(AM115:AM119)</f>
        <v>0</v>
      </c>
      <c r="AN120" s="364" t="n">
        <f aca="false">SUM(AN115:AN119)</f>
        <v>0</v>
      </c>
      <c r="AO120" s="364" t="n">
        <f aca="false">SUM(AO115:AO119)</f>
        <v>0</v>
      </c>
      <c r="AP120" s="364" t="n">
        <f aca="false">SUM(AP115:AP119)</f>
        <v>0</v>
      </c>
      <c r="AQ120" s="364" t="n">
        <f aca="false">SUM(AQ115:AQ119)</f>
        <v>0</v>
      </c>
      <c r="AR120" s="364" t="n">
        <f aca="false">SUM(AR115:AR119)</f>
        <v>0</v>
      </c>
      <c r="AS120" s="364" t="n">
        <f aca="false">SUM(AS115:AS119)</f>
        <v>0</v>
      </c>
    </row>
    <row r="121" customFormat="false" ht="13.8" hidden="false" customHeight="false" outlineLevel="0" collapsed="false">
      <c r="A121" s="207"/>
      <c r="B121" s="144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5"/>
      <c r="Q121" s="45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5"/>
      <c r="AF121" s="45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5"/>
    </row>
    <row r="122" customFormat="false" ht="13.2" hidden="false" customHeight="false" outlineLevel="0" collapsed="false">
      <c r="A122" s="392" t="s">
        <v>454</v>
      </c>
      <c r="B122" s="144" t="s">
        <v>453</v>
      </c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5"/>
      <c r="Q122" s="144" t="s">
        <v>1235</v>
      </c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5"/>
      <c r="AF122" s="144" t="s">
        <v>1235</v>
      </c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5"/>
    </row>
    <row r="123" customFormat="false" ht="13.2" hidden="false" customHeight="false" outlineLevel="0" collapsed="false">
      <c r="A123" s="207" t="s">
        <v>456</v>
      </c>
      <c r="B123" s="45" t="s">
        <v>457</v>
      </c>
      <c r="C123" s="367" t="n">
        <f aca="false">'P&amp;LPLN'!C122/Factors!C$11</f>
        <v>1463.95316487573</v>
      </c>
      <c r="D123" s="367" t="n">
        <f aca="false">'P&amp;LPLN'!D122/Factors!D$11</f>
        <v>1461.90935311783</v>
      </c>
      <c r="E123" s="367" t="n">
        <f aca="false">'P&amp;LPLN'!E122/Factors!E$11</f>
        <v>1459.87124009815</v>
      </c>
      <c r="F123" s="367" t="n">
        <f aca="false">'P&amp;LPLN'!F122/Factors!F$11</f>
        <v>1457.83880201527</v>
      </c>
      <c r="G123" s="367" t="n">
        <f aca="false">'P&amp;LPLN'!G122/Factors!G$11</f>
        <v>1455.81201520016</v>
      </c>
      <c r="H123" s="367" t="n">
        <f aca="false">'P&amp;LPLN'!H122/Factors!H$11</f>
        <v>1453.79085611519</v>
      </c>
      <c r="I123" s="367" t="n">
        <f aca="false">'P&amp;LPLN'!I122/Factors!I$11</f>
        <v>1451.77530135329</v>
      </c>
      <c r="J123" s="367" t="n">
        <f aca="false">'P&amp;LPLN'!J122/Factors!J$11</f>
        <v>1449.76532763702</v>
      </c>
      <c r="K123" s="367" t="n">
        <f aca="false">'P&amp;LPLN'!K122/Factors!K$11</f>
        <v>1447.76091181765</v>
      </c>
      <c r="L123" s="367" t="n">
        <f aca="false">'P&amp;LPLN'!L122/Factors!L$11</f>
        <v>1445.76203087432</v>
      </c>
      <c r="M123" s="367" t="n">
        <f aca="false">'P&amp;LPLN'!M122/Factors!M$11</f>
        <v>1443.76866191309</v>
      </c>
      <c r="N123" s="367" t="n">
        <f aca="false">'P&amp;LPLN'!N122/Factors!N$11</f>
        <v>1441.78078216617</v>
      </c>
      <c r="O123" s="102" t="n">
        <f aca="false">SUM(C123:N123)</f>
        <v>17433.7884471839</v>
      </c>
      <c r="P123" s="102"/>
      <c r="Q123" s="45" t="s">
        <v>457</v>
      </c>
      <c r="R123" s="367" t="n">
        <f aca="false">'P&amp;LPLN'!R122/Factors!R$11</f>
        <v>1435.79828929411</v>
      </c>
      <c r="S123" s="367" t="n">
        <f aca="false">'P&amp;LPLN'!S122/Factors!S$11</f>
        <v>1429.8652385119</v>
      </c>
      <c r="T123" s="367" t="n">
        <f aca="false">'P&amp;LPLN'!T122/Factors!T$11</f>
        <v>1423.98101942337</v>
      </c>
      <c r="U123" s="367" t="n">
        <f aca="false">'P&amp;LPLN'!U122/Factors!U$11</f>
        <v>1418.14503163885</v>
      </c>
      <c r="V123" s="367" t="n">
        <f aca="false">'P&amp;LPLN'!V122/Factors!V$11</f>
        <v>1412.35668457094</v>
      </c>
      <c r="W123" s="367" t="n">
        <f aca="false">'P&amp;LPLN'!W122/Factors!W$11</f>
        <v>1406.61539723528</v>
      </c>
      <c r="X123" s="367" t="n">
        <f aca="false">'P&amp;LPLN'!X122/Factors!X$11</f>
        <v>1400.92059805619</v>
      </c>
      <c r="Y123" s="367" t="n">
        <f aca="false">'P&amp;LPLN'!Y122/Factors!Y$11</f>
        <v>1395.27172467693</v>
      </c>
      <c r="Z123" s="367" t="n">
        <f aca="false">'P&amp;LPLN'!Z122/Factors!Z$11</f>
        <v>1389.66822377462</v>
      </c>
      <c r="AA123" s="367" t="n">
        <f aca="false">'P&amp;LPLN'!AA122/Factors!AA$11</f>
        <v>1384.10955087952</v>
      </c>
      <c r="AB123" s="367" t="n">
        <f aca="false">'P&amp;LPLN'!AB122/Factors!AB$11</f>
        <v>1378.59517019872</v>
      </c>
      <c r="AC123" s="367" t="n">
        <f aca="false">'P&amp;LPLN'!AC122/Factors!AC$11</f>
        <v>1373.12455444397</v>
      </c>
      <c r="AD123" s="361" t="n">
        <f aca="false">SUM(R123:AC123)</f>
        <v>16848.4514827044</v>
      </c>
      <c r="AE123" s="2"/>
      <c r="AF123" s="45" t="s">
        <v>457</v>
      </c>
      <c r="AG123" s="367" t="n">
        <f aca="false">'P&amp;LPLN'!AG122/Factors!AG$11</f>
        <v>0</v>
      </c>
      <c r="AH123" s="367" t="n">
        <f aca="false">'P&amp;LPLN'!AH122/Factors!AH$11</f>
        <v>0</v>
      </c>
      <c r="AI123" s="367" t="n">
        <f aca="false">'P&amp;LPLN'!AI122/Factors!AI$11</f>
        <v>0</v>
      </c>
      <c r="AJ123" s="367" t="n">
        <f aca="false">'P&amp;LPLN'!AJ122/Factors!AJ$11</f>
        <v>0</v>
      </c>
      <c r="AK123" s="367" t="n">
        <f aca="false">'P&amp;LPLN'!AK122/Factors!AK$11</f>
        <v>0</v>
      </c>
      <c r="AL123" s="367" t="n">
        <f aca="false">'P&amp;LPLN'!AL122/Factors!AL$11</f>
        <v>0</v>
      </c>
      <c r="AM123" s="367" t="n">
        <f aca="false">'P&amp;LPLN'!AM122/Factors!AM$11</f>
        <v>0</v>
      </c>
      <c r="AN123" s="367" t="n">
        <f aca="false">'P&amp;LPLN'!AN122/Factors!AN$11</f>
        <v>0</v>
      </c>
      <c r="AO123" s="367" t="n">
        <f aca="false">'P&amp;LPLN'!AO122/Factors!AO$11</f>
        <v>0</v>
      </c>
      <c r="AP123" s="367" t="n">
        <f aca="false">'P&amp;LPLN'!AP122/Factors!AP$11</f>
        <v>0</v>
      </c>
      <c r="AQ123" s="367" t="n">
        <f aca="false">'P&amp;LPLN'!AQ122/Factors!AQ$11</f>
        <v>0</v>
      </c>
      <c r="AR123" s="367" t="n">
        <f aca="false">'P&amp;LPLN'!AR122/Factors!AR$11</f>
        <v>0</v>
      </c>
      <c r="AS123" s="361" t="n">
        <f aca="false">SUM(AG123:AR123)</f>
        <v>0</v>
      </c>
    </row>
    <row r="124" customFormat="false" ht="13.2" hidden="false" customHeight="false" outlineLevel="0" collapsed="false">
      <c r="A124" s="207" t="s">
        <v>459</v>
      </c>
      <c r="B124" s="45" t="s">
        <v>1236</v>
      </c>
      <c r="C124" s="367" t="n">
        <f aca="false">'P&amp;LPLN'!C123/Factors!C$11</f>
        <v>3137.04249616228</v>
      </c>
      <c r="D124" s="367" t="n">
        <f aca="false">'P&amp;LPLN'!D123/Factors!D$11</f>
        <v>3132.6628995382</v>
      </c>
      <c r="E124" s="367" t="n">
        <f aca="false">'P&amp;LPLN'!E123/Factors!E$11</f>
        <v>3128.29551449603</v>
      </c>
      <c r="F124" s="367" t="n">
        <f aca="false">'P&amp;LPLN'!F123/Factors!F$11</f>
        <v>3123.94029003273</v>
      </c>
      <c r="G124" s="367" t="n">
        <f aca="false">'P&amp;LPLN'!G123/Factors!G$11</f>
        <v>3119.59717542891</v>
      </c>
      <c r="H124" s="367" t="n">
        <f aca="false">'P&amp;LPLN'!H123/Factors!H$11</f>
        <v>3115.26612024683</v>
      </c>
      <c r="I124" s="367" t="n">
        <f aca="false">'P&amp;LPLN'!I123/Factors!I$11</f>
        <v>3110.94707432849</v>
      </c>
      <c r="J124" s="367" t="n">
        <f aca="false">'P&amp;LPLN'!J123/Factors!J$11</f>
        <v>3106.63998779362</v>
      </c>
      <c r="K124" s="367" t="n">
        <f aca="false">'P&amp;LPLN'!K123/Factors!K$11</f>
        <v>3102.34481103783</v>
      </c>
      <c r="L124" s="367" t="n">
        <f aca="false">'P&amp;LPLN'!L123/Factors!L$11</f>
        <v>3098.06149473068</v>
      </c>
      <c r="M124" s="367" t="n">
        <f aca="false">'P&amp;LPLN'!M123/Factors!M$11</f>
        <v>3093.78998981378</v>
      </c>
      <c r="N124" s="367" t="n">
        <f aca="false">'P&amp;LPLN'!N123/Factors!N$11</f>
        <v>3089.53024749893</v>
      </c>
      <c r="O124" s="102" t="n">
        <f aca="false">SUM(C124:N124)</f>
        <v>37358.1181011083</v>
      </c>
      <c r="P124" s="102"/>
      <c r="Q124" s="45" t="s">
        <v>1236</v>
      </c>
      <c r="R124" s="367" t="n">
        <f aca="false">'P&amp;LPLN'!R123/Factors!R$11</f>
        <v>2994.66500338485</v>
      </c>
      <c r="S124" s="367" t="n">
        <f aca="false">'P&amp;LPLN'!S123/Factors!S$11</f>
        <v>2982.29035461053</v>
      </c>
      <c r="T124" s="367" t="n">
        <f aca="false">'P&amp;LPLN'!T123/Factors!T$11</f>
        <v>2970.01755479732</v>
      </c>
      <c r="U124" s="367" t="n">
        <f aca="false">'P&amp;LPLN'!U123/Factors!U$11</f>
        <v>2957.84535170389</v>
      </c>
      <c r="V124" s="367" t="n">
        <f aca="false">'P&amp;LPLN'!V123/Factors!V$11</f>
        <v>2945.77251353367</v>
      </c>
      <c r="W124" s="367" t="n">
        <f aca="false">'P&amp;LPLN'!W123/Factors!W$11</f>
        <v>2933.79782851931</v>
      </c>
      <c r="X124" s="367" t="n">
        <f aca="false">'P&amp;LPLN'!X123/Factors!X$11</f>
        <v>2921.9201045172</v>
      </c>
      <c r="Y124" s="367" t="n">
        <f aca="false">'P&amp;LPLN'!Y123/Factors!Y$11</f>
        <v>2910.13816861189</v>
      </c>
      <c r="Z124" s="367" t="n">
        <f aca="false">'P&amp;LPLN'!Z123/Factors!Z$11</f>
        <v>2898.45086672992</v>
      </c>
      <c r="AA124" s="367" t="n">
        <f aca="false">'P&amp;LPLN'!AA123/Factors!AA$11</f>
        <v>2886.857063263</v>
      </c>
      <c r="AB124" s="367" t="n">
        <f aca="false">'P&amp;LPLN'!AB123/Factors!AB$11</f>
        <v>2875.3556407002</v>
      </c>
      <c r="AC124" s="367" t="n">
        <f aca="false">'P&amp;LPLN'!AC123/Factors!AC$11</f>
        <v>2863.94549926885</v>
      </c>
      <c r="AD124" s="361" t="n">
        <f aca="false">SUM(R124:AC124)</f>
        <v>35141.0559496406</v>
      </c>
      <c r="AE124" s="2"/>
      <c r="AF124" s="45" t="s">
        <v>1236</v>
      </c>
      <c r="AG124" s="367" t="n">
        <f aca="false">'P&amp;LPLN'!AG123/Factors!AG$11</f>
        <v>0</v>
      </c>
      <c r="AH124" s="367" t="n">
        <f aca="false">'P&amp;LPLN'!AH123/Factors!AH$11</f>
        <v>0</v>
      </c>
      <c r="AI124" s="367" t="n">
        <f aca="false">'P&amp;LPLN'!AI123/Factors!AI$11</f>
        <v>0</v>
      </c>
      <c r="AJ124" s="367" t="n">
        <f aca="false">'P&amp;LPLN'!AJ123/Factors!AJ$11</f>
        <v>0</v>
      </c>
      <c r="AK124" s="367" t="n">
        <f aca="false">'P&amp;LPLN'!AK123/Factors!AK$11</f>
        <v>0</v>
      </c>
      <c r="AL124" s="367" t="n">
        <f aca="false">'P&amp;LPLN'!AL123/Factors!AL$11</f>
        <v>0</v>
      </c>
      <c r="AM124" s="367" t="n">
        <f aca="false">'P&amp;LPLN'!AM123/Factors!AM$11</f>
        <v>0</v>
      </c>
      <c r="AN124" s="367" t="n">
        <f aca="false">'P&amp;LPLN'!AN123/Factors!AN$11</f>
        <v>0</v>
      </c>
      <c r="AO124" s="367" t="n">
        <f aca="false">'P&amp;LPLN'!AO123/Factors!AO$11</f>
        <v>0</v>
      </c>
      <c r="AP124" s="367" t="n">
        <f aca="false">'P&amp;LPLN'!AP123/Factors!AP$11</f>
        <v>0</v>
      </c>
      <c r="AQ124" s="367" t="n">
        <f aca="false">'P&amp;LPLN'!AQ123/Factors!AQ$11</f>
        <v>0</v>
      </c>
      <c r="AR124" s="367" t="n">
        <f aca="false">'P&amp;LPLN'!AR123/Factors!AR$11</f>
        <v>0</v>
      </c>
      <c r="AS124" s="361" t="n">
        <f aca="false">SUM(AG124:AR124)</f>
        <v>0</v>
      </c>
    </row>
    <row r="125" customFormat="false" ht="13.2" hidden="false" customHeight="false" outlineLevel="0" collapsed="false">
      <c r="A125" s="207" t="s">
        <v>462</v>
      </c>
      <c r="B125" s="45" t="s">
        <v>1237</v>
      </c>
      <c r="C125" s="367" t="n">
        <f aca="false">'P&amp;LPLN'!C124/Factors!C$11</f>
        <v>580.933795585608</v>
      </c>
      <c r="D125" s="367" t="n">
        <f aca="false">'P&amp;LPLN'!D124/Factors!D$11</f>
        <v>580.122759173741</v>
      </c>
      <c r="E125" s="367" t="n">
        <f aca="false">'P&amp;LPLN'!E124/Factors!E$11</f>
        <v>579.313984165931</v>
      </c>
      <c r="F125" s="367" t="n">
        <f aca="false">'P&amp;LPLN'!F124/Factors!F$11</f>
        <v>578.507461117171</v>
      </c>
      <c r="G125" s="367" t="n">
        <f aca="false">'P&amp;LPLN'!G124/Factors!G$11</f>
        <v>577.703180634983</v>
      </c>
      <c r="H125" s="367" t="n">
        <f aca="false">'P&amp;LPLN'!H124/Factors!H$11</f>
        <v>576.901133379044</v>
      </c>
      <c r="I125" s="367" t="n">
        <f aca="false">'P&amp;LPLN'!I124/Factors!I$11</f>
        <v>576.101310060831</v>
      </c>
      <c r="J125" s="367" t="n">
        <f aca="false">'P&amp;LPLN'!J124/Factors!J$11</f>
        <v>575.303701443263</v>
      </c>
      <c r="K125" s="367" t="n">
        <f aca="false">'P&amp;LPLN'!K124/Factors!K$11</f>
        <v>574.508298340339</v>
      </c>
      <c r="L125" s="367" t="n">
        <f aca="false">'P&amp;LPLN'!L124/Factors!L$11</f>
        <v>573.715091616792</v>
      </c>
      <c r="M125" s="367" t="n">
        <f aca="false">'P&amp;LPLN'!M124/Factors!M$11</f>
        <v>572.924072187736</v>
      </c>
      <c r="N125" s="367" t="n">
        <f aca="false">'P&amp;LPLN'!N124/Factors!N$11</f>
        <v>572.135231018319</v>
      </c>
      <c r="O125" s="102" t="n">
        <f aca="false">SUM(C125:N125)</f>
        <v>6918.17001872376</v>
      </c>
      <c r="P125" s="102"/>
      <c r="Q125" s="45" t="s">
        <v>1237</v>
      </c>
      <c r="R125" s="367" t="n">
        <f aca="false">'P&amp;LPLN'!R124/Factors!R$11</f>
        <v>227.904490364144</v>
      </c>
      <c r="S125" s="367" t="n">
        <f aca="false">'P&amp;LPLN'!S124/Factors!S$11</f>
        <v>226.96273627173</v>
      </c>
      <c r="T125" s="367" t="n">
        <f aca="false">'P&amp;LPLN'!T124/Factors!T$11</f>
        <v>226.028733241805</v>
      </c>
      <c r="U125" s="367" t="n">
        <f aca="false">'P&amp;LPLN'!U124/Factors!U$11</f>
        <v>225.102385974421</v>
      </c>
      <c r="V125" s="367" t="n">
        <f aca="false">'P&amp;LPLN'!V124/Factors!V$11</f>
        <v>224.183600725546</v>
      </c>
      <c r="W125" s="367" t="n">
        <f aca="false">'P&amp;LPLN'!W124/Factors!W$11</f>
        <v>223.272285275442</v>
      </c>
      <c r="X125" s="367" t="n">
        <f aca="false">'P&amp;LPLN'!X124/Factors!X$11</f>
        <v>222.368348897808</v>
      </c>
      <c r="Y125" s="367" t="n">
        <f aca="false">'P&amp;LPLN'!Y124/Factors!Y$11</f>
        <v>221.471702329672</v>
      </c>
      <c r="Z125" s="367" t="n">
        <f aca="false">'P&amp;LPLN'!Z124/Factors!Z$11</f>
        <v>220.582257742003</v>
      </c>
      <c r="AA125" s="367" t="n">
        <f aca="false">'P&amp;LPLN'!AA124/Factors!AA$11</f>
        <v>219.699928711035</v>
      </c>
      <c r="AB125" s="367" t="n">
        <f aca="false">'P&amp;LPLN'!AB124/Factors!AB$11</f>
        <v>218.824630190274</v>
      </c>
      <c r="AC125" s="367" t="n">
        <f aca="false">'P&amp;LPLN'!AC124/Factors!AC$11</f>
        <v>217.956278483169</v>
      </c>
      <c r="AD125" s="361" t="n">
        <f aca="false">SUM(R125:AC125)</f>
        <v>2674.35737820705</v>
      </c>
      <c r="AE125" s="2"/>
      <c r="AF125" s="45" t="s">
        <v>1237</v>
      </c>
      <c r="AG125" s="367" t="n">
        <f aca="false">'P&amp;LPLN'!AG124/Factors!AG$11</f>
        <v>0</v>
      </c>
      <c r="AH125" s="367" t="n">
        <f aca="false">'P&amp;LPLN'!AH124/Factors!AH$11</f>
        <v>0</v>
      </c>
      <c r="AI125" s="367" t="n">
        <f aca="false">'P&amp;LPLN'!AI124/Factors!AI$11</f>
        <v>0</v>
      </c>
      <c r="AJ125" s="367" t="n">
        <f aca="false">'P&amp;LPLN'!AJ124/Factors!AJ$11</f>
        <v>0</v>
      </c>
      <c r="AK125" s="367" t="n">
        <f aca="false">'P&amp;LPLN'!AK124/Factors!AK$11</f>
        <v>0</v>
      </c>
      <c r="AL125" s="367" t="n">
        <f aca="false">'P&amp;LPLN'!AL124/Factors!AL$11</f>
        <v>0</v>
      </c>
      <c r="AM125" s="367" t="n">
        <f aca="false">'P&amp;LPLN'!AM124/Factors!AM$11</f>
        <v>0</v>
      </c>
      <c r="AN125" s="367" t="n">
        <f aca="false">'P&amp;LPLN'!AN124/Factors!AN$11</f>
        <v>0</v>
      </c>
      <c r="AO125" s="367" t="n">
        <f aca="false">'P&amp;LPLN'!AO124/Factors!AO$11</f>
        <v>0</v>
      </c>
      <c r="AP125" s="367" t="n">
        <f aca="false">'P&amp;LPLN'!AP124/Factors!AP$11</f>
        <v>0</v>
      </c>
      <c r="AQ125" s="367" t="n">
        <f aca="false">'P&amp;LPLN'!AQ124/Factors!AQ$11</f>
        <v>0</v>
      </c>
      <c r="AR125" s="367" t="n">
        <f aca="false">'P&amp;LPLN'!AR124/Factors!AR$11</f>
        <v>0</v>
      </c>
      <c r="AS125" s="361" t="n">
        <f aca="false">SUM(AG125:AR125)</f>
        <v>0</v>
      </c>
    </row>
    <row r="126" customFormat="false" ht="13.2" hidden="false" customHeight="false" outlineLevel="0" collapsed="false">
      <c r="A126" s="207" t="s">
        <v>465</v>
      </c>
      <c r="B126" s="45" t="s">
        <v>466</v>
      </c>
      <c r="C126" s="367" t="n">
        <f aca="false">'P&amp;LPLN'!C125/Factors!C$11</f>
        <v>2556.10870057667</v>
      </c>
      <c r="D126" s="367" t="n">
        <f aca="false">'P&amp;LPLN'!D125/Factors!D$11</f>
        <v>2552.54014036446</v>
      </c>
      <c r="E126" s="367" t="n">
        <f aca="false">'P&amp;LPLN'!E125/Factors!E$11</f>
        <v>2548.98153033009</v>
      </c>
      <c r="F126" s="367" t="n">
        <f aca="false">'P&amp;LPLN'!F125/Factors!F$11</f>
        <v>2545.43282891555</v>
      </c>
      <c r="G126" s="367" t="n">
        <f aca="false">'P&amp;LPLN'!G125/Factors!G$11</f>
        <v>2541.89399479392</v>
      </c>
      <c r="H126" s="367" t="n">
        <f aca="false">'P&amp;LPLN'!H125/Factors!H$11</f>
        <v>2538.36498686779</v>
      </c>
      <c r="I126" s="367" t="n">
        <f aca="false">'P&amp;LPLN'!I125/Factors!I$11</f>
        <v>2534.84576426766</v>
      </c>
      <c r="J126" s="367" t="n">
        <f aca="false">'P&amp;LPLN'!J125/Factors!J$11</f>
        <v>2531.33628635036</v>
      </c>
      <c r="K126" s="367" t="n">
        <f aca="false">'P&amp;LPLN'!K125/Factors!K$11</f>
        <v>2527.83651269749</v>
      </c>
      <c r="L126" s="367" t="n">
        <f aca="false">'P&amp;LPLN'!L125/Factors!L$11</f>
        <v>2524.34640311389</v>
      </c>
      <c r="M126" s="367" t="n">
        <f aca="false">'P&amp;LPLN'!M125/Factors!M$11</f>
        <v>2520.86591762604</v>
      </c>
      <c r="N126" s="367" t="n">
        <f aca="false">'P&amp;LPLN'!N125/Factors!N$11</f>
        <v>2517.39501648061</v>
      </c>
      <c r="O126" s="102" t="n">
        <f aca="false">SUM(C126:N126)</f>
        <v>30439.9480823845</v>
      </c>
      <c r="P126" s="102"/>
      <c r="Q126" s="45" t="s">
        <v>466</v>
      </c>
      <c r="R126" s="367" t="n">
        <f aca="false">'P&amp;LPLN'!R125/Factors!R$11</f>
        <v>1139.52245182072</v>
      </c>
      <c r="S126" s="367" t="n">
        <f aca="false">'P&amp;LPLN'!S125/Factors!S$11</f>
        <v>1134.81368135865</v>
      </c>
      <c r="T126" s="367" t="n">
        <f aca="false">'P&amp;LPLN'!T125/Factors!T$11</f>
        <v>1130.14366620903</v>
      </c>
      <c r="U126" s="367" t="n">
        <f aca="false">'P&amp;LPLN'!U125/Factors!U$11</f>
        <v>1125.5119298721</v>
      </c>
      <c r="V126" s="367" t="n">
        <f aca="false">'P&amp;LPLN'!V125/Factors!V$11</f>
        <v>1120.91800362773</v>
      </c>
      <c r="W126" s="367" t="n">
        <f aca="false">'P&amp;LPLN'!W125/Factors!W$11</f>
        <v>1116.36142637721</v>
      </c>
      <c r="X126" s="367" t="n">
        <f aca="false">'P&amp;LPLN'!X125/Factors!X$11</f>
        <v>1111.84174448904</v>
      </c>
      <c r="Y126" s="367" t="n">
        <f aca="false">'P&amp;LPLN'!Y125/Factors!Y$11</f>
        <v>1107.35851164836</v>
      </c>
      <c r="Z126" s="367" t="n">
        <f aca="false">'P&amp;LPLN'!Z125/Factors!Z$11</f>
        <v>1102.91128871001</v>
      </c>
      <c r="AA126" s="367" t="n">
        <f aca="false">'P&amp;LPLN'!AA125/Factors!AA$11</f>
        <v>1098.49964355517</v>
      </c>
      <c r="AB126" s="367" t="n">
        <f aca="false">'P&amp;LPLN'!AB125/Factors!AB$11</f>
        <v>1094.12315095137</v>
      </c>
      <c r="AC126" s="367" t="n">
        <f aca="false">'P&amp;LPLN'!AC125/Factors!AC$11</f>
        <v>1089.78139241585</v>
      </c>
      <c r="AD126" s="361" t="n">
        <f aca="false">SUM(R126:AC126)</f>
        <v>13371.7868910352</v>
      </c>
      <c r="AE126" s="2"/>
      <c r="AF126" s="45" t="s">
        <v>466</v>
      </c>
      <c r="AG126" s="367" t="n">
        <f aca="false">'P&amp;LPLN'!AG125/Factors!AG$11</f>
        <v>0</v>
      </c>
      <c r="AH126" s="367" t="n">
        <f aca="false">'P&amp;LPLN'!AH125/Factors!AH$11</f>
        <v>0</v>
      </c>
      <c r="AI126" s="367" t="n">
        <f aca="false">'P&amp;LPLN'!AI125/Factors!AI$11</f>
        <v>0</v>
      </c>
      <c r="AJ126" s="367" t="n">
        <f aca="false">'P&amp;LPLN'!AJ125/Factors!AJ$11</f>
        <v>0</v>
      </c>
      <c r="AK126" s="367" t="n">
        <f aca="false">'P&amp;LPLN'!AK125/Factors!AK$11</f>
        <v>0</v>
      </c>
      <c r="AL126" s="367" t="n">
        <f aca="false">'P&amp;LPLN'!AL125/Factors!AL$11</f>
        <v>0</v>
      </c>
      <c r="AM126" s="367" t="n">
        <f aca="false">'P&amp;LPLN'!AM125/Factors!AM$11</f>
        <v>0</v>
      </c>
      <c r="AN126" s="367" t="n">
        <f aca="false">'P&amp;LPLN'!AN125/Factors!AN$11</f>
        <v>0</v>
      </c>
      <c r="AO126" s="367" t="n">
        <f aca="false">'P&amp;LPLN'!AO125/Factors!AO$11</f>
        <v>0</v>
      </c>
      <c r="AP126" s="367" t="n">
        <f aca="false">'P&amp;LPLN'!AP125/Factors!AP$11</f>
        <v>0</v>
      </c>
      <c r="AQ126" s="367" t="n">
        <f aca="false">'P&amp;LPLN'!AQ125/Factors!AQ$11</f>
        <v>0</v>
      </c>
      <c r="AR126" s="367" t="n">
        <f aca="false">'P&amp;LPLN'!AR125/Factors!AR$11</f>
        <v>0</v>
      </c>
      <c r="AS126" s="361" t="n">
        <f aca="false">SUM(AG126:AR126)</f>
        <v>0</v>
      </c>
    </row>
    <row r="127" customFormat="false" ht="13.2" hidden="false" customHeight="false" outlineLevel="0" collapsed="false">
      <c r="A127" s="207" t="s">
        <v>468</v>
      </c>
      <c r="B127" s="45" t="s">
        <v>469</v>
      </c>
      <c r="C127" s="367" t="n">
        <f aca="false">'P&amp;LPLN'!C126/Factors!C$11</f>
        <v>232.373518234243</v>
      </c>
      <c r="D127" s="367" t="n">
        <f aca="false">'P&amp;LPLN'!D126/Factors!D$11</f>
        <v>232.049103669496</v>
      </c>
      <c r="E127" s="367" t="n">
        <f aca="false">'P&amp;LPLN'!E126/Factors!E$11</f>
        <v>231.725593666372</v>
      </c>
      <c r="F127" s="367" t="n">
        <f aca="false">'P&amp;LPLN'!F126/Factors!F$11</f>
        <v>231.402984446869</v>
      </c>
      <c r="G127" s="367" t="n">
        <f aca="false">'P&amp;LPLN'!G126/Factors!G$11</f>
        <v>231.081272253993</v>
      </c>
      <c r="H127" s="367" t="n">
        <f aca="false">'P&amp;LPLN'!H126/Factors!H$11</f>
        <v>230.760453351617</v>
      </c>
      <c r="I127" s="367" t="n">
        <f aca="false">'P&amp;LPLN'!I126/Factors!I$11</f>
        <v>230.440524024333</v>
      </c>
      <c r="J127" s="367" t="n">
        <f aca="false">'P&amp;LPLN'!J126/Factors!J$11</f>
        <v>230.121480577305</v>
      </c>
      <c r="K127" s="367" t="n">
        <f aca="false">'P&amp;LPLN'!K126/Factors!K$11</f>
        <v>229.803319336136</v>
      </c>
      <c r="L127" s="367" t="n">
        <f aca="false">'P&amp;LPLN'!L126/Factors!L$11</f>
        <v>229.486036646717</v>
      </c>
      <c r="M127" s="367" t="n">
        <f aca="false">'P&amp;LPLN'!M126/Factors!M$11</f>
        <v>229.169628875094</v>
      </c>
      <c r="N127" s="367" t="n">
        <f aca="false">'P&amp;LPLN'!N126/Factors!N$11</f>
        <v>228.854092407328</v>
      </c>
      <c r="O127" s="102" t="n">
        <f aca="false">SUM(C127:N127)</f>
        <v>2767.2680074895</v>
      </c>
      <c r="P127" s="102"/>
      <c r="Q127" s="45" t="s">
        <v>469</v>
      </c>
      <c r="R127" s="367" t="n">
        <f aca="false">'P&amp;LPLN'!R126/Factors!R$11</f>
        <v>227.904490364144</v>
      </c>
      <c r="S127" s="367" t="n">
        <f aca="false">'P&amp;LPLN'!S126/Factors!S$11</f>
        <v>226.96273627173</v>
      </c>
      <c r="T127" s="367" t="n">
        <f aca="false">'P&amp;LPLN'!T126/Factors!T$11</f>
        <v>226.028733241805</v>
      </c>
      <c r="U127" s="367" t="n">
        <f aca="false">'P&amp;LPLN'!U126/Factors!U$11</f>
        <v>225.102385974421</v>
      </c>
      <c r="V127" s="367" t="n">
        <f aca="false">'P&amp;LPLN'!V126/Factors!V$11</f>
        <v>224.183600725546</v>
      </c>
      <c r="W127" s="367" t="n">
        <f aca="false">'P&amp;LPLN'!W126/Factors!W$11</f>
        <v>223.272285275442</v>
      </c>
      <c r="X127" s="367" t="n">
        <f aca="false">'P&amp;LPLN'!X126/Factors!X$11</f>
        <v>222.368348897808</v>
      </c>
      <c r="Y127" s="367" t="n">
        <f aca="false">'P&amp;LPLN'!Y126/Factors!Y$11</f>
        <v>221.471702329672</v>
      </c>
      <c r="Z127" s="367" t="n">
        <f aca="false">'P&amp;LPLN'!Z126/Factors!Z$11</f>
        <v>220.582257742003</v>
      </c>
      <c r="AA127" s="367" t="n">
        <f aca="false">'P&amp;LPLN'!AA126/Factors!AA$11</f>
        <v>219.699928711035</v>
      </c>
      <c r="AB127" s="367" t="n">
        <f aca="false">'P&amp;LPLN'!AB126/Factors!AB$11</f>
        <v>218.824630190274</v>
      </c>
      <c r="AC127" s="367" t="n">
        <f aca="false">'P&amp;LPLN'!AC126/Factors!AC$11</f>
        <v>217.956278483169</v>
      </c>
      <c r="AD127" s="361" t="n">
        <f aca="false">SUM(R127:AC127)</f>
        <v>2674.35737820705</v>
      </c>
      <c r="AE127" s="2"/>
      <c r="AF127" s="45" t="s">
        <v>469</v>
      </c>
      <c r="AG127" s="367" t="n">
        <f aca="false">'P&amp;LPLN'!AG126/Factors!AG$11</f>
        <v>0</v>
      </c>
      <c r="AH127" s="367" t="n">
        <f aca="false">'P&amp;LPLN'!AH126/Factors!AH$11</f>
        <v>0</v>
      </c>
      <c r="AI127" s="367" t="n">
        <f aca="false">'P&amp;LPLN'!AI126/Factors!AI$11</f>
        <v>0</v>
      </c>
      <c r="AJ127" s="367" t="n">
        <f aca="false">'P&amp;LPLN'!AJ126/Factors!AJ$11</f>
        <v>0</v>
      </c>
      <c r="AK127" s="367" t="n">
        <f aca="false">'P&amp;LPLN'!AK126/Factors!AK$11</f>
        <v>0</v>
      </c>
      <c r="AL127" s="367" t="n">
        <f aca="false">'P&amp;LPLN'!AL126/Factors!AL$11</f>
        <v>0</v>
      </c>
      <c r="AM127" s="367" t="n">
        <f aca="false">'P&amp;LPLN'!AM126/Factors!AM$11</f>
        <v>0</v>
      </c>
      <c r="AN127" s="367" t="n">
        <f aca="false">'P&amp;LPLN'!AN126/Factors!AN$11</f>
        <v>0</v>
      </c>
      <c r="AO127" s="367" t="n">
        <f aca="false">'P&amp;LPLN'!AO126/Factors!AO$11</f>
        <v>0</v>
      </c>
      <c r="AP127" s="367" t="n">
        <f aca="false">'P&amp;LPLN'!AP126/Factors!AP$11</f>
        <v>0</v>
      </c>
      <c r="AQ127" s="367" t="n">
        <f aca="false">'P&amp;LPLN'!AQ126/Factors!AQ$11</f>
        <v>0</v>
      </c>
      <c r="AR127" s="367" t="n">
        <f aca="false">'P&amp;LPLN'!AR126/Factors!AR$11</f>
        <v>0</v>
      </c>
      <c r="AS127" s="361" t="n">
        <f aca="false">SUM(AG127:AR127)</f>
        <v>0</v>
      </c>
    </row>
    <row r="128" customFormat="false" ht="13.8" hidden="false" customHeight="false" outlineLevel="0" collapsed="false">
      <c r="A128" s="207"/>
      <c r="B128" s="285" t="s">
        <v>66</v>
      </c>
      <c r="C128" s="353" t="n">
        <f aca="false">SUM(C123:C127)</f>
        <v>7970.41167543454</v>
      </c>
      <c r="D128" s="353" t="n">
        <f aca="false">SUM(D123:D127)</f>
        <v>7959.28425586373</v>
      </c>
      <c r="E128" s="353" t="n">
        <f aca="false">SUM(E123:E127)</f>
        <v>7948.18786275657</v>
      </c>
      <c r="F128" s="353" t="n">
        <f aca="false">SUM(F123:F127)</f>
        <v>7937.12236652759</v>
      </c>
      <c r="G128" s="353" t="n">
        <f aca="false">SUM(G123:G127)</f>
        <v>7926.08763831196</v>
      </c>
      <c r="H128" s="353" t="n">
        <f aca="false">SUM(H123:H127)</f>
        <v>7915.08354996048</v>
      </c>
      <c r="I128" s="353" t="n">
        <f aca="false">SUM(I123:I127)</f>
        <v>7904.1099740346</v>
      </c>
      <c r="J128" s="353" t="n">
        <f aca="false">SUM(J123:J127)</f>
        <v>7893.16678380157</v>
      </c>
      <c r="K128" s="353" t="n">
        <f aca="false">SUM(K123:K127)</f>
        <v>7882.25385322945</v>
      </c>
      <c r="L128" s="353" t="n">
        <f aca="false">SUM(L123:L127)</f>
        <v>7871.37105698239</v>
      </c>
      <c r="M128" s="353" t="n">
        <f aca="false">SUM(M123:M127)</f>
        <v>7860.51827041574</v>
      </c>
      <c r="N128" s="353" t="n">
        <f aca="false">SUM(N123:N127)</f>
        <v>7849.69536957134</v>
      </c>
      <c r="O128" s="353" t="n">
        <f aca="false">SUM(O123:O127)</f>
        <v>94917.29265689</v>
      </c>
      <c r="P128" s="139"/>
      <c r="Q128" s="45"/>
      <c r="R128" s="353" t="n">
        <f aca="false">SUM(R123:R127)</f>
        <v>6025.79472522796</v>
      </c>
      <c r="S128" s="364" t="n">
        <f aca="false">SUM(S123:S127)</f>
        <v>6000.89474702454</v>
      </c>
      <c r="T128" s="364" t="n">
        <f aca="false">SUM(T123:T127)</f>
        <v>5976.19970691333</v>
      </c>
      <c r="U128" s="364" t="n">
        <f aca="false">SUM(U123:U127)</f>
        <v>5951.70708516369</v>
      </c>
      <c r="V128" s="364" t="n">
        <f aca="false">SUM(V123:V127)</f>
        <v>5927.41440318343</v>
      </c>
      <c r="W128" s="364" t="n">
        <f aca="false">SUM(W123:W127)</f>
        <v>5903.31922268268</v>
      </c>
      <c r="X128" s="364" t="n">
        <f aca="false">SUM(X123:X127)</f>
        <v>5879.41914485805</v>
      </c>
      <c r="Y128" s="364" t="n">
        <f aca="false">SUM(Y123:Y127)</f>
        <v>5855.71180959653</v>
      </c>
      <c r="Z128" s="364" t="n">
        <f aca="false">SUM(Z123:Z127)</f>
        <v>5832.19489469855</v>
      </c>
      <c r="AA128" s="364" t="n">
        <f aca="false">SUM(AA123:AA127)</f>
        <v>5808.86611511976</v>
      </c>
      <c r="AB128" s="364" t="n">
        <f aca="false">SUM(AB123:AB127)</f>
        <v>5785.72322223084</v>
      </c>
      <c r="AC128" s="364" t="n">
        <f aca="false">SUM(AC123:AC127)</f>
        <v>5762.764003095</v>
      </c>
      <c r="AD128" s="364" t="n">
        <f aca="false">SUM(AD123:AD127)</f>
        <v>70710.0090797944</v>
      </c>
      <c r="AF128" s="45"/>
      <c r="AG128" s="353" t="n">
        <f aca="false">SUM(AG123:AG127)</f>
        <v>0</v>
      </c>
      <c r="AH128" s="364" t="n">
        <f aca="false">SUM(AH123:AH127)</f>
        <v>0</v>
      </c>
      <c r="AI128" s="364" t="n">
        <f aca="false">SUM(AI123:AI127)</f>
        <v>0</v>
      </c>
      <c r="AJ128" s="364" t="n">
        <f aca="false">SUM(AJ123:AJ127)</f>
        <v>0</v>
      </c>
      <c r="AK128" s="364" t="n">
        <f aca="false">SUM(AK123:AK127)</f>
        <v>0</v>
      </c>
      <c r="AL128" s="364" t="n">
        <f aca="false">SUM(AL123:AL127)</f>
        <v>0</v>
      </c>
      <c r="AM128" s="364" t="n">
        <f aca="false">SUM(AM123:AM127)</f>
        <v>0</v>
      </c>
      <c r="AN128" s="364" t="n">
        <f aca="false">SUM(AN123:AN127)</f>
        <v>0</v>
      </c>
      <c r="AO128" s="364" t="n">
        <f aca="false">SUM(AO123:AO127)</f>
        <v>0</v>
      </c>
      <c r="AP128" s="364" t="n">
        <f aca="false">SUM(AP123:AP127)</f>
        <v>0</v>
      </c>
      <c r="AQ128" s="364" t="n">
        <f aca="false">SUM(AQ123:AQ127)</f>
        <v>0</v>
      </c>
      <c r="AR128" s="364" t="n">
        <f aca="false">SUM(AR123:AR127)</f>
        <v>0</v>
      </c>
      <c r="AS128" s="364" t="n">
        <f aca="false">SUM(AS123:AS127)</f>
        <v>0</v>
      </c>
    </row>
    <row r="129" customFormat="false" ht="13.8" hidden="false" customHeight="false" outlineLevel="0" collapsed="false">
      <c r="A129" s="207"/>
      <c r="B129" s="144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39"/>
      <c r="Q129" s="45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F129" s="45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</row>
    <row r="130" customFormat="false" ht="13.2" hidden="false" customHeight="false" outlineLevel="0" collapsed="false">
      <c r="A130" s="392" t="s">
        <v>941</v>
      </c>
      <c r="B130" s="144" t="s">
        <v>942</v>
      </c>
      <c r="C130" s="366"/>
      <c r="D130" s="366"/>
      <c r="E130" s="366"/>
      <c r="F130" s="366"/>
      <c r="G130" s="366"/>
      <c r="H130" s="366"/>
      <c r="I130" s="366"/>
      <c r="J130" s="366"/>
      <c r="K130" s="366"/>
      <c r="L130" s="366"/>
      <c r="M130" s="366"/>
      <c r="N130" s="366"/>
      <c r="O130" s="366"/>
      <c r="P130" s="139"/>
      <c r="Q130" s="144" t="s">
        <v>457</v>
      </c>
      <c r="R130" s="366"/>
      <c r="S130" s="366"/>
      <c r="T130" s="366"/>
      <c r="U130" s="366"/>
      <c r="V130" s="366"/>
      <c r="W130" s="366"/>
      <c r="X130" s="366"/>
      <c r="Y130" s="366"/>
      <c r="Z130" s="366"/>
      <c r="AA130" s="366"/>
      <c r="AB130" s="366"/>
      <c r="AC130" s="366"/>
      <c r="AD130" s="366"/>
      <c r="AF130" s="144" t="s">
        <v>457</v>
      </c>
      <c r="AG130" s="366"/>
      <c r="AH130" s="366"/>
      <c r="AI130" s="366"/>
      <c r="AJ130" s="366"/>
      <c r="AK130" s="366"/>
      <c r="AL130" s="366"/>
      <c r="AM130" s="366"/>
      <c r="AN130" s="366"/>
      <c r="AO130" s="366"/>
      <c r="AP130" s="366"/>
      <c r="AQ130" s="366"/>
      <c r="AR130" s="366"/>
      <c r="AS130" s="366"/>
    </row>
    <row r="131" customFormat="false" ht="13.2" hidden="false" customHeight="false" outlineLevel="0" collapsed="false">
      <c r="A131" s="207" t="s">
        <v>943</v>
      </c>
      <c r="B131" s="45" t="s">
        <v>1238</v>
      </c>
      <c r="C131" s="146" t="n">
        <f aca="false">Oheads!C72</f>
        <v>43854</v>
      </c>
      <c r="D131" s="146" t="n">
        <f aca="false">Oheads!D72</f>
        <v>43854</v>
      </c>
      <c r="E131" s="146" t="n">
        <f aca="false">Oheads!E72</f>
        <v>43854</v>
      </c>
      <c r="F131" s="146" t="n">
        <f aca="false">Oheads!F72</f>
        <v>43854</v>
      </c>
      <c r="G131" s="146" t="n">
        <f aca="false">Oheads!G72</f>
        <v>43854</v>
      </c>
      <c r="H131" s="146" t="n">
        <f aca="false">Oheads!H72</f>
        <v>43854</v>
      </c>
      <c r="I131" s="146" t="n">
        <f aca="false">Oheads!I72</f>
        <v>48239.4</v>
      </c>
      <c r="J131" s="146" t="n">
        <f aca="false">Oheads!J72</f>
        <v>48239.4</v>
      </c>
      <c r="K131" s="146" t="n">
        <f aca="false">Oheads!K72</f>
        <v>48239.4</v>
      </c>
      <c r="L131" s="146" t="n">
        <f aca="false">Oheads!L72</f>
        <v>48239.4</v>
      </c>
      <c r="M131" s="146" t="n">
        <f aca="false">Oheads!M72</f>
        <v>48239.4</v>
      </c>
      <c r="N131" s="146" t="n">
        <f aca="false">Oheads!N72</f>
        <v>48239.4</v>
      </c>
      <c r="O131" s="139" t="n">
        <f aca="false">SUM(C131:N131)</f>
        <v>552560.4</v>
      </c>
      <c r="P131" s="139"/>
      <c r="Q131" s="45" t="s">
        <v>1238</v>
      </c>
      <c r="R131" s="146" t="n">
        <f aca="false">Oheads!Q72</f>
        <v>40000</v>
      </c>
      <c r="S131" s="146" t="n">
        <f aca="false">Oheads!R72</f>
        <v>40000</v>
      </c>
      <c r="T131" s="146" t="n">
        <f aca="false">Oheads!S72</f>
        <v>40000</v>
      </c>
      <c r="U131" s="146" t="n">
        <f aca="false">Oheads!T72</f>
        <v>40000</v>
      </c>
      <c r="V131" s="146" t="n">
        <f aca="false">Oheads!U72</f>
        <v>40000</v>
      </c>
      <c r="W131" s="146" t="n">
        <f aca="false">Oheads!V72</f>
        <v>40000</v>
      </c>
      <c r="X131" s="146" t="n">
        <f aca="false">Oheads!W72</f>
        <v>44000</v>
      </c>
      <c r="Y131" s="146" t="n">
        <f aca="false">Oheads!X72</f>
        <v>44000</v>
      </c>
      <c r="Z131" s="146" t="n">
        <f aca="false">Oheads!Y72</f>
        <v>44000</v>
      </c>
      <c r="AA131" s="146" t="n">
        <f aca="false">Oheads!Z72</f>
        <v>44000</v>
      </c>
      <c r="AB131" s="146" t="n">
        <f aca="false">Oheads!AA72</f>
        <v>44000</v>
      </c>
      <c r="AC131" s="146" t="n">
        <f aca="false">Oheads!AB72</f>
        <v>44000</v>
      </c>
      <c r="AD131" s="146" t="n">
        <f aca="false">SUM(R131:AC131)</f>
        <v>504000</v>
      </c>
      <c r="AF131" s="45" t="s">
        <v>1238</v>
      </c>
      <c r="AG131" s="146" t="n">
        <f aca="false">Oheads!AE72</f>
        <v>40000</v>
      </c>
      <c r="AH131" s="146" t="n">
        <f aca="false">Oheads!AF72</f>
        <v>40000</v>
      </c>
      <c r="AI131" s="146" t="n">
        <f aca="false">Oheads!AG72</f>
        <v>40000</v>
      </c>
      <c r="AJ131" s="146" t="n">
        <f aca="false">Oheads!AH72</f>
        <v>40000</v>
      </c>
      <c r="AK131" s="146" t="n">
        <f aca="false">Oheads!AI72</f>
        <v>40000</v>
      </c>
      <c r="AL131" s="146" t="n">
        <f aca="false">Oheads!AJ72</f>
        <v>40000</v>
      </c>
      <c r="AM131" s="146" t="n">
        <f aca="false">Oheads!AK72</f>
        <v>44000</v>
      </c>
      <c r="AN131" s="146" t="n">
        <f aca="false">Oheads!AL72</f>
        <v>44000</v>
      </c>
      <c r="AO131" s="146" t="n">
        <f aca="false">Oheads!AM72</f>
        <v>44000</v>
      </c>
      <c r="AP131" s="146" t="n">
        <f aca="false">Oheads!AN72</f>
        <v>44000</v>
      </c>
      <c r="AQ131" s="146" t="n">
        <f aca="false">Oheads!AO72</f>
        <v>44000</v>
      </c>
      <c r="AR131" s="146" t="n">
        <f aca="false">Oheads!AP72</f>
        <v>44000</v>
      </c>
      <c r="AS131" s="146" t="n">
        <f aca="false">SUM(AG131:AR131)</f>
        <v>504000</v>
      </c>
    </row>
    <row r="132" customFormat="false" ht="13.2" hidden="false" customHeight="false" outlineLevel="0" collapsed="false">
      <c r="A132" s="207" t="s">
        <v>947</v>
      </c>
      <c r="B132" s="45" t="s">
        <v>948</v>
      </c>
      <c r="C132" s="146" t="n">
        <f aca="false">'P&amp;LPLN'!C131/Factors!C11</f>
        <v>395.034980998213</v>
      </c>
      <c r="D132" s="146" t="n">
        <f aca="false">'P&amp;LPLN'!D131/Factors!D11</f>
        <v>394.483476238144</v>
      </c>
      <c r="E132" s="146" t="n">
        <f aca="false">'P&amp;LPLN'!E131/Factors!E11</f>
        <v>393.933509232833</v>
      </c>
      <c r="F132" s="146" t="n">
        <f aca="false">'P&amp;LPLN'!F131/Factors!F11</f>
        <v>393.385073559676</v>
      </c>
      <c r="G132" s="146" t="n">
        <f aca="false">'P&amp;LPLN'!G131/Factors!G11</f>
        <v>392.838162831788</v>
      </c>
      <c r="H132" s="146" t="n">
        <f aca="false">'P&amp;LPLN'!H131/Factors!H11</f>
        <v>392.29277069775</v>
      </c>
      <c r="I132" s="146" t="n">
        <f aca="false">'P&amp;LPLN'!I131/Factors!I11</f>
        <v>430.923779925502</v>
      </c>
      <c r="J132" s="146" t="n">
        <f aca="false">'P&amp;LPLN'!J131/Factors!J11</f>
        <v>430.327168679561</v>
      </c>
      <c r="K132" s="146" t="n">
        <f aca="false">'P&amp;LPLN'!K131/Factors!K11</f>
        <v>429.732207158574</v>
      </c>
      <c r="L132" s="146" t="n">
        <f aca="false">'P&amp;LPLN'!L131/Factors!L11</f>
        <v>429.138888529361</v>
      </c>
      <c r="M132" s="146" t="n">
        <f aca="false">'P&amp;LPLN'!M131/Factors!M11</f>
        <v>428.547205996427</v>
      </c>
      <c r="N132" s="146" t="n">
        <f aca="false">'P&amp;LPLN'!N131/Factors!N11</f>
        <v>427.957152801703</v>
      </c>
      <c r="O132" s="139" t="n">
        <f aca="false">SUM(C132:N132)</f>
        <v>4938.59437664953</v>
      </c>
      <c r="P132" s="139"/>
      <c r="Q132" s="45" t="s">
        <v>948</v>
      </c>
      <c r="R132" s="146" t="n">
        <f aca="false">'P&amp;LPLN'!R131/Factors!R11</f>
        <v>387.437633619045</v>
      </c>
      <c r="S132" s="146" t="n">
        <f aca="false">'P&amp;LPLN'!S131/Factors!S11</f>
        <v>385.836651661941</v>
      </c>
      <c r="T132" s="146" t="n">
        <f aca="false">'P&amp;LPLN'!T131/Factors!T11</f>
        <v>384.248846511069</v>
      </c>
      <c r="U132" s="146" t="n">
        <f aca="false">'P&amp;LPLN'!U131/Factors!U11</f>
        <v>382.674056156515</v>
      </c>
      <c r="V132" s="146" t="n">
        <f aca="false">'P&amp;LPLN'!V131/Factors!V11</f>
        <v>381.112121233428</v>
      </c>
      <c r="W132" s="146" t="n">
        <f aca="false">'P&amp;LPLN'!W131/Factors!W11</f>
        <v>379.562884968251</v>
      </c>
      <c r="X132" s="146" t="n">
        <f aca="false">'P&amp;LPLN'!X131/Factors!X11</f>
        <v>415.828812438902</v>
      </c>
      <c r="Y132" s="146" t="n">
        <f aca="false">'P&amp;LPLN'!Y131/Factors!Y11</f>
        <v>414.152083356487</v>
      </c>
      <c r="Z132" s="146" t="n">
        <f aca="false">'P&amp;LPLN'!Z131/Factors!Z11</f>
        <v>412.488821977545</v>
      </c>
      <c r="AA132" s="146" t="n">
        <f aca="false">'P&amp;LPLN'!AA131/Factors!AA11</f>
        <v>410.838866689635</v>
      </c>
      <c r="AB132" s="146" t="n">
        <f aca="false">'P&amp;LPLN'!AB131/Factors!AB11</f>
        <v>409.202058455812</v>
      </c>
      <c r="AC132" s="146" t="n">
        <f aca="false">'P&amp;LPLN'!AC131/Factors!AC11</f>
        <v>407.578240763527</v>
      </c>
      <c r="AD132" s="146" t="n">
        <f aca="false">SUM(R132:AC132)</f>
        <v>4770.96107783216</v>
      </c>
      <c r="AF132" s="45" t="s">
        <v>948</v>
      </c>
      <c r="AG132" s="146" t="n">
        <f aca="false">'P&amp;LPLN'!AG131/Factors!AG11</f>
        <v>368.988222494328</v>
      </c>
      <c r="AH132" s="146" t="n">
        <f aca="false">'P&amp;LPLN'!AH131/Factors!AH11</f>
        <v>367.463477773277</v>
      </c>
      <c r="AI132" s="146" t="n">
        <f aca="false">'P&amp;LPLN'!AI131/Factors!AI11</f>
        <v>365.951282391494</v>
      </c>
      <c r="AJ132" s="146" t="n">
        <f aca="false">'P&amp;LPLN'!AJ131/Factors!AJ11</f>
        <v>364.451482053824</v>
      </c>
      <c r="AK132" s="146" t="n">
        <f aca="false">'P&amp;LPLN'!AK131/Factors!AK11</f>
        <v>362.963924984217</v>
      </c>
      <c r="AL132" s="146" t="n">
        <f aca="false">'P&amp;LPLN'!AL131/Factors!AL11</f>
        <v>361.488461874525</v>
      </c>
      <c r="AM132" s="146" t="n">
        <f aca="false">'P&amp;LPLN'!AM131/Factors!AM11</f>
        <v>396.027440418002</v>
      </c>
      <c r="AN132" s="146" t="n">
        <f aca="false">'P&amp;LPLN'!AN131/Factors!AN11</f>
        <v>394.430555577607</v>
      </c>
      <c r="AO132" s="146" t="n">
        <f aca="false">'P&amp;LPLN'!AO131/Factors!AO11</f>
        <v>392.846497121472</v>
      </c>
      <c r="AP132" s="146" t="n">
        <f aca="false">'P&amp;LPLN'!AP131/Factors!AP11</f>
        <v>391.275111132986</v>
      </c>
      <c r="AQ132" s="146" t="n">
        <f aca="false">'P&amp;LPLN'!AQ131/Factors!AQ11</f>
        <v>389.716246148392</v>
      </c>
      <c r="AR132" s="146" t="n">
        <f aca="false">'P&amp;LPLN'!AR131/Factors!AR11</f>
        <v>388.169753108121</v>
      </c>
      <c r="AS132" s="146" t="n">
        <f aca="false">SUM(AG132:AR132)</f>
        <v>4543.77245507824</v>
      </c>
    </row>
    <row r="133" customFormat="false" ht="13.2" hidden="true" customHeight="false" outlineLevel="0" collapsed="false">
      <c r="A133" s="207" t="s">
        <v>950</v>
      </c>
      <c r="B133" s="144" t="s">
        <v>1239</v>
      </c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39" t="n">
        <f aca="false">SUM(C133:N133)</f>
        <v>0</v>
      </c>
      <c r="P133" s="139"/>
      <c r="Q133" s="45" t="s">
        <v>1239</v>
      </c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 t="n">
        <f aca="false">SUM(R133:AC133)</f>
        <v>0</v>
      </c>
      <c r="AF133" s="45" t="s">
        <v>1239</v>
      </c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 t="n">
        <f aca="false">SUM(AG133:AR133)</f>
        <v>0</v>
      </c>
    </row>
    <row r="134" customFormat="false" ht="13.8" hidden="false" customHeight="false" outlineLevel="0" collapsed="false">
      <c r="A134" s="207"/>
      <c r="B134" s="285" t="s">
        <v>66</v>
      </c>
      <c r="C134" s="353" t="n">
        <f aca="false">SUM(C131:C133)</f>
        <v>44249.0349809982</v>
      </c>
      <c r="D134" s="353" t="n">
        <f aca="false">SUM(D131:D133)</f>
        <v>44248.4834762381</v>
      </c>
      <c r="E134" s="353" t="n">
        <f aca="false">SUM(E131:E133)</f>
        <v>44247.9335092328</v>
      </c>
      <c r="F134" s="353" t="n">
        <f aca="false">SUM(F131:F133)</f>
        <v>44247.3850735597</v>
      </c>
      <c r="G134" s="353" t="n">
        <f aca="false">SUM(G131:G133)</f>
        <v>44246.8381628318</v>
      </c>
      <c r="H134" s="353" t="n">
        <f aca="false">SUM(H131:H133)</f>
        <v>44246.2927706978</v>
      </c>
      <c r="I134" s="353" t="n">
        <f aca="false">SUM(I131:I133)</f>
        <v>48670.3237799255</v>
      </c>
      <c r="J134" s="353" t="n">
        <f aca="false">SUM(J131:J133)</f>
        <v>48669.7271686796</v>
      </c>
      <c r="K134" s="353" t="n">
        <f aca="false">SUM(K131:K133)</f>
        <v>48669.1322071586</v>
      </c>
      <c r="L134" s="353" t="n">
        <f aca="false">SUM(L131:L133)</f>
        <v>48668.5388885294</v>
      </c>
      <c r="M134" s="353" t="n">
        <f aca="false">SUM(M131:M133)</f>
        <v>48667.9472059964</v>
      </c>
      <c r="N134" s="353" t="n">
        <f aca="false">SUM(N131:N133)</f>
        <v>48667.3571528017</v>
      </c>
      <c r="O134" s="353" t="n">
        <f aca="false">SUM(O131:O133)</f>
        <v>557498.99437665</v>
      </c>
      <c r="P134" s="139"/>
      <c r="Q134" s="45"/>
      <c r="R134" s="353" t="n">
        <f aca="false">SUM(R131:R133)</f>
        <v>40387.4376336191</v>
      </c>
      <c r="S134" s="364" t="n">
        <f aca="false">SUM(S131:S133)</f>
        <v>40385.8366516619</v>
      </c>
      <c r="T134" s="364" t="n">
        <f aca="false">SUM(T131:T133)</f>
        <v>40384.2488465111</v>
      </c>
      <c r="U134" s="364" t="n">
        <f aca="false">SUM(U131:U133)</f>
        <v>40382.6740561565</v>
      </c>
      <c r="V134" s="364" t="n">
        <f aca="false">SUM(V131:V133)</f>
        <v>40381.1121212334</v>
      </c>
      <c r="W134" s="364" t="n">
        <f aca="false">SUM(W131:W133)</f>
        <v>40379.5628849683</v>
      </c>
      <c r="X134" s="364" t="n">
        <f aca="false">SUM(X131:X133)</f>
        <v>44415.8288124389</v>
      </c>
      <c r="Y134" s="364" t="n">
        <f aca="false">SUM(Y131:Y133)</f>
        <v>44414.1520833565</v>
      </c>
      <c r="Z134" s="364" t="n">
        <f aca="false">SUM(Z131:Z133)</f>
        <v>44412.4888219775</v>
      </c>
      <c r="AA134" s="364" t="n">
        <f aca="false">SUM(AA131:AA133)</f>
        <v>44410.8388666896</v>
      </c>
      <c r="AB134" s="364" t="n">
        <f aca="false">SUM(AB131:AB133)</f>
        <v>44409.2020584558</v>
      </c>
      <c r="AC134" s="364" t="n">
        <f aca="false">SUM(AC131:AC133)</f>
        <v>44407.5782407635</v>
      </c>
      <c r="AD134" s="364" t="n">
        <f aca="false">SUM(AD131:AD133)</f>
        <v>508770.961077832</v>
      </c>
      <c r="AF134" s="45"/>
      <c r="AG134" s="353" t="n">
        <f aca="false">SUM(AG131:AG133)</f>
        <v>40368.9882224943</v>
      </c>
      <c r="AH134" s="364" t="n">
        <f aca="false">SUM(AH131:AH133)</f>
        <v>40367.4634777733</v>
      </c>
      <c r="AI134" s="364" t="n">
        <f aca="false">SUM(AI131:AI133)</f>
        <v>40365.9512823915</v>
      </c>
      <c r="AJ134" s="364" t="n">
        <f aca="false">SUM(AJ131:AJ133)</f>
        <v>40364.4514820538</v>
      </c>
      <c r="AK134" s="364" t="n">
        <f aca="false">SUM(AK131:AK133)</f>
        <v>40362.9639249842</v>
      </c>
      <c r="AL134" s="364" t="n">
        <f aca="false">SUM(AL131:AL133)</f>
        <v>40361.4884618745</v>
      </c>
      <c r="AM134" s="364" t="n">
        <f aca="false">SUM(AM131:AM133)</f>
        <v>44396.027440418</v>
      </c>
      <c r="AN134" s="364" t="n">
        <f aca="false">SUM(AN131:AN133)</f>
        <v>44394.4305555776</v>
      </c>
      <c r="AO134" s="364" t="n">
        <f aca="false">SUM(AO131:AO133)</f>
        <v>44392.8464971215</v>
      </c>
      <c r="AP134" s="364" t="n">
        <f aca="false">SUM(AP131:AP133)</f>
        <v>44391.275111133</v>
      </c>
      <c r="AQ134" s="364" t="n">
        <f aca="false">SUM(AQ131:AQ133)</f>
        <v>44389.7162461484</v>
      </c>
      <c r="AR134" s="364" t="n">
        <f aca="false">SUM(AR131:AR133)</f>
        <v>44388.1697531081</v>
      </c>
      <c r="AS134" s="364" t="n">
        <f aca="false">SUM(AS131:AS133)</f>
        <v>508543.772455078</v>
      </c>
    </row>
    <row r="135" customFormat="false" ht="13.8" hidden="false" customHeight="false" outlineLevel="0" collapsed="false">
      <c r="A135" s="207"/>
      <c r="B135" s="144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39"/>
      <c r="Q135" s="45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F135" s="45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</row>
    <row r="136" customFormat="false" ht="13.2" hidden="false" customHeight="false" outlineLevel="0" collapsed="false">
      <c r="A136" s="392" t="s">
        <v>1047</v>
      </c>
      <c r="B136" s="144" t="s">
        <v>933</v>
      </c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39"/>
      <c r="Q136" s="144" t="s">
        <v>1240</v>
      </c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F136" s="144" t="s">
        <v>1240</v>
      </c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</row>
    <row r="137" customFormat="false" ht="13.2" hidden="false" customHeight="false" outlineLevel="0" collapsed="false">
      <c r="A137" s="207" t="s">
        <v>934</v>
      </c>
      <c r="B137" s="45" t="s">
        <v>1241</v>
      </c>
      <c r="C137" s="146" t="n">
        <f aca="false">'P&amp;LPLN'!C136/Factors!C$11</f>
        <v>3764.45099539474</v>
      </c>
      <c r="D137" s="146" t="n">
        <f aca="false">'P&amp;LPLN'!D136/Factors!D$11</f>
        <v>3759.19547944584</v>
      </c>
      <c r="E137" s="146" t="n">
        <f aca="false">'P&amp;LPLN'!E136/Factors!E$11</f>
        <v>3753.95461739523</v>
      </c>
      <c r="F137" s="146" t="n">
        <f aca="false">'P&amp;LPLN'!F136/Factors!F$11</f>
        <v>3748.72834803927</v>
      </c>
      <c r="G137" s="146" t="n">
        <f aca="false">'P&amp;LPLN'!G136/Factors!G$11</f>
        <v>3743.51661051469</v>
      </c>
      <c r="H137" s="146" t="n">
        <f aca="false">'P&amp;LPLN'!H136/Factors!H$11</f>
        <v>3738.3193442962</v>
      </c>
      <c r="I137" s="146" t="n">
        <f aca="false">'P&amp;LPLN'!I136/Factors!I$11</f>
        <v>3733.13648919419</v>
      </c>
      <c r="J137" s="146" t="n">
        <f aca="false">'P&amp;LPLN'!J136/Factors!J$11</f>
        <v>3727.96798535234</v>
      </c>
      <c r="K137" s="146" t="n">
        <f aca="false">'P&amp;LPLN'!K136/Factors!K$11</f>
        <v>3722.8137732454</v>
      </c>
      <c r="L137" s="146" t="n">
        <f aca="false">'P&amp;LPLN'!L136/Factors!L$11</f>
        <v>3717.67379367681</v>
      </c>
      <c r="M137" s="146" t="n">
        <f aca="false">'P&amp;LPLN'!M136/Factors!M$11</f>
        <v>3712.54798777653</v>
      </c>
      <c r="N137" s="146" t="n">
        <f aca="false">'P&amp;LPLN'!N136/Factors!N$11</f>
        <v>3707.43629699871</v>
      </c>
      <c r="O137" s="139" t="n">
        <f aca="false">SUM(C137:N137)</f>
        <v>44829.74172133</v>
      </c>
      <c r="P137" s="139"/>
      <c r="Q137" s="45" t="s">
        <v>1241</v>
      </c>
      <c r="R137" s="146" t="n">
        <f aca="false">'P&amp;LPLN'!R136/Factors!R$11</f>
        <v>3839.7348536551</v>
      </c>
      <c r="S137" s="146" t="n">
        <f aca="false">'P&amp;LPLN'!S136/Factors!S$11</f>
        <v>3823.86818070611</v>
      </c>
      <c r="T137" s="146" t="n">
        <f aca="false">'P&amp;LPLN'!T136/Factors!T$11</f>
        <v>3808.13209765793</v>
      </c>
      <c r="U137" s="146" t="n">
        <f aca="false">'P&amp;LPLN'!U136/Factors!U$11</f>
        <v>3792.52499889704</v>
      </c>
      <c r="V137" s="146" t="n">
        <f aca="false">'P&amp;LPLN'!V136/Factors!V$11</f>
        <v>3777.04530502399</v>
      </c>
      <c r="W137" s="146" t="n">
        <f aca="false">'P&amp;LPLN'!W136/Factors!W$11</f>
        <v>3761.69146232064</v>
      </c>
      <c r="X137" s="146" t="n">
        <f aca="false">'P&amp;LPLN'!X136/Factors!X$11</f>
        <v>3746.46194223028</v>
      </c>
      <c r="Y137" s="146" t="n">
        <f aca="false">'P&amp;LPLN'!Y136/Factors!Y$11</f>
        <v>3731.35524085032</v>
      </c>
      <c r="Z137" s="146" t="n">
        <f aca="false">'P&amp;LPLN'!Z136/Factors!Z$11</f>
        <v>3716.36987843726</v>
      </c>
      <c r="AA137" s="146" t="n">
        <f aca="false">'P&amp;LPLN'!AA136/Factors!AA$11</f>
        <v>3701.50439892351</v>
      </c>
      <c r="AB137" s="146" t="n">
        <f aca="false">'P&amp;LPLN'!AB136/Factors!AB$11</f>
        <v>3686.75736944573</v>
      </c>
      <c r="AC137" s="146" t="n">
        <f aca="false">'P&amp;LPLN'!AC136/Factors!AC$11</f>
        <v>3672.12737988444</v>
      </c>
      <c r="AD137" s="146" t="n">
        <f aca="false">SUM(R137:AC137)</f>
        <v>45057.5731080323</v>
      </c>
      <c r="AF137" s="45" t="s">
        <v>1241</v>
      </c>
      <c r="AG137" s="146" t="n">
        <f aca="false">'P&amp;LPLN'!AG136/Factors!AG$11</f>
        <v>3876.30375702324</v>
      </c>
      <c r="AH137" s="146" t="n">
        <f aca="false">'P&amp;LPLN'!AH136/Factors!AH$11</f>
        <v>3860.28597290331</v>
      </c>
      <c r="AI137" s="146" t="n">
        <f aca="false">'P&amp;LPLN'!AI136/Factors!AI$11</f>
        <v>3844.40002239754</v>
      </c>
      <c r="AJ137" s="146" t="n">
        <f aca="false">'P&amp;LPLN'!AJ136/Factors!AJ$11</f>
        <v>3828.64428460082</v>
      </c>
      <c r="AK137" s="146" t="n">
        <f aca="false">'P&amp;LPLN'!AK136/Factors!AK$11</f>
        <v>3813.01716507184</v>
      </c>
      <c r="AL137" s="146" t="n">
        <f aca="false">'P&amp;LPLN'!AL136/Factors!AL$11</f>
        <v>3797.51709529513</v>
      </c>
      <c r="AM137" s="146" t="n">
        <f aca="false">'P&amp;LPLN'!AM136/Factors!AM$11</f>
        <v>3782.14253215628</v>
      </c>
      <c r="AN137" s="146" t="n">
        <f aca="false">'P&amp;LPLN'!AN136/Factors!AN$11</f>
        <v>3766.89195742984</v>
      </c>
      <c r="AO137" s="146" t="n">
        <f aca="false">'P&amp;LPLN'!AO136/Factors!AO$11</f>
        <v>3751.76387727952</v>
      </c>
      <c r="AP137" s="146" t="n">
        <f aca="false">'P&amp;LPLN'!AP136/Factors!AP$11</f>
        <v>3736.7568217704</v>
      </c>
      <c r="AQ137" s="146" t="n">
        <f aca="false">'P&amp;LPLN'!AQ136/Factors!AQ$11</f>
        <v>3721.86934439283</v>
      </c>
      <c r="AR137" s="146" t="n">
        <f aca="false">'P&amp;LPLN'!AR136/Factors!AR$11</f>
        <v>3707.10002159762</v>
      </c>
      <c r="AS137" s="146" t="n">
        <f aca="false">SUM(AG137:AR137)</f>
        <v>45486.6928519184</v>
      </c>
    </row>
    <row r="138" customFormat="false" ht="13.2" hidden="true" customHeight="false" outlineLevel="0" collapsed="false">
      <c r="A138" s="207" t="s">
        <v>1048</v>
      </c>
      <c r="B138" s="144" t="s">
        <v>1242</v>
      </c>
      <c r="C138" s="146" t="n">
        <f aca="false">'P&amp;LPLN'!C137/Factors!C$11</f>
        <v>0</v>
      </c>
      <c r="D138" s="146" t="n">
        <f aca="false">'P&amp;LPLN'!D137/Factors!D$11</f>
        <v>0</v>
      </c>
      <c r="E138" s="146" t="n">
        <f aca="false">'P&amp;LPLN'!E137/Factors!E$11</f>
        <v>0</v>
      </c>
      <c r="F138" s="146" t="n">
        <f aca="false">'P&amp;LPLN'!F137/Factors!F$11</f>
        <v>0</v>
      </c>
      <c r="G138" s="146" t="n">
        <f aca="false">'P&amp;LPLN'!G137/Factors!G$11</f>
        <v>0</v>
      </c>
      <c r="H138" s="146" t="n">
        <f aca="false">'P&amp;LPLN'!H137/Factors!H$11</f>
        <v>0</v>
      </c>
      <c r="I138" s="146" t="n">
        <f aca="false">'P&amp;LPLN'!I137/Factors!I$11</f>
        <v>0</v>
      </c>
      <c r="J138" s="146" t="n">
        <f aca="false">'P&amp;LPLN'!J137/Factors!J$11</f>
        <v>0</v>
      </c>
      <c r="K138" s="146" t="n">
        <f aca="false">'P&amp;LPLN'!K137/Factors!K$11</f>
        <v>0</v>
      </c>
      <c r="L138" s="146" t="n">
        <f aca="false">'P&amp;LPLN'!L137/Factors!L$11</f>
        <v>0</v>
      </c>
      <c r="M138" s="146" t="n">
        <f aca="false">'P&amp;LPLN'!M137/Factors!M$11</f>
        <v>0</v>
      </c>
      <c r="N138" s="146" t="n">
        <f aca="false">'P&amp;LPLN'!N137/Factors!N$11</f>
        <v>0</v>
      </c>
      <c r="O138" s="139" t="n">
        <f aca="false">SUM(C138:N138)</f>
        <v>0</v>
      </c>
      <c r="P138" s="139"/>
      <c r="Q138" s="45" t="s">
        <v>1242</v>
      </c>
      <c r="R138" s="146" t="n">
        <f aca="false">'P&amp;LPLN'!R137/Factors!R$11</f>
        <v>0</v>
      </c>
      <c r="S138" s="146" t="n">
        <f aca="false">'P&amp;LPLN'!S137/Factors!S$11</f>
        <v>0</v>
      </c>
      <c r="T138" s="146" t="n">
        <f aca="false">'P&amp;LPLN'!T137/Factors!T$11</f>
        <v>0</v>
      </c>
      <c r="U138" s="146" t="n">
        <f aca="false">'P&amp;LPLN'!U137/Factors!U$11</f>
        <v>0</v>
      </c>
      <c r="V138" s="146" t="n">
        <f aca="false">'P&amp;LPLN'!V137/Factors!V$11</f>
        <v>0</v>
      </c>
      <c r="W138" s="146" t="n">
        <f aca="false">'P&amp;LPLN'!W137/Factors!W$11</f>
        <v>0</v>
      </c>
      <c r="X138" s="146" t="n">
        <f aca="false">'P&amp;LPLN'!X137/Factors!X$11</f>
        <v>0</v>
      </c>
      <c r="Y138" s="146" t="n">
        <f aca="false">'P&amp;LPLN'!Y137/Factors!Y$11</f>
        <v>0</v>
      </c>
      <c r="Z138" s="146" t="n">
        <f aca="false">'P&amp;LPLN'!Z137/Factors!Z$11</f>
        <v>0</v>
      </c>
      <c r="AA138" s="146" t="n">
        <f aca="false">'P&amp;LPLN'!AA137/Factors!AA$11</f>
        <v>0</v>
      </c>
      <c r="AB138" s="146" t="n">
        <f aca="false">'P&amp;LPLN'!AB137/Factors!AB$11</f>
        <v>0</v>
      </c>
      <c r="AC138" s="146" t="n">
        <f aca="false">'P&amp;LPLN'!AC137/Factors!AC$11</f>
        <v>0</v>
      </c>
      <c r="AD138" s="146" t="n">
        <f aca="false">SUM(R138:AC138)</f>
        <v>0</v>
      </c>
      <c r="AF138" s="45" t="s">
        <v>1242</v>
      </c>
      <c r="AG138" s="146" t="n">
        <f aca="false">'P&amp;LPLN'!AG137/Factors!AG$11</f>
        <v>0</v>
      </c>
      <c r="AH138" s="146" t="n">
        <f aca="false">'P&amp;LPLN'!AH137/Factors!AH$11</f>
        <v>0</v>
      </c>
      <c r="AI138" s="146" t="n">
        <f aca="false">'P&amp;LPLN'!AI137/Factors!AI$11</f>
        <v>0</v>
      </c>
      <c r="AJ138" s="146" t="n">
        <f aca="false">'P&amp;LPLN'!AJ137/Factors!AJ$11</f>
        <v>0</v>
      </c>
      <c r="AK138" s="146" t="n">
        <f aca="false">'P&amp;LPLN'!AK137/Factors!AK$11</f>
        <v>0</v>
      </c>
      <c r="AL138" s="146" t="n">
        <f aca="false">'P&amp;LPLN'!AL137/Factors!AL$11</f>
        <v>0</v>
      </c>
      <c r="AM138" s="146" t="n">
        <f aca="false">'P&amp;LPLN'!AM137/Factors!AM$11</f>
        <v>0</v>
      </c>
      <c r="AN138" s="146" t="n">
        <f aca="false">'P&amp;LPLN'!AN137/Factors!AN$11</f>
        <v>0</v>
      </c>
      <c r="AO138" s="146" t="n">
        <f aca="false">'P&amp;LPLN'!AO137/Factors!AO$11</f>
        <v>0</v>
      </c>
      <c r="AP138" s="146" t="n">
        <f aca="false">'P&amp;LPLN'!AP137/Factors!AP$11</f>
        <v>0</v>
      </c>
      <c r="AQ138" s="146" t="n">
        <f aca="false">'P&amp;LPLN'!AQ137/Factors!AQ$11</f>
        <v>0</v>
      </c>
      <c r="AR138" s="146" t="n">
        <f aca="false">'P&amp;LPLN'!AR137/Factors!AR$11</f>
        <v>0</v>
      </c>
      <c r="AS138" s="146" t="n">
        <f aca="false">SUM(AG138:AR138)</f>
        <v>0</v>
      </c>
    </row>
    <row r="139" customFormat="false" ht="13.2" hidden="true" customHeight="false" outlineLevel="0" collapsed="false">
      <c r="A139" s="207" t="s">
        <v>1049</v>
      </c>
      <c r="B139" s="144" t="s">
        <v>1243</v>
      </c>
      <c r="C139" s="146" t="n">
        <f aca="false">'P&amp;LPLN'!C138/Factors!C$11</f>
        <v>0</v>
      </c>
      <c r="D139" s="146" t="n">
        <f aca="false">'P&amp;LPLN'!D138/Factors!D$11</f>
        <v>0</v>
      </c>
      <c r="E139" s="146" t="n">
        <f aca="false">'P&amp;LPLN'!E138/Factors!E$11</f>
        <v>0</v>
      </c>
      <c r="F139" s="146" t="n">
        <f aca="false">'P&amp;LPLN'!F138/Factors!F$11</f>
        <v>0</v>
      </c>
      <c r="G139" s="146" t="n">
        <f aca="false">'P&amp;LPLN'!G138/Factors!G$11</f>
        <v>0</v>
      </c>
      <c r="H139" s="146" t="n">
        <f aca="false">'P&amp;LPLN'!H138/Factors!H$11</f>
        <v>0</v>
      </c>
      <c r="I139" s="146" t="n">
        <f aca="false">'P&amp;LPLN'!I138/Factors!I$11</f>
        <v>0</v>
      </c>
      <c r="J139" s="146" t="n">
        <f aca="false">'P&amp;LPLN'!J138/Factors!J$11</f>
        <v>0</v>
      </c>
      <c r="K139" s="146" t="n">
        <f aca="false">'P&amp;LPLN'!K138/Factors!K$11</f>
        <v>0</v>
      </c>
      <c r="L139" s="146" t="n">
        <f aca="false">'P&amp;LPLN'!L138/Factors!L$11</f>
        <v>0</v>
      </c>
      <c r="M139" s="146" t="n">
        <f aca="false">'P&amp;LPLN'!M138/Factors!M$11</f>
        <v>0</v>
      </c>
      <c r="N139" s="146" t="n">
        <f aca="false">'P&amp;LPLN'!N138/Factors!N$11</f>
        <v>0</v>
      </c>
      <c r="O139" s="139" t="n">
        <f aca="false">SUM(C139:N139)</f>
        <v>0</v>
      </c>
      <c r="P139" s="139"/>
      <c r="Q139" s="45" t="s">
        <v>1243</v>
      </c>
      <c r="R139" s="146" t="n">
        <f aca="false">'P&amp;LPLN'!R138/Factors!R$11</f>
        <v>0</v>
      </c>
      <c r="S139" s="146" t="n">
        <f aca="false">'P&amp;LPLN'!S138/Factors!S$11</f>
        <v>0</v>
      </c>
      <c r="T139" s="146" t="n">
        <f aca="false">'P&amp;LPLN'!T138/Factors!T$11</f>
        <v>0</v>
      </c>
      <c r="U139" s="146" t="n">
        <f aca="false">'P&amp;LPLN'!U138/Factors!U$11</f>
        <v>0</v>
      </c>
      <c r="V139" s="146" t="n">
        <f aca="false">'P&amp;LPLN'!V138/Factors!V$11</f>
        <v>0</v>
      </c>
      <c r="W139" s="146" t="n">
        <f aca="false">'P&amp;LPLN'!W138/Factors!W$11</f>
        <v>0</v>
      </c>
      <c r="X139" s="146" t="n">
        <f aca="false">'P&amp;LPLN'!X138/Factors!X$11</f>
        <v>0</v>
      </c>
      <c r="Y139" s="146" t="n">
        <f aca="false">'P&amp;LPLN'!Y138/Factors!Y$11</f>
        <v>0</v>
      </c>
      <c r="Z139" s="146" t="n">
        <f aca="false">'P&amp;LPLN'!Z138/Factors!Z$11</f>
        <v>0</v>
      </c>
      <c r="AA139" s="146" t="n">
        <f aca="false">'P&amp;LPLN'!AA138/Factors!AA$11</f>
        <v>0</v>
      </c>
      <c r="AB139" s="146" t="n">
        <f aca="false">'P&amp;LPLN'!AB138/Factors!AB$11</f>
        <v>0</v>
      </c>
      <c r="AC139" s="146" t="n">
        <f aca="false">'P&amp;LPLN'!AC138/Factors!AC$11</f>
        <v>0</v>
      </c>
      <c r="AD139" s="146" t="n">
        <f aca="false">SUM(R139:AC139)</f>
        <v>0</v>
      </c>
      <c r="AF139" s="45" t="s">
        <v>1243</v>
      </c>
      <c r="AG139" s="146" t="n">
        <f aca="false">'P&amp;LPLN'!AG138/Factors!AG$11</f>
        <v>0</v>
      </c>
      <c r="AH139" s="146" t="n">
        <f aca="false">'P&amp;LPLN'!AH138/Factors!AH$11</f>
        <v>0</v>
      </c>
      <c r="AI139" s="146" t="n">
        <f aca="false">'P&amp;LPLN'!AI138/Factors!AI$11</f>
        <v>0</v>
      </c>
      <c r="AJ139" s="146" t="n">
        <f aca="false">'P&amp;LPLN'!AJ138/Factors!AJ$11</f>
        <v>0</v>
      </c>
      <c r="AK139" s="146" t="n">
        <f aca="false">'P&amp;LPLN'!AK138/Factors!AK$11</f>
        <v>0</v>
      </c>
      <c r="AL139" s="146" t="n">
        <f aca="false">'P&amp;LPLN'!AL138/Factors!AL$11</f>
        <v>0</v>
      </c>
      <c r="AM139" s="146" t="n">
        <f aca="false">'P&amp;LPLN'!AM138/Factors!AM$11</f>
        <v>0</v>
      </c>
      <c r="AN139" s="146" t="n">
        <f aca="false">'P&amp;LPLN'!AN138/Factors!AN$11</f>
        <v>0</v>
      </c>
      <c r="AO139" s="146" t="n">
        <f aca="false">'P&amp;LPLN'!AO138/Factors!AO$11</f>
        <v>0</v>
      </c>
      <c r="AP139" s="146" t="n">
        <f aca="false">'P&amp;LPLN'!AP138/Factors!AP$11</f>
        <v>0</v>
      </c>
      <c r="AQ139" s="146" t="n">
        <f aca="false">'P&amp;LPLN'!AQ138/Factors!AQ$11</f>
        <v>0</v>
      </c>
      <c r="AR139" s="146" t="n">
        <f aca="false">'P&amp;LPLN'!AR138/Factors!AR$11</f>
        <v>0</v>
      </c>
      <c r="AS139" s="146" t="n">
        <f aca="false">SUM(AG139:AR139)</f>
        <v>0</v>
      </c>
    </row>
    <row r="140" customFormat="false" ht="13.2" hidden="true" customHeight="false" outlineLevel="0" collapsed="false">
      <c r="A140" s="207" t="s">
        <v>1050</v>
      </c>
      <c r="B140" s="144" t="s">
        <v>1244</v>
      </c>
      <c r="C140" s="146" t="n">
        <f aca="false">'P&amp;LPLN'!C139/Factors!C$11</f>
        <v>0</v>
      </c>
      <c r="D140" s="146" t="n">
        <f aca="false">'P&amp;LPLN'!D139/Factors!D$11</f>
        <v>0</v>
      </c>
      <c r="E140" s="146" t="n">
        <f aca="false">'P&amp;LPLN'!E139/Factors!E$11</f>
        <v>0</v>
      </c>
      <c r="F140" s="146" t="n">
        <f aca="false">'P&amp;LPLN'!F139/Factors!F$11</f>
        <v>0</v>
      </c>
      <c r="G140" s="146" t="n">
        <f aca="false">'P&amp;LPLN'!G139/Factors!G$11</f>
        <v>0</v>
      </c>
      <c r="H140" s="146" t="n">
        <f aca="false">'P&amp;LPLN'!H139/Factors!H$11</f>
        <v>0</v>
      </c>
      <c r="I140" s="146" t="n">
        <f aca="false">'P&amp;LPLN'!I139/Factors!I$11</f>
        <v>0</v>
      </c>
      <c r="J140" s="146" t="n">
        <f aca="false">'P&amp;LPLN'!J139/Factors!J$11</f>
        <v>0</v>
      </c>
      <c r="K140" s="146" t="n">
        <f aca="false">'P&amp;LPLN'!K139/Factors!K$11</f>
        <v>0</v>
      </c>
      <c r="L140" s="146" t="n">
        <f aca="false">'P&amp;LPLN'!L139/Factors!L$11</f>
        <v>0</v>
      </c>
      <c r="M140" s="146" t="n">
        <f aca="false">'P&amp;LPLN'!M139/Factors!M$11</f>
        <v>0</v>
      </c>
      <c r="N140" s="146" t="n">
        <f aca="false">'P&amp;LPLN'!N139/Factors!N$11</f>
        <v>0</v>
      </c>
      <c r="O140" s="139" t="n">
        <f aca="false">SUM(C140:N140)</f>
        <v>0</v>
      </c>
      <c r="P140" s="139"/>
      <c r="Q140" s="45" t="s">
        <v>1244</v>
      </c>
      <c r="R140" s="146" t="n">
        <f aca="false">'P&amp;LPLN'!R139/Factors!R$11</f>
        <v>0</v>
      </c>
      <c r="S140" s="146" t="n">
        <f aca="false">'P&amp;LPLN'!S139/Factors!S$11</f>
        <v>0</v>
      </c>
      <c r="T140" s="146" t="n">
        <f aca="false">'P&amp;LPLN'!T139/Factors!T$11</f>
        <v>0</v>
      </c>
      <c r="U140" s="146" t="n">
        <f aca="false">'P&amp;LPLN'!U139/Factors!U$11</f>
        <v>0</v>
      </c>
      <c r="V140" s="146" t="n">
        <f aca="false">'P&amp;LPLN'!V139/Factors!V$11</f>
        <v>0</v>
      </c>
      <c r="W140" s="146" t="n">
        <f aca="false">'P&amp;LPLN'!W139/Factors!W$11</f>
        <v>0</v>
      </c>
      <c r="X140" s="146" t="n">
        <f aca="false">'P&amp;LPLN'!X139/Factors!X$11</f>
        <v>0</v>
      </c>
      <c r="Y140" s="146" t="n">
        <f aca="false">'P&amp;LPLN'!Y139/Factors!Y$11</f>
        <v>0</v>
      </c>
      <c r="Z140" s="146" t="n">
        <f aca="false">'P&amp;LPLN'!Z139/Factors!Z$11</f>
        <v>0</v>
      </c>
      <c r="AA140" s="146" t="n">
        <f aca="false">'P&amp;LPLN'!AA139/Factors!AA$11</f>
        <v>0</v>
      </c>
      <c r="AB140" s="146" t="n">
        <f aca="false">'P&amp;LPLN'!AB139/Factors!AB$11</f>
        <v>0</v>
      </c>
      <c r="AC140" s="146" t="n">
        <f aca="false">'P&amp;LPLN'!AC139/Factors!AC$11</f>
        <v>0</v>
      </c>
      <c r="AD140" s="146" t="n">
        <f aca="false">SUM(R140:AC140)</f>
        <v>0</v>
      </c>
      <c r="AF140" s="45" t="s">
        <v>1244</v>
      </c>
      <c r="AG140" s="146" t="n">
        <f aca="false">'P&amp;LPLN'!AG139/Factors!AG$11</f>
        <v>0</v>
      </c>
      <c r="AH140" s="146" t="n">
        <f aca="false">'P&amp;LPLN'!AH139/Factors!AH$11</f>
        <v>0</v>
      </c>
      <c r="AI140" s="146" t="n">
        <f aca="false">'P&amp;LPLN'!AI139/Factors!AI$11</f>
        <v>0</v>
      </c>
      <c r="AJ140" s="146" t="n">
        <f aca="false">'P&amp;LPLN'!AJ139/Factors!AJ$11</f>
        <v>0</v>
      </c>
      <c r="AK140" s="146" t="n">
        <f aca="false">'P&amp;LPLN'!AK139/Factors!AK$11</f>
        <v>0</v>
      </c>
      <c r="AL140" s="146" t="n">
        <f aca="false">'P&amp;LPLN'!AL139/Factors!AL$11</f>
        <v>0</v>
      </c>
      <c r="AM140" s="146" t="n">
        <f aca="false">'P&amp;LPLN'!AM139/Factors!AM$11</f>
        <v>0</v>
      </c>
      <c r="AN140" s="146" t="n">
        <f aca="false">'P&amp;LPLN'!AN139/Factors!AN$11</f>
        <v>0</v>
      </c>
      <c r="AO140" s="146" t="n">
        <f aca="false">'P&amp;LPLN'!AO139/Factors!AO$11</f>
        <v>0</v>
      </c>
      <c r="AP140" s="146" t="n">
        <f aca="false">'P&amp;LPLN'!AP139/Factors!AP$11</f>
        <v>0</v>
      </c>
      <c r="AQ140" s="146" t="n">
        <f aca="false">'P&amp;LPLN'!AQ139/Factors!AQ$11</f>
        <v>0</v>
      </c>
      <c r="AR140" s="146" t="n">
        <f aca="false">'P&amp;LPLN'!AR139/Factors!AR$11</f>
        <v>0</v>
      </c>
      <c r="AS140" s="146" t="n">
        <f aca="false">SUM(AG140:AR140)</f>
        <v>0</v>
      </c>
    </row>
    <row r="141" customFormat="false" ht="13.8" hidden="false" customHeight="false" outlineLevel="0" collapsed="false">
      <c r="A141" s="207"/>
      <c r="B141" s="285" t="s">
        <v>66</v>
      </c>
      <c r="C141" s="353" t="n">
        <f aca="false">SUM(C137:C140)</f>
        <v>3764.45099539474</v>
      </c>
      <c r="D141" s="353" t="n">
        <f aca="false">SUM(D137:D140)</f>
        <v>3759.19547944584</v>
      </c>
      <c r="E141" s="353" t="n">
        <f aca="false">SUM(E137:E140)</f>
        <v>3753.95461739523</v>
      </c>
      <c r="F141" s="353" t="n">
        <f aca="false">SUM(F137:F140)</f>
        <v>3748.72834803927</v>
      </c>
      <c r="G141" s="353" t="n">
        <f aca="false">SUM(G137:G140)</f>
        <v>3743.51661051469</v>
      </c>
      <c r="H141" s="353" t="n">
        <f aca="false">SUM(H137:H140)</f>
        <v>3738.3193442962</v>
      </c>
      <c r="I141" s="353" t="n">
        <f aca="false">SUM(I137:I140)</f>
        <v>3733.13648919419</v>
      </c>
      <c r="J141" s="353" t="n">
        <f aca="false">SUM(J137:J140)</f>
        <v>3727.96798535234</v>
      </c>
      <c r="K141" s="353" t="n">
        <f aca="false">SUM(K137:K140)</f>
        <v>3722.8137732454</v>
      </c>
      <c r="L141" s="353" t="n">
        <f aca="false">SUM(L137:L140)</f>
        <v>3717.67379367681</v>
      </c>
      <c r="M141" s="353" t="n">
        <f aca="false">SUM(M137:M140)</f>
        <v>3712.54798777653</v>
      </c>
      <c r="N141" s="353" t="n">
        <f aca="false">SUM(N137:N140)</f>
        <v>3707.43629699871</v>
      </c>
      <c r="O141" s="353" t="n">
        <f aca="false">SUM(O137:O140)</f>
        <v>44829.74172133</v>
      </c>
      <c r="P141" s="139"/>
      <c r="Q141" s="45"/>
      <c r="R141" s="353" t="n">
        <f aca="false">SUM(R137:R140)</f>
        <v>3839.7348536551</v>
      </c>
      <c r="S141" s="364" t="n">
        <f aca="false">SUM(S137:S140)</f>
        <v>3823.86818070611</v>
      </c>
      <c r="T141" s="364" t="n">
        <f aca="false">SUM(T137:T140)</f>
        <v>3808.13209765793</v>
      </c>
      <c r="U141" s="364" t="n">
        <f aca="false">SUM(U137:U140)</f>
        <v>3792.52499889704</v>
      </c>
      <c r="V141" s="364" t="n">
        <f aca="false">SUM(V137:V140)</f>
        <v>3777.04530502399</v>
      </c>
      <c r="W141" s="364" t="n">
        <f aca="false">SUM(W137:W140)</f>
        <v>3761.69146232064</v>
      </c>
      <c r="X141" s="364" t="n">
        <f aca="false">SUM(X137:X140)</f>
        <v>3746.46194223028</v>
      </c>
      <c r="Y141" s="364" t="n">
        <f aca="false">SUM(Y137:Y140)</f>
        <v>3731.35524085032</v>
      </c>
      <c r="Z141" s="364" t="n">
        <f aca="false">SUM(Z137:Z140)</f>
        <v>3716.36987843726</v>
      </c>
      <c r="AA141" s="364" t="n">
        <f aca="false">SUM(AA137:AA140)</f>
        <v>3701.50439892351</v>
      </c>
      <c r="AB141" s="364" t="n">
        <f aca="false">SUM(AB137:AB140)</f>
        <v>3686.75736944573</v>
      </c>
      <c r="AC141" s="364" t="n">
        <f aca="false">SUM(AC137:AC140)</f>
        <v>3672.12737988444</v>
      </c>
      <c r="AD141" s="364" t="n">
        <f aca="false">SUM(AD137:AD140)</f>
        <v>45057.5731080323</v>
      </c>
      <c r="AF141" s="45"/>
      <c r="AG141" s="353" t="n">
        <f aca="false">SUM(AG137:AG140)</f>
        <v>3876.30375702324</v>
      </c>
      <c r="AH141" s="364" t="n">
        <f aca="false">SUM(AH137:AH140)</f>
        <v>3860.28597290331</v>
      </c>
      <c r="AI141" s="364" t="n">
        <f aca="false">SUM(AI137:AI140)</f>
        <v>3844.40002239754</v>
      </c>
      <c r="AJ141" s="364" t="n">
        <f aca="false">SUM(AJ137:AJ140)</f>
        <v>3828.64428460082</v>
      </c>
      <c r="AK141" s="364" t="n">
        <f aca="false">SUM(AK137:AK140)</f>
        <v>3813.01716507184</v>
      </c>
      <c r="AL141" s="364" t="n">
        <f aca="false">SUM(AL137:AL140)</f>
        <v>3797.51709529513</v>
      </c>
      <c r="AM141" s="364" t="n">
        <f aca="false">SUM(AM137:AM140)</f>
        <v>3782.14253215628</v>
      </c>
      <c r="AN141" s="364" t="n">
        <f aca="false">SUM(AN137:AN140)</f>
        <v>3766.89195742984</v>
      </c>
      <c r="AO141" s="364" t="n">
        <f aca="false">SUM(AO137:AO140)</f>
        <v>3751.76387727952</v>
      </c>
      <c r="AP141" s="364" t="n">
        <f aca="false">SUM(AP137:AP140)</f>
        <v>3736.7568217704</v>
      </c>
      <c r="AQ141" s="364" t="n">
        <f aca="false">SUM(AQ137:AQ140)</f>
        <v>3721.86934439283</v>
      </c>
      <c r="AR141" s="364" t="n">
        <f aca="false">SUM(AR137:AR140)</f>
        <v>3707.10002159762</v>
      </c>
      <c r="AS141" s="364" t="n">
        <f aca="false">SUM(AS137:AS140)</f>
        <v>45486.6928519184</v>
      </c>
    </row>
    <row r="142" customFormat="false" ht="13.8" hidden="false" customHeight="false" outlineLevel="0" collapsed="false">
      <c r="A142" s="207"/>
      <c r="B142" s="144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39"/>
      <c r="Q142" s="45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F142" s="45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</row>
    <row r="143" customFormat="false" ht="13.2" hidden="false" customHeight="false" outlineLevel="0" collapsed="false">
      <c r="A143" s="392" t="s">
        <v>1051</v>
      </c>
      <c r="B143" s="144" t="str">
        <f aca="false">'O&amp;M Budget'!A93</f>
        <v>COMPANY VEHICLES</v>
      </c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39"/>
      <c r="Q143" s="144" t="s">
        <v>1245</v>
      </c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F143" s="144" t="s">
        <v>1245</v>
      </c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</row>
    <row r="144" customFormat="false" ht="13.2" hidden="false" customHeight="false" outlineLevel="0" collapsed="false">
      <c r="A144" s="207" t="s">
        <v>953</v>
      </c>
      <c r="B144" s="45" t="str">
        <f aca="false">'O&amp;M Budget'!A94</f>
        <v>Fuel</v>
      </c>
      <c r="C144" s="146" t="n">
        <f aca="false">'P&amp;LPLN'!C143/Factors!C11</f>
        <v>1975.17490499107</v>
      </c>
      <c r="D144" s="146" t="n">
        <f aca="false">'P&amp;LPLN'!D143/Factors!D11</f>
        <v>1972.41738119072</v>
      </c>
      <c r="E144" s="146" t="n">
        <f aca="false">'P&amp;LPLN'!E143/Factors!E11</f>
        <v>1969.66754616416</v>
      </c>
      <c r="F144" s="146" t="n">
        <f aca="false">'P&amp;LPLN'!F143/Factors!F11</f>
        <v>1966.92536779838</v>
      </c>
      <c r="G144" s="146" t="n">
        <f aca="false">'P&amp;LPLN'!G143/Factors!G11</f>
        <v>1964.19081415894</v>
      </c>
      <c r="H144" s="146" t="n">
        <f aca="false">'P&amp;LPLN'!H143/Factors!H11</f>
        <v>1961.46385348875</v>
      </c>
      <c r="I144" s="146" t="n">
        <f aca="false">'P&amp;LPLN'!I143/Factors!I11</f>
        <v>1958.74445420683</v>
      </c>
      <c r="J144" s="146" t="n">
        <f aca="false">'P&amp;LPLN'!J143/Factors!J11</f>
        <v>1956.03258490709</v>
      </c>
      <c r="K144" s="146" t="n">
        <f aca="false">'P&amp;LPLN'!K143/Factors!K11</f>
        <v>1953.32821435715</v>
      </c>
      <c r="L144" s="146" t="n">
        <f aca="false">'P&amp;LPLN'!L143/Factors!L11</f>
        <v>1950.63131149709</v>
      </c>
      <c r="M144" s="146" t="n">
        <f aca="false">'P&amp;LPLN'!M143/Factors!M11</f>
        <v>1947.9418454383</v>
      </c>
      <c r="N144" s="146" t="n">
        <f aca="false">'P&amp;LPLN'!N143/Factors!N11</f>
        <v>1945.25978546229</v>
      </c>
      <c r="O144" s="139" t="n">
        <f aca="false">SUM(C144:N144)</f>
        <v>23521.7780636608</v>
      </c>
      <c r="P144" s="139"/>
      <c r="Q144" s="45" t="s">
        <v>954</v>
      </c>
      <c r="R144" s="146" t="n">
        <f aca="false">'P&amp;LPLN'!R143/Factors!R11</f>
        <v>1937.18816809522</v>
      </c>
      <c r="S144" s="146" t="n">
        <f aca="false">'P&amp;LPLN'!S143/Factors!S11</f>
        <v>1929.18325830971</v>
      </c>
      <c r="T144" s="146" t="n">
        <f aca="false">'P&amp;LPLN'!T143/Factors!T11</f>
        <v>1921.24423255534</v>
      </c>
      <c r="U144" s="146" t="n">
        <f aca="false">'P&amp;LPLN'!U143/Factors!U11</f>
        <v>1913.37028078258</v>
      </c>
      <c r="V144" s="146" t="n">
        <f aca="false">'P&amp;LPLN'!V143/Factors!V11</f>
        <v>1905.56060616714</v>
      </c>
      <c r="W144" s="146" t="n">
        <f aca="false">'P&amp;LPLN'!W143/Factors!W11</f>
        <v>1897.81442484126</v>
      </c>
      <c r="X144" s="146" t="n">
        <f aca="false">'P&amp;LPLN'!X143/Factors!X11</f>
        <v>1890.13096563137</v>
      </c>
      <c r="Y144" s="146" t="n">
        <f aca="false">'P&amp;LPLN'!Y143/Factors!Y11</f>
        <v>1882.50946980221</v>
      </c>
      <c r="Z144" s="146" t="n">
        <f aca="false">'P&amp;LPLN'!Z143/Factors!Z11</f>
        <v>1874.94919080702</v>
      </c>
      <c r="AA144" s="146" t="n">
        <f aca="false">'P&amp;LPLN'!AA143/Factors!AA11</f>
        <v>1867.4493940438</v>
      </c>
      <c r="AB144" s="146" t="n">
        <f aca="false">'P&amp;LPLN'!AB143/Factors!AB11</f>
        <v>1860.00935661733</v>
      </c>
      <c r="AC144" s="146" t="n">
        <f aca="false">'P&amp;LPLN'!AC143/Factors!AC11</f>
        <v>1852.62836710694</v>
      </c>
      <c r="AD144" s="146" t="n">
        <f aca="false">SUM(R144:AC144)</f>
        <v>22732.0377147599</v>
      </c>
      <c r="AF144" s="45" t="s">
        <v>954</v>
      </c>
      <c r="AG144" s="146" t="n">
        <f aca="false">'P&amp;LPLN'!AG143/Factors!AG11</f>
        <v>1844.94111247164</v>
      </c>
      <c r="AH144" s="146" t="n">
        <f aca="false">'P&amp;LPLN'!AH143/Factors!AH11</f>
        <v>1837.31738886639</v>
      </c>
      <c r="AI144" s="146" t="n">
        <f aca="false">'P&amp;LPLN'!AI143/Factors!AI11</f>
        <v>1829.75641195747</v>
      </c>
      <c r="AJ144" s="146" t="n">
        <f aca="false">'P&amp;LPLN'!AJ143/Factors!AJ11</f>
        <v>1822.25741026912</v>
      </c>
      <c r="AK144" s="146" t="n">
        <f aca="false">'P&amp;LPLN'!AK143/Factors!AK11</f>
        <v>1814.81962492108</v>
      </c>
      <c r="AL144" s="146" t="n">
        <f aca="false">'P&amp;LPLN'!AL143/Factors!AL11</f>
        <v>1807.44230937262</v>
      </c>
      <c r="AM144" s="146" t="n">
        <f aca="false">'P&amp;LPLN'!AM143/Factors!AM11</f>
        <v>1800.12472917273</v>
      </c>
      <c r="AN144" s="146" t="n">
        <f aca="false">'P&amp;LPLN'!AN143/Factors!AN11</f>
        <v>1792.86616171639</v>
      </c>
      <c r="AO144" s="146" t="n">
        <f aca="false">'P&amp;LPLN'!AO143/Factors!AO11</f>
        <v>1785.66589600669</v>
      </c>
      <c r="AP144" s="146" t="n">
        <f aca="false">'P&amp;LPLN'!AP143/Factors!AP11</f>
        <v>1778.52323242266</v>
      </c>
      <c r="AQ144" s="146" t="n">
        <f aca="false">'P&amp;LPLN'!AQ143/Factors!AQ11</f>
        <v>1771.43748249269</v>
      </c>
      <c r="AR144" s="146" t="n">
        <f aca="false">'P&amp;LPLN'!AR143/Factors!AR11</f>
        <v>1764.40796867328</v>
      </c>
      <c r="AS144" s="146" t="n">
        <f aca="false">SUM(AG144:AR144)</f>
        <v>21649.5597283428</v>
      </c>
    </row>
    <row r="145" customFormat="false" ht="13.2" hidden="false" customHeight="false" outlineLevel="0" collapsed="false">
      <c r="A145" s="207" t="s">
        <v>956</v>
      </c>
      <c r="B145" s="45" t="str">
        <f aca="false">'O&amp;M Budget'!A95</f>
        <v>Repair/Maintenace</v>
      </c>
      <c r="C145" s="146" t="n">
        <f aca="false">'P&amp;LPLN'!C144/Factors!C11</f>
        <v>1208.34229481806</v>
      </c>
      <c r="D145" s="146" t="n">
        <f aca="false">'P&amp;LPLN'!D144/Factors!D11</f>
        <v>1206.65533908138</v>
      </c>
      <c r="E145" s="146" t="n">
        <f aca="false">'P&amp;LPLN'!E144/Factors!E11</f>
        <v>1204.97308706514</v>
      </c>
      <c r="F145" s="146" t="n">
        <f aca="false">'P&amp;LPLN'!F144/Factors!F11</f>
        <v>1203.29551912372</v>
      </c>
      <c r="G145" s="146" t="n">
        <f aca="false">'P&amp;LPLN'!G144/Factors!G11</f>
        <v>1201.62261572076</v>
      </c>
      <c r="H145" s="146" t="n">
        <f aca="false">'P&amp;LPLN'!H144/Factors!H11</f>
        <v>1199.95435742841</v>
      </c>
      <c r="I145" s="146" t="n">
        <f aca="false">'P&amp;LPLN'!I144/Factors!I11</f>
        <v>1198.29072492653</v>
      </c>
      <c r="J145" s="146" t="n">
        <f aca="false">'P&amp;LPLN'!J144/Factors!J11</f>
        <v>1196.63169900199</v>
      </c>
      <c r="K145" s="146" t="n">
        <f aca="false">'P&amp;LPLN'!K144/Factors!K11</f>
        <v>1194.97726054791</v>
      </c>
      <c r="L145" s="146" t="n">
        <f aca="false">'P&amp;LPLN'!L144/Factors!L11</f>
        <v>1193.32739056293</v>
      </c>
      <c r="M145" s="146" t="n">
        <f aca="false">'P&amp;LPLN'!M144/Factors!M11</f>
        <v>1191.68207015049</v>
      </c>
      <c r="N145" s="146" t="n">
        <f aca="false">'P&amp;LPLN'!N144/Factors!N11</f>
        <v>1190.0412805181</v>
      </c>
      <c r="O145" s="139" t="n">
        <f aca="false">SUM(C145:N145)</f>
        <v>14389.7936389454</v>
      </c>
      <c r="P145" s="139"/>
      <c r="Q145" s="45" t="s">
        <v>1246</v>
      </c>
      <c r="R145" s="146" t="n">
        <f aca="false">'P&amp;LPLN'!R144/Factors!R11</f>
        <v>1185.10334989355</v>
      </c>
      <c r="S145" s="146" t="n">
        <f aca="false">'P&amp;LPLN'!S144/Factors!S11</f>
        <v>1180.206228613</v>
      </c>
      <c r="T145" s="146" t="n">
        <f aca="false">'P&amp;LPLN'!T144/Factors!T11</f>
        <v>1175.34941285739</v>
      </c>
      <c r="U145" s="146" t="n">
        <f aca="false">'P&amp;LPLN'!U144/Factors!U11</f>
        <v>1170.53240706699</v>
      </c>
      <c r="V145" s="146" t="n">
        <f aca="false">'P&amp;LPLN'!V144/Factors!V11</f>
        <v>1165.75472377284</v>
      </c>
      <c r="W145" s="146" t="n">
        <f aca="false">'P&amp;LPLN'!W144/Factors!W11</f>
        <v>1161.0158834323</v>
      </c>
      <c r="X145" s="146" t="n">
        <f aca="false">'P&amp;LPLN'!X144/Factors!X11</f>
        <v>1156.3154142686</v>
      </c>
      <c r="Y145" s="146" t="n">
        <f aca="false">'P&amp;LPLN'!Y144/Factors!Y11</f>
        <v>1151.65285211429</v>
      </c>
      <c r="Z145" s="146" t="n">
        <f aca="false">'P&amp;LPLN'!Z144/Factors!Z11</f>
        <v>1147.02774025841</v>
      </c>
      <c r="AA145" s="146" t="n">
        <f aca="false">'P&amp;LPLN'!AA144/Factors!AA11</f>
        <v>1142.43962929738</v>
      </c>
      <c r="AB145" s="146" t="n">
        <f aca="false">'P&amp;LPLN'!AB144/Factors!AB11</f>
        <v>1137.88807698942</v>
      </c>
      <c r="AC145" s="146" t="n">
        <f aca="false">'P&amp;LPLN'!AC144/Factors!AC11</f>
        <v>1133.37264811248</v>
      </c>
      <c r="AD145" s="146" t="n">
        <f aca="false">SUM(R145:AC145)</f>
        <v>13906.6583666767</v>
      </c>
      <c r="AF145" s="45" t="s">
        <v>1246</v>
      </c>
      <c r="AG145" s="146" t="n">
        <f aca="false">'P&amp;LPLN'!AG144/Factors!AG11</f>
        <v>1128.66985704147</v>
      </c>
      <c r="AH145" s="146" t="n">
        <f aca="false">'P&amp;LPLN'!AH144/Factors!AH11</f>
        <v>1124.00593201238</v>
      </c>
      <c r="AI145" s="146" t="n">
        <f aca="false">'P&amp;LPLN'!AI144/Factors!AI11</f>
        <v>1119.38039319751</v>
      </c>
      <c r="AJ145" s="146" t="n">
        <f aca="false">'P&amp;LPLN'!AJ144/Factors!AJ11</f>
        <v>1114.79276863523</v>
      </c>
      <c r="AK145" s="146" t="n">
        <f aca="false">'P&amp;LPLN'!AK144/Factors!AK11</f>
        <v>1110.24259406937</v>
      </c>
      <c r="AL145" s="146" t="n">
        <f aca="false">'P&amp;LPLN'!AL144/Factors!AL11</f>
        <v>1105.72941279266</v>
      </c>
      <c r="AM145" s="146" t="n">
        <f aca="false">'P&amp;LPLN'!AM144/Factors!AM11</f>
        <v>1101.25277549391</v>
      </c>
      <c r="AN145" s="146" t="n">
        <f aca="false">'P&amp;LPLN'!AN144/Factors!AN11</f>
        <v>1096.81224010885</v>
      </c>
      <c r="AO145" s="146" t="n">
        <f aca="false">'P&amp;LPLN'!AO144/Factors!AO11</f>
        <v>1092.40737167468</v>
      </c>
      <c r="AP145" s="146" t="n">
        <f aca="false">'P&amp;LPLN'!AP144/Factors!AP11</f>
        <v>1088.03774218798</v>
      </c>
      <c r="AQ145" s="146" t="n">
        <f aca="false">'P&amp;LPLN'!AQ144/Factors!AQ11</f>
        <v>1083.70293046612</v>
      </c>
      <c r="AR145" s="146" t="n">
        <f aca="false">'P&amp;LPLN'!AR144/Factors!AR11</f>
        <v>1079.40252201189</v>
      </c>
      <c r="AS145" s="146" t="n">
        <f aca="false">SUM(AG145:AR145)</f>
        <v>13244.436539692</v>
      </c>
    </row>
    <row r="146" customFormat="false" ht="13.8" hidden="false" customHeight="false" outlineLevel="0" collapsed="false">
      <c r="A146" s="207"/>
      <c r="B146" s="285" t="s">
        <v>66</v>
      </c>
      <c r="C146" s="353" t="n">
        <f aca="false">SUM(C144:C145)</f>
        <v>3183.51719980913</v>
      </c>
      <c r="D146" s="353" t="n">
        <f aca="false">SUM(D144:D145)</f>
        <v>3179.0727202721</v>
      </c>
      <c r="E146" s="353" t="n">
        <f aca="false">SUM(E144:E145)</f>
        <v>3174.6406332293</v>
      </c>
      <c r="F146" s="353" t="n">
        <f aca="false">SUM(F144:F145)</f>
        <v>3170.2208869221</v>
      </c>
      <c r="G146" s="353" t="n">
        <f aca="false">SUM(G144:G145)</f>
        <v>3165.8134298797</v>
      </c>
      <c r="H146" s="353" t="n">
        <f aca="false">SUM(H144:H145)</f>
        <v>3161.41821091716</v>
      </c>
      <c r="I146" s="353" t="n">
        <f aca="false">SUM(I144:I145)</f>
        <v>3157.03517913336</v>
      </c>
      <c r="J146" s="353" t="n">
        <f aca="false">SUM(J144:J145)</f>
        <v>3152.66428390908</v>
      </c>
      <c r="K146" s="353" t="n">
        <f aca="false">SUM(K144:K145)</f>
        <v>3148.30547490506</v>
      </c>
      <c r="L146" s="353" t="n">
        <f aca="false">SUM(L144:L145)</f>
        <v>3143.95870206002</v>
      </c>
      <c r="M146" s="353" t="n">
        <f aca="false">SUM(M144:M145)</f>
        <v>3139.62391558879</v>
      </c>
      <c r="N146" s="353" t="n">
        <f aca="false">SUM(N144:N145)</f>
        <v>3135.30106598039</v>
      </c>
      <c r="O146" s="353" t="n">
        <f aca="false">SUM(O144:O145)</f>
        <v>37911.5717026062</v>
      </c>
      <c r="P146" s="139"/>
      <c r="Q146" s="45"/>
      <c r="R146" s="353" t="n">
        <f aca="false">SUM(R144:R145)</f>
        <v>3122.29151798877</v>
      </c>
      <c r="S146" s="364" t="n">
        <f aca="false">SUM(S144:S145)</f>
        <v>3109.3894869227</v>
      </c>
      <c r="T146" s="364" t="n">
        <f aca="false">SUM(T144:T145)</f>
        <v>3096.59364541273</v>
      </c>
      <c r="U146" s="364" t="n">
        <f aca="false">SUM(U144:U145)</f>
        <v>3083.90268784956</v>
      </c>
      <c r="V146" s="364" t="n">
        <f aca="false">SUM(V144:V145)</f>
        <v>3071.31532993997</v>
      </c>
      <c r="W146" s="364" t="n">
        <f aca="false">SUM(W144:W145)</f>
        <v>3058.83030827355</v>
      </c>
      <c r="X146" s="364" t="n">
        <f aca="false">SUM(X144:X145)</f>
        <v>3046.44637989998</v>
      </c>
      <c r="Y146" s="364" t="n">
        <f aca="false">SUM(Y144:Y145)</f>
        <v>3034.16232191651</v>
      </c>
      <c r="Z146" s="364" t="n">
        <f aca="false">SUM(Z144:Z145)</f>
        <v>3021.97693106544</v>
      </c>
      <c r="AA146" s="364" t="n">
        <f aca="false">SUM(AA144:AA145)</f>
        <v>3009.88902334118</v>
      </c>
      <c r="AB146" s="364" t="n">
        <f aca="false">SUM(AB144:AB145)</f>
        <v>2997.89743360675</v>
      </c>
      <c r="AC146" s="364" t="n">
        <f aca="false">SUM(AC144:AC145)</f>
        <v>2986.00101521942</v>
      </c>
      <c r="AD146" s="364" t="n">
        <f aca="false">SUM(AD144:AD145)</f>
        <v>36638.6960814366</v>
      </c>
      <c r="AF146" s="45"/>
      <c r="AG146" s="353" t="n">
        <f aca="false">SUM(AG144:AG145)</f>
        <v>2973.61096951312</v>
      </c>
      <c r="AH146" s="364" t="n">
        <f aca="false">SUM(AH144:AH145)</f>
        <v>2961.32332087876</v>
      </c>
      <c r="AI146" s="364" t="n">
        <f aca="false">SUM(AI144:AI145)</f>
        <v>2949.13680515498</v>
      </c>
      <c r="AJ146" s="364" t="n">
        <f aca="false">SUM(AJ144:AJ145)</f>
        <v>2937.05017890435</v>
      </c>
      <c r="AK146" s="364" t="n">
        <f aca="false">SUM(AK144:AK145)</f>
        <v>2925.06221899045</v>
      </c>
      <c r="AL146" s="364" t="n">
        <f aca="false">SUM(AL144:AL145)</f>
        <v>2913.17172216529</v>
      </c>
      <c r="AM146" s="364" t="n">
        <f aca="false">SUM(AM144:AM145)</f>
        <v>2901.37750466664</v>
      </c>
      <c r="AN146" s="364" t="n">
        <f aca="false">SUM(AN144:AN145)</f>
        <v>2889.67840182525</v>
      </c>
      <c r="AO146" s="364" t="n">
        <f aca="false">SUM(AO144:AO145)</f>
        <v>2878.07326768137</v>
      </c>
      <c r="AP146" s="364" t="n">
        <f aca="false">SUM(AP144:AP145)</f>
        <v>2866.56097461064</v>
      </c>
      <c r="AQ146" s="364" t="n">
        <f aca="false">SUM(AQ144:AQ145)</f>
        <v>2855.14041295881</v>
      </c>
      <c r="AR146" s="364" t="n">
        <f aca="false">SUM(AR144:AR145)</f>
        <v>2843.81049068516</v>
      </c>
      <c r="AS146" s="364" t="n">
        <f aca="false">SUM(AS144:AS145)</f>
        <v>34893.9962680348</v>
      </c>
    </row>
    <row r="147" customFormat="false" ht="13.8" hidden="false" customHeight="false" outlineLevel="0" collapsed="false">
      <c r="A147" s="207"/>
      <c r="B147" s="144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39"/>
      <c r="Q147" s="45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F147" s="45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</row>
    <row r="148" customFormat="false" ht="13.2" hidden="false" customHeight="false" outlineLevel="0" collapsed="false">
      <c r="A148" s="392" t="s">
        <v>959</v>
      </c>
      <c r="B148" s="144" t="str">
        <f aca="false">'O&amp;M Budget'!A98</f>
        <v>BUSINESS TRAVELS</v>
      </c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39"/>
      <c r="Q148" s="144" t="s">
        <v>1247</v>
      </c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F148" s="144" t="s">
        <v>1247</v>
      </c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</row>
    <row r="149" customFormat="false" ht="13.2" hidden="false" customHeight="false" outlineLevel="0" collapsed="false">
      <c r="A149" s="207" t="s">
        <v>962</v>
      </c>
      <c r="B149" s="45" t="str">
        <f aca="false">'O&amp;M Budget'!A99</f>
        <v>Domestic Travel</v>
      </c>
      <c r="C149" s="146" t="n">
        <f aca="false">'P&amp;LPLN'!C148/Factors!C11</f>
        <v>1347.76640575861</v>
      </c>
      <c r="D149" s="146" t="n">
        <f aca="false">'P&amp;LPLN'!D148/Factors!D11</f>
        <v>1345.88480128308</v>
      </c>
      <c r="E149" s="146" t="n">
        <f aca="false">'P&amp;LPLN'!E148/Factors!E11</f>
        <v>1344.00844326496</v>
      </c>
      <c r="F149" s="146" t="n">
        <f aca="false">'P&amp;LPLN'!F148/Factors!F11</f>
        <v>1342.13730979184</v>
      </c>
      <c r="G149" s="146" t="n">
        <f aca="false">'P&amp;LPLN'!G148/Factors!G11</f>
        <v>1340.27137907316</v>
      </c>
      <c r="H149" s="146" t="n">
        <f aca="false">'P&amp;LPLN'!H148/Factors!H11</f>
        <v>1338.41062943938</v>
      </c>
      <c r="I149" s="146" t="n">
        <f aca="false">'P&amp;LPLN'!I148/Factors!I11</f>
        <v>1336.55503934113</v>
      </c>
      <c r="J149" s="146" t="n">
        <f aca="false">'P&amp;LPLN'!J148/Factors!J11</f>
        <v>1334.70458734837</v>
      </c>
      <c r="K149" s="146" t="n">
        <f aca="false">'P&amp;LPLN'!K148/Factors!K11</f>
        <v>1332.85925214959</v>
      </c>
      <c r="L149" s="146" t="n">
        <f aca="false">'P&amp;LPLN'!L148/Factors!L11</f>
        <v>1331.01901255096</v>
      </c>
      <c r="M149" s="146" t="n">
        <f aca="false">'P&amp;LPLN'!M148/Factors!M11</f>
        <v>1329.18384747555</v>
      </c>
      <c r="N149" s="146" t="n">
        <f aca="false">'P&amp;LPLN'!N148/Factors!N11</f>
        <v>1327.3537359625</v>
      </c>
      <c r="O149" s="139" t="n">
        <f aca="false">SUM(C149:N149)</f>
        <v>16050.1544434391</v>
      </c>
      <c r="P149" s="139"/>
      <c r="Q149" s="45" t="s">
        <v>963</v>
      </c>
      <c r="R149" s="146" t="n">
        <f aca="false">'P&amp;LPLN'!R148/Factors!R11</f>
        <v>1321.84604411203</v>
      </c>
      <c r="S149" s="146" t="n">
        <f aca="false">'P&amp;LPLN'!S148/Factors!S11</f>
        <v>1316.38387037603</v>
      </c>
      <c r="T149" s="146" t="n">
        <f aca="false">'P&amp;LPLN'!T148/Factors!T11</f>
        <v>1310.96665280247</v>
      </c>
      <c r="U149" s="146" t="n">
        <f aca="false">'P&amp;LPLN'!U148/Factors!U11</f>
        <v>1305.59383865164</v>
      </c>
      <c r="V149" s="146" t="n">
        <f aca="false">'P&amp;LPLN'!V148/Factors!V11</f>
        <v>1300.26488420816</v>
      </c>
      <c r="W149" s="146" t="n">
        <f aca="false">'P&amp;LPLN'!W148/Factors!W11</f>
        <v>1294.97925459756</v>
      </c>
      <c r="X149" s="146" t="n">
        <f aca="false">'P&amp;LPLN'!X148/Factors!X11</f>
        <v>1289.73642360729</v>
      </c>
      <c r="Y149" s="146" t="n">
        <f aca="false">'P&amp;LPLN'!Y148/Factors!Y11</f>
        <v>1284.5358735121</v>
      </c>
      <c r="Z149" s="146" t="n">
        <f aca="false">'P&amp;LPLN'!Z148/Factors!Z11</f>
        <v>1279.37709490362</v>
      </c>
      <c r="AA149" s="146" t="n">
        <f aca="false">'P&amp;LPLN'!AA148/Factors!AA11</f>
        <v>1274.259586524</v>
      </c>
      <c r="AB149" s="146" t="n">
        <f aca="false">'P&amp;LPLN'!AB148/Factors!AB11</f>
        <v>1269.18285510359</v>
      </c>
      <c r="AC149" s="146" t="n">
        <f aca="false">'P&amp;LPLN'!AC148/Factors!AC11</f>
        <v>1264.14641520238</v>
      </c>
      <c r="AD149" s="146" t="n">
        <f aca="false">SUM(R149:AC149)</f>
        <v>15511.2727936009</v>
      </c>
      <c r="AF149" s="45" t="s">
        <v>963</v>
      </c>
      <c r="AG149" s="146" t="n">
        <f aca="false">'P&amp;LPLN'!AG148/Factors!AG11</f>
        <v>1258.90099439241</v>
      </c>
      <c r="AH149" s="146" t="n">
        <f aca="false">'P&amp;LPLN'!AH148/Factors!AH11</f>
        <v>1253.69892416765</v>
      </c>
      <c r="AI149" s="146" t="n">
        <f aca="false">'P&amp;LPLN'!AI148/Factors!AI11</f>
        <v>1248.53966933569</v>
      </c>
      <c r="AJ149" s="146" t="n">
        <f aca="false">'P&amp;LPLN'!AJ148/Factors!AJ11</f>
        <v>1243.42270347775</v>
      </c>
      <c r="AK149" s="146" t="n">
        <f aca="false">'P&amp;LPLN'!AK148/Factors!AK11</f>
        <v>1238.34750876968</v>
      </c>
      <c r="AL149" s="146" t="n">
        <f aca="false">'P&amp;LPLN'!AL148/Factors!AL11</f>
        <v>1233.3135758072</v>
      </c>
      <c r="AM149" s="146" t="n">
        <f aca="false">'P&amp;LPLN'!AM148/Factors!AM11</f>
        <v>1228.32040343551</v>
      </c>
      <c r="AN149" s="146" t="n">
        <f aca="false">'P&amp;LPLN'!AN148/Factors!AN11</f>
        <v>1223.36749858295</v>
      </c>
      <c r="AO149" s="146" t="n">
        <f aca="false">'P&amp;LPLN'!AO148/Factors!AO11</f>
        <v>1218.45437609868</v>
      </c>
      <c r="AP149" s="146" t="n">
        <f aca="false">'P&amp;LPLN'!AP148/Factors!AP11</f>
        <v>1213.58055859429</v>
      </c>
      <c r="AQ149" s="146" t="n">
        <f aca="false">'P&amp;LPLN'!AQ148/Factors!AQ11</f>
        <v>1208.74557628913</v>
      </c>
      <c r="AR149" s="146" t="n">
        <f aca="false">'P&amp;LPLN'!AR148/Factors!AR11</f>
        <v>1203.94896685941</v>
      </c>
      <c r="AS149" s="146" t="n">
        <f aca="false">SUM(AG149:AR149)</f>
        <v>14772.6407558104</v>
      </c>
    </row>
    <row r="150" customFormat="false" ht="13.2" hidden="false" customHeight="false" outlineLevel="0" collapsed="false">
      <c r="A150" s="207" t="s">
        <v>965</v>
      </c>
      <c r="B150" s="45" t="str">
        <f aca="false">'O&amp;M Budget'!A100</f>
        <v>Foreign travel</v>
      </c>
      <c r="C150" s="146" t="n">
        <f aca="false">'P&amp;LPLN'!C149/Factors!C11</f>
        <v>487.984388291911</v>
      </c>
      <c r="D150" s="146" t="n">
        <f aca="false">'P&amp;LPLN'!D149/Factors!D11</f>
        <v>487.303117705943</v>
      </c>
      <c r="E150" s="146" t="n">
        <f aca="false">'P&amp;LPLN'!E149/Factors!E11</f>
        <v>486.623746699382</v>
      </c>
      <c r="F150" s="146" t="n">
        <f aca="false">'P&amp;LPLN'!F149/Factors!F11</f>
        <v>485.946267338424</v>
      </c>
      <c r="G150" s="146" t="n">
        <f aca="false">'P&amp;LPLN'!G149/Factors!G11</f>
        <v>485.270671733385</v>
      </c>
      <c r="H150" s="146" t="n">
        <f aca="false">'P&amp;LPLN'!H149/Factors!H11</f>
        <v>484.596952038396</v>
      </c>
      <c r="I150" s="146" t="n">
        <f aca="false">'P&amp;LPLN'!I149/Factors!I11</f>
        <v>483.925100451098</v>
      </c>
      <c r="J150" s="146" t="n">
        <f aca="false">'P&amp;LPLN'!J149/Factors!J11</f>
        <v>483.255109212341</v>
      </c>
      <c r="K150" s="146" t="n">
        <f aca="false">'P&amp;LPLN'!K149/Factors!K11</f>
        <v>482.586970605885</v>
      </c>
      <c r="L150" s="146" t="n">
        <f aca="false">'P&amp;LPLN'!L149/Factors!L11</f>
        <v>481.920676958105</v>
      </c>
      <c r="M150" s="146" t="n">
        <f aca="false">'P&amp;LPLN'!M149/Factors!M11</f>
        <v>481.256220637698</v>
      </c>
      <c r="N150" s="146" t="n">
        <f aca="false">'P&amp;LPLN'!N149/Factors!N11</f>
        <v>480.593594055388</v>
      </c>
      <c r="O150" s="139" t="n">
        <f aca="false">SUM(C150:N150)</f>
        <v>5811.26281572796</v>
      </c>
      <c r="P150" s="139"/>
      <c r="Q150" s="45" t="s">
        <v>1248</v>
      </c>
      <c r="R150" s="146" t="n">
        <f aca="false">'P&amp;LPLN'!R149/Factors!R11</f>
        <v>478.599429764702</v>
      </c>
      <c r="S150" s="146" t="n">
        <f aca="false">'P&amp;LPLN'!S149/Factors!S11</f>
        <v>476.621746170633</v>
      </c>
      <c r="T150" s="146" t="n">
        <f aca="false">'P&amp;LPLN'!T149/Factors!T11</f>
        <v>474.660339807791</v>
      </c>
      <c r="U150" s="146" t="n">
        <f aca="false">'P&amp;LPLN'!U149/Factors!U11</f>
        <v>472.715010546284</v>
      </c>
      <c r="V150" s="146" t="n">
        <f aca="false">'P&amp;LPLN'!V149/Factors!V11</f>
        <v>470.785561523646</v>
      </c>
      <c r="W150" s="146" t="n">
        <f aca="false">'P&amp;LPLN'!W149/Factors!W11</f>
        <v>468.871799078428</v>
      </c>
      <c r="X150" s="146" t="n">
        <f aca="false">'P&amp;LPLN'!X149/Factors!X11</f>
        <v>466.973532685398</v>
      </c>
      <c r="Y150" s="146" t="n">
        <f aca="false">'P&amp;LPLN'!Y149/Factors!Y11</f>
        <v>465.090574892311</v>
      </c>
      <c r="Z150" s="146" t="n">
        <f aca="false">'P&amp;LPLN'!Z149/Factors!Z11</f>
        <v>463.222741258206</v>
      </c>
      <c r="AA150" s="146" t="n">
        <f aca="false">'P&amp;LPLN'!AA149/Factors!AA11</f>
        <v>461.369850293173</v>
      </c>
      <c r="AB150" s="146" t="n">
        <f aca="false">'P&amp;LPLN'!AB149/Factors!AB11</f>
        <v>459.531723399575</v>
      </c>
      <c r="AC150" s="146" t="n">
        <f aca="false">'P&amp;LPLN'!AC149/Factors!AC11</f>
        <v>457.708184814656</v>
      </c>
      <c r="AD150" s="146" t="n">
        <f aca="false">SUM(R150:AC150)</f>
        <v>5616.1504942348</v>
      </c>
      <c r="AF150" s="45" t="s">
        <v>1248</v>
      </c>
      <c r="AG150" s="146" t="n">
        <f aca="false">'P&amp;LPLN'!AG149/Factors!AG11</f>
        <v>455.808980728288</v>
      </c>
      <c r="AH150" s="146" t="n">
        <f aca="false">'P&amp;LPLN'!AH149/Factors!AH11</f>
        <v>453.92547254346</v>
      </c>
      <c r="AI150" s="146" t="n">
        <f aca="false">'P&amp;LPLN'!AI149/Factors!AI11</f>
        <v>452.057466483611</v>
      </c>
      <c r="AJ150" s="146" t="n">
        <f aca="false">'P&amp;LPLN'!AJ149/Factors!AJ11</f>
        <v>450.204771948842</v>
      </c>
      <c r="AK150" s="146" t="n">
        <f aca="false">'P&amp;LPLN'!AK149/Factors!AK11</f>
        <v>448.367201451091</v>
      </c>
      <c r="AL150" s="146" t="n">
        <f aca="false">'P&amp;LPLN'!AL149/Factors!AL11</f>
        <v>446.544570550884</v>
      </c>
      <c r="AM150" s="146" t="n">
        <f aca="false">'P&amp;LPLN'!AM149/Factors!AM11</f>
        <v>444.736697795617</v>
      </c>
      <c r="AN150" s="146" t="n">
        <f aca="false">'P&amp;LPLN'!AN149/Factors!AN11</f>
        <v>442.943404659344</v>
      </c>
      <c r="AO150" s="146" t="n">
        <f aca="false">'P&amp;LPLN'!AO149/Factors!AO11</f>
        <v>441.164515484005</v>
      </c>
      <c r="AP150" s="146" t="n">
        <f aca="false">'P&amp;LPLN'!AP149/Factors!AP11</f>
        <v>439.399857422069</v>
      </c>
      <c r="AQ150" s="146" t="n">
        <f aca="false">'P&amp;LPLN'!AQ149/Factors!AQ11</f>
        <v>437.649260380547</v>
      </c>
      <c r="AR150" s="146" t="n">
        <f aca="false">'P&amp;LPLN'!AR149/Factors!AR11</f>
        <v>435.912556966339</v>
      </c>
      <c r="AS150" s="146" t="n">
        <f aca="false">SUM(AG150:AR150)</f>
        <v>5348.7147564141</v>
      </c>
    </row>
    <row r="151" customFormat="false" ht="13.2" hidden="true" customHeight="false" outlineLevel="0" collapsed="false">
      <c r="A151" s="207" t="s">
        <v>1052</v>
      </c>
      <c r="B151" s="144" t="s">
        <v>469</v>
      </c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39"/>
      <c r="Q151" s="45" t="s">
        <v>469</v>
      </c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F151" s="45" t="s">
        <v>469</v>
      </c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</row>
    <row r="152" customFormat="false" ht="13.8" hidden="false" customHeight="false" outlineLevel="0" collapsed="false">
      <c r="A152" s="207"/>
      <c r="B152" s="285" t="s">
        <v>66</v>
      </c>
      <c r="C152" s="353" t="n">
        <f aca="false">SUM(C149:C151)</f>
        <v>1835.75079405052</v>
      </c>
      <c r="D152" s="353" t="n">
        <f aca="false">SUM(D149:D151)</f>
        <v>1833.18791898902</v>
      </c>
      <c r="E152" s="353" t="n">
        <f aca="false">SUM(E149:E151)</f>
        <v>1830.63218996434</v>
      </c>
      <c r="F152" s="353" t="n">
        <f aca="false">SUM(F149:F151)</f>
        <v>1828.08357713026</v>
      </c>
      <c r="G152" s="353" t="n">
        <f aca="false">SUM(G149:G151)</f>
        <v>1825.54205080655</v>
      </c>
      <c r="H152" s="353" t="n">
        <f aca="false">SUM(H149:H151)</f>
        <v>1823.00758147778</v>
      </c>
      <c r="I152" s="353" t="n">
        <f aca="false">SUM(I149:I151)</f>
        <v>1820.48013979223</v>
      </c>
      <c r="J152" s="353" t="n">
        <f aca="false">SUM(J149:J151)</f>
        <v>1817.95969656071</v>
      </c>
      <c r="K152" s="353" t="n">
        <f aca="false">SUM(K149:K151)</f>
        <v>1815.44622275547</v>
      </c>
      <c r="L152" s="353" t="n">
        <f aca="false">SUM(L149:L151)</f>
        <v>1812.93968950906</v>
      </c>
      <c r="M152" s="353" t="n">
        <f aca="false">SUM(M149:M151)</f>
        <v>1810.44006811325</v>
      </c>
      <c r="N152" s="353" t="n">
        <f aca="false">SUM(N149:N151)</f>
        <v>1807.94733001789</v>
      </c>
      <c r="O152" s="353" t="n">
        <f aca="false">SUM(O149:O151)</f>
        <v>21861.4172591671</v>
      </c>
      <c r="P152" s="139"/>
      <c r="Q152" s="45"/>
      <c r="R152" s="353" t="n">
        <f aca="false">SUM(R149:R151)</f>
        <v>1800.44547387674</v>
      </c>
      <c r="S152" s="353" t="n">
        <f aca="false">SUM(S149:S151)</f>
        <v>1793.00561654667</v>
      </c>
      <c r="T152" s="353" t="n">
        <f aca="false">SUM(T149:T151)</f>
        <v>1785.62699261026</v>
      </c>
      <c r="U152" s="353" t="n">
        <f aca="false">SUM(U149:U151)</f>
        <v>1778.30884919792</v>
      </c>
      <c r="V152" s="353" t="n">
        <f aca="false">SUM(V149:V151)</f>
        <v>1771.05044573181</v>
      </c>
      <c r="W152" s="353" t="n">
        <f aca="false">SUM(W149:W151)</f>
        <v>1763.85105367599</v>
      </c>
      <c r="X152" s="353" t="n">
        <f aca="false">SUM(X149:X151)</f>
        <v>1756.70995629269</v>
      </c>
      <c r="Y152" s="353" t="n">
        <f aca="false">SUM(Y149:Y151)</f>
        <v>1749.62644840441</v>
      </c>
      <c r="Z152" s="353" t="n">
        <f aca="false">SUM(Z149:Z151)</f>
        <v>1742.59983616182</v>
      </c>
      <c r="AA152" s="353" t="n">
        <f aca="false">SUM(AA149:AA151)</f>
        <v>1735.62943681717</v>
      </c>
      <c r="AB152" s="353" t="n">
        <f aca="false">SUM(AB149:AB151)</f>
        <v>1728.71457850316</v>
      </c>
      <c r="AC152" s="353" t="n">
        <f aca="false">SUM(AC149:AC151)</f>
        <v>1721.85460001704</v>
      </c>
      <c r="AD152" s="353" t="n">
        <f aca="false">SUM(AD149:AD151)</f>
        <v>21127.4232878357</v>
      </c>
      <c r="AF152" s="45"/>
      <c r="AG152" s="353" t="n">
        <f aca="false">SUM(AG149:AG151)</f>
        <v>1714.7099751207</v>
      </c>
      <c r="AH152" s="353" t="n">
        <f aca="false">SUM(AH149:AH151)</f>
        <v>1707.62439671111</v>
      </c>
      <c r="AI152" s="353" t="n">
        <f aca="false">SUM(AI149:AI151)</f>
        <v>1700.5971358193</v>
      </c>
      <c r="AJ152" s="353" t="n">
        <f aca="false">SUM(AJ149:AJ151)</f>
        <v>1693.62747542659</v>
      </c>
      <c r="AK152" s="353" t="n">
        <f aca="false">SUM(AK149:AK151)</f>
        <v>1686.71471022077</v>
      </c>
      <c r="AL152" s="353" t="n">
        <f aca="false">SUM(AL149:AL151)</f>
        <v>1679.85814635809</v>
      </c>
      <c r="AM152" s="353" t="n">
        <f aca="false">SUM(AM149:AM151)</f>
        <v>1673.05710123113</v>
      </c>
      <c r="AN152" s="353" t="n">
        <f aca="false">SUM(AN149:AN151)</f>
        <v>1666.31090324229</v>
      </c>
      <c r="AO152" s="353" t="n">
        <f aca="false">SUM(AO149:AO151)</f>
        <v>1659.61889158269</v>
      </c>
      <c r="AP152" s="353" t="n">
        <f aca="false">SUM(AP149:AP151)</f>
        <v>1652.98041601636</v>
      </c>
      <c r="AQ152" s="353" t="n">
        <f aca="false">SUM(AQ149:AQ151)</f>
        <v>1646.39483666968</v>
      </c>
      <c r="AR152" s="353" t="n">
        <f aca="false">SUM(AR149:AR151)</f>
        <v>1639.86152382575</v>
      </c>
      <c r="AS152" s="353" t="n">
        <f aca="false">SUM(AS149:AS151)</f>
        <v>20121.3555122245</v>
      </c>
    </row>
    <row r="153" customFormat="false" ht="13.8" hidden="false" customHeight="false" outlineLevel="0" collapsed="false">
      <c r="A153" s="207"/>
      <c r="B153" s="144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39"/>
      <c r="Q153" s="45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F153" s="45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</row>
    <row r="154" customFormat="false" ht="13.2" hidden="false" customHeight="false" outlineLevel="0" collapsed="false">
      <c r="A154" s="392" t="s">
        <v>1054</v>
      </c>
      <c r="B154" s="144" t="str">
        <f aca="false">'O&amp;M Budget'!A103</f>
        <v>REPRESENTATION AND ADVERTISING</v>
      </c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39"/>
      <c r="Q154" s="144" t="s">
        <v>1249</v>
      </c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F154" s="144" t="s">
        <v>1249</v>
      </c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</row>
    <row r="155" customFormat="false" ht="13.2" hidden="false" customHeight="false" outlineLevel="0" collapsed="false">
      <c r="A155" s="207" t="s">
        <v>969</v>
      </c>
      <c r="B155" s="45" t="s">
        <v>1249</v>
      </c>
      <c r="C155" s="139" t="n">
        <f aca="false">'P&amp;LPLN'!C154/Factors!C11</f>
        <v>2091.36166410819</v>
      </c>
      <c r="D155" s="139" t="n">
        <f aca="false">'P&amp;LPLN'!D154/Factors!D11</f>
        <v>2088.44193302547</v>
      </c>
      <c r="E155" s="139" t="n">
        <f aca="false">'P&amp;LPLN'!E154/Factors!E11</f>
        <v>2085.53034299735</v>
      </c>
      <c r="F155" s="139" t="n">
        <f aca="false">'P&amp;LPLN'!F154/Factors!F11</f>
        <v>2082.62686002182</v>
      </c>
      <c r="G155" s="139" t="n">
        <f aca="false">'P&amp;LPLN'!G154/Factors!G11</f>
        <v>2079.73145028594</v>
      </c>
      <c r="H155" s="139" t="n">
        <f aca="false">'P&amp;LPLN'!H154/Factors!H11</f>
        <v>2076.84408016456</v>
      </c>
      <c r="I155" s="139" t="n">
        <f aca="false">'P&amp;LPLN'!I154/Factors!I11</f>
        <v>2073.96471621899</v>
      </c>
      <c r="J155" s="139" t="n">
        <f aca="false">'P&amp;LPLN'!J154/Factors!J11</f>
        <v>2071.09332519575</v>
      </c>
      <c r="K155" s="139" t="n">
        <f aca="false">'P&amp;LPLN'!K154/Factors!K11</f>
        <v>2068.22987402522</v>
      </c>
      <c r="L155" s="139" t="n">
        <f aca="false">'P&amp;LPLN'!L154/Factors!L11</f>
        <v>2065.37432982045</v>
      </c>
      <c r="M155" s="139" t="n">
        <f aca="false">'P&amp;LPLN'!M154/Factors!M11</f>
        <v>2062.52665987585</v>
      </c>
      <c r="N155" s="139" t="n">
        <f aca="false">'P&amp;LPLN'!N154/Factors!N11</f>
        <v>2059.68683166595</v>
      </c>
      <c r="O155" s="139" t="n">
        <f aca="false">SUM(C155:N155)</f>
        <v>24905.4120674055</v>
      </c>
      <c r="P155" s="139"/>
      <c r="Q155" s="144" t="s">
        <v>1249</v>
      </c>
      <c r="R155" s="139" t="n">
        <f aca="false">'P&amp;LPLN'!R154/Factors!R11</f>
        <v>2051.14041327729</v>
      </c>
      <c r="S155" s="139" t="n">
        <f aca="false">'P&amp;LPLN'!S154/Factors!S11</f>
        <v>2042.66462644557</v>
      </c>
      <c r="T155" s="139" t="n">
        <f aca="false">'P&amp;LPLN'!T154/Factors!T11</f>
        <v>2034.25859917625</v>
      </c>
      <c r="U155" s="139" t="n">
        <f aca="false">'P&amp;LPLN'!U154/Factors!U11</f>
        <v>2025.92147376979</v>
      </c>
      <c r="V155" s="139" t="n">
        <f aca="false">'P&amp;LPLN'!V154/Factors!V11</f>
        <v>2017.65240652991</v>
      </c>
      <c r="W155" s="139" t="n">
        <f aca="false">'P&amp;LPLN'!W154/Factors!W11</f>
        <v>2009.45056747898</v>
      </c>
      <c r="X155" s="139" t="n">
        <f aca="false">'P&amp;LPLN'!X154/Factors!X11</f>
        <v>2001.31514008028</v>
      </c>
      <c r="Y155" s="139" t="n">
        <f aca="false">'P&amp;LPLN'!Y154/Factors!Y11</f>
        <v>1993.24532096705</v>
      </c>
      <c r="Z155" s="139" t="n">
        <f aca="false">'P&amp;LPLN'!Z154/Factors!Z11</f>
        <v>1985.24031967802</v>
      </c>
      <c r="AA155" s="139" t="n">
        <f aca="false">'P&amp;LPLN'!AA154/Factors!AA11</f>
        <v>1977.29935839931</v>
      </c>
      <c r="AB155" s="139" t="n">
        <f aca="false">'P&amp;LPLN'!AB154/Factors!AB11</f>
        <v>1969.42167171246</v>
      </c>
      <c r="AC155" s="139" t="n">
        <f aca="false">'P&amp;LPLN'!AC154/Factors!AC11</f>
        <v>1961.60650634852</v>
      </c>
      <c r="AD155" s="146" t="n">
        <f aca="false">SUM(R155:AC155)</f>
        <v>24069.2164038634</v>
      </c>
      <c r="AF155" s="144" t="s">
        <v>1249</v>
      </c>
      <c r="AG155" s="139" t="n">
        <f aca="false">'P&amp;LPLN'!AG154/Factors!AG11</f>
        <v>1953.46706026409</v>
      </c>
      <c r="AH155" s="139" t="n">
        <f aca="false">'P&amp;LPLN'!AH154/Factors!AH11</f>
        <v>1945.39488232912</v>
      </c>
      <c r="AI155" s="139" t="n">
        <f aca="false">'P&amp;LPLN'!AI154/Factors!AI11</f>
        <v>1937.38914207262</v>
      </c>
      <c r="AJ155" s="139" t="n">
        <f aca="false">'P&amp;LPLN'!AJ154/Factors!AJ11</f>
        <v>1929.44902263789</v>
      </c>
      <c r="AK155" s="139" t="n">
        <f aca="false">'P&amp;LPLN'!AK154/Factors!AK11</f>
        <v>1921.57372050468</v>
      </c>
      <c r="AL155" s="139" t="n">
        <f aca="false">'P&amp;LPLN'!AL154/Factors!AL11</f>
        <v>1913.76244521807</v>
      </c>
      <c r="AM155" s="139" t="n">
        <f aca="false">'P&amp;LPLN'!AM154/Factors!AM11</f>
        <v>1906.01441912407</v>
      </c>
      <c r="AN155" s="139" t="n">
        <f aca="false">'P&amp;LPLN'!AN154/Factors!AN11</f>
        <v>1898.32887711148</v>
      </c>
      <c r="AO155" s="139" t="n">
        <f aca="false">'P&amp;LPLN'!AO154/Factors!AO11</f>
        <v>1890.70506636002</v>
      </c>
      <c r="AP155" s="139" t="n">
        <f aca="false">'P&amp;LPLN'!AP154/Factors!AP11</f>
        <v>1883.14224609458</v>
      </c>
      <c r="AQ155" s="139" t="n">
        <f aca="false">'P&amp;LPLN'!AQ154/Factors!AQ11</f>
        <v>1875.6396873452</v>
      </c>
      <c r="AR155" s="139" t="n">
        <f aca="false">'P&amp;LPLN'!AR154/Factors!AR11</f>
        <v>1868.19667271288</v>
      </c>
      <c r="AS155" s="146" t="n">
        <f aca="false">SUM(AG155:AR155)</f>
        <v>22923.0632417747</v>
      </c>
    </row>
    <row r="156" customFormat="false" ht="13.8" hidden="false" customHeight="false" outlineLevel="0" collapsed="false">
      <c r="A156" s="145"/>
      <c r="B156" s="285" t="s">
        <v>66</v>
      </c>
      <c r="C156" s="353" t="n">
        <f aca="false">C155</f>
        <v>2091.36166410819</v>
      </c>
      <c r="D156" s="353" t="n">
        <f aca="false">D155</f>
        <v>2088.44193302547</v>
      </c>
      <c r="E156" s="353" t="n">
        <f aca="false">E155</f>
        <v>2085.53034299735</v>
      </c>
      <c r="F156" s="353" t="n">
        <f aca="false">F155</f>
        <v>2082.62686002182</v>
      </c>
      <c r="G156" s="353" t="n">
        <f aca="false">G155</f>
        <v>2079.73145028594</v>
      </c>
      <c r="H156" s="353" t="n">
        <f aca="false">H155</f>
        <v>2076.84408016456</v>
      </c>
      <c r="I156" s="353" t="n">
        <f aca="false">I155</f>
        <v>2073.96471621899</v>
      </c>
      <c r="J156" s="353" t="n">
        <f aca="false">J155</f>
        <v>2071.09332519575</v>
      </c>
      <c r="K156" s="353" t="n">
        <f aca="false">K155</f>
        <v>2068.22987402522</v>
      </c>
      <c r="L156" s="353" t="n">
        <f aca="false">L155</f>
        <v>2065.37432982045</v>
      </c>
      <c r="M156" s="353" t="n">
        <f aca="false">M155</f>
        <v>2062.52665987585</v>
      </c>
      <c r="N156" s="353" t="n">
        <f aca="false">N155</f>
        <v>2059.68683166595</v>
      </c>
      <c r="O156" s="353" t="n">
        <f aca="false">O155</f>
        <v>24905.4120674055</v>
      </c>
      <c r="P156" s="139"/>
      <c r="Q156" s="145"/>
      <c r="R156" s="353" t="n">
        <f aca="false">R155</f>
        <v>2051.14041327729</v>
      </c>
      <c r="S156" s="353" t="n">
        <f aca="false">S155</f>
        <v>2042.66462644557</v>
      </c>
      <c r="T156" s="353" t="n">
        <f aca="false">T155</f>
        <v>2034.25859917625</v>
      </c>
      <c r="U156" s="353" t="n">
        <f aca="false">U155</f>
        <v>2025.92147376979</v>
      </c>
      <c r="V156" s="353" t="n">
        <f aca="false">V155</f>
        <v>2017.65240652991</v>
      </c>
      <c r="W156" s="353" t="n">
        <f aca="false">W155</f>
        <v>2009.45056747898</v>
      </c>
      <c r="X156" s="353" t="n">
        <f aca="false">X155</f>
        <v>2001.31514008028</v>
      </c>
      <c r="Y156" s="353" t="n">
        <f aca="false">Y155</f>
        <v>1993.24532096705</v>
      </c>
      <c r="Z156" s="353" t="n">
        <f aca="false">Z155</f>
        <v>1985.24031967802</v>
      </c>
      <c r="AA156" s="353" t="n">
        <f aca="false">AA155</f>
        <v>1977.29935839931</v>
      </c>
      <c r="AB156" s="353" t="n">
        <f aca="false">AB155</f>
        <v>1969.42167171246</v>
      </c>
      <c r="AC156" s="353" t="n">
        <f aca="false">AC155</f>
        <v>1961.60650634852</v>
      </c>
      <c r="AD156" s="353" t="n">
        <f aca="false">AD155</f>
        <v>24069.2164038634</v>
      </c>
      <c r="AF156" s="145"/>
      <c r="AG156" s="353" t="n">
        <f aca="false">AG155</f>
        <v>1953.46706026409</v>
      </c>
      <c r="AH156" s="353" t="n">
        <f aca="false">AH155</f>
        <v>1945.39488232912</v>
      </c>
      <c r="AI156" s="353" t="n">
        <f aca="false">AI155</f>
        <v>1937.38914207262</v>
      </c>
      <c r="AJ156" s="353" t="n">
        <f aca="false">AJ155</f>
        <v>1929.44902263789</v>
      </c>
      <c r="AK156" s="353" t="n">
        <f aca="false">AK155</f>
        <v>1921.57372050468</v>
      </c>
      <c r="AL156" s="353" t="n">
        <f aca="false">AL155</f>
        <v>1913.76244521807</v>
      </c>
      <c r="AM156" s="353" t="n">
        <f aca="false">AM155</f>
        <v>1906.01441912407</v>
      </c>
      <c r="AN156" s="353" t="n">
        <f aca="false">AN155</f>
        <v>1898.32887711148</v>
      </c>
      <c r="AO156" s="353" t="n">
        <f aca="false">AO155</f>
        <v>1890.70506636002</v>
      </c>
      <c r="AP156" s="353" t="n">
        <f aca="false">AP155</f>
        <v>1883.14224609458</v>
      </c>
      <c r="AQ156" s="353" t="n">
        <f aca="false">AQ155</f>
        <v>1875.6396873452</v>
      </c>
      <c r="AR156" s="353" t="n">
        <f aca="false">AR155</f>
        <v>1868.19667271288</v>
      </c>
      <c r="AS156" s="353" t="n">
        <f aca="false">AS155</f>
        <v>22923.0632417747</v>
      </c>
    </row>
    <row r="157" customFormat="false" ht="13.8" hidden="false" customHeight="false" outlineLevel="0" collapsed="false">
      <c r="A157" s="145"/>
      <c r="B157" s="280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39"/>
      <c r="Q157" s="145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F157" s="145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</row>
    <row r="158" customFormat="false" ht="13.2" hidden="false" customHeight="false" outlineLevel="0" collapsed="false">
      <c r="A158" s="145"/>
      <c r="B158" s="280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39"/>
      <c r="Q158" s="145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F158" s="145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</row>
    <row r="159" customFormat="false" ht="13.8" hidden="false" customHeight="false" outlineLevel="0" collapsed="false">
      <c r="A159" s="145"/>
      <c r="B159" s="285" t="s">
        <v>1250</v>
      </c>
      <c r="C159" s="189" t="n">
        <f aca="false">C32+C37+C40+C50+C58+C64+C75+C95+C112+C128+C134+C141+C146+C152+C156+C120</f>
        <v>3655550.38495755</v>
      </c>
      <c r="D159" s="189" t="n">
        <f aca="false">D32+D37+D40+D50+D58+D64+D75+D95+D112+D128+D134+D141+D146+D152+D156+D120</f>
        <v>3330525.26679212</v>
      </c>
      <c r="E159" s="189" t="n">
        <f aca="false">E32+E37+E40+E50+E58+E64+E75+E95+E112+E128+E134+E141+E146+E152+E156+E120</f>
        <v>3527629.89832692</v>
      </c>
      <c r="F159" s="189" t="n">
        <f aca="false">F32+F37+F40+F50+F58+F64+F75+F95+F112+F128+F134+F141+F146+F152+F156+F120</f>
        <v>3309278.48420856</v>
      </c>
      <c r="G159" s="189" t="n">
        <f aca="false">G32+G37+G40+G50+G58+G64+G75+G95+G112+G128+G134+G141+G146+G152+G156+G120</f>
        <v>3372383.30589189</v>
      </c>
      <c r="H159" s="189" t="n">
        <f aca="false">H32+H37+H40+H50+H58+H64+H75+H95+H112+H128+H134+H141+H146+H152+H156+H120</f>
        <v>3281883.84559132</v>
      </c>
      <c r="I159" s="189" t="n">
        <f aca="false">I32+I37+I40+I50+I58+I64+I75+I95+I112+I128+I134+I141+I146+I152+I156+I120</f>
        <v>3507937.44036071</v>
      </c>
      <c r="J159" s="189" t="n">
        <f aca="false">J32+J37+J40+J50+J58+J64+J75+J95+J112+J128+J134+J141+J146+J152+J156+J120</f>
        <v>3432640.37591824</v>
      </c>
      <c r="K159" s="189" t="n">
        <f aca="false">K32+K37+K40+K50+K58+K64+K75+K95+K112+K128+K134+K141+K146+K152+K156+K120</f>
        <v>3405269.99841893</v>
      </c>
      <c r="L159" s="189" t="n">
        <f aca="false">L32+L37+L40+L50+L58+L64+L75+L95+L112+L128+L134+L141+L146+L152+L156+L120</f>
        <v>3692770.99950883</v>
      </c>
      <c r="M159" s="189" t="n">
        <f aca="false">M32+M37+M40+M50+M58+M64+M75+M95+M112+M128+M134+M141+M146+M152+M156+M120</f>
        <v>3456756.10688277</v>
      </c>
      <c r="N159" s="189" t="n">
        <f aca="false">N32+N37+N40+N50+N58+N64+N75+N95+N112+N128+N134+N141+N146+N152+N156+N120</f>
        <v>3508708.51770711</v>
      </c>
      <c r="O159" s="189" t="n">
        <f aca="false">O32+O37+O40+O50+O58+O64+O75+O95+O112+O128+O134+O141+O146+O152+O156+O120</f>
        <v>41481334.624565</v>
      </c>
      <c r="P159" s="139"/>
      <c r="Q159" s="145" t="s">
        <v>1251</v>
      </c>
      <c r="R159" s="146" t="n">
        <f aca="false">R32+R37+R40+R50+R58+R64+R75+R95+R112+R120+R128+R134+R141+R146+R152+R156</f>
        <v>3117334.20940701</v>
      </c>
      <c r="S159" s="146" t="n">
        <f aca="false">S32+S37+S40+S50+S58+S64+S75+S95+S112+S120+S128+S134+S141+S146+S152+S156</f>
        <v>2872500.56670711</v>
      </c>
      <c r="T159" s="146" t="n">
        <f aca="false">T32+T37+T40+T50+T58+T64+T75+T95+T112+T120+T128+T134+T141+T146+T152+T156</f>
        <v>3068637.74852594</v>
      </c>
      <c r="U159" s="146" t="n">
        <f aca="false">U32+U37+U40+U50+U58+U64+U75+U95+U112+U120+U128+U134+U141+U146+U152+U156</f>
        <v>2864020.10584789</v>
      </c>
      <c r="V159" s="146" t="n">
        <f aca="false">V32+V37+V40+V50+V58+V64+V75+V95+V112+V120+V128+V134+V141+V146+V152+V156</f>
        <v>2877691.03196149</v>
      </c>
      <c r="W159" s="146" t="n">
        <f aca="false">W32+W37+W40+W50+W58+W64+W75+W95+W112+W120+W128+W134+W141+W146+W152+W156</f>
        <v>2831026.42523941</v>
      </c>
      <c r="X159" s="146" t="n">
        <f aca="false">X32+X37+X40+X50+X58+X64+X75+X95+X112+X120+X128+X134+X141+X146+X152+X156</f>
        <v>2996040.67679125</v>
      </c>
      <c r="Y159" s="146" t="n">
        <f aca="false">Y32+Y37+Y40+Y50+Y58+Y64+Y75+Y95+Y112+Y120+Y128+Y134+Y141+Y146+Y152+Y156</f>
        <v>2919347.68226992</v>
      </c>
      <c r="Z159" s="146" t="n">
        <f aca="false">Z32+Z37+Z40+Z50+Z58+Z64+Z75+Z95+Z112+Z120+Z128+Z134+Z141+Z146+Z152+Z156</f>
        <v>2866381.09058009</v>
      </c>
      <c r="AA159" s="146" t="n">
        <f aca="false">AA32+AA37+AA40+AA50+AA58+AA64+AA75+AA95+AA112+AA120+AA128+AA134+AA141+AA146+AA152+AA156</f>
        <v>3198951.72815449</v>
      </c>
      <c r="AB159" s="146" t="n">
        <f aca="false">AB32+AB37+AB40+AB50+AB58+AB64+AB75+AB95+AB112+AB120+AB128+AB134+AB141+AB146+AB152+AB156</f>
        <v>3003830.32110806</v>
      </c>
      <c r="AC159" s="146" t="n">
        <f aca="false">AC32+AC37+AC40+AC50+AC58+AC64+AC75+AC95+AC112+AC120+AC128+AC134+AC141+AC146+AC152+AC156</f>
        <v>3069268.9968249</v>
      </c>
      <c r="AD159" s="146" t="n">
        <f aca="false">SUM(R159:AC159)</f>
        <v>35685030.5834176</v>
      </c>
      <c r="AF159" s="145" t="s">
        <v>1251</v>
      </c>
      <c r="AG159" s="146" t="n">
        <f aca="false">AG32+AG37+AG40+AG50+AG58+AG64+AG75+AG95+AG112+AG120+AG128+AG134+AG141+AG146+AG152+AG156</f>
        <v>3051004.01235556</v>
      </c>
      <c r="AH159" s="146" t="n">
        <f aca="false">AH32+AH37+AH40+AH50+AH58+AH64+AH75+AH95+AH112+AH120+AH128+AH134+AH141+AH146+AH152+AH156</f>
        <v>2806498.41486259</v>
      </c>
      <c r="AI159" s="146" t="n">
        <f aca="false">AI32+AI37+AI40+AI50+AI58+AI64+AI75+AI95+AI112+AI120+AI128+AI134+AI141+AI146+AI152+AI156</f>
        <v>3002983.33059087</v>
      </c>
      <c r="AJ159" s="146" t="n">
        <f aca="false">AJ32+AJ37+AJ40+AJ50+AJ58+AJ64+AJ75+AJ95+AJ112+AJ120+AJ128+AJ134+AJ141+AJ146+AJ152+AJ156</f>
        <v>2798997.18394156</v>
      </c>
      <c r="AK159" s="146" t="n">
        <f aca="false">AK32+AK37+AK40+AK50+AK58+AK64+AK75+AK95+AK112+AK120+AK128+AK134+AK141+AK146+AK152+AK156</f>
        <v>2813009.11135595</v>
      </c>
      <c r="AL159" s="146" t="n">
        <f aca="false">AL32+AL37+AL40+AL50+AL58+AL64+AL75+AL95+AL112+AL120+AL128+AL134+AL141+AL146+AL152+AL156</f>
        <v>2766704.84833918</v>
      </c>
      <c r="AM159" s="146" t="n">
        <f aca="false">AM32+AM37+AM40+AM50+AM58+AM64+AM75+AM95+AM112+AM120+AM128+AM134+AM141+AM146+AM152+AM156</f>
        <v>2932052.70083485</v>
      </c>
      <c r="AN159" s="146" t="n">
        <f aca="false">AN32+AN37+AN40+AN50+AN58+AN64+AN75+AN95+AN112+AN120+AN128+AN134+AN141+AN146+AN152+AN156</f>
        <v>2855692.40997197</v>
      </c>
      <c r="AO159" s="146" t="n">
        <f aca="false">AO32+AO37+AO40+AO50+AO58+AO64+AO75+AO95+AO112+AO120+AO128+AO134+AO141+AO146+AO152+AO156</f>
        <v>2803055.84979782</v>
      </c>
      <c r="AP159" s="146" t="n">
        <f aca="false">AP32+AP37+AP40+AP50+AP58+AP64+AP75+AP95+AP112+AP120+AP128+AP134+AP141+AP146+AP152+AP156</f>
        <v>3135942.99843129</v>
      </c>
      <c r="AQ159" s="146" t="n">
        <f aca="false">AQ32+AQ37+AQ40+AQ50+AQ58+AQ64+AQ75+AQ95+AQ112+AQ120+AQ128+AQ134+AQ141+AQ146+AQ152+AQ156</f>
        <v>2941146.41764299</v>
      </c>
      <c r="AR159" s="146" t="n">
        <f aca="false">AR32+AR37+AR40+AR50+AR58+AR64+AR75+AR95+AR112+AR120+AR128+AR134+AR141+AR146+AR152+AR156</f>
        <v>2989941.29295828</v>
      </c>
      <c r="AS159" s="146" t="n">
        <f aca="false">SUM(AG159:AR159)</f>
        <v>34897028.5710829</v>
      </c>
    </row>
    <row r="160" customFormat="false" ht="13.8" hidden="false" customHeight="false" outlineLevel="0" collapsed="false">
      <c r="A160" s="145"/>
      <c r="B160" s="280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39"/>
      <c r="Q160" s="145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F160" s="145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</row>
    <row r="161" customFormat="false" ht="16.2" hidden="false" customHeight="false" outlineLevel="0" collapsed="false">
      <c r="A161" s="174"/>
      <c r="B161" s="368" t="s">
        <v>1252</v>
      </c>
      <c r="C161" s="369" t="n">
        <f aca="false">C12-C159</f>
        <v>44900.3759161518</v>
      </c>
      <c r="D161" s="369" t="n">
        <f aca="false">D12-D159</f>
        <v>152323.017350574</v>
      </c>
      <c r="E161" s="369" t="n">
        <f aca="false">E12-E159</f>
        <v>66693.1173681594</v>
      </c>
      <c r="F161" s="369" t="n">
        <f aca="false">F12-F159</f>
        <v>64546.8114596624</v>
      </c>
      <c r="G161" s="369" t="n">
        <f aca="false">G12-G159</f>
        <v>-120192.666057218</v>
      </c>
      <c r="H161" s="369" t="n">
        <f aca="false">H12-H159</f>
        <v>-75046.1475396105</v>
      </c>
      <c r="I161" s="369" t="n">
        <f aca="false">I12-I159</f>
        <v>496338.276872543</v>
      </c>
      <c r="J161" s="369" t="n">
        <f aca="false">J12-J159</f>
        <v>497352.267220251</v>
      </c>
      <c r="K161" s="369" t="n">
        <f aca="false">K12-K159</f>
        <v>513315.403147029</v>
      </c>
      <c r="L161" s="369" t="n">
        <f aca="false">L12-L159</f>
        <v>574106.820994054</v>
      </c>
      <c r="M161" s="369" t="n">
        <f aca="false">M12-M159</f>
        <v>640910.096743326</v>
      </c>
      <c r="N161" s="369" t="n">
        <f aca="false">N12-N159</f>
        <v>669595.41745505</v>
      </c>
      <c r="O161" s="369" t="n">
        <f aca="false">SUM(C161:N161)</f>
        <v>3524842.79092997</v>
      </c>
      <c r="P161" s="370"/>
      <c r="Q161" s="174" t="s">
        <v>1253</v>
      </c>
      <c r="R161" s="371" t="n">
        <f aca="false">R12-R159</f>
        <v>752986.984136645</v>
      </c>
      <c r="S161" s="371" t="n">
        <f aca="false">S12-S159</f>
        <v>758172.254792976</v>
      </c>
      <c r="T161" s="371" t="n">
        <f aca="false">T12-T159</f>
        <v>670916.65150479</v>
      </c>
      <c r="U161" s="371" t="n">
        <f aca="false">U12-U159</f>
        <v>574336.582869001</v>
      </c>
      <c r="V161" s="371" t="n">
        <f aca="false">V12-V159</f>
        <v>460110.268017835</v>
      </c>
      <c r="W161" s="371" t="n">
        <f aca="false">W12-W159</f>
        <v>-16387.4547690139</v>
      </c>
      <c r="X161" s="371" t="n">
        <f aca="false">X12-X159</f>
        <v>1059935.66270324</v>
      </c>
      <c r="Y161" s="371" t="n">
        <f aca="false">Y12-Y159</f>
        <v>1012795.45001532</v>
      </c>
      <c r="Z161" s="371" t="n">
        <f aca="false">Z12-Z159</f>
        <v>767535.475470389</v>
      </c>
      <c r="AA161" s="371" t="n">
        <f aca="false">AA12-AA159</f>
        <v>1192040.78747967</v>
      </c>
      <c r="AB161" s="371" t="n">
        <f aca="false">AB12-AB159</f>
        <v>1185257.97877131</v>
      </c>
      <c r="AC161" s="371" t="n">
        <f aca="false">AC12-AC159</f>
        <v>1281846.3893809</v>
      </c>
      <c r="AD161" s="371" t="n">
        <f aca="false">SUM(R161:AC161)</f>
        <v>9699547.03037306</v>
      </c>
      <c r="AE161" s="372"/>
      <c r="AF161" s="174" t="s">
        <v>1253</v>
      </c>
      <c r="AG161" s="371" t="n">
        <f aca="false">AG12-AG159</f>
        <v>724403.232318332</v>
      </c>
      <c r="AH161" s="371" t="n">
        <f aca="false">AH12-AH159</f>
        <v>806708.07411713</v>
      </c>
      <c r="AI161" s="371" t="n">
        <f aca="false">AI12-AI159</f>
        <v>755888.299431963</v>
      </c>
      <c r="AJ161" s="371" t="n">
        <f aca="false">AJ12-AJ159</f>
        <v>639052.151286258</v>
      </c>
      <c r="AK161" s="371" t="n">
        <f aca="false">AK12-AK159</f>
        <v>365578.82034181</v>
      </c>
      <c r="AL161" s="371" t="n">
        <f aca="false">AL12-AL159</f>
        <v>454836.338258095</v>
      </c>
      <c r="AM161" s="371" t="n">
        <f aca="false">AM12-AM159</f>
        <v>1088327.38056031</v>
      </c>
      <c r="AN161" s="371" t="n">
        <f aca="false">AN12-AN159</f>
        <v>1150099.83491252</v>
      </c>
      <c r="AO161" s="371" t="n">
        <f aca="false">AO12-AO159</f>
        <v>1192842.66706583</v>
      </c>
      <c r="AP161" s="371" t="n">
        <f aca="false">AP12-AP159</f>
        <v>1100525.27115936</v>
      </c>
      <c r="AQ161" s="371" t="n">
        <f aca="false">AQ12-AQ159</f>
        <v>1236813.27603282</v>
      </c>
      <c r="AR161" s="371" t="n">
        <f aca="false">AR12-AR159</f>
        <v>1384196.64557063</v>
      </c>
      <c r="AS161" s="371" t="n">
        <f aca="false">SUM(AG161:AR161)</f>
        <v>10899271.9910551</v>
      </c>
    </row>
    <row r="162" customFormat="false" ht="13.8" hidden="false" customHeight="false" outlineLevel="0" collapsed="false">
      <c r="A162" s="145"/>
      <c r="B162" s="280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39"/>
      <c r="Q162" s="145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F162" s="145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</row>
    <row r="163" customFormat="false" ht="13.2" hidden="false" customHeight="false" outlineLevel="0" collapsed="false">
      <c r="A163" s="145"/>
      <c r="B163" s="280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39"/>
      <c r="Q163" s="145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F163" s="145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</row>
    <row r="164" customFormat="false" ht="24.6" hidden="false" customHeight="true" outlineLevel="0" collapsed="false">
      <c r="A164" s="145"/>
      <c r="B164" s="280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39"/>
      <c r="Q164" s="145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F164" s="145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</row>
    <row r="165" customFormat="false" ht="13.2" hidden="false" customHeight="false" outlineLevel="0" collapsed="false">
      <c r="A165" s="141" t="s">
        <v>1055</v>
      </c>
      <c r="B165" s="144" t="s">
        <v>1254</v>
      </c>
      <c r="C165" s="153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39"/>
      <c r="Q165" s="144" t="s">
        <v>1255</v>
      </c>
      <c r="R165" s="357" t="s">
        <v>1256</v>
      </c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F165" s="144" t="s">
        <v>1255</v>
      </c>
      <c r="AG165" s="357" t="s">
        <v>1256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</row>
    <row r="166" customFormat="false" ht="13.2" hidden="false" customHeight="false" outlineLevel="0" collapsed="false">
      <c r="A166" s="137" t="s">
        <v>1056</v>
      </c>
      <c r="B166" s="45" t="s">
        <v>1257</v>
      </c>
      <c r="C166" s="146" t="n">
        <f aca="false">C168*0.01</f>
        <v>3681.51778940972</v>
      </c>
      <c r="D166" s="146" t="n">
        <f aca="false">D168*0.01</f>
        <v>3325.24187430556</v>
      </c>
      <c r="E166" s="146" t="n">
        <f aca="false">E168*0.01</f>
        <v>3681.51778940972</v>
      </c>
      <c r="F166" s="146" t="n">
        <f aca="false">F168*0.01</f>
        <v>3562.75915104167</v>
      </c>
      <c r="G166" s="146" t="n">
        <f aca="false">G168*0.01</f>
        <v>3681.51778940972</v>
      </c>
      <c r="H166" s="146" t="n">
        <f aca="false">H168*0.01</f>
        <v>3485.83316510417</v>
      </c>
      <c r="I166" s="146" t="n">
        <f aca="false">I168*0.01</f>
        <v>3602.02760394097</v>
      </c>
      <c r="J166" s="146" t="n">
        <f aca="false">J168*0.01</f>
        <v>3602.02760394097</v>
      </c>
      <c r="K166" s="146" t="n">
        <f aca="false">K168*0.01</f>
        <v>3485.83316510417</v>
      </c>
      <c r="L166" s="146" t="n">
        <f aca="false">L168*0.01</f>
        <v>3602.02760394097</v>
      </c>
      <c r="M166" s="146" t="n">
        <f aca="false">M168*0.01</f>
        <v>3485.83316510417</v>
      </c>
      <c r="N166" s="146" t="n">
        <f aca="false">N168*0.01</f>
        <v>3519.34202565972</v>
      </c>
      <c r="O166" s="146" t="n">
        <f aca="false">SUM(C166:N166)</f>
        <v>42715.4787263715</v>
      </c>
      <c r="P166" s="139"/>
      <c r="Q166" s="45" t="s">
        <v>1257</v>
      </c>
      <c r="R166" s="146" t="n">
        <f aca="false">R168*0.01</f>
        <v>3519.34202565972</v>
      </c>
      <c r="S166" s="146" t="n">
        <f aca="false">S168*0.01</f>
        <v>3178.76053930556</v>
      </c>
      <c r="T166" s="146" t="n">
        <f aca="false">T168*0.01</f>
        <v>3519.34202565972</v>
      </c>
      <c r="U166" s="146" t="n">
        <f aca="false">U168*0.01</f>
        <v>3405.81486354167</v>
      </c>
      <c r="V166" s="146" t="n">
        <f aca="false">V168*0.01</f>
        <v>3519.34202565972</v>
      </c>
      <c r="W166" s="146" t="n">
        <f aca="false">W168*0.01</f>
        <v>3322.57818072917</v>
      </c>
      <c r="X166" s="146" t="n">
        <f aca="false">X168*0.01</f>
        <v>3433.33078675347</v>
      </c>
      <c r="Y166" s="146" t="n">
        <f aca="false">Y168*0.01</f>
        <v>3433.33078675347</v>
      </c>
      <c r="Z166" s="146" t="n">
        <f aca="false">Z168*0.01</f>
        <v>3322.57818072917</v>
      </c>
      <c r="AA166" s="146" t="n">
        <f aca="false">AA168*0.01</f>
        <v>3433.33078675347</v>
      </c>
      <c r="AB166" s="146" t="n">
        <f aca="false">AB168*0.01</f>
        <v>3322.57818072917</v>
      </c>
      <c r="AC166" s="146" t="n">
        <f aca="false">AC168*0.01</f>
        <v>3343.83358815972</v>
      </c>
      <c r="AD166" s="146" t="n">
        <f aca="false">SUM(R166:AC166)</f>
        <v>40754.161970434</v>
      </c>
      <c r="AF166" s="45" t="s">
        <v>1257</v>
      </c>
      <c r="AG166" s="146" t="n">
        <f aca="false">AG168*0.01</f>
        <v>3343.83358815972</v>
      </c>
      <c r="AH166" s="146" t="n">
        <f aca="false">AH168*0.01</f>
        <v>3020.23678930556</v>
      </c>
      <c r="AI166" s="146" t="n">
        <f aca="false">AI168*0.01</f>
        <v>3343.83358815972</v>
      </c>
      <c r="AJ166" s="146" t="n">
        <f aca="false">AJ168*0.01</f>
        <v>3235.96798854167</v>
      </c>
      <c r="AK166" s="146" t="n">
        <f aca="false">AK168*0.01</f>
        <v>3343.83358815972</v>
      </c>
      <c r="AL166" s="146" t="n">
        <f aca="false">AL168*0.01</f>
        <v>3145.90893072917</v>
      </c>
      <c r="AM166" s="146" t="n">
        <f aca="false">AM168*0.01</f>
        <v>3250.77256175347</v>
      </c>
      <c r="AN166" s="146" t="n">
        <f aca="false">AN168*0.01</f>
        <v>3250.77256175347</v>
      </c>
      <c r="AO166" s="146" t="n">
        <f aca="false">AO168*0.01</f>
        <v>3145.90893072917</v>
      </c>
      <c r="AP166" s="146" t="n">
        <f aca="false">AP168*0.01</f>
        <v>3250.77256175347</v>
      </c>
      <c r="AQ166" s="146" t="n">
        <f aca="false">AQ168*0.01</f>
        <v>3145.90893072917</v>
      </c>
      <c r="AR166" s="146" t="n">
        <f aca="false">AR168*0.01</f>
        <v>3153.96825144097</v>
      </c>
      <c r="AS166" s="146" t="n">
        <f aca="false">SUM(AG166:AR166)</f>
        <v>38631.7182712153</v>
      </c>
    </row>
    <row r="167" customFormat="false" ht="13.2" hidden="false" customHeight="false" outlineLevel="0" collapsed="false">
      <c r="A167" s="137" t="s">
        <v>303</v>
      </c>
      <c r="B167" s="45" t="s">
        <v>1258</v>
      </c>
      <c r="C167" s="146" t="n">
        <f aca="false">Interest!$F$24/12</f>
        <v>2083.33333333333</v>
      </c>
      <c r="D167" s="146" t="n">
        <f aca="false">Interest!$F$24/12</f>
        <v>2083.33333333333</v>
      </c>
      <c r="E167" s="146" t="n">
        <f aca="false">Interest!$F$24/12</f>
        <v>2083.33333333333</v>
      </c>
      <c r="F167" s="146" t="n">
        <f aca="false">Interest!$F$24/12</f>
        <v>2083.33333333333</v>
      </c>
      <c r="G167" s="146" t="n">
        <f aca="false">Interest!$F$24/12</f>
        <v>2083.33333333333</v>
      </c>
      <c r="H167" s="146" t="n">
        <f aca="false">Interest!$F$24/12</f>
        <v>2083.33333333333</v>
      </c>
      <c r="I167" s="146" t="n">
        <f aca="false">Interest!$F$24/12</f>
        <v>2083.33333333333</v>
      </c>
      <c r="J167" s="146" t="n">
        <f aca="false">Interest!$F$24/12</f>
        <v>2083.33333333333</v>
      </c>
      <c r="K167" s="146" t="n">
        <f aca="false">Interest!$F$24/12</f>
        <v>2083.33333333333</v>
      </c>
      <c r="L167" s="146" t="n">
        <f aca="false">Interest!$F$24/12</f>
        <v>2083.33333333333</v>
      </c>
      <c r="M167" s="146" t="n">
        <f aca="false">Interest!$F$24/12</f>
        <v>2083.33333333333</v>
      </c>
      <c r="N167" s="146" t="n">
        <f aca="false">Interest!$F$24/12</f>
        <v>2083.33333333333</v>
      </c>
      <c r="O167" s="146" t="n">
        <f aca="false">SUM(C167:N167)</f>
        <v>25000</v>
      </c>
      <c r="P167" s="139"/>
      <c r="Q167" s="45" t="s">
        <v>1258</v>
      </c>
      <c r="R167" s="146" t="n">
        <f aca="false">Interest!$F$24/12</f>
        <v>2083.33333333333</v>
      </c>
      <c r="S167" s="146" t="n">
        <f aca="false">Interest!$F$24/12</f>
        <v>2083.33333333333</v>
      </c>
      <c r="T167" s="146" t="n">
        <f aca="false">Interest!$F$24/12</f>
        <v>2083.33333333333</v>
      </c>
      <c r="U167" s="146" t="n">
        <f aca="false">Interest!$F$24/12</f>
        <v>2083.33333333333</v>
      </c>
      <c r="V167" s="146" t="n">
        <f aca="false">Interest!$F$24/12</f>
        <v>2083.33333333333</v>
      </c>
      <c r="W167" s="146" t="n">
        <f aca="false">Interest!$F$24/12</f>
        <v>2083.33333333333</v>
      </c>
      <c r="X167" s="146" t="n">
        <f aca="false">Interest!$F$24/12</f>
        <v>2083.33333333333</v>
      </c>
      <c r="Y167" s="146" t="n">
        <f aca="false">Interest!$F$24/12</f>
        <v>2083.33333333333</v>
      </c>
      <c r="Z167" s="146" t="n">
        <f aca="false">Interest!$F$24/12</f>
        <v>2083.33333333333</v>
      </c>
      <c r="AA167" s="146" t="n">
        <f aca="false">Interest!$F$24/12</f>
        <v>2083.33333333333</v>
      </c>
      <c r="AB167" s="146" t="n">
        <f aca="false">Interest!$F$24/12</f>
        <v>2083.33333333333</v>
      </c>
      <c r="AC167" s="146" t="n">
        <f aca="false">Interest!$F$24/12</f>
        <v>2083.33333333333</v>
      </c>
      <c r="AD167" s="146" t="n">
        <f aca="false">SUM(R167:AC167)</f>
        <v>25000</v>
      </c>
      <c r="AF167" s="45" t="s">
        <v>1258</v>
      </c>
      <c r="AG167" s="146" t="n">
        <f aca="false">Interest!$F$24/12</f>
        <v>2083.33333333333</v>
      </c>
      <c r="AH167" s="146" t="n">
        <f aca="false">Interest!$F$24/12</f>
        <v>2083.33333333333</v>
      </c>
      <c r="AI167" s="146" t="n">
        <f aca="false">Interest!$F$24/12</f>
        <v>2083.33333333333</v>
      </c>
      <c r="AJ167" s="146" t="n">
        <f aca="false">Interest!$F$24/12</f>
        <v>2083.33333333333</v>
      </c>
      <c r="AK167" s="146" t="n">
        <f aca="false">Interest!$F$24/12</f>
        <v>2083.33333333333</v>
      </c>
      <c r="AL167" s="146" t="n">
        <f aca="false">Interest!$F$24/12</f>
        <v>2083.33333333333</v>
      </c>
      <c r="AM167" s="146" t="n">
        <f aca="false">Interest!$F$24/12</f>
        <v>2083.33333333333</v>
      </c>
      <c r="AN167" s="146" t="n">
        <f aca="false">Interest!$F$24/12</f>
        <v>2083.33333333333</v>
      </c>
      <c r="AO167" s="146" t="n">
        <f aca="false">Interest!$F$24/12</f>
        <v>2083.33333333333</v>
      </c>
      <c r="AP167" s="146" t="n">
        <f aca="false">Interest!$F$24/12</f>
        <v>2083.33333333333</v>
      </c>
      <c r="AQ167" s="146" t="n">
        <f aca="false">Interest!$F$24/12</f>
        <v>2083.33333333333</v>
      </c>
      <c r="AR167" s="146" t="n">
        <f aca="false">Interest!$F$24/12</f>
        <v>2083.33333333333</v>
      </c>
      <c r="AS167" s="146" t="n">
        <f aca="false">SUM(AG167:AR167)</f>
        <v>25000</v>
      </c>
    </row>
    <row r="168" customFormat="false" ht="13.2" hidden="false" customHeight="false" outlineLevel="0" collapsed="false">
      <c r="A168" s="137" t="s">
        <v>298</v>
      </c>
      <c r="B168" s="45" t="s">
        <v>1259</v>
      </c>
      <c r="C168" s="146" t="n">
        <f aca="false">SUM(Interest!C21:C22)</f>
        <v>368151.778940972</v>
      </c>
      <c r="D168" s="146" t="n">
        <f aca="false">SUM(Interest!D21:D22)</f>
        <v>332524.187430556</v>
      </c>
      <c r="E168" s="146" t="n">
        <f aca="false">SUM(Interest!E21:E22)</f>
        <v>368151.778940972</v>
      </c>
      <c r="F168" s="146" t="n">
        <f aca="false">SUM(Interest!F21:F22)</f>
        <v>356275.915104167</v>
      </c>
      <c r="G168" s="146" t="n">
        <f aca="false">SUM(Interest!G21:G22)</f>
        <v>368151.778940972</v>
      </c>
      <c r="H168" s="146" t="n">
        <f aca="false">SUM(Interest!H21:H22)</f>
        <v>348583.316510417</v>
      </c>
      <c r="I168" s="146" t="n">
        <f aca="false">SUM(Interest!I21:I22)</f>
        <v>360202.760394097</v>
      </c>
      <c r="J168" s="146" t="n">
        <f aca="false">SUM(Interest!J21:J22)</f>
        <v>360202.760394097</v>
      </c>
      <c r="K168" s="146" t="n">
        <f aca="false">SUM(Interest!K21:K22)</f>
        <v>348583.316510417</v>
      </c>
      <c r="L168" s="146" t="n">
        <f aca="false">SUM(Interest!L21:L22)</f>
        <v>360202.760394097</v>
      </c>
      <c r="M168" s="146" t="n">
        <f aca="false">SUM(Interest!M21:M22)</f>
        <v>348583.316510417</v>
      </c>
      <c r="N168" s="146" t="n">
        <f aca="false">SUM(Interest!N21:N22)</f>
        <v>351934.202565972</v>
      </c>
      <c r="O168" s="146" t="n">
        <f aca="false">SUM(C168:N168)</f>
        <v>4271547.87263715</v>
      </c>
      <c r="P168" s="139"/>
      <c r="Q168" s="45" t="s">
        <v>1259</v>
      </c>
      <c r="R168" s="146" t="n">
        <f aca="false">SUM(Interest!Q21:Q22)</f>
        <v>351934.202565972</v>
      </c>
      <c r="S168" s="146" t="n">
        <f aca="false">SUM(Interest!R21:R22)</f>
        <v>317876.053930556</v>
      </c>
      <c r="T168" s="146" t="n">
        <f aca="false">SUM(Interest!S21:S22)</f>
        <v>351934.202565972</v>
      </c>
      <c r="U168" s="146" t="n">
        <f aca="false">SUM(Interest!T21:T22)</f>
        <v>340581.486354167</v>
      </c>
      <c r="V168" s="146" t="n">
        <f aca="false">SUM(Interest!U21:U22)</f>
        <v>351934.202565972</v>
      </c>
      <c r="W168" s="146" t="n">
        <f aca="false">SUM(Interest!V21:V22)</f>
        <v>332257.818072917</v>
      </c>
      <c r="X168" s="146" t="n">
        <f aca="false">SUM(Interest!W21:W22)</f>
        <v>343333.078675347</v>
      </c>
      <c r="Y168" s="146" t="n">
        <f aca="false">SUM(Interest!X21:X22)</f>
        <v>343333.078675347</v>
      </c>
      <c r="Z168" s="146" t="n">
        <f aca="false">SUM(Interest!Y21:Y22)</f>
        <v>332257.818072917</v>
      </c>
      <c r="AA168" s="146" t="n">
        <f aca="false">SUM(Interest!Z21:Z22)</f>
        <v>343333.078675347</v>
      </c>
      <c r="AB168" s="146" t="n">
        <f aca="false">SUM(Interest!AA21:AA22)</f>
        <v>332257.818072917</v>
      </c>
      <c r="AC168" s="146" t="n">
        <f aca="false">SUM(Interest!AB21:AB22)</f>
        <v>334383.358815972</v>
      </c>
      <c r="AD168" s="146" t="n">
        <f aca="false">SUM(R168:AC168)</f>
        <v>4075416.1970434</v>
      </c>
      <c r="AF168" s="45" t="s">
        <v>1259</v>
      </c>
      <c r="AG168" s="146" t="n">
        <f aca="false">SUM(Interest!AE21:AE22)</f>
        <v>334383.358815972</v>
      </c>
      <c r="AH168" s="146" t="n">
        <f aca="false">SUM(Interest!AF21:AF22)</f>
        <v>302023.678930556</v>
      </c>
      <c r="AI168" s="146" t="n">
        <f aca="false">SUM(Interest!AG21:AG22)</f>
        <v>334383.358815972</v>
      </c>
      <c r="AJ168" s="146" t="n">
        <f aca="false">SUM(Interest!AH21:AH22)</f>
        <v>323596.798854167</v>
      </c>
      <c r="AK168" s="146" t="n">
        <f aca="false">SUM(Interest!AI21:AI22)</f>
        <v>334383.358815972</v>
      </c>
      <c r="AL168" s="146" t="n">
        <f aca="false">SUM(Interest!AJ21:AJ22)</f>
        <v>314590.893072917</v>
      </c>
      <c r="AM168" s="146" t="n">
        <f aca="false">SUM(Interest!AK21:AK22)</f>
        <v>325077.256175347</v>
      </c>
      <c r="AN168" s="146" t="n">
        <f aca="false">SUM(Interest!AL21:AL22)</f>
        <v>325077.256175347</v>
      </c>
      <c r="AO168" s="146" t="n">
        <f aca="false">SUM(Interest!AM21:AM22)</f>
        <v>314590.893072917</v>
      </c>
      <c r="AP168" s="146" t="n">
        <f aca="false">SUM(Interest!AN21:AN22)</f>
        <v>325077.256175347</v>
      </c>
      <c r="AQ168" s="146" t="n">
        <f aca="false">SUM(Interest!AO21:AO22)</f>
        <v>314590.893072917</v>
      </c>
      <c r="AR168" s="146" t="n">
        <f aca="false">SUM(Interest!AP21:AP22)</f>
        <v>315396.825144097</v>
      </c>
      <c r="AS168" s="146" t="n">
        <f aca="false">SUM(AG168:AR168)</f>
        <v>3863171.82712153</v>
      </c>
    </row>
    <row r="169" customFormat="false" ht="13.2" hidden="false" customHeight="false" outlineLevel="0" collapsed="false">
      <c r="A169" s="137" t="s">
        <v>301</v>
      </c>
      <c r="B169" s="45" t="s">
        <v>1260</v>
      </c>
      <c r="C169" s="146" t="n">
        <f aca="false">Interest!C23</f>
        <v>17598.680625</v>
      </c>
      <c r="D169" s="146" t="n">
        <f aca="false">Interest!D23</f>
        <v>15895.5825</v>
      </c>
      <c r="E169" s="146" t="n">
        <f aca="false">Interest!E23</f>
        <v>17598.680625</v>
      </c>
      <c r="F169" s="146" t="n">
        <f aca="false">Interest!F23</f>
        <v>17030.98125</v>
      </c>
      <c r="G169" s="146" t="n">
        <f aca="false">Interest!G23</f>
        <v>17598.680625</v>
      </c>
      <c r="H169" s="146" t="n">
        <f aca="false">Interest!H23</f>
        <v>17030.98125</v>
      </c>
      <c r="I169" s="146" t="n">
        <f aca="false">Interest!I23</f>
        <v>17598.680625</v>
      </c>
      <c r="J169" s="146" t="n">
        <f aca="false">Interest!J23</f>
        <v>17598.680625</v>
      </c>
      <c r="K169" s="146" t="n">
        <f aca="false">Interest!K23</f>
        <v>17030.98125</v>
      </c>
      <c r="L169" s="146" t="n">
        <f aca="false">Interest!L23</f>
        <v>17598.680625</v>
      </c>
      <c r="M169" s="146" t="n">
        <f aca="false">Interest!M23</f>
        <v>17030.98125</v>
      </c>
      <c r="N169" s="146" t="n">
        <f aca="false">Interest!N23</f>
        <v>17598.680625</v>
      </c>
      <c r="O169" s="146" t="n">
        <f aca="false">SUM(C169:N169)</f>
        <v>207210.271875</v>
      </c>
      <c r="P169" s="139"/>
      <c r="Q169" s="45" t="s">
        <v>1260</v>
      </c>
      <c r="R169" s="146" t="n">
        <f aca="false">Interest!Q23</f>
        <v>17598.680625</v>
      </c>
      <c r="S169" s="146" t="n">
        <f aca="false">Interest!R23</f>
        <v>15895.5825</v>
      </c>
      <c r="T169" s="146" t="n">
        <f aca="false">Interest!S23</f>
        <v>17598.680625</v>
      </c>
      <c r="U169" s="146" t="n">
        <f aca="false">Interest!T23</f>
        <v>17030.98125</v>
      </c>
      <c r="V169" s="146" t="n">
        <f aca="false">Interest!U23</f>
        <v>17598.680625</v>
      </c>
      <c r="W169" s="146" t="n">
        <f aca="false">Interest!V23</f>
        <v>17030.98125</v>
      </c>
      <c r="X169" s="146" t="n">
        <f aca="false">Interest!W23</f>
        <v>17598.680625</v>
      </c>
      <c r="Y169" s="146" t="n">
        <f aca="false">Interest!X23</f>
        <v>17598.680625</v>
      </c>
      <c r="Z169" s="146" t="n">
        <f aca="false">Interest!Y23</f>
        <v>17030.98125</v>
      </c>
      <c r="AA169" s="146" t="n">
        <f aca="false">Interest!Z23</f>
        <v>17598.680625</v>
      </c>
      <c r="AB169" s="146" t="n">
        <f aca="false">Interest!AA23</f>
        <v>17030.98125</v>
      </c>
      <c r="AC169" s="146" t="n">
        <f aca="false">Interest!AB23</f>
        <v>17598.680625</v>
      </c>
      <c r="AD169" s="146" t="n">
        <f aca="false">SUM(R169:AC169)</f>
        <v>207210.271875</v>
      </c>
      <c r="AF169" s="45" t="s">
        <v>1260</v>
      </c>
      <c r="AG169" s="146" t="n">
        <f aca="false">Interest!AE23</f>
        <v>17598.680625</v>
      </c>
      <c r="AH169" s="146" t="n">
        <f aca="false">Interest!AF23</f>
        <v>15895.5825</v>
      </c>
      <c r="AI169" s="146" t="n">
        <f aca="false">Interest!AG23</f>
        <v>17598.680625</v>
      </c>
      <c r="AJ169" s="146" t="n">
        <f aca="false">Interest!AH23</f>
        <v>17030.98125</v>
      </c>
      <c r="AK169" s="146" t="n">
        <f aca="false">Interest!AI23</f>
        <v>17598.680625</v>
      </c>
      <c r="AL169" s="146" t="n">
        <f aca="false">Interest!AJ23</f>
        <v>17030.98125</v>
      </c>
      <c r="AM169" s="146" t="n">
        <f aca="false">Interest!AK23</f>
        <v>17598.680625</v>
      </c>
      <c r="AN169" s="146" t="n">
        <f aca="false">Interest!AL23</f>
        <v>17598.680625</v>
      </c>
      <c r="AO169" s="146" t="n">
        <f aca="false">Interest!AM23</f>
        <v>17030.98125</v>
      </c>
      <c r="AP169" s="146" t="n">
        <f aca="false">Interest!AN23</f>
        <v>17598.680625</v>
      </c>
      <c r="AQ169" s="146" t="n">
        <f aca="false">Interest!AO23</f>
        <v>17030.98125</v>
      </c>
      <c r="AR169" s="146" t="n">
        <f aca="false">Interest!AP23</f>
        <v>17598.680625</v>
      </c>
      <c r="AS169" s="146" t="n">
        <f aca="false">SUM(AG169:AR169)</f>
        <v>207210.271875</v>
      </c>
    </row>
    <row r="170" customFormat="false" ht="13.2" hidden="true" customHeight="false" outlineLevel="0" collapsed="false">
      <c r="A170" s="137" t="s">
        <v>1057</v>
      </c>
      <c r="B170" s="45" t="s">
        <v>1261</v>
      </c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 t="n">
        <f aca="false">SUM(C170:N170)</f>
        <v>0</v>
      </c>
      <c r="P170" s="139"/>
      <c r="Q170" s="45" t="s">
        <v>1261</v>
      </c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 t="n">
        <f aca="false">SUM(R170:AC170)</f>
        <v>0</v>
      </c>
      <c r="AF170" s="45" t="s">
        <v>1261</v>
      </c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 t="n">
        <f aca="false">SUM(AG170:AR170)</f>
        <v>0</v>
      </c>
    </row>
    <row r="171" customFormat="false" ht="13.2" hidden="false" customHeight="false" outlineLevel="0" collapsed="false">
      <c r="A171" s="137" t="s">
        <v>365</v>
      </c>
      <c r="B171" s="45" t="s">
        <v>1262</v>
      </c>
      <c r="C171" s="146" t="n">
        <f aca="false">Swap!C29</f>
        <v>329333.291638889</v>
      </c>
      <c r="D171" s="146" t="n">
        <f aca="false">Swap!D29</f>
        <v>351605.606222222</v>
      </c>
      <c r="E171" s="146" t="n">
        <f aca="false">Swap!E29</f>
        <v>329333.291638889</v>
      </c>
      <c r="F171" s="146" t="n">
        <f aca="false">Swap!F29</f>
        <v>329027.03505</v>
      </c>
      <c r="G171" s="146" t="n">
        <f aca="false">Swap!G29</f>
        <v>321773.352619444</v>
      </c>
      <c r="H171" s="146" t="n">
        <f aca="false">Swap!H29</f>
        <v>329027.03505</v>
      </c>
      <c r="I171" s="146" t="n">
        <f aca="false">Swap!I29</f>
        <v>321773.352619444</v>
      </c>
      <c r="J171" s="146" t="n">
        <f aca="false">Swap!J29</f>
        <v>321773.352619444</v>
      </c>
      <c r="K171" s="146" t="n">
        <f aca="false">Swap!K29</f>
        <v>329027.03505</v>
      </c>
      <c r="L171" s="146" t="n">
        <f aca="false">Swap!L29</f>
        <v>313909.347363889</v>
      </c>
      <c r="M171" s="146" t="n">
        <f aca="false">Swap!M29</f>
        <v>320985.75285</v>
      </c>
      <c r="N171" s="146" t="n">
        <f aca="false">Swap!N29</f>
        <v>313909.347363889</v>
      </c>
      <c r="O171" s="146" t="n">
        <f aca="false">SUM(C171:N171)</f>
        <v>3911477.80008611</v>
      </c>
      <c r="P171" s="139"/>
      <c r="Q171" s="45" t="s">
        <v>1262</v>
      </c>
      <c r="R171" s="146" t="n">
        <f aca="false">Swap!Q29</f>
        <v>313909.347363889</v>
      </c>
      <c r="S171" s="146" t="n">
        <f aca="false">Swap!R29</f>
        <v>335138.563822222</v>
      </c>
      <c r="T171" s="146" t="n">
        <f aca="false">Swap!S29</f>
        <v>313909.347363889</v>
      </c>
      <c r="U171" s="146" t="n">
        <f aca="false">Swap!T29</f>
        <v>312621.372</v>
      </c>
      <c r="V171" s="146" t="n">
        <f aca="false">Swap!U29</f>
        <v>305729.366444444</v>
      </c>
      <c r="W171" s="146" t="n">
        <f aca="false">Swap!V29</f>
        <v>312621.372</v>
      </c>
      <c r="X171" s="146" t="n">
        <f aca="false">Swap!W29</f>
        <v>305729.366444444</v>
      </c>
      <c r="Y171" s="146" t="n">
        <f aca="false">Swap!X29</f>
        <v>305729.366444444</v>
      </c>
      <c r="Z171" s="146" t="n">
        <f aca="false">Swap!Y29</f>
        <v>312621.372</v>
      </c>
      <c r="AA171" s="146" t="n">
        <f aca="false">Swap!Z29</f>
        <v>297220.798066667</v>
      </c>
      <c r="AB171" s="146" t="n">
        <f aca="false">Swap!AA29</f>
        <v>303920.9964</v>
      </c>
      <c r="AC171" s="146" t="n">
        <f aca="false">Swap!AB29</f>
        <v>297220.798066667</v>
      </c>
      <c r="AD171" s="146" t="n">
        <f aca="false">SUM(R171:AC171)</f>
        <v>3716372.06641667</v>
      </c>
      <c r="AF171" s="45" t="s">
        <v>1262</v>
      </c>
      <c r="AG171" s="146" t="n">
        <f aca="false">Swap!AE29</f>
        <v>297220.798066667</v>
      </c>
      <c r="AH171" s="146" t="n">
        <f aca="false">Swap!AF29</f>
        <v>317321.393066667</v>
      </c>
      <c r="AI171" s="146" t="n">
        <f aca="false">Swap!AG29</f>
        <v>297220.798066667</v>
      </c>
      <c r="AJ171" s="146" t="n">
        <f aca="false">Swap!AH29</f>
        <v>294870.65895</v>
      </c>
      <c r="AK171" s="146" t="n">
        <f aca="false">Swap!AI29</f>
        <v>288369.983047222</v>
      </c>
      <c r="AL171" s="146" t="n">
        <f aca="false">Swap!AJ29</f>
        <v>294870.65895</v>
      </c>
      <c r="AM171" s="146" t="n">
        <f aca="false">Swap!AK29</f>
        <v>288369.983047222</v>
      </c>
      <c r="AN171" s="146" t="n">
        <f aca="false">Swap!AL29</f>
        <v>288369.983047222</v>
      </c>
      <c r="AO171" s="146" t="n">
        <f aca="false">Swap!AM29</f>
        <v>294870.65895</v>
      </c>
      <c r="AP171" s="146" t="n">
        <f aca="false">Swap!AN29</f>
        <v>279163.607225</v>
      </c>
      <c r="AQ171" s="146" t="n">
        <f aca="false">Swap!AO29</f>
        <v>285456.74535</v>
      </c>
      <c r="AR171" s="146" t="n">
        <f aca="false">Swap!AP29</f>
        <v>279163.607225</v>
      </c>
      <c r="AS171" s="146" t="n">
        <f aca="false">SUM(AG171:AR171)</f>
        <v>3505268.87499167</v>
      </c>
    </row>
    <row r="172" customFormat="false" ht="13.2" hidden="true" customHeight="false" outlineLevel="0" collapsed="false">
      <c r="A172" s="137" t="s">
        <v>1058</v>
      </c>
      <c r="B172" s="45" t="s">
        <v>1263</v>
      </c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 t="n">
        <f aca="false">SUM(C172:N172)</f>
        <v>0</v>
      </c>
      <c r="P172" s="139"/>
      <c r="Q172" s="45" t="s">
        <v>1263</v>
      </c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 t="n">
        <f aca="false">SUM(R172:AC172)</f>
        <v>0</v>
      </c>
      <c r="AF172" s="45" t="s">
        <v>1263</v>
      </c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 t="n">
        <f aca="false">SUM(AG172:AR172)</f>
        <v>0</v>
      </c>
    </row>
    <row r="173" customFormat="false" ht="13.2" hidden="true" customHeight="false" outlineLevel="0" collapsed="false">
      <c r="A173" s="137" t="s">
        <v>1059</v>
      </c>
      <c r="B173" s="45" t="s">
        <v>1264</v>
      </c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 t="n">
        <f aca="false">SUM(C173:N173)</f>
        <v>0</v>
      </c>
      <c r="P173" s="139"/>
      <c r="Q173" s="45" t="s">
        <v>1264</v>
      </c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 t="n">
        <f aca="false">SUM(R173:AC173)</f>
        <v>0</v>
      </c>
      <c r="AF173" s="45" t="s">
        <v>1264</v>
      </c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 t="n">
        <f aca="false">SUM(AG173:AR173)</f>
        <v>0</v>
      </c>
    </row>
    <row r="174" customFormat="false" ht="13.2" hidden="true" customHeight="false" outlineLevel="0" collapsed="false">
      <c r="A174" s="137" t="s">
        <v>1061</v>
      </c>
      <c r="B174" s="45" t="s">
        <v>1265</v>
      </c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 t="n">
        <f aca="false">SUM(C174:N174)</f>
        <v>0</v>
      </c>
      <c r="P174" s="139"/>
      <c r="Q174" s="45" t="s">
        <v>1265</v>
      </c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 t="n">
        <f aca="false">SUM(R174:AC174)</f>
        <v>0</v>
      </c>
      <c r="AF174" s="45" t="s">
        <v>1265</v>
      </c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 t="n">
        <f aca="false">SUM(AG174:AR174)</f>
        <v>0</v>
      </c>
    </row>
    <row r="175" customFormat="false" ht="13.2" hidden="true" customHeight="false" outlineLevel="0" collapsed="false">
      <c r="A175" s="137" t="s">
        <v>1063</v>
      </c>
      <c r="B175" s="45" t="s">
        <v>1266</v>
      </c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 t="n">
        <f aca="false">SUM(C175:N175)</f>
        <v>0</v>
      </c>
      <c r="P175" s="139"/>
      <c r="Q175" s="45" t="s">
        <v>1266</v>
      </c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 t="n">
        <f aca="false">SUM(R175:AC175)</f>
        <v>0</v>
      </c>
      <c r="AF175" s="45" t="s">
        <v>1266</v>
      </c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 t="n">
        <f aca="false">SUM(AG175:AR175)</f>
        <v>0</v>
      </c>
    </row>
    <row r="176" customFormat="false" ht="13.2" hidden="true" customHeight="false" outlineLevel="0" collapsed="false">
      <c r="A176" s="137" t="s">
        <v>1065</v>
      </c>
      <c r="B176" s="45" t="s">
        <v>326</v>
      </c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 t="n">
        <f aca="false">SUM(C176:N176)</f>
        <v>0</v>
      </c>
      <c r="P176" s="139"/>
      <c r="Q176" s="45" t="s">
        <v>326</v>
      </c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 t="n">
        <f aca="false">SUM(R176:AC176)</f>
        <v>0</v>
      </c>
      <c r="AF176" s="45" t="s">
        <v>326</v>
      </c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 t="n">
        <f aca="false">SUM(AG176:AR176)</f>
        <v>0</v>
      </c>
    </row>
    <row r="177" customFormat="false" ht="15.6" hidden="false" customHeight="true" outlineLevel="0" collapsed="false">
      <c r="A177" s="137"/>
      <c r="B177" s="358" t="s">
        <v>66</v>
      </c>
      <c r="C177" s="353" t="n">
        <f aca="false">SUM(C166:C176)</f>
        <v>720848.602327604</v>
      </c>
      <c r="D177" s="353" t="n">
        <f aca="false">SUM(D166:D176)</f>
        <v>705433.951360417</v>
      </c>
      <c r="E177" s="353" t="n">
        <f aca="false">SUM(E166:E176)</f>
        <v>720848.602327604</v>
      </c>
      <c r="F177" s="353" t="n">
        <f aca="false">SUM(F166:F176)</f>
        <v>707980.023888542</v>
      </c>
      <c r="G177" s="353" t="n">
        <f aca="false">SUM(G166:G176)</f>
        <v>713288.66330816</v>
      </c>
      <c r="H177" s="353" t="n">
        <f aca="false">SUM(H166:H176)</f>
        <v>700210.499308854</v>
      </c>
      <c r="I177" s="353" t="n">
        <f aca="false">SUM(I166:I176)</f>
        <v>705260.154575816</v>
      </c>
      <c r="J177" s="353" t="n">
        <f aca="false">SUM(J166:J176)</f>
        <v>705260.154575816</v>
      </c>
      <c r="K177" s="353" t="n">
        <f aca="false">SUM(K166:K176)</f>
        <v>700210.499308854</v>
      </c>
      <c r="L177" s="353" t="n">
        <f aca="false">SUM(L166:L176)</f>
        <v>697396.14932026</v>
      </c>
      <c r="M177" s="353" t="n">
        <f aca="false">SUM(M166:M176)</f>
        <v>692169.217108854</v>
      </c>
      <c r="N177" s="353" t="n">
        <f aca="false">SUM(N166:N176)</f>
        <v>689044.905913854</v>
      </c>
      <c r="O177" s="353" t="n">
        <f aca="false">SUM(O166:O176)</f>
        <v>8457951.42332464</v>
      </c>
      <c r="P177" s="139"/>
      <c r="Q177" s="45"/>
      <c r="R177" s="353" t="n">
        <f aca="false">SUM(R166:R176)</f>
        <v>689044.905913854</v>
      </c>
      <c r="S177" s="353" t="n">
        <f aca="false">SUM(S166:S176)</f>
        <v>674172.294125417</v>
      </c>
      <c r="T177" s="353" t="n">
        <f aca="false">SUM(T166:T176)</f>
        <v>689044.905913854</v>
      </c>
      <c r="U177" s="353" t="n">
        <f aca="false">SUM(U166:U176)</f>
        <v>675722.987801042</v>
      </c>
      <c r="V177" s="353" t="n">
        <f aca="false">SUM(V166:V176)</f>
        <v>680864.92499441</v>
      </c>
      <c r="W177" s="353" t="n">
        <f aca="false">SUM(W166:W176)</f>
        <v>667316.082836979</v>
      </c>
      <c r="X177" s="353" t="n">
        <f aca="false">SUM(X166:X176)</f>
        <v>672177.789864879</v>
      </c>
      <c r="Y177" s="353" t="n">
        <f aca="false">SUM(Y166:Y176)</f>
        <v>672177.789864879</v>
      </c>
      <c r="Z177" s="353" t="n">
        <f aca="false">SUM(Z166:Z176)</f>
        <v>667316.082836979</v>
      </c>
      <c r="AA177" s="353" t="n">
        <f aca="false">SUM(AA166:AA176)</f>
        <v>663669.221487101</v>
      </c>
      <c r="AB177" s="353" t="n">
        <f aca="false">SUM(AB166:AB176)</f>
        <v>658615.707236979</v>
      </c>
      <c r="AC177" s="353" t="n">
        <f aca="false">SUM(AC166:AC176)</f>
        <v>654630.004429132</v>
      </c>
      <c r="AD177" s="353" t="n">
        <f aca="false">SUM(AD166:AD176)</f>
        <v>8064752.6973055</v>
      </c>
      <c r="AF177" s="45"/>
      <c r="AG177" s="353" t="n">
        <f aca="false">SUM(AG166:AG176)</f>
        <v>654630.004429132</v>
      </c>
      <c r="AH177" s="353" t="n">
        <f aca="false">SUM(AH166:AH176)</f>
        <v>640344.224619861</v>
      </c>
      <c r="AI177" s="353" t="n">
        <f aca="false">SUM(AI166:AI176)</f>
        <v>654630.004429132</v>
      </c>
      <c r="AJ177" s="353" t="n">
        <f aca="false">SUM(AJ166:AJ176)</f>
        <v>640817.740376042</v>
      </c>
      <c r="AK177" s="353" t="n">
        <f aca="false">SUM(AK166:AK176)</f>
        <v>645779.189409687</v>
      </c>
      <c r="AL177" s="353" t="n">
        <f aca="false">SUM(AL166:AL176)</f>
        <v>631721.775536979</v>
      </c>
      <c r="AM177" s="353" t="n">
        <f aca="false">SUM(AM166:AM176)</f>
        <v>636380.025742656</v>
      </c>
      <c r="AN177" s="353" t="n">
        <f aca="false">SUM(AN166:AN176)</f>
        <v>636380.025742656</v>
      </c>
      <c r="AO177" s="353" t="n">
        <f aca="false">SUM(AO166:AO176)</f>
        <v>631721.775536979</v>
      </c>
      <c r="AP177" s="353" t="n">
        <f aca="false">SUM(AP166:AP176)</f>
        <v>627173.649920434</v>
      </c>
      <c r="AQ177" s="353" t="n">
        <f aca="false">SUM(AQ166:AQ176)</f>
        <v>622307.861936979</v>
      </c>
      <c r="AR177" s="353" t="n">
        <f aca="false">SUM(AR166:AR176)</f>
        <v>617396.414578872</v>
      </c>
      <c r="AS177" s="353" t="n">
        <f aca="false">SUM(AS166:AS176)</f>
        <v>7639282.69225941</v>
      </c>
    </row>
    <row r="178" customFormat="false" ht="13.8" hidden="false" customHeight="false" outlineLevel="0" collapsed="false">
      <c r="A178" s="137"/>
      <c r="B178" s="45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39"/>
      <c r="Q178" s="45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F178" s="45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</row>
    <row r="179" customFormat="false" ht="13.2" hidden="false" customHeight="false" outlineLevel="0" collapsed="false">
      <c r="A179" s="141" t="s">
        <v>313</v>
      </c>
      <c r="B179" s="144" t="s">
        <v>314</v>
      </c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39"/>
      <c r="Q179" s="144" t="s">
        <v>315</v>
      </c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  <c r="AD179" s="146"/>
      <c r="AF179" s="144" t="s">
        <v>315</v>
      </c>
      <c r="AG179" s="146"/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</row>
    <row r="180" customFormat="false" ht="13.2" hidden="false" customHeight="false" outlineLevel="0" collapsed="false">
      <c r="A180" s="137" t="s">
        <v>316</v>
      </c>
      <c r="B180" s="45" t="s">
        <v>1267</v>
      </c>
      <c r="C180" s="146" t="n">
        <f aca="false">'P&amp;LPLN'!C179/Factors!C11</f>
        <v>-7057.35802891264</v>
      </c>
      <c r="D180" s="146" t="n">
        <f aca="false">'P&amp;LPLN'!D179/Factors!D11</f>
        <v>-7387.55474427616</v>
      </c>
      <c r="E180" s="146" t="n">
        <f aca="false">'P&amp;LPLN'!E179/Factors!E11</f>
        <v>-8223.20041823744</v>
      </c>
      <c r="F180" s="146" t="n">
        <f aca="false">'P&amp;LPLN'!F179/Factors!F11</f>
        <v>-5143.3131437921</v>
      </c>
      <c r="G180" s="146" t="n">
        <f aca="false">'P&amp;LPLN'!G179/Factors!G11</f>
        <v>-5741.02191627965</v>
      </c>
      <c r="H180" s="146" t="n">
        <f aca="false">'P&amp;LPLN'!H179/Factors!H11</f>
        <v>-6217.28396049133</v>
      </c>
      <c r="I180" s="146" t="n">
        <f aca="false">'P&amp;LPLN'!I179/Factors!I11</f>
        <v>-4164.50570791637</v>
      </c>
      <c r="J180" s="146" t="n">
        <f aca="false">'P&amp;LPLN'!J179/Factors!J11</f>
        <v>-4232.15429926892</v>
      </c>
      <c r="K180" s="146" t="n">
        <f aca="false">'P&amp;LPLN'!K179/Factors!K11</f>
        <v>-5203.65053126259</v>
      </c>
      <c r="L180" s="146" t="n">
        <f aca="false">'P&amp;LPLN'!L179/Factors!L11</f>
        <v>-2618.86884764682</v>
      </c>
      <c r="M180" s="146" t="n">
        <f aca="false">'P&amp;LPLN'!M179/Factors!M11</f>
        <v>-3215.30814949387</v>
      </c>
      <c r="N180" s="146" t="n">
        <f aca="false">'P&amp;LPLN'!N179/Factors!N11</f>
        <v>-4396.2513089096</v>
      </c>
      <c r="O180" s="146" t="n">
        <f aca="false">SUM(C180:N180)</f>
        <v>-63600.4710564875</v>
      </c>
      <c r="P180" s="139"/>
      <c r="Q180" s="45" t="s">
        <v>1267</v>
      </c>
      <c r="R180" s="146" t="n">
        <f aca="false">'P&amp;LPLN'!R179/Factors!R11</f>
        <v>-19371.8816809522</v>
      </c>
      <c r="S180" s="146" t="n">
        <f aca="false">'P&amp;LPLN'!S179/Factors!S11</f>
        <v>-19291.8325830971</v>
      </c>
      <c r="T180" s="146" t="n">
        <f aca="false">'P&amp;LPLN'!T179/Factors!T11</f>
        <v>-19212.4423255534</v>
      </c>
      <c r="U180" s="146" t="n">
        <f aca="false">'P&amp;LPLN'!U179/Factors!U11</f>
        <v>-19133.7028078258</v>
      </c>
      <c r="V180" s="146" t="n">
        <f aca="false">'P&amp;LPLN'!V179/Factors!V11</f>
        <v>-19055.6060616714</v>
      </c>
      <c r="W180" s="146" t="n">
        <f aca="false">'P&amp;LPLN'!W179/Factors!W11</f>
        <v>-18978.1442484126</v>
      </c>
      <c r="X180" s="146" t="n">
        <f aca="false">'P&amp;LPLN'!X179/Factors!X11</f>
        <v>-18901.3096563137</v>
      </c>
      <c r="Y180" s="146" t="n">
        <f aca="false">'P&amp;LPLN'!Y179/Factors!Y11</f>
        <v>-18825.0946980221</v>
      </c>
      <c r="Z180" s="146" t="n">
        <f aca="false">'P&amp;LPLN'!Z179/Factors!Z11</f>
        <v>-18749.4919080702</v>
      </c>
      <c r="AA180" s="146" t="n">
        <f aca="false">'P&amp;LPLN'!AA179/Factors!AA11</f>
        <v>-18674.493940438</v>
      </c>
      <c r="AB180" s="146" t="n">
        <f aca="false">'P&amp;LPLN'!AB179/Factors!AB11</f>
        <v>-18600.0935661733</v>
      </c>
      <c r="AC180" s="146" t="n">
        <f aca="false">'P&amp;LPLN'!AC179/Factors!AC11</f>
        <v>-18526.2836710694</v>
      </c>
      <c r="AD180" s="146" t="n">
        <f aca="false">SUM(R180:AC180)</f>
        <v>-227320.377147599</v>
      </c>
      <c r="AF180" s="45" t="s">
        <v>1267</v>
      </c>
      <c r="AG180" s="146" t="n">
        <f aca="false">'P&amp;LPLN'!AG179/Factors!AG11</f>
        <v>-18449.4111247164</v>
      </c>
      <c r="AH180" s="146" t="n">
        <f aca="false">'P&amp;LPLN'!AH179/Factors!AH11</f>
        <v>-18373.1738886639</v>
      </c>
      <c r="AI180" s="146" t="n">
        <f aca="false">'P&amp;LPLN'!AI179/Factors!AI11</f>
        <v>-18297.5641195747</v>
      </c>
      <c r="AJ180" s="146" t="n">
        <f aca="false">'P&amp;LPLN'!AJ179/Factors!AJ11</f>
        <v>-18222.5741026912</v>
      </c>
      <c r="AK180" s="146" t="n">
        <f aca="false">'P&amp;LPLN'!AK179/Factors!AK11</f>
        <v>-18148.1962492108</v>
      </c>
      <c r="AL180" s="146" t="n">
        <f aca="false">'P&amp;LPLN'!AL179/Factors!AL11</f>
        <v>-18074.4230937262</v>
      </c>
      <c r="AM180" s="146" t="n">
        <f aca="false">'P&amp;LPLN'!AM179/Factors!AM11</f>
        <v>-18001.2472917273</v>
      </c>
      <c r="AN180" s="146" t="n">
        <f aca="false">'P&amp;LPLN'!AN179/Factors!AN11</f>
        <v>-17928.6616171639</v>
      </c>
      <c r="AO180" s="146" t="n">
        <f aca="false">'P&amp;LPLN'!AO179/Factors!AO11</f>
        <v>-17856.6589600669</v>
      </c>
      <c r="AP180" s="146" t="n">
        <f aca="false">'P&amp;LPLN'!AP179/Factors!AP11</f>
        <v>-17785.2323242266</v>
      </c>
      <c r="AQ180" s="146" t="n">
        <f aca="false">'P&amp;LPLN'!AQ179/Factors!AQ11</f>
        <v>-17714.3748249269</v>
      </c>
      <c r="AR180" s="146" t="n">
        <f aca="false">'P&amp;LPLN'!AR179/Factors!AR11</f>
        <v>-17644.0796867328</v>
      </c>
      <c r="AS180" s="146" t="n">
        <f aca="false">SUM(AG180:AR180)</f>
        <v>-216495.597283428</v>
      </c>
    </row>
    <row r="181" customFormat="false" ht="13.2" hidden="true" customHeight="false" outlineLevel="0" collapsed="false">
      <c r="A181" s="137" t="s">
        <v>319</v>
      </c>
      <c r="B181" s="45" t="s">
        <v>320</v>
      </c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 t="n">
        <f aca="false">SUM(C181:N181)</f>
        <v>0</v>
      </c>
      <c r="P181" s="139"/>
      <c r="Q181" s="45" t="s">
        <v>320</v>
      </c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  <c r="AD181" s="146" t="n">
        <f aca="false">SUM(R181:AC181)</f>
        <v>0</v>
      </c>
      <c r="AF181" s="45" t="s">
        <v>320</v>
      </c>
      <c r="AG181" s="146"/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 t="n">
        <f aca="false">SUM(AG181:AR181)</f>
        <v>0</v>
      </c>
    </row>
    <row r="182" customFormat="false" ht="13.2" hidden="true" customHeight="false" outlineLevel="0" collapsed="false">
      <c r="A182" s="137" t="s">
        <v>321</v>
      </c>
      <c r="B182" s="45" t="s">
        <v>322</v>
      </c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 t="n">
        <f aca="false">SUM(C182:N182)</f>
        <v>0</v>
      </c>
      <c r="P182" s="139"/>
      <c r="Q182" s="45" t="s">
        <v>322</v>
      </c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  <c r="AD182" s="146" t="n">
        <f aca="false">SUM(R182:AC182)</f>
        <v>0</v>
      </c>
      <c r="AF182" s="45" t="s">
        <v>322</v>
      </c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 t="n">
        <f aca="false">SUM(AG182:AR182)</f>
        <v>0</v>
      </c>
    </row>
    <row r="183" customFormat="false" ht="13.2" hidden="true" customHeight="false" outlineLevel="0" collapsed="false">
      <c r="A183" s="137" t="s">
        <v>323</v>
      </c>
      <c r="B183" s="45" t="s">
        <v>324</v>
      </c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 t="n">
        <f aca="false">SUM(C183:N183)</f>
        <v>0</v>
      </c>
      <c r="P183" s="139"/>
      <c r="Q183" s="45" t="s">
        <v>324</v>
      </c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6" t="n">
        <f aca="false">SUM(R183:AC183)</f>
        <v>0</v>
      </c>
      <c r="AF183" s="45" t="s">
        <v>324</v>
      </c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 t="n">
        <f aca="false">SUM(AG183:AR183)</f>
        <v>0</v>
      </c>
    </row>
    <row r="184" customFormat="false" ht="13.2" hidden="true" customHeight="false" outlineLevel="0" collapsed="false">
      <c r="A184" s="137" t="s">
        <v>325</v>
      </c>
      <c r="B184" s="45" t="s">
        <v>326</v>
      </c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 t="n">
        <f aca="false">SUM(C184:N184)</f>
        <v>0</v>
      </c>
      <c r="P184" s="139"/>
      <c r="Q184" s="45" t="s">
        <v>326</v>
      </c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  <c r="AD184" s="146" t="n">
        <f aca="false">SUM(R184:AC184)</f>
        <v>0</v>
      </c>
      <c r="AF184" s="45" t="s">
        <v>326</v>
      </c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 t="n">
        <f aca="false">SUM(AG184:AR184)</f>
        <v>0</v>
      </c>
    </row>
    <row r="185" customFormat="false" ht="13.8" hidden="false" customHeight="false" outlineLevel="0" collapsed="false">
      <c r="A185" s="137"/>
      <c r="B185" s="358" t="s">
        <v>66</v>
      </c>
      <c r="C185" s="353" t="n">
        <f aca="false">SUM(C180:C184)</f>
        <v>-7057.35802891264</v>
      </c>
      <c r="D185" s="353" t="n">
        <f aca="false">SUM(D180:D184)</f>
        <v>-7387.55474427616</v>
      </c>
      <c r="E185" s="353" t="n">
        <f aca="false">SUM(E180:E184)</f>
        <v>-8223.20041823744</v>
      </c>
      <c r="F185" s="353" t="n">
        <f aca="false">SUM(F180:F184)</f>
        <v>-5143.3131437921</v>
      </c>
      <c r="G185" s="353" t="n">
        <f aca="false">SUM(G180:G184)</f>
        <v>-5741.02191627965</v>
      </c>
      <c r="H185" s="353" t="n">
        <f aca="false">SUM(H180:H184)</f>
        <v>-6217.28396049133</v>
      </c>
      <c r="I185" s="353" t="n">
        <f aca="false">SUM(I180:I184)</f>
        <v>-4164.50570791637</v>
      </c>
      <c r="J185" s="353" t="n">
        <f aca="false">SUM(J180:J184)</f>
        <v>-4232.15429926892</v>
      </c>
      <c r="K185" s="353" t="n">
        <f aca="false">SUM(K180:K184)</f>
        <v>-5203.65053126259</v>
      </c>
      <c r="L185" s="353" t="n">
        <f aca="false">SUM(L180:L184)</f>
        <v>-2618.86884764682</v>
      </c>
      <c r="M185" s="353" t="n">
        <f aca="false">SUM(M180:M184)</f>
        <v>-3215.30814949387</v>
      </c>
      <c r="N185" s="353" t="n">
        <f aca="false">SUM(N180:N184)</f>
        <v>-4396.2513089096</v>
      </c>
      <c r="O185" s="353" t="n">
        <f aca="false">SUM(O180:O184)</f>
        <v>-63600.4710564875</v>
      </c>
      <c r="P185" s="139"/>
      <c r="Q185" s="45"/>
      <c r="R185" s="353" t="n">
        <f aca="false">SUM(R180:R184)</f>
        <v>-19371.8816809522</v>
      </c>
      <c r="S185" s="353" t="n">
        <f aca="false">SUM(S180:S184)</f>
        <v>-19291.8325830971</v>
      </c>
      <c r="T185" s="353" t="n">
        <f aca="false">SUM(T180:T184)</f>
        <v>-19212.4423255534</v>
      </c>
      <c r="U185" s="353" t="n">
        <f aca="false">SUM(U180:U184)</f>
        <v>-19133.7028078258</v>
      </c>
      <c r="V185" s="353" t="n">
        <f aca="false">SUM(V180:V184)</f>
        <v>-19055.6060616714</v>
      </c>
      <c r="W185" s="353" t="n">
        <f aca="false">SUM(W180:W184)</f>
        <v>-18978.1442484126</v>
      </c>
      <c r="X185" s="353" t="n">
        <f aca="false">SUM(X180:X184)</f>
        <v>-18901.3096563137</v>
      </c>
      <c r="Y185" s="353" t="n">
        <f aca="false">SUM(Y180:Y184)</f>
        <v>-18825.0946980221</v>
      </c>
      <c r="Z185" s="353" t="n">
        <f aca="false">SUM(Z180:Z184)</f>
        <v>-18749.4919080702</v>
      </c>
      <c r="AA185" s="353" t="n">
        <f aca="false">SUM(AA180:AA184)</f>
        <v>-18674.493940438</v>
      </c>
      <c r="AB185" s="353" t="n">
        <f aca="false">SUM(AB180:AB184)</f>
        <v>-18600.0935661733</v>
      </c>
      <c r="AC185" s="353" t="n">
        <f aca="false">SUM(AC180:AC184)</f>
        <v>-18526.2836710694</v>
      </c>
      <c r="AD185" s="353" t="n">
        <f aca="false">SUM(AD180:AD184)</f>
        <v>-227320.377147599</v>
      </c>
      <c r="AF185" s="45"/>
      <c r="AG185" s="353" t="n">
        <f aca="false">SUM(AG180:AG184)</f>
        <v>-18449.4111247164</v>
      </c>
      <c r="AH185" s="353" t="n">
        <f aca="false">SUM(AH180:AH184)</f>
        <v>-18373.1738886639</v>
      </c>
      <c r="AI185" s="353" t="n">
        <f aca="false">SUM(AI180:AI184)</f>
        <v>-18297.5641195747</v>
      </c>
      <c r="AJ185" s="353" t="n">
        <f aca="false">SUM(AJ180:AJ184)</f>
        <v>-18222.5741026912</v>
      </c>
      <c r="AK185" s="353" t="n">
        <f aca="false">SUM(AK180:AK184)</f>
        <v>-18148.1962492108</v>
      </c>
      <c r="AL185" s="353" t="n">
        <f aca="false">SUM(AL180:AL184)</f>
        <v>-18074.4230937262</v>
      </c>
      <c r="AM185" s="353" t="n">
        <f aca="false">SUM(AM180:AM184)</f>
        <v>-18001.2472917273</v>
      </c>
      <c r="AN185" s="353" t="n">
        <f aca="false">SUM(AN180:AN184)</f>
        <v>-17928.6616171639</v>
      </c>
      <c r="AO185" s="353" t="n">
        <f aca="false">SUM(AO180:AO184)</f>
        <v>-17856.6589600669</v>
      </c>
      <c r="AP185" s="353" t="n">
        <f aca="false">SUM(AP180:AP184)</f>
        <v>-17785.2323242266</v>
      </c>
      <c r="AQ185" s="353" t="n">
        <f aca="false">SUM(AQ180:AQ184)</f>
        <v>-17714.3748249269</v>
      </c>
      <c r="AR185" s="353" t="n">
        <f aca="false">SUM(AR180:AR184)</f>
        <v>-17644.0796867328</v>
      </c>
      <c r="AS185" s="353" t="n">
        <f aca="false">SUM(AS180:AS184)</f>
        <v>-216495.597283428</v>
      </c>
    </row>
    <row r="186" customFormat="false" ht="13.8" hidden="false" customHeight="false" outlineLevel="0" collapsed="false">
      <c r="A186" s="137"/>
      <c r="B186" s="45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39"/>
      <c r="Q186" s="45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F186" s="45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</row>
    <row r="187" customFormat="false" ht="13.2" hidden="false" customHeight="false" outlineLevel="0" collapsed="false">
      <c r="A187" s="141" t="s">
        <v>327</v>
      </c>
      <c r="B187" s="144" t="s">
        <v>1268</v>
      </c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39"/>
      <c r="Q187" s="144" t="s">
        <v>1269</v>
      </c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F187" s="144" t="s">
        <v>1269</v>
      </c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</row>
    <row r="188" customFormat="false" ht="13.2" hidden="true" customHeight="false" outlineLevel="0" collapsed="false">
      <c r="A188" s="137" t="s">
        <v>330</v>
      </c>
      <c r="B188" s="45" t="s">
        <v>1270</v>
      </c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 t="n">
        <f aca="false">SUM(C188:N188)</f>
        <v>0</v>
      </c>
      <c r="P188" s="139"/>
      <c r="Q188" s="45" t="s">
        <v>1270</v>
      </c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 t="n">
        <f aca="false">SUM(R188:AC188)</f>
        <v>0</v>
      </c>
      <c r="AF188" s="45" t="s">
        <v>1270</v>
      </c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 t="n">
        <f aca="false">SUM(AG188:AR188)</f>
        <v>0</v>
      </c>
    </row>
    <row r="189" customFormat="false" ht="13.2" hidden="false" customHeight="false" outlineLevel="0" collapsed="false">
      <c r="A189" s="137" t="s">
        <v>332</v>
      </c>
      <c r="B189" s="45" t="s">
        <v>1271</v>
      </c>
      <c r="C189" s="146" t="n">
        <f aca="false">'P&amp;LPLN'!C188/Factors!C11</f>
        <v>604.171147409032</v>
      </c>
      <c r="D189" s="146" t="n">
        <f aca="false">'P&amp;LPLN'!D188/Factors!D11</f>
        <v>603.327669540691</v>
      </c>
      <c r="E189" s="146" t="n">
        <f aca="false">'P&amp;LPLN'!E188/Factors!E11</f>
        <v>602.486543532568</v>
      </c>
      <c r="F189" s="146" t="n">
        <f aca="false">'P&amp;LPLN'!F188/Factors!F11</f>
        <v>601.647759561858</v>
      </c>
      <c r="G189" s="146" t="n">
        <f aca="false">'P&amp;LPLN'!G188/Factors!G11</f>
        <v>600.811307860382</v>
      </c>
      <c r="H189" s="146" t="n">
        <f aca="false">'P&amp;LPLN'!H188/Factors!H11</f>
        <v>599.977178714205</v>
      </c>
      <c r="I189" s="146" t="n">
        <f aca="false">'P&amp;LPLN'!I188/Factors!I11</f>
        <v>599.145362463264</v>
      </c>
      <c r="J189" s="146" t="n">
        <f aca="false">'P&amp;LPLN'!J188/Factors!J11</f>
        <v>598.315849500993</v>
      </c>
      <c r="K189" s="146" t="n">
        <f aca="false">'P&amp;LPLN'!K188/Factors!K11</f>
        <v>597.488630273953</v>
      </c>
      <c r="L189" s="146" t="n">
        <f aca="false">'P&amp;LPLN'!L188/Factors!L11</f>
        <v>596.663695281464</v>
      </c>
      <c r="M189" s="146" t="n">
        <f aca="false">'P&amp;LPLN'!M188/Factors!M11</f>
        <v>595.841035075246</v>
      </c>
      <c r="N189" s="146" t="n">
        <f aca="false">'P&amp;LPLN'!N188/Factors!N11</f>
        <v>595.020640259052</v>
      </c>
      <c r="O189" s="146" t="n">
        <f aca="false">SUM(C189:N189)</f>
        <v>7194.89681947271</v>
      </c>
      <c r="P189" s="139"/>
      <c r="Q189" s="45" t="s">
        <v>1271</v>
      </c>
      <c r="R189" s="146" t="n">
        <f aca="false">'P&amp;LPLN'!R188/Factors!R11</f>
        <v>592.551674946774</v>
      </c>
      <c r="S189" s="146" t="n">
        <f aca="false">'P&amp;LPLN'!S188/Factors!S11</f>
        <v>590.103114306498</v>
      </c>
      <c r="T189" s="146" t="n">
        <f aca="false">'P&amp;LPLN'!T188/Factors!T11</f>
        <v>587.674706428694</v>
      </c>
      <c r="U189" s="146" t="n">
        <f aca="false">'P&amp;LPLN'!U188/Factors!U11</f>
        <v>585.266203533494</v>
      </c>
      <c r="V189" s="146" t="n">
        <f aca="false">'P&amp;LPLN'!V188/Factors!V11</f>
        <v>582.877361886419</v>
      </c>
      <c r="W189" s="146" t="n">
        <f aca="false">'P&amp;LPLN'!W188/Factors!W11</f>
        <v>580.507941716149</v>
      </c>
      <c r="X189" s="146" t="n">
        <f aca="false">'P&amp;LPLN'!X188/Factors!X11</f>
        <v>578.157707134302</v>
      </c>
      <c r="Y189" s="146" t="n">
        <f aca="false">'P&amp;LPLN'!Y188/Factors!Y11</f>
        <v>575.826426057147</v>
      </c>
      <c r="Z189" s="146" t="n">
        <f aca="false">'P&amp;LPLN'!Z188/Factors!Z11</f>
        <v>573.513870129207</v>
      </c>
      <c r="AA189" s="146" t="n">
        <f aca="false">'P&amp;LPLN'!AA188/Factors!AA11</f>
        <v>571.21981464869</v>
      </c>
      <c r="AB189" s="146" t="n">
        <f aca="false">'P&amp;LPLN'!AB188/Factors!AB11</f>
        <v>568.944038494711</v>
      </c>
      <c r="AC189" s="146" t="n">
        <f aca="false">'P&amp;LPLN'!AC188/Factors!AC11</f>
        <v>566.68632405624</v>
      </c>
      <c r="AD189" s="146" t="n">
        <f aca="false">SUM(R189:AC189)</f>
        <v>6953.32918333833</v>
      </c>
      <c r="AF189" s="45" t="s">
        <v>1271</v>
      </c>
      <c r="AG189" s="146" t="n">
        <f aca="false">'P&amp;LPLN'!AG188/Factors!AG11</f>
        <v>564.334928520737</v>
      </c>
      <c r="AH189" s="146" t="n">
        <f aca="false">'P&amp;LPLN'!AH188/Factors!AH11</f>
        <v>562.002966006189</v>
      </c>
      <c r="AI189" s="146" t="n">
        <f aca="false">'P&amp;LPLN'!AI188/Factors!AI11</f>
        <v>559.690196598756</v>
      </c>
      <c r="AJ189" s="146" t="n">
        <f aca="false">'P&amp;LPLN'!AJ188/Factors!AJ11</f>
        <v>557.396384317613</v>
      </c>
      <c r="AK189" s="146" t="n">
        <f aca="false">'P&amp;LPLN'!AK188/Factors!AK11</f>
        <v>555.121297034684</v>
      </c>
      <c r="AL189" s="146" t="n">
        <f aca="false">'P&amp;LPLN'!AL188/Factors!AL11</f>
        <v>552.864706396332</v>
      </c>
      <c r="AM189" s="146" t="n">
        <f aca="false">'P&amp;LPLN'!AM188/Factors!AM11</f>
        <v>550.626387746954</v>
      </c>
      <c r="AN189" s="146" t="n">
        <f aca="false">'P&amp;LPLN'!AN188/Factors!AN11</f>
        <v>548.406120054426</v>
      </c>
      <c r="AO189" s="146" t="n">
        <f aca="false">'P&amp;LPLN'!AO188/Factors!AO11</f>
        <v>546.20368583734</v>
      </c>
      <c r="AP189" s="146" t="n">
        <f aca="false">'P&amp;LPLN'!AP188/Factors!AP11</f>
        <v>544.018871093991</v>
      </c>
      <c r="AQ189" s="146" t="n">
        <f aca="false">'P&amp;LPLN'!AQ188/Factors!AQ11</f>
        <v>541.851465233058</v>
      </c>
      <c r="AR189" s="146" t="n">
        <f aca="false">'P&amp;LPLN'!AR188/Factors!AR11</f>
        <v>539.701261005943</v>
      </c>
      <c r="AS189" s="146" t="n">
        <f aca="false">SUM(AG189:AR189)</f>
        <v>6622.21826984602</v>
      </c>
    </row>
    <row r="190" customFormat="false" ht="13.2" hidden="false" customHeight="false" outlineLevel="0" collapsed="false">
      <c r="A190" s="137" t="s">
        <v>1066</v>
      </c>
      <c r="B190" s="45" t="s">
        <v>1010</v>
      </c>
      <c r="C190" s="146" t="n">
        <f aca="false">'P&amp;LPLN'!C189/Factors!C11</f>
        <v>1045.68083205409</v>
      </c>
      <c r="D190" s="146" t="n">
        <f aca="false">'P&amp;LPLN'!D189/Factors!D11</f>
        <v>1044.22096651273</v>
      </c>
      <c r="E190" s="146" t="n">
        <f aca="false">'P&amp;LPLN'!E189/Factors!E11</f>
        <v>1042.76517149868</v>
      </c>
      <c r="F190" s="146" t="n">
        <f aca="false">'P&amp;LPLN'!F189/Factors!F11</f>
        <v>1041.31343001091</v>
      </c>
      <c r="G190" s="146" t="n">
        <f aca="false">'P&amp;LPLN'!G189/Factors!G11</f>
        <v>1039.86572514297</v>
      </c>
      <c r="H190" s="146" t="n">
        <f aca="false">'P&amp;LPLN'!H189/Factors!H11</f>
        <v>1038.42204008228</v>
      </c>
      <c r="I190" s="146" t="n">
        <f aca="false">'P&amp;LPLN'!I189/Factors!I11</f>
        <v>1036.9823581095</v>
      </c>
      <c r="J190" s="146" t="n">
        <f aca="false">'P&amp;LPLN'!J189/Factors!J11</f>
        <v>1035.54666259787</v>
      </c>
      <c r="K190" s="146" t="n">
        <f aca="false">'P&amp;LPLN'!K189/Factors!K11</f>
        <v>1034.11493701261</v>
      </c>
      <c r="L190" s="146" t="n">
        <f aca="false">'P&amp;LPLN'!L189/Factors!L11</f>
        <v>1032.68716491023</v>
      </c>
      <c r="M190" s="146" t="n">
        <f aca="false">'P&amp;LPLN'!M189/Factors!M11</f>
        <v>1031.26332993793</v>
      </c>
      <c r="N190" s="146" t="n">
        <f aca="false">'P&amp;LPLN'!N189/Factors!N11</f>
        <v>1029.84341583297</v>
      </c>
      <c r="O190" s="146" t="n">
        <f aca="false">SUM(C190:N190)</f>
        <v>12452.7060337028</v>
      </c>
      <c r="P190" s="139"/>
      <c r="Q190" s="45" t="s">
        <v>1010</v>
      </c>
      <c r="R190" s="146" t="n">
        <f aca="false">'P&amp;LPLN'!R189/Factors!R11</f>
        <v>1025.57020663865</v>
      </c>
      <c r="S190" s="146" t="n">
        <f aca="false">'P&amp;LPLN'!S189/Factors!S11</f>
        <v>1021.33231322279</v>
      </c>
      <c r="T190" s="146" t="n">
        <f aca="false">'P&amp;LPLN'!T189/Factors!T11</f>
        <v>1017.12929958812</v>
      </c>
      <c r="U190" s="146" t="n">
        <f aca="false">'P&amp;LPLN'!U189/Factors!U11</f>
        <v>1012.96073688489</v>
      </c>
      <c r="V190" s="146" t="n">
        <f aca="false">'P&amp;LPLN'!V189/Factors!V11</f>
        <v>1008.82620326496</v>
      </c>
      <c r="W190" s="146" t="n">
        <f aca="false">'P&amp;LPLN'!W189/Factors!W11</f>
        <v>1004.72528373949</v>
      </c>
      <c r="X190" s="146" t="n">
        <f aca="false">'P&amp;LPLN'!X189/Factors!X11</f>
        <v>1000.65757004014</v>
      </c>
      <c r="Y190" s="146" t="n">
        <f aca="false">'P&amp;LPLN'!Y189/Factors!Y11</f>
        <v>996.622660483524</v>
      </c>
      <c r="Z190" s="146" t="n">
        <f aca="false">'P&amp;LPLN'!Z189/Factors!Z11</f>
        <v>992.620159839012</v>
      </c>
      <c r="AA190" s="146" t="n">
        <f aca="false">'P&amp;LPLN'!AA189/Factors!AA11</f>
        <v>988.649679199656</v>
      </c>
      <c r="AB190" s="146" t="n">
        <f aca="false">'P&amp;LPLN'!AB189/Factors!AB11</f>
        <v>984.710835856231</v>
      </c>
      <c r="AC190" s="146" t="n">
        <f aca="false">'P&amp;LPLN'!AC189/Factors!AC11</f>
        <v>980.803253174262</v>
      </c>
      <c r="AD190" s="146" t="n">
        <f aca="false">SUM(R190:AC190)</f>
        <v>12034.6082019317</v>
      </c>
      <c r="AF190" s="45" t="s">
        <v>1010</v>
      </c>
      <c r="AG190" s="146" t="n">
        <f aca="false">'P&amp;LPLN'!AG189/Factors!AG11</f>
        <v>976.733530132045</v>
      </c>
      <c r="AH190" s="146" t="n">
        <f aca="false">'P&amp;LPLN'!AH189/Factors!AH11</f>
        <v>972.697441164558</v>
      </c>
      <c r="AI190" s="146" t="n">
        <f aca="false">'P&amp;LPLN'!AI189/Factors!AI11</f>
        <v>968.694571036308</v>
      </c>
      <c r="AJ190" s="146" t="n">
        <f aca="false">'P&amp;LPLN'!AJ189/Factors!AJ11</f>
        <v>964.724511318946</v>
      </c>
      <c r="AK190" s="146" t="n">
        <f aca="false">'P&amp;LPLN'!AK189/Factors!AK11</f>
        <v>960.786860252338</v>
      </c>
      <c r="AL190" s="146" t="n">
        <f aca="false">'P&amp;LPLN'!AL189/Factors!AL11</f>
        <v>956.881222609036</v>
      </c>
      <c r="AM190" s="146" t="n">
        <f aca="false">'P&amp;LPLN'!AM189/Factors!AM11</f>
        <v>953.007209562036</v>
      </c>
      <c r="AN190" s="146" t="n">
        <f aca="false">'P&amp;LPLN'!AN189/Factors!AN11</f>
        <v>949.164438555738</v>
      </c>
      <c r="AO190" s="146" t="n">
        <f aca="false">'P&amp;LPLN'!AO189/Factors!AO11</f>
        <v>945.352533180012</v>
      </c>
      <c r="AP190" s="146" t="n">
        <f aca="false">'P&amp;LPLN'!AP189/Factors!AP11</f>
        <v>941.571123047292</v>
      </c>
      <c r="AQ190" s="146" t="n">
        <f aca="false">'P&amp;LPLN'!AQ189/Factors!AQ11</f>
        <v>937.819843672601</v>
      </c>
      <c r="AR190" s="146" t="n">
        <f aca="false">'P&amp;LPLN'!AR189/Factors!AR11</f>
        <v>934.09833635644</v>
      </c>
      <c r="AS190" s="146" t="n">
        <f aca="false">SUM(AG190:AR190)</f>
        <v>11461.5316208874</v>
      </c>
    </row>
    <row r="191" customFormat="false" ht="13.2" hidden="true" customHeight="false" outlineLevel="0" collapsed="false">
      <c r="A191" s="137" t="s">
        <v>335</v>
      </c>
      <c r="B191" s="45" t="s">
        <v>1272</v>
      </c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 t="n">
        <f aca="false">SUM(C191:N191)</f>
        <v>0</v>
      </c>
      <c r="P191" s="139"/>
      <c r="Q191" s="45" t="s">
        <v>1272</v>
      </c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 t="n">
        <f aca="false">SUM(R191:AC191)</f>
        <v>0</v>
      </c>
      <c r="AF191" s="45" t="s">
        <v>1272</v>
      </c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 t="n">
        <f aca="false">SUM(AG191:AR191)</f>
        <v>0</v>
      </c>
    </row>
    <row r="192" customFormat="false" ht="13.2" hidden="true" customHeight="false" outlineLevel="0" collapsed="false">
      <c r="A192" s="137" t="s">
        <v>337</v>
      </c>
      <c r="B192" s="45" t="s">
        <v>1273</v>
      </c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 t="n">
        <f aca="false">SUM(C192:N192)</f>
        <v>0</v>
      </c>
      <c r="P192" s="139"/>
      <c r="Q192" s="45" t="s">
        <v>1273</v>
      </c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 t="n">
        <f aca="false">SUM(R192:AC192)</f>
        <v>0</v>
      </c>
      <c r="AF192" s="45" t="s">
        <v>1273</v>
      </c>
      <c r="AG192" s="146"/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 t="n">
        <f aca="false">SUM(AG192:AR192)</f>
        <v>0</v>
      </c>
    </row>
    <row r="193" customFormat="false" ht="13.2" hidden="true" customHeight="false" outlineLevel="0" collapsed="false">
      <c r="A193" s="137" t="s">
        <v>339</v>
      </c>
      <c r="B193" s="45" t="s">
        <v>1274</v>
      </c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 t="n">
        <f aca="false">SUM(C193:N193)</f>
        <v>0</v>
      </c>
      <c r="P193" s="139"/>
      <c r="Q193" s="45" t="s">
        <v>1274</v>
      </c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 t="n">
        <f aca="false">SUM(R193:AC193)</f>
        <v>0</v>
      </c>
      <c r="AF193" s="45" t="s">
        <v>1274</v>
      </c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 t="n">
        <f aca="false">SUM(AG193:AR193)</f>
        <v>0</v>
      </c>
    </row>
    <row r="194" customFormat="false" ht="13.8" hidden="false" customHeight="false" outlineLevel="0" collapsed="false">
      <c r="A194" s="137"/>
      <c r="B194" s="358" t="s">
        <v>66</v>
      </c>
      <c r="C194" s="353" t="n">
        <f aca="false">SUM(C188:C193)</f>
        <v>1649.85197946313</v>
      </c>
      <c r="D194" s="353" t="n">
        <f aca="false">SUM(D188:D193)</f>
        <v>1647.54863605342</v>
      </c>
      <c r="E194" s="353" t="n">
        <f aca="false">SUM(E188:E193)</f>
        <v>1645.25171503124</v>
      </c>
      <c r="F194" s="353" t="n">
        <f aca="false">SUM(F188:F193)</f>
        <v>1642.96118957277</v>
      </c>
      <c r="G194" s="353" t="n">
        <f aca="false">SUM(G188:G193)</f>
        <v>1640.67703300335</v>
      </c>
      <c r="H194" s="353" t="n">
        <f aca="false">SUM(H188:H193)</f>
        <v>1638.39921879648</v>
      </c>
      <c r="I194" s="353" t="n">
        <f aca="false">SUM(I188:I193)</f>
        <v>1636.12772057276</v>
      </c>
      <c r="J194" s="353" t="n">
        <f aca="false">SUM(J188:J193)</f>
        <v>1633.86251209887</v>
      </c>
      <c r="K194" s="353" t="n">
        <f aca="false">SUM(K188:K193)</f>
        <v>1631.60356728656</v>
      </c>
      <c r="L194" s="353" t="n">
        <f aca="false">SUM(L188:L193)</f>
        <v>1629.35086019169</v>
      </c>
      <c r="M194" s="353" t="n">
        <f aca="false">SUM(M188:M193)</f>
        <v>1627.10436501317</v>
      </c>
      <c r="N194" s="353" t="n">
        <f aca="false">SUM(N188:N193)</f>
        <v>1624.86405609203</v>
      </c>
      <c r="O194" s="353" t="n">
        <f aca="false">SUM(O188:O193)</f>
        <v>19647.6028531755</v>
      </c>
      <c r="P194" s="139"/>
      <c r="Q194" s="45"/>
      <c r="R194" s="353" t="n">
        <f aca="false">SUM(R188:R193)</f>
        <v>1618.12188158542</v>
      </c>
      <c r="S194" s="353" t="n">
        <f aca="false">SUM(S188:S193)</f>
        <v>1611.43542752928</v>
      </c>
      <c r="T194" s="353" t="n">
        <f aca="false">SUM(T188:T193)</f>
        <v>1604.80400601682</v>
      </c>
      <c r="U194" s="353" t="n">
        <f aca="false">SUM(U188:U193)</f>
        <v>1598.22694041839</v>
      </c>
      <c r="V194" s="353" t="n">
        <f aca="false">SUM(V188:V193)</f>
        <v>1591.70356515137</v>
      </c>
      <c r="W194" s="353" t="n">
        <f aca="false">SUM(W188:W193)</f>
        <v>1585.23322545564</v>
      </c>
      <c r="X194" s="353" t="n">
        <f aca="false">SUM(X188:X193)</f>
        <v>1578.81527717444</v>
      </c>
      <c r="Y194" s="353" t="n">
        <f aca="false">SUM(Y188:Y193)</f>
        <v>1572.44908654067</v>
      </c>
      <c r="Z194" s="353" t="n">
        <f aca="false">SUM(Z188:Z193)</f>
        <v>1566.13402996822</v>
      </c>
      <c r="AA194" s="353" t="n">
        <f aca="false">SUM(AA188:AA193)</f>
        <v>1559.86949384835</v>
      </c>
      <c r="AB194" s="353" t="n">
        <f aca="false">SUM(AB188:AB193)</f>
        <v>1553.65487435094</v>
      </c>
      <c r="AC194" s="353" t="n">
        <f aca="false">SUM(AC188:AC193)</f>
        <v>1547.4895772305</v>
      </c>
      <c r="AD194" s="353" t="n">
        <f aca="false">SUM(AD188:AD193)</f>
        <v>18987.93738527</v>
      </c>
      <c r="AF194" s="45"/>
      <c r="AG194" s="353" t="n">
        <f aca="false">SUM(AG188:AG193)</f>
        <v>1541.06845865278</v>
      </c>
      <c r="AH194" s="353" t="n">
        <f aca="false">SUM(AH188:AH193)</f>
        <v>1534.70040717075</v>
      </c>
      <c r="AI194" s="353" t="n">
        <f aca="false">SUM(AI188:AI193)</f>
        <v>1528.38476763506</v>
      </c>
      <c r="AJ194" s="353" t="n">
        <f aca="false">SUM(AJ188:AJ193)</f>
        <v>1522.12089563656</v>
      </c>
      <c r="AK194" s="353" t="n">
        <f aca="false">SUM(AK188:AK193)</f>
        <v>1515.90815728702</v>
      </c>
      <c r="AL194" s="353" t="n">
        <f aca="false">SUM(AL188:AL193)</f>
        <v>1509.74592900537</v>
      </c>
      <c r="AM194" s="353" t="n">
        <f aca="false">SUM(AM188:AM193)</f>
        <v>1503.63359730899</v>
      </c>
      <c r="AN194" s="353" t="n">
        <f aca="false">SUM(AN188:AN193)</f>
        <v>1497.57055861016</v>
      </c>
      <c r="AO194" s="353" t="n">
        <f aca="false">SUM(AO188:AO193)</f>
        <v>1491.55621901735</v>
      </c>
      <c r="AP194" s="353" t="n">
        <f aca="false">SUM(AP188:AP193)</f>
        <v>1485.58999414128</v>
      </c>
      <c r="AQ194" s="353" t="n">
        <f aca="false">SUM(AQ188:AQ193)</f>
        <v>1479.67130890566</v>
      </c>
      <c r="AR194" s="353" t="n">
        <f aca="false">SUM(AR188:AR193)</f>
        <v>1473.79959736238</v>
      </c>
      <c r="AS194" s="353" t="n">
        <f aca="false">SUM(AS188:AS193)</f>
        <v>18083.7498907334</v>
      </c>
    </row>
    <row r="195" customFormat="false" ht="14.25" hidden="false" customHeight="true" outlineLevel="0" collapsed="false">
      <c r="A195" s="137"/>
      <c r="B195" s="45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39"/>
      <c r="Q195" s="45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F195" s="45"/>
      <c r="AG195" s="146"/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</row>
    <row r="196" customFormat="false" ht="13.2" hidden="false" customHeight="false" outlineLevel="0" collapsed="false">
      <c r="A196" s="141"/>
      <c r="B196" s="144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39"/>
      <c r="Q196" s="144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F196" s="144"/>
      <c r="AG196" s="146"/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</row>
    <row r="197" customFormat="false" ht="13.2" hidden="false" customHeight="false" outlineLevel="0" collapsed="false">
      <c r="P197" s="139"/>
    </row>
    <row r="198" customFormat="false" ht="13.8" hidden="false" customHeight="false" outlineLevel="0" collapsed="false">
      <c r="B198" s="188" t="s">
        <v>1275</v>
      </c>
      <c r="C198" s="189" t="n">
        <f aca="false">C177+C185+C194</f>
        <v>715441.096278155</v>
      </c>
      <c r="D198" s="189" t="n">
        <f aca="false">D177+D185+D194</f>
        <v>699693.945252194</v>
      </c>
      <c r="E198" s="189" t="n">
        <f aca="false">E177+E185+E194</f>
        <v>714270.653624398</v>
      </c>
      <c r="F198" s="189" t="n">
        <f aca="false">F177+F185+F194</f>
        <v>704479.671934322</v>
      </c>
      <c r="G198" s="189" t="n">
        <f aca="false">G177+G185+G194</f>
        <v>709188.318424883</v>
      </c>
      <c r="H198" s="189" t="n">
        <f aca="false">H177+H185+H194</f>
        <v>695631.614567159</v>
      </c>
      <c r="I198" s="189" t="n">
        <f aca="false">I177+I185+I194</f>
        <v>702731.776588472</v>
      </c>
      <c r="J198" s="189" t="n">
        <f aca="false">J177+J185+J194</f>
        <v>702661.862788646</v>
      </c>
      <c r="K198" s="189" t="n">
        <f aca="false">K177+K185+K194</f>
        <v>696638.452344878</v>
      </c>
      <c r="L198" s="189" t="n">
        <f aca="false">L177+L185+L194</f>
        <v>696406.631332805</v>
      </c>
      <c r="M198" s="189" t="n">
        <f aca="false">M177+M185+M194</f>
        <v>690581.013324373</v>
      </c>
      <c r="N198" s="189" t="n">
        <f aca="false">N177+N185+N194</f>
        <v>686273.518661036</v>
      </c>
      <c r="O198" s="189" t="n">
        <f aca="false">O177+O185+O194</f>
        <v>8413998.55512132</v>
      </c>
      <c r="P198" s="139"/>
      <c r="Q198" s="181" t="s">
        <v>1276</v>
      </c>
      <c r="R198" s="139" t="e">
        <f aca="false">R177+R185+R194+#REF!+#REF!</f>
        <v>#REF!</v>
      </c>
      <c r="S198" s="139" t="e">
        <f aca="false">S177+S185+S194+#REF!+#REF!</f>
        <v>#REF!</v>
      </c>
      <c r="T198" s="139" t="e">
        <f aca="false">T177+T185+T194+#REF!+#REF!</f>
        <v>#REF!</v>
      </c>
      <c r="U198" s="139" t="e">
        <f aca="false">U177+U185+U194+#REF!+#REF!</f>
        <v>#REF!</v>
      </c>
      <c r="V198" s="139" t="e">
        <f aca="false">V177+V185+V194+#REF!+#REF!</f>
        <v>#REF!</v>
      </c>
      <c r="W198" s="139" t="e">
        <f aca="false">W177+W185+W194+#REF!+#REF!</f>
        <v>#REF!</v>
      </c>
      <c r="X198" s="139" t="e">
        <f aca="false">X177+X185+X194+#REF!+#REF!</f>
        <v>#REF!</v>
      </c>
      <c r="Y198" s="139" t="e">
        <f aca="false">Y177+Y185+Y194+#REF!+#REF!</f>
        <v>#REF!</v>
      </c>
      <c r="Z198" s="139" t="e">
        <f aca="false">Z177+Z185+Z194+#REF!+#REF!</f>
        <v>#REF!</v>
      </c>
      <c r="AA198" s="139" t="e">
        <f aca="false">AA177+AA185+AA194+#REF!+#REF!</f>
        <v>#REF!</v>
      </c>
      <c r="AB198" s="139" t="e">
        <f aca="false">AB177+AB185+AB194+#REF!+#REF!</f>
        <v>#REF!</v>
      </c>
      <c r="AC198" s="139" t="e">
        <f aca="false">AC177+AC185+AC194+#REF!+#REF!</f>
        <v>#REF!</v>
      </c>
      <c r="AD198" s="139" t="e">
        <f aca="false">AD177+AD185+AD194+#REF!+#REF!</f>
        <v>#REF!</v>
      </c>
      <c r="AF198" s="181" t="s">
        <v>1276</v>
      </c>
      <c r="AG198" s="139" t="e">
        <f aca="false">AG177+AG185+AG194+#REF!+#REF!</f>
        <v>#REF!</v>
      </c>
      <c r="AH198" s="139" t="e">
        <f aca="false">AH177+AH185+AH194+#REF!+#REF!</f>
        <v>#REF!</v>
      </c>
      <c r="AI198" s="139" t="e">
        <f aca="false">AI177+AI185+AI194+#REF!+#REF!</f>
        <v>#REF!</v>
      </c>
      <c r="AJ198" s="139" t="e">
        <f aca="false">AJ177+AJ185+AJ194+#REF!+#REF!</f>
        <v>#REF!</v>
      </c>
      <c r="AK198" s="139" t="e">
        <f aca="false">AK177+AK185+AK194+#REF!+#REF!</f>
        <v>#REF!</v>
      </c>
      <c r="AL198" s="139" t="e">
        <f aca="false">AL177+AL185+AL194+#REF!+#REF!</f>
        <v>#REF!</v>
      </c>
      <c r="AM198" s="139" t="e">
        <f aca="false">AM177+AM185+AM194+#REF!+#REF!</f>
        <v>#REF!</v>
      </c>
      <c r="AN198" s="139" t="e">
        <f aca="false">AN177+AN185+AN194+#REF!+#REF!</f>
        <v>#REF!</v>
      </c>
      <c r="AO198" s="139" t="e">
        <f aca="false">AO177+AO185+AO194+#REF!+#REF!</f>
        <v>#REF!</v>
      </c>
      <c r="AP198" s="139" t="e">
        <f aca="false">AP177+AP185+AP194+#REF!+#REF!</f>
        <v>#REF!</v>
      </c>
      <c r="AQ198" s="139" t="e">
        <f aca="false">AQ177+AQ185+AQ194+#REF!+#REF!</f>
        <v>#REF!</v>
      </c>
      <c r="AR198" s="139" t="e">
        <f aca="false">AR177+AR185+AR194+#REF!+#REF!</f>
        <v>#REF!</v>
      </c>
      <c r="AS198" s="139" t="e">
        <f aca="false">AS177+AS185+AS194+#REF!+#REF!</f>
        <v>#REF!</v>
      </c>
    </row>
    <row r="199" customFormat="false" ht="13.8" hidden="false" customHeight="false" outlineLevel="0" collapsed="false"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</row>
    <row r="200" customFormat="false" ht="45.6" hidden="false" customHeight="true" outlineLevel="0" collapsed="false"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</row>
    <row r="201" customFormat="false" ht="16.2" hidden="false" customHeight="false" outlineLevel="0" collapsed="false">
      <c r="A201" s="7"/>
      <c r="B201" s="368" t="s">
        <v>1277</v>
      </c>
      <c r="C201" s="369" t="n">
        <f aca="false">C161-C198</f>
        <v>-670540.720362003</v>
      </c>
      <c r="D201" s="369" t="n">
        <f aca="false">D161-D198</f>
        <v>-547370.92790162</v>
      </c>
      <c r="E201" s="369" t="n">
        <f aca="false">E161-E198</f>
        <v>-647577.536256239</v>
      </c>
      <c r="F201" s="369" t="n">
        <f aca="false">F161-F198</f>
        <v>-639932.86047466</v>
      </c>
      <c r="G201" s="369" t="n">
        <f aca="false">G161-G198</f>
        <v>-829380.984482102</v>
      </c>
      <c r="H201" s="369" t="n">
        <f aca="false">H161-H198</f>
        <v>-770677.76210677</v>
      </c>
      <c r="I201" s="369" t="n">
        <f aca="false">I161-I198</f>
        <v>-206393.499715929</v>
      </c>
      <c r="J201" s="369" t="n">
        <f aca="false">J161-J198</f>
        <v>-205309.595568395</v>
      </c>
      <c r="K201" s="369" t="n">
        <f aca="false">K161-K198</f>
        <v>-183323.049197849</v>
      </c>
      <c r="L201" s="369" t="n">
        <f aca="false">L161-L198</f>
        <v>-122299.810338752</v>
      </c>
      <c r="M201" s="369" t="n">
        <f aca="false">M161-M198</f>
        <v>-49670.9165810477</v>
      </c>
      <c r="N201" s="369" t="n">
        <f aca="false">N161-N198</f>
        <v>-16678.1012059862</v>
      </c>
      <c r="O201" s="369" t="n">
        <f aca="false">O161-O198</f>
        <v>-4889155.76419135</v>
      </c>
      <c r="P201" s="7"/>
      <c r="Q201" s="7" t="s">
        <v>1278</v>
      </c>
      <c r="R201" s="176" t="e">
        <f aca="false">R161-R198</f>
        <v>#REF!</v>
      </c>
      <c r="S201" s="176" t="e">
        <f aca="false">S161-S198</f>
        <v>#REF!</v>
      </c>
      <c r="T201" s="176" t="e">
        <f aca="false">T161-T198</f>
        <v>#REF!</v>
      </c>
      <c r="U201" s="176" t="e">
        <f aca="false">U161-U198</f>
        <v>#REF!</v>
      </c>
      <c r="V201" s="176" t="e">
        <f aca="false">V161-V198</f>
        <v>#REF!</v>
      </c>
      <c r="W201" s="176" t="e">
        <f aca="false">W161-W198</f>
        <v>#REF!</v>
      </c>
      <c r="X201" s="176" t="e">
        <f aca="false">X161-X198</f>
        <v>#REF!</v>
      </c>
      <c r="Y201" s="176" t="e">
        <f aca="false">Y161-Y198</f>
        <v>#REF!</v>
      </c>
      <c r="Z201" s="176" t="e">
        <f aca="false">Z161-Z198</f>
        <v>#REF!</v>
      </c>
      <c r="AA201" s="176" t="e">
        <f aca="false">AA161-AA198</f>
        <v>#REF!</v>
      </c>
      <c r="AB201" s="176" t="e">
        <f aca="false">AB161-AB198</f>
        <v>#REF!</v>
      </c>
      <c r="AC201" s="176" t="e">
        <f aca="false">AC161-AC198</f>
        <v>#REF!</v>
      </c>
      <c r="AD201" s="176" t="e">
        <f aca="false">AD161-AD198</f>
        <v>#REF!</v>
      </c>
      <c r="AE201" s="7"/>
      <c r="AF201" s="7" t="s">
        <v>1278</v>
      </c>
      <c r="AG201" s="176" t="e">
        <f aca="false">AG161-AG198</f>
        <v>#REF!</v>
      </c>
      <c r="AH201" s="176" t="e">
        <f aca="false">AH161-AH198</f>
        <v>#REF!</v>
      </c>
      <c r="AI201" s="176" t="e">
        <f aca="false">AI161-AI198</f>
        <v>#REF!</v>
      </c>
      <c r="AJ201" s="176" t="e">
        <f aca="false">AJ161-AJ198</f>
        <v>#REF!</v>
      </c>
      <c r="AK201" s="176" t="e">
        <f aca="false">AK161-AK198</f>
        <v>#REF!</v>
      </c>
      <c r="AL201" s="176" t="e">
        <f aca="false">AL161-AL198</f>
        <v>#REF!</v>
      </c>
      <c r="AM201" s="176" t="e">
        <f aca="false">AM161-AM198</f>
        <v>#REF!</v>
      </c>
      <c r="AN201" s="176" t="e">
        <f aca="false">AN161-AN198</f>
        <v>#REF!</v>
      </c>
      <c r="AO201" s="176" t="e">
        <f aca="false">AO161-AO198</f>
        <v>#REF!</v>
      </c>
      <c r="AP201" s="176" t="e">
        <f aca="false">AP161-AP198</f>
        <v>#REF!</v>
      </c>
      <c r="AQ201" s="176" t="e">
        <f aca="false">AQ161-AQ198</f>
        <v>#REF!</v>
      </c>
      <c r="AR201" s="176" t="e">
        <f aca="false">AR161-AR198</f>
        <v>#REF!</v>
      </c>
      <c r="AS201" s="176" t="e">
        <f aca="false">AS161-AS198</f>
        <v>#REF!</v>
      </c>
    </row>
    <row r="202" customFormat="false" ht="13.2" hidden="true" customHeight="false" outlineLevel="0" collapsed="false"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5"/>
    </row>
    <row r="203" customFormat="false" ht="13.8" hidden="false" customHeight="false" outlineLevel="0" collapsed="false">
      <c r="B203" s="394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5"/>
    </row>
    <row r="204" customFormat="false" ht="13.2" hidden="true" customHeight="false" outlineLevel="0" collapsed="false"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5"/>
    </row>
    <row r="205" customFormat="false" ht="13.2" hidden="false" customHeight="false" outlineLevel="0" collapsed="false"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</row>
    <row r="206" customFormat="false" ht="13.2" hidden="false" customHeight="false" outlineLevel="0" collapsed="false"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</row>
    <row r="207" customFormat="false" ht="13.2" hidden="false" customHeight="false" outlineLevel="0" collapsed="false"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</row>
    <row r="208" customFormat="false" ht="13.2" hidden="false" customHeight="false" outlineLevel="0" collapsed="false"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</row>
    <row r="209" customFormat="false" ht="13.2" hidden="false" customHeight="false" outlineLevel="0" collapsed="false"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</row>
    <row r="210" customFormat="false" ht="13.2" hidden="false" customHeight="false" outlineLevel="0" collapsed="false"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</row>
    <row r="211" customFormat="false" ht="13.2" hidden="true" customHeight="false" outlineLevel="0" collapsed="false"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5"/>
    </row>
    <row r="212" customFormat="false" ht="13.2" hidden="true" customHeight="false" outlineLevel="0" collapsed="false"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5"/>
    </row>
    <row r="213" customFormat="false" ht="13.2" hidden="false" customHeight="false" outlineLevel="0" collapsed="false">
      <c r="B213" s="395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</row>
    <row r="214" customFormat="false" ht="13.2" hidden="true" customHeight="false" outlineLevel="0" collapsed="false"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5"/>
    </row>
    <row r="215" customFormat="false" ht="13.2" hidden="true" customHeight="false" outlineLevel="0" collapsed="false"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5"/>
    </row>
    <row r="216" customFormat="false" ht="13.2" hidden="false" customHeight="false" outlineLevel="0" collapsed="false">
      <c r="B216" s="395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</row>
    <row r="217" customFormat="false" ht="13.2" hidden="true" customHeight="false" outlineLevel="0" collapsed="false"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5"/>
    </row>
    <row r="218" customFormat="false" ht="13.2" hidden="false" customHeight="false" outlineLevel="0" collapsed="false">
      <c r="B218" s="7"/>
      <c r="C218" s="366"/>
      <c r="D218" s="366"/>
      <c r="E218" s="366"/>
      <c r="F218" s="366"/>
      <c r="G218" s="366"/>
      <c r="H218" s="366"/>
      <c r="I218" s="366"/>
      <c r="J218" s="366"/>
      <c r="K218" s="366"/>
      <c r="L218" s="366"/>
      <c r="M218" s="366"/>
      <c r="N218" s="366"/>
      <c r="O218" s="366"/>
    </row>
    <row r="219" customFormat="false" ht="13.2" hidden="true" customHeight="false" outlineLevel="0" collapsed="false"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5"/>
    </row>
    <row r="220" customFormat="false" ht="13.2" hidden="true" customHeight="false" outlineLevel="0" collapsed="false"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5"/>
    </row>
    <row r="221" customFormat="false" ht="13.2" hidden="false" customHeight="false" outlineLevel="0" collapsed="false"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39"/>
    </row>
    <row r="222" customFormat="false" ht="13.2" hidden="true" customHeight="false" outlineLevel="0" collapsed="false"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5"/>
    </row>
    <row r="223" customFormat="false" ht="12.75" hidden="false" customHeight="true" outlineLevel="0" collapsed="false"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5"/>
    </row>
    <row r="224" customFormat="false" ht="12.75" hidden="false" customHeight="true" outlineLevel="0" collapsed="false"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5"/>
    </row>
    <row r="225" customFormat="false" ht="12.75" hidden="false" customHeight="true" outlineLevel="0" collapsed="false"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</row>
    <row r="226" customFormat="false" ht="12.75" hidden="true" customHeight="true" outlineLevel="0" collapsed="false"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5"/>
    </row>
    <row r="227" customFormat="false" ht="12.75" hidden="false" customHeight="true" outlineLevel="0" collapsed="false"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5"/>
    </row>
    <row r="228" customFormat="false" ht="12.75" hidden="true" customHeight="true" outlineLevel="0" collapsed="false"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5"/>
    </row>
    <row r="229" customFormat="false" ht="12.75" hidden="false" customHeight="true" outlineLevel="0" collapsed="false"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5"/>
    </row>
    <row r="230" customFormat="false" ht="13.2" hidden="false" customHeight="false" outlineLevel="0" collapsed="false"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</row>
    <row r="231" customFormat="false" ht="13.2" hidden="false" customHeight="false" outlineLevel="0" collapsed="false"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</row>
    <row r="232" customFormat="false" ht="13.2" hidden="false" customHeight="false" outlineLevel="0" collapsed="false"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</row>
    <row r="233" customFormat="false" ht="13.2" hidden="false" customHeight="false" outlineLevel="0" collapsed="false"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</row>
    <row r="234" customFormat="false" ht="13.2" hidden="false" customHeight="false" outlineLevel="0" collapsed="false"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</row>
    <row r="235" customFormat="false" ht="13.2" hidden="false" customHeight="false" outlineLevel="0" collapsed="false"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</row>
    <row r="236" customFormat="false" ht="13.2" hidden="false" customHeight="false" outlineLevel="0" collapsed="false"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</row>
    <row r="237" customFormat="false" ht="13.2" hidden="false" customHeight="false" outlineLevel="0" collapsed="false"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</row>
    <row r="238" customFormat="false" ht="13.2" hidden="false" customHeight="false" outlineLevel="0" collapsed="false"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</row>
    <row r="239" customFormat="false" ht="13.2" hidden="false" customHeight="false" outlineLevel="0" collapsed="false"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</row>
    <row r="240" customFormat="false" ht="13.2" hidden="false" customHeight="false" outlineLevel="0" collapsed="false"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</row>
    <row r="241" customFormat="false" ht="13.2" hidden="false" customHeight="false" outlineLevel="0" collapsed="false"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</row>
    <row r="242" customFormat="false" ht="13.2" hidden="false" customHeight="false" outlineLevel="0" collapsed="false"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</row>
    <row r="243" customFormat="false" ht="13.2" hidden="false" customHeight="false" outlineLevel="0" collapsed="false"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</row>
    <row r="244" customFormat="false" ht="13.2" hidden="false" customHeight="false" outlineLevel="0" collapsed="false"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</row>
    <row r="245" customFormat="false" ht="13.2" hidden="false" customHeight="false" outlineLevel="0" collapsed="false"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</row>
    <row r="246" customFormat="false" ht="13.2" hidden="false" customHeight="false" outlineLevel="0" collapsed="false"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</row>
    <row r="247" customFormat="false" ht="13.2" hidden="false" customHeight="false" outlineLevel="0" collapsed="false"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</row>
    <row r="248" customFormat="false" ht="13.2" hidden="false" customHeight="false" outlineLevel="0" collapsed="false"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</row>
    <row r="249" customFormat="false" ht="13.2" hidden="false" customHeight="false" outlineLevel="0" collapsed="false"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</row>
    <row r="250" customFormat="false" ht="13.2" hidden="false" customHeight="false" outlineLevel="0" collapsed="false"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</row>
    <row r="251" customFormat="false" ht="13.2" hidden="false" customHeight="false" outlineLevel="0" collapsed="false"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</row>
    <row r="252" customFormat="false" ht="13.2" hidden="false" customHeight="false" outlineLevel="0" collapsed="false"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</row>
    <row r="253" customFormat="false" ht="13.2" hidden="false" customHeight="false" outlineLevel="0" collapsed="false"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</row>
    <row r="254" customFormat="false" ht="13.2" hidden="false" customHeight="false" outlineLevel="0" collapsed="false"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</row>
    <row r="255" customFormat="false" ht="13.2" hidden="false" customHeight="false" outlineLevel="0" collapsed="false"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</row>
    <row r="256" customFormat="false" ht="13.2" hidden="false" customHeight="false" outlineLevel="0" collapsed="false"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</row>
    <row r="257" customFormat="false" ht="13.2" hidden="false" customHeight="false" outlineLevel="0" collapsed="false"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</row>
    <row r="258" customFormat="false" ht="13.2" hidden="false" customHeight="false" outlineLevel="0" collapsed="false"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</row>
    <row r="259" customFormat="false" ht="13.2" hidden="false" customHeight="false" outlineLevel="0" collapsed="false"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</row>
    <row r="260" customFormat="false" ht="13.2" hidden="false" customHeight="false" outlineLevel="0" collapsed="false"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</row>
    <row r="261" customFormat="false" ht="13.2" hidden="false" customHeight="false" outlineLevel="0" collapsed="false"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</row>
    <row r="262" customFormat="false" ht="13.2" hidden="false" customHeight="false" outlineLevel="0" collapsed="false"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</row>
    <row r="263" customFormat="false" ht="13.2" hidden="false" customHeight="false" outlineLevel="0" collapsed="false"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</row>
    <row r="264" customFormat="false" ht="13.2" hidden="false" customHeight="false" outlineLevel="0" collapsed="false"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</row>
    <row r="265" customFormat="false" ht="13.2" hidden="false" customHeight="false" outlineLevel="0" collapsed="false"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</row>
    <row r="266" customFormat="false" ht="13.2" hidden="false" customHeight="false" outlineLevel="0" collapsed="false"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</row>
    <row r="267" customFormat="false" ht="13.2" hidden="false" customHeight="false" outlineLevel="0" collapsed="false"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</row>
    <row r="268" customFormat="false" ht="13.2" hidden="false" customHeight="false" outlineLevel="0" collapsed="false"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</row>
    <row r="269" customFormat="false" ht="13.2" hidden="false" customHeight="false" outlineLevel="0" collapsed="false"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</row>
    <row r="270" customFormat="false" ht="13.2" hidden="false" customHeight="false" outlineLevel="0" collapsed="false"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</row>
    <row r="271" customFormat="false" ht="13.2" hidden="false" customHeight="false" outlineLevel="0" collapsed="false"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</row>
    <row r="272" customFormat="false" ht="13.2" hidden="false" customHeight="false" outlineLevel="0" collapsed="false"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</row>
    <row r="273" customFormat="false" ht="13.2" hidden="false" customHeight="false" outlineLevel="0" collapsed="false"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</row>
    <row r="274" customFormat="false" ht="13.2" hidden="false" customHeight="false" outlineLevel="0" collapsed="false"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</row>
    <row r="275" customFormat="false" ht="13.2" hidden="false" customHeight="false" outlineLevel="0" collapsed="false"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</row>
    <row r="276" customFormat="false" ht="13.2" hidden="false" customHeight="false" outlineLevel="0" collapsed="false"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</row>
    <row r="277" customFormat="false" ht="13.2" hidden="false" customHeight="false" outlineLevel="0" collapsed="false"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</row>
    <row r="278" customFormat="false" ht="13.2" hidden="false" customHeight="false" outlineLevel="0" collapsed="false"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</row>
    <row r="279" customFormat="false" ht="13.2" hidden="false" customHeight="false" outlineLevel="0" collapsed="false"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</row>
    <row r="280" customFormat="false" ht="13.2" hidden="false" customHeight="false" outlineLevel="0" collapsed="false"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</row>
    <row r="281" customFormat="false" ht="13.2" hidden="false" customHeight="false" outlineLevel="0" collapsed="false"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</row>
    <row r="282" customFormat="false" ht="13.2" hidden="false" customHeight="false" outlineLevel="0" collapsed="false"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2" ySplit="5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B24" activeCellId="0" sqref="B24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145" width="38.55"/>
    <col collapsed="false" customWidth="true" hidden="false" outlineLevel="0" max="2" min="2" style="145" width="34.43"/>
    <col collapsed="false" customWidth="true" hidden="true" outlineLevel="0" max="3" min="3" style="145" width="9.99"/>
    <col collapsed="false" customWidth="true" hidden="false" outlineLevel="0" max="4" min="4" style="145" width="10.43"/>
    <col collapsed="false" customWidth="true" hidden="false" outlineLevel="0" max="15" min="5" style="145" width="8.66"/>
    <col collapsed="false" customWidth="true" hidden="false" outlineLevel="0" max="16" min="16" style="145" width="14.1"/>
    <col collapsed="false" customWidth="true" hidden="false" outlineLevel="0" max="17" min="17" style="145" width="11.87"/>
    <col collapsed="false" customWidth="true" hidden="false" outlineLevel="0" max="18" min="18" style="145" width="9.99"/>
    <col collapsed="false" customWidth="false" hidden="false" outlineLevel="0" max="257" min="19" style="145" width="8.87"/>
  </cols>
  <sheetData>
    <row r="1" customFormat="false" ht="13.8" hidden="false" customHeight="false" outlineLevel="0" collapsed="false">
      <c r="A1" s="26" t="s">
        <v>32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customFormat="false" ht="21" hidden="false" customHeight="false" outlineLevel="0" collapsed="false">
      <c r="A2" s="147" t="s">
        <v>1279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4" customFormat="false" ht="13.2" hidden="false" customHeight="false" outlineLevel="0" collapsed="false">
      <c r="D4" s="29" t="s">
        <v>41</v>
      </c>
      <c r="E4" s="29" t="s">
        <v>42</v>
      </c>
      <c r="F4" s="29" t="s">
        <v>43</v>
      </c>
      <c r="G4" s="29" t="s">
        <v>44</v>
      </c>
      <c r="H4" s="29" t="s">
        <v>45</v>
      </c>
      <c r="I4" s="29" t="s">
        <v>46</v>
      </c>
      <c r="J4" s="29" t="s">
        <v>47</v>
      </c>
      <c r="K4" s="29" t="s">
        <v>48</v>
      </c>
      <c r="L4" s="29" t="s">
        <v>49</v>
      </c>
      <c r="M4" s="29" t="s">
        <v>50</v>
      </c>
      <c r="N4" s="29" t="s">
        <v>51</v>
      </c>
      <c r="O4" s="29" t="s">
        <v>52</v>
      </c>
      <c r="P4" s="29" t="s">
        <v>66</v>
      </c>
    </row>
    <row r="5" customFormat="false" ht="13.2" hidden="false" customHeight="false" outlineLevel="0" collapsed="false">
      <c r="A5" s="396" t="s">
        <v>1280</v>
      </c>
      <c r="B5" s="396" t="s">
        <v>1281</v>
      </c>
      <c r="C5" s="396" t="s">
        <v>1282</v>
      </c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</row>
    <row r="6" customFormat="false" ht="13.2" hidden="false" customHeight="false" outlineLevel="0" collapsed="false">
      <c r="A6" s="45" t="s">
        <v>1161</v>
      </c>
      <c r="B6" s="45" t="s">
        <v>1283</v>
      </c>
      <c r="C6" s="45" t="s">
        <v>190</v>
      </c>
      <c r="D6" s="397" t="n">
        <f aca="false">'P&amp;L$'!C22</f>
        <v>8468.49269309373</v>
      </c>
      <c r="E6" s="397" t="n">
        <f aca="false">'P&amp;L$'!D22</f>
        <v>8456.66990712411</v>
      </c>
      <c r="F6" s="397" t="n">
        <f aca="false">'P&amp;L$'!E22</f>
        <v>8444.88008650075</v>
      </c>
      <c r="G6" s="397" t="n">
        <f aca="false">'P&amp;L$'!F22</f>
        <v>8433.12309354023</v>
      </c>
      <c r="H6" s="397" t="n">
        <f aca="false">'P&amp;L$'!G22</f>
        <v>8421.39879132478</v>
      </c>
      <c r="I6" s="397" t="n">
        <f aca="false">'P&amp;L$'!H22</f>
        <v>8409.707043697</v>
      </c>
      <c r="J6" s="397" t="n">
        <f aca="false">'P&amp;L$'!I22</f>
        <v>8398.04771525456</v>
      </c>
      <c r="K6" s="397" t="n">
        <f aca="false">'P&amp;L$'!J22</f>
        <v>8386.42067134499</v>
      </c>
      <c r="L6" s="397" t="n">
        <f aca="false">'P&amp;L$'!K22</f>
        <v>8374.82577806049</v>
      </c>
      <c r="M6" s="397" t="n">
        <f aca="false">'P&amp;L$'!L22</f>
        <v>8363.26290223279</v>
      </c>
      <c r="N6" s="397" t="n">
        <f aca="false">'P&amp;L$'!M22</f>
        <v>8351.73191142806</v>
      </c>
      <c r="O6" s="397" t="n">
        <f aca="false">'P&amp;L$'!N22</f>
        <v>8340.23267394183</v>
      </c>
      <c r="P6" s="146" t="n">
        <f aca="false">SUM(D6:O6)</f>
        <v>100848.793267543</v>
      </c>
      <c r="Q6" s="146"/>
      <c r="R6" s="146"/>
    </row>
    <row r="7" customFormat="false" ht="13.2" hidden="false" customHeight="false" outlineLevel="0" collapsed="false">
      <c r="A7" s="45" t="s">
        <v>176</v>
      </c>
      <c r="B7" s="45" t="s">
        <v>177</v>
      </c>
      <c r="C7" s="45" t="s">
        <v>175</v>
      </c>
      <c r="D7" s="397" t="n">
        <f aca="false">'P&amp;L$'!C23</f>
        <v>29046.6897792804</v>
      </c>
      <c r="E7" s="397" t="n">
        <f aca="false">'P&amp;L$'!D23</f>
        <v>26685.6469219921</v>
      </c>
      <c r="F7" s="397" t="n">
        <f aca="false">'P&amp;L$'!E23</f>
        <v>26648.4432716328</v>
      </c>
      <c r="G7" s="397" t="n">
        <f aca="false">'P&amp;L$'!F23</f>
        <v>27768.3581336242</v>
      </c>
      <c r="H7" s="397" t="n">
        <f aca="false">'P&amp;L$'!G23</f>
        <v>27729.7526704792</v>
      </c>
      <c r="I7" s="397" t="n">
        <f aca="false">'P&amp;L$'!H23</f>
        <v>29998.8589357103</v>
      </c>
      <c r="J7" s="397" t="n">
        <f aca="false">'P&amp;L$'!I23</f>
        <v>29957.2681231632</v>
      </c>
      <c r="K7" s="397" t="n">
        <f aca="false">'P&amp;L$'!J23</f>
        <v>29915.7924750497</v>
      </c>
      <c r="L7" s="397" t="n">
        <f aca="false">'P&amp;L$'!K23</f>
        <v>29874.4315136976</v>
      </c>
      <c r="M7" s="397" t="n">
        <f aca="false">'P&amp;L$'!L23</f>
        <v>28685.7545808396</v>
      </c>
      <c r="N7" s="397" t="n">
        <f aca="false">'P&amp;L$'!M23</f>
        <v>28646.2036093868</v>
      </c>
      <c r="O7" s="397" t="n">
        <f aca="false">'P&amp;L$'!N23</f>
        <v>27462.4910888793</v>
      </c>
      <c r="P7" s="146" t="n">
        <f aca="false">SUM(D7:O7)</f>
        <v>342419.691103735</v>
      </c>
      <c r="Q7" s="146"/>
      <c r="R7" s="146"/>
    </row>
    <row r="8" customFormat="false" ht="13.2" hidden="false" customHeight="false" outlineLevel="0" collapsed="false">
      <c r="A8" s="45" t="s">
        <v>1162</v>
      </c>
      <c r="B8" s="45" t="s">
        <v>1284</v>
      </c>
      <c r="C8" s="45" t="s">
        <v>178</v>
      </c>
      <c r="D8" s="397" t="n">
        <f aca="false">'P&amp;L$'!C24</f>
        <v>4647.47036468486</v>
      </c>
      <c r="E8" s="397" t="n">
        <f aca="false">'P&amp;L$'!D24</f>
        <v>4640.98207338993</v>
      </c>
      <c r="F8" s="397" t="n">
        <f aca="false">'P&amp;L$'!E24</f>
        <v>4634.51187332745</v>
      </c>
      <c r="G8" s="397" t="n">
        <f aca="false">'P&amp;L$'!F24</f>
        <v>4628.05968893737</v>
      </c>
      <c r="H8" s="397" t="n">
        <f aca="false">'P&amp;L$'!G24</f>
        <v>4621.62544507986</v>
      </c>
      <c r="I8" s="397" t="n">
        <f aca="false">'P&amp;L$'!H24</f>
        <v>4615.20906703235</v>
      </c>
      <c r="J8" s="397" t="n">
        <f aca="false">'P&amp;L$'!I24</f>
        <v>4608.81048048665</v>
      </c>
      <c r="K8" s="397" t="n">
        <f aca="false">'P&amp;L$'!J24</f>
        <v>4602.4296115461</v>
      </c>
      <c r="L8" s="397" t="n">
        <f aca="false">'P&amp;L$'!K24</f>
        <v>4596.06638672271</v>
      </c>
      <c r="M8" s="397" t="n">
        <f aca="false">'P&amp;L$'!L24</f>
        <v>4589.72073293434</v>
      </c>
      <c r="N8" s="397" t="n">
        <f aca="false">'P&amp;L$'!M24</f>
        <v>4583.39257750189</v>
      </c>
      <c r="O8" s="397" t="n">
        <f aca="false">'P&amp;L$'!N24</f>
        <v>4577.08184814656</v>
      </c>
      <c r="P8" s="146" t="n">
        <f aca="false">SUM(D8:O8)</f>
        <v>55345.3601497901</v>
      </c>
      <c r="Q8" s="146"/>
      <c r="R8" s="146"/>
    </row>
    <row r="9" customFormat="false" ht="13.2" hidden="false" customHeight="false" outlineLevel="0" collapsed="false">
      <c r="A9" s="45" t="s">
        <v>1163</v>
      </c>
      <c r="B9" s="45" t="s">
        <v>1285</v>
      </c>
      <c r="C9" s="137" t="s">
        <v>181</v>
      </c>
      <c r="D9" s="397" t="n">
        <f aca="false">'P&amp;L$'!C25</f>
        <v>2323.73518234243</v>
      </c>
      <c r="E9" s="397" t="n">
        <f aca="false">'P&amp;L$'!D25</f>
        <v>2320.49103669496</v>
      </c>
      <c r="F9" s="397" t="n">
        <f aca="false">'P&amp;L$'!E25</f>
        <v>2317.25593666372</v>
      </c>
      <c r="G9" s="397" t="n">
        <f aca="false">'P&amp;L$'!F25</f>
        <v>2314.02984446869</v>
      </c>
      <c r="H9" s="397" t="n">
        <f aca="false">'P&amp;L$'!G25</f>
        <v>2310.81272253993</v>
      </c>
      <c r="I9" s="397" t="n">
        <f aca="false">'P&amp;L$'!H25</f>
        <v>2307.60453351617</v>
      </c>
      <c r="J9" s="397" t="n">
        <f aca="false">'P&amp;L$'!I25</f>
        <v>2304.40524024333</v>
      </c>
      <c r="K9" s="397" t="n">
        <f aca="false">'P&amp;L$'!J25</f>
        <v>2301.21480577305</v>
      </c>
      <c r="L9" s="397" t="n">
        <f aca="false">'P&amp;L$'!K25</f>
        <v>2298.03319336136</v>
      </c>
      <c r="M9" s="397" t="n">
        <f aca="false">'P&amp;L$'!L25</f>
        <v>2294.86036646717</v>
      </c>
      <c r="N9" s="397" t="n">
        <f aca="false">'P&amp;L$'!M25</f>
        <v>2291.69628875094</v>
      </c>
      <c r="O9" s="397" t="n">
        <f aca="false">'P&amp;L$'!N25</f>
        <v>2288.54092407328</v>
      </c>
      <c r="P9" s="146" t="n">
        <f aca="false">SUM(D9:O9)</f>
        <v>27672.680074895</v>
      </c>
      <c r="Q9" s="146"/>
      <c r="R9" s="146"/>
    </row>
    <row r="10" customFormat="false" ht="13.2" hidden="false" customHeight="false" outlineLevel="0" collapsed="false">
      <c r="A10" s="45" t="s">
        <v>1164</v>
      </c>
      <c r="B10" s="45" t="s">
        <v>186</v>
      </c>
      <c r="C10" s="137" t="s">
        <v>184</v>
      </c>
      <c r="D10" s="397" t="n">
        <f aca="false">'P&amp;L$'!C26</f>
        <v>1045.68083205409</v>
      </c>
      <c r="E10" s="397" t="n">
        <f aca="false">'P&amp;L$'!D26</f>
        <v>1044.22096651273</v>
      </c>
      <c r="F10" s="397" t="n">
        <f aca="false">'P&amp;L$'!E26</f>
        <v>1042.76517149868</v>
      </c>
      <c r="G10" s="397" t="n">
        <f aca="false">'P&amp;L$'!F26</f>
        <v>1041.31343001091</v>
      </c>
      <c r="H10" s="397" t="n">
        <f aca="false">'P&amp;L$'!G26</f>
        <v>1039.86572514297</v>
      </c>
      <c r="I10" s="397" t="n">
        <f aca="false">'P&amp;L$'!H26</f>
        <v>1038.42204008228</v>
      </c>
      <c r="J10" s="397" t="n">
        <f aca="false">'P&amp;L$'!I26</f>
        <v>1036.9823581095</v>
      </c>
      <c r="K10" s="397" t="n">
        <f aca="false">'P&amp;L$'!J26</f>
        <v>1035.54666259787</v>
      </c>
      <c r="L10" s="397" t="n">
        <f aca="false">'P&amp;L$'!K26</f>
        <v>1034.11493701261</v>
      </c>
      <c r="M10" s="397" t="n">
        <f aca="false">'P&amp;L$'!L26</f>
        <v>1032.68716491023</v>
      </c>
      <c r="N10" s="397" t="n">
        <f aca="false">'P&amp;L$'!M26</f>
        <v>1031.26332993793</v>
      </c>
      <c r="O10" s="397" t="n">
        <f aca="false">'P&amp;L$'!N26</f>
        <v>1029.84341583297</v>
      </c>
      <c r="P10" s="146" t="n">
        <f aca="false">SUM(D10:O10)</f>
        <v>12452.7060337028</v>
      </c>
      <c r="Q10" s="146"/>
      <c r="R10" s="146"/>
    </row>
    <row r="11" customFormat="false" ht="13.2" hidden="false" customHeight="false" outlineLevel="0" collapsed="false">
      <c r="A11" s="45" t="s">
        <v>1165</v>
      </c>
      <c r="B11" s="45" t="s">
        <v>1286</v>
      </c>
      <c r="C11" s="137" t="s">
        <v>202</v>
      </c>
      <c r="D11" s="397" t="n">
        <f aca="false">'P&amp;L$'!C27</f>
        <v>16956</v>
      </c>
      <c r="E11" s="397" t="n">
        <f aca="false">'P&amp;L$'!D27</f>
        <v>16956</v>
      </c>
      <c r="F11" s="397" t="n">
        <f aca="false">'P&amp;L$'!E27</f>
        <v>17898</v>
      </c>
      <c r="G11" s="397" t="n">
        <f aca="false">'P&amp;L$'!F27</f>
        <v>18840</v>
      </c>
      <c r="H11" s="397" t="n">
        <f aca="false">'P&amp;L$'!G27</f>
        <v>18840</v>
      </c>
      <c r="I11" s="397" t="n">
        <f aca="false">'P&amp;L$'!H27</f>
        <v>20724</v>
      </c>
      <c r="J11" s="397" t="n">
        <f aca="false">'P&amp;L$'!I27</f>
        <v>21197</v>
      </c>
      <c r="K11" s="397" t="n">
        <f aca="false">'P&amp;L$'!J27</f>
        <v>22160.5</v>
      </c>
      <c r="L11" s="397" t="n">
        <f aca="false">'P&amp;L$'!K27</f>
        <v>21197</v>
      </c>
      <c r="M11" s="397" t="n">
        <f aca="false">'P&amp;L$'!L27</f>
        <v>21197</v>
      </c>
      <c r="N11" s="397" t="n">
        <f aca="false">'P&amp;L$'!M27</f>
        <v>19270</v>
      </c>
      <c r="O11" s="397" t="n">
        <f aca="false">'P&amp;L$'!N27</f>
        <v>17343</v>
      </c>
      <c r="P11" s="146" t="n">
        <f aca="false">SUM(D11:O11)</f>
        <v>232578.5</v>
      </c>
      <c r="Q11" s="146"/>
      <c r="R11" s="146"/>
    </row>
    <row r="12" customFormat="false" ht="13.2" hidden="false" customHeight="false" outlineLevel="0" collapsed="false">
      <c r="A12" s="45" t="s">
        <v>1166</v>
      </c>
      <c r="B12" s="45" t="s">
        <v>1287</v>
      </c>
      <c r="C12" s="137" t="s">
        <v>204</v>
      </c>
      <c r="D12" s="397" t="n">
        <f aca="false">'P&amp;L$'!C28</f>
        <v>46.1210142857143</v>
      </c>
      <c r="E12" s="397" t="n">
        <f aca="false">'P&amp;L$'!D28</f>
        <v>46.1210142857143</v>
      </c>
      <c r="F12" s="397" t="n">
        <f aca="false">'P&amp;L$'!E28</f>
        <v>46.1210142857143</v>
      </c>
      <c r="G12" s="397" t="n">
        <f aca="false">'P&amp;L$'!F28</f>
        <v>46.1210142857143</v>
      </c>
      <c r="H12" s="397" t="n">
        <f aca="false">'P&amp;L$'!G28</f>
        <v>46.1210142857143</v>
      </c>
      <c r="I12" s="397" t="n">
        <f aca="false">'P&amp;L$'!H28</f>
        <v>46.1210142857143</v>
      </c>
      <c r="J12" s="397" t="n">
        <f aca="false">'P&amp;L$'!I28</f>
        <v>47.1788357142857</v>
      </c>
      <c r="K12" s="397" t="n">
        <f aca="false">'P&amp;L$'!J28</f>
        <v>47.1788357142857</v>
      </c>
      <c r="L12" s="397" t="n">
        <f aca="false">'P&amp;L$'!K28</f>
        <v>47.1788357142857</v>
      </c>
      <c r="M12" s="397" t="n">
        <f aca="false">'P&amp;L$'!L28</f>
        <v>47.1788357142857</v>
      </c>
      <c r="N12" s="397" t="n">
        <f aca="false">'P&amp;L$'!M28</f>
        <v>47.1788357142857</v>
      </c>
      <c r="O12" s="397" t="n">
        <f aca="false">'P&amp;L$'!N28</f>
        <v>47.1788357142857</v>
      </c>
      <c r="P12" s="146" t="n">
        <f aca="false">SUM(D12:O12)</f>
        <v>559.7991</v>
      </c>
      <c r="Q12" s="146"/>
      <c r="R12" s="146"/>
    </row>
    <row r="13" customFormat="false" ht="13.2" hidden="false" customHeight="false" outlineLevel="0" collapsed="false">
      <c r="A13" s="45" t="s">
        <v>1167</v>
      </c>
      <c r="B13" s="45" t="s">
        <v>1288</v>
      </c>
      <c r="C13" s="137" t="s">
        <v>212</v>
      </c>
      <c r="D13" s="397" t="n">
        <f aca="false">'P&amp;L$'!C29</f>
        <v>1648</v>
      </c>
      <c r="E13" s="397" t="n">
        <f aca="false">'P&amp;L$'!D29</f>
        <v>1236</v>
      </c>
      <c r="F13" s="397" t="n">
        <f aca="false">'P&amp;L$'!E29</f>
        <v>1524.4</v>
      </c>
      <c r="G13" s="397" t="n">
        <f aca="false">'P&amp;L$'!F29</f>
        <v>1030</v>
      </c>
      <c r="H13" s="397" t="n">
        <f aca="false">'P&amp;L$'!G29</f>
        <v>206</v>
      </c>
      <c r="I13" s="397" t="n">
        <f aca="false">'P&amp;L$'!H29</f>
        <v>206</v>
      </c>
      <c r="J13" s="397" t="n">
        <f aca="false">'P&amp;L$'!I29</f>
        <v>210.5</v>
      </c>
      <c r="K13" s="397" t="n">
        <f aca="false">'P&amp;L$'!J29</f>
        <v>210.5</v>
      </c>
      <c r="L13" s="397" t="n">
        <f aca="false">'P&amp;L$'!K29</f>
        <v>421</v>
      </c>
      <c r="M13" s="397" t="n">
        <f aca="false">'P&amp;L$'!L29</f>
        <v>842</v>
      </c>
      <c r="N13" s="397" t="n">
        <f aca="false">'P&amp;L$'!M29</f>
        <v>1052.5</v>
      </c>
      <c r="O13" s="397" t="n">
        <f aca="false">'P&amp;L$'!N29</f>
        <v>1473.5</v>
      </c>
      <c r="P13" s="146" t="n">
        <f aca="false">SUM(D13:O13)</f>
        <v>10060.4</v>
      </c>
      <c r="Q13" s="146"/>
      <c r="R13" s="146"/>
    </row>
    <row r="14" customFormat="false" ht="13.2" hidden="false" customHeight="false" outlineLevel="0" collapsed="false">
      <c r="A14" s="45" t="s">
        <v>1168</v>
      </c>
      <c r="B14" s="45" t="s">
        <v>189</v>
      </c>
      <c r="C14" s="137" t="s">
        <v>187</v>
      </c>
      <c r="D14" s="397" t="n">
        <f aca="false">'P&amp;L$'!C30</f>
        <v>743.595258349578</v>
      </c>
      <c r="E14" s="397" t="n">
        <f aca="false">'P&amp;L$'!D30</f>
        <v>742.557131742389</v>
      </c>
      <c r="F14" s="397" t="n">
        <f aca="false">'P&amp;L$'!E30</f>
        <v>741.521899732391</v>
      </c>
      <c r="G14" s="397" t="n">
        <f aca="false">'P&amp;L$'!F30</f>
        <v>740.489550229979</v>
      </c>
      <c r="H14" s="397" t="n">
        <f aca="false">'P&amp;L$'!G30</f>
        <v>739.460071212778</v>
      </c>
      <c r="I14" s="397" t="n">
        <f aca="false">'P&amp;L$'!H30</f>
        <v>738.433450725176</v>
      </c>
      <c r="J14" s="397" t="n">
        <f aca="false">'P&amp;L$'!I30</f>
        <v>737.409676877864</v>
      </c>
      <c r="K14" s="397" t="n">
        <f aca="false">'P&amp;L$'!J30</f>
        <v>736.388737847376</v>
      </c>
      <c r="L14" s="397" t="n">
        <f aca="false">'P&amp;L$'!K30</f>
        <v>735.370621875634</v>
      </c>
      <c r="M14" s="397" t="n">
        <f aca="false">'P&amp;L$'!L30</f>
        <v>734.355317269494</v>
      </c>
      <c r="N14" s="397" t="n">
        <f aca="false">'P&amp;L$'!M30</f>
        <v>733.342812400302</v>
      </c>
      <c r="O14" s="397" t="n">
        <f aca="false">'P&amp;L$'!N30</f>
        <v>732.333095703449</v>
      </c>
      <c r="P14" s="146" t="n">
        <f aca="false">SUM(D14:O14)</f>
        <v>8855.25762396641</v>
      </c>
      <c r="Q14" s="146"/>
      <c r="R14" s="146"/>
    </row>
    <row r="15" customFormat="false" ht="13.8" hidden="false" customHeight="false" outlineLevel="0" collapsed="false">
      <c r="A15" s="398" t="s">
        <v>1289</v>
      </c>
      <c r="B15" s="398" t="s">
        <v>1290</v>
      </c>
      <c r="C15" s="285"/>
      <c r="D15" s="189" t="n">
        <f aca="false">SUM(D6:D14)</f>
        <v>64925.7851240908</v>
      </c>
      <c r="E15" s="189" t="n">
        <f aca="false">SUM(E6:E14)</f>
        <v>62128.6890517419</v>
      </c>
      <c r="F15" s="189" t="n">
        <f aca="false">SUM(F6:F14)</f>
        <v>63297.8992536415</v>
      </c>
      <c r="G15" s="189" t="n">
        <f aca="false">SUM(G6:G14)</f>
        <v>64841.4947550971</v>
      </c>
      <c r="H15" s="189" t="n">
        <f aca="false">SUM(H6:H14)</f>
        <v>63955.0364400652</v>
      </c>
      <c r="I15" s="189" t="n">
        <f aca="false">SUM(I6:I14)</f>
        <v>68084.3560850489</v>
      </c>
      <c r="J15" s="189" t="n">
        <f aca="false">SUM(J6:J14)</f>
        <v>68497.6024298494</v>
      </c>
      <c r="K15" s="189" t="n">
        <f aca="false">SUM(K6:K14)</f>
        <v>69395.9717998733</v>
      </c>
      <c r="L15" s="189" t="n">
        <f aca="false">SUM(L6:L14)</f>
        <v>68578.0212664447</v>
      </c>
      <c r="M15" s="189" t="n">
        <f aca="false">SUM(M6:M14)</f>
        <v>67786.8199003679</v>
      </c>
      <c r="N15" s="189" t="n">
        <f aca="false">SUM(N6:N14)</f>
        <v>66007.3093651202</v>
      </c>
      <c r="O15" s="189" t="n">
        <f aca="false">SUM(O6:O14)</f>
        <v>63294.2018822917</v>
      </c>
      <c r="P15" s="189" t="n">
        <f aca="false">SUM(P6:P14)</f>
        <v>790793.187353633</v>
      </c>
      <c r="Q15" s="366"/>
      <c r="R15" s="36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85"/>
      <c r="DJ15" s="285"/>
      <c r="DK15" s="285"/>
      <c r="DL15" s="285"/>
      <c r="DM15" s="285"/>
      <c r="DN15" s="285"/>
      <c r="DO15" s="285"/>
      <c r="DP15" s="285"/>
      <c r="DQ15" s="285"/>
      <c r="DR15" s="285"/>
      <c r="DS15" s="285"/>
      <c r="DT15" s="285"/>
      <c r="DU15" s="285"/>
      <c r="DV15" s="285"/>
      <c r="DW15" s="285"/>
      <c r="DX15" s="285"/>
      <c r="DY15" s="285"/>
      <c r="DZ15" s="285"/>
      <c r="EA15" s="285"/>
      <c r="EB15" s="285"/>
      <c r="EC15" s="285"/>
      <c r="ED15" s="285"/>
      <c r="EE15" s="285"/>
      <c r="EF15" s="285"/>
      <c r="EG15" s="285"/>
      <c r="EH15" s="285"/>
      <c r="EI15" s="285"/>
      <c r="EJ15" s="285"/>
      <c r="EK15" s="285"/>
      <c r="EL15" s="285"/>
      <c r="EM15" s="285"/>
      <c r="EN15" s="285"/>
      <c r="EO15" s="285"/>
      <c r="EP15" s="285"/>
      <c r="EQ15" s="285"/>
      <c r="ER15" s="285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285"/>
      <c r="FP15" s="285"/>
      <c r="FQ15" s="285"/>
      <c r="FR15" s="285"/>
      <c r="FS15" s="285"/>
      <c r="FT15" s="285"/>
      <c r="FU15" s="285"/>
      <c r="FV15" s="285"/>
      <c r="FW15" s="285"/>
      <c r="FX15" s="285"/>
      <c r="FY15" s="285"/>
      <c r="FZ15" s="285"/>
      <c r="GA15" s="285"/>
      <c r="GB15" s="285"/>
      <c r="GC15" s="285"/>
      <c r="GD15" s="285"/>
      <c r="GE15" s="285"/>
      <c r="GF15" s="285"/>
      <c r="GG15" s="285"/>
      <c r="GH15" s="285"/>
      <c r="GI15" s="285"/>
      <c r="GJ15" s="285"/>
      <c r="GK15" s="285"/>
      <c r="GL15" s="285"/>
      <c r="GM15" s="285"/>
      <c r="GN15" s="285"/>
      <c r="GO15" s="285"/>
      <c r="GP15" s="285"/>
      <c r="GQ15" s="285"/>
      <c r="GR15" s="285"/>
      <c r="GS15" s="285"/>
      <c r="GT15" s="285"/>
      <c r="GU15" s="285"/>
      <c r="GV15" s="285"/>
      <c r="GW15" s="285"/>
      <c r="GX15" s="285"/>
      <c r="GY15" s="285"/>
      <c r="GZ15" s="285"/>
      <c r="HA15" s="285"/>
      <c r="HB15" s="285"/>
      <c r="HC15" s="285"/>
      <c r="HD15" s="285"/>
      <c r="HE15" s="285"/>
      <c r="HF15" s="285"/>
      <c r="HG15" s="285"/>
      <c r="HH15" s="285"/>
      <c r="HI15" s="285"/>
      <c r="HJ15" s="285"/>
      <c r="HK15" s="285"/>
      <c r="HL15" s="285"/>
      <c r="HM15" s="285"/>
      <c r="HN15" s="285"/>
      <c r="HO15" s="285"/>
      <c r="HP15" s="285"/>
      <c r="HQ15" s="285"/>
      <c r="HR15" s="285"/>
      <c r="HS15" s="285"/>
      <c r="HT15" s="285"/>
      <c r="HU15" s="285"/>
      <c r="HV15" s="285"/>
      <c r="HW15" s="285"/>
      <c r="HX15" s="285"/>
      <c r="HY15" s="285"/>
      <c r="HZ15" s="285"/>
      <c r="IA15" s="285"/>
      <c r="IB15" s="285"/>
      <c r="IC15" s="285"/>
      <c r="ID15" s="285"/>
      <c r="IE15" s="285"/>
      <c r="IF15" s="285"/>
      <c r="IG15" s="285"/>
      <c r="IH15" s="285"/>
      <c r="II15" s="285"/>
      <c r="IJ15" s="285"/>
      <c r="IK15" s="285"/>
      <c r="IL15" s="285"/>
      <c r="IM15" s="285"/>
      <c r="IN15" s="285"/>
      <c r="IO15" s="285"/>
      <c r="IP15" s="285"/>
      <c r="IQ15" s="285"/>
      <c r="IR15" s="285"/>
      <c r="IS15" s="285"/>
      <c r="IT15" s="285"/>
      <c r="IU15" s="285"/>
      <c r="IV15" s="285"/>
      <c r="IW15" s="285"/>
    </row>
    <row r="16" customFormat="false" ht="27" hidden="false" customHeight="true" outlineLevel="0" collapsed="false">
      <c r="P16" s="146"/>
      <c r="Q16" s="146"/>
      <c r="R16" s="146"/>
    </row>
    <row r="17" customFormat="false" ht="13.2" hidden="false" customHeight="false" outlineLevel="0" collapsed="false">
      <c r="A17" s="26" t="s">
        <v>1291</v>
      </c>
      <c r="B17" s="26" t="s">
        <v>1292</v>
      </c>
      <c r="C17" s="396" t="s">
        <v>1282</v>
      </c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146"/>
      <c r="R17" s="146"/>
    </row>
    <row r="18" customFormat="false" ht="13.2" hidden="false" customHeight="true" outlineLevel="0" collapsed="false">
      <c r="A18" s="359" t="s">
        <v>234</v>
      </c>
      <c r="B18" s="359" t="s">
        <v>1293</v>
      </c>
      <c r="D18" s="146" t="n">
        <f aca="false">'P&amp;L$'!C43</f>
        <v>0</v>
      </c>
      <c r="E18" s="146" t="n">
        <f aca="false">'P&amp;L$'!D43</f>
        <v>0</v>
      </c>
      <c r="F18" s="146" t="n">
        <f aca="false">'P&amp;L$'!E43</f>
        <v>4353.3</v>
      </c>
      <c r="G18" s="146" t="n">
        <f aca="false">'P&amp;L$'!F43</f>
        <v>0</v>
      </c>
      <c r="H18" s="146" t="n">
        <f aca="false">'P&amp;L$'!G43</f>
        <v>0</v>
      </c>
      <c r="I18" s="146" t="n">
        <f aca="false">'P&amp;L$'!H43</f>
        <v>4353.3</v>
      </c>
      <c r="J18" s="146" t="n">
        <f aca="false">'P&amp;L$'!I43</f>
        <v>0</v>
      </c>
      <c r="K18" s="146" t="n">
        <f aca="false">'P&amp;L$'!J43</f>
        <v>0</v>
      </c>
      <c r="L18" s="146" t="n">
        <f aca="false">'P&amp;L$'!K43</f>
        <v>23679.9</v>
      </c>
      <c r="M18" s="146" t="n">
        <f aca="false">'P&amp;L$'!L43</f>
        <v>0</v>
      </c>
      <c r="N18" s="146" t="n">
        <f aca="false">'P&amp;L$'!M43</f>
        <v>0</v>
      </c>
      <c r="O18" s="146" t="n">
        <f aca="false">'P&amp;L$'!N43</f>
        <v>4353.3</v>
      </c>
      <c r="P18" s="146" t="n">
        <f aca="false">SUM(D18:O18)</f>
        <v>36739.8</v>
      </c>
      <c r="Q18" s="146"/>
      <c r="R18" s="146"/>
    </row>
    <row r="19" customFormat="false" ht="13.2" hidden="false" customHeight="false" outlineLevel="0" collapsed="false">
      <c r="A19" s="359" t="s">
        <v>1294</v>
      </c>
      <c r="B19" s="359" t="s">
        <v>1295</v>
      </c>
      <c r="D19" s="146" t="n">
        <f aca="false">'P&amp;L$'!C45</f>
        <v>1315</v>
      </c>
      <c r="E19" s="146" t="n">
        <f aca="false">'P&amp;L$'!D45</f>
        <v>1315</v>
      </c>
      <c r="F19" s="146" t="n">
        <f aca="false">'P&amp;L$'!E45</f>
        <v>1315</v>
      </c>
      <c r="G19" s="146" t="n">
        <f aca="false">'P&amp;L$'!F45</f>
        <v>1315</v>
      </c>
      <c r="H19" s="146" t="n">
        <f aca="false">'P&amp;L$'!G45</f>
        <v>51315</v>
      </c>
      <c r="I19" s="146" t="n">
        <f aca="false">'P&amp;L$'!H45</f>
        <v>1315</v>
      </c>
      <c r="J19" s="146" t="n">
        <f aca="false">'P&amp;L$'!I45</f>
        <v>1315</v>
      </c>
      <c r="K19" s="146" t="n">
        <f aca="false">'P&amp;L$'!J45</f>
        <v>1315</v>
      </c>
      <c r="L19" s="146" t="n">
        <f aca="false">'P&amp;L$'!K45</f>
        <v>1315</v>
      </c>
      <c r="M19" s="146" t="n">
        <f aca="false">'P&amp;L$'!L45</f>
        <v>1315</v>
      </c>
      <c r="N19" s="146" t="n">
        <f aca="false">'P&amp;L$'!M45</f>
        <v>1315</v>
      </c>
      <c r="O19" s="146" t="n">
        <f aca="false">'P&amp;L$'!N45</f>
        <v>1315</v>
      </c>
      <c r="P19" s="146" t="n">
        <f aca="false">SUM(D19:O19)</f>
        <v>65780</v>
      </c>
      <c r="Q19" s="146"/>
      <c r="R19" s="146"/>
    </row>
    <row r="20" customFormat="false" ht="13.2" hidden="false" customHeight="false" outlineLevel="0" collapsed="false">
      <c r="A20" s="359" t="s">
        <v>1296</v>
      </c>
      <c r="B20" s="170" t="s">
        <v>273</v>
      </c>
      <c r="D20" s="146" t="n">
        <f aca="false">'P&amp;L$'!C47</f>
        <v>19678</v>
      </c>
      <c r="E20" s="146" t="n">
        <f aca="false">'P&amp;L$'!D47</f>
        <v>19678</v>
      </c>
      <c r="F20" s="146" t="n">
        <f aca="false">'P&amp;L$'!E47</f>
        <v>19678</v>
      </c>
      <c r="G20" s="146" t="n">
        <f aca="false">'P&amp;L$'!F47</f>
        <v>19678</v>
      </c>
      <c r="H20" s="146" t="n">
        <f aca="false">'P&amp;L$'!G47</f>
        <v>19678</v>
      </c>
      <c r="I20" s="146" t="n">
        <f aca="false">'P&amp;L$'!H47</f>
        <v>19678</v>
      </c>
      <c r="J20" s="146" t="n">
        <f aca="false">'P&amp;L$'!I47</f>
        <v>19678</v>
      </c>
      <c r="K20" s="146" t="n">
        <f aca="false">'P&amp;L$'!J47</f>
        <v>19678</v>
      </c>
      <c r="L20" s="146" t="n">
        <f aca="false">'P&amp;L$'!K47</f>
        <v>19678</v>
      </c>
      <c r="M20" s="146" t="n">
        <f aca="false">'P&amp;L$'!L47</f>
        <v>19678</v>
      </c>
      <c r="N20" s="146" t="n">
        <f aca="false">'P&amp;L$'!M47</f>
        <v>19678</v>
      </c>
      <c r="O20" s="146" t="n">
        <f aca="false">'P&amp;L$'!N47</f>
        <v>19678</v>
      </c>
      <c r="P20" s="146" t="n">
        <f aca="false">SUM(D20:O20)</f>
        <v>236136</v>
      </c>
      <c r="Q20" s="146"/>
      <c r="R20" s="146"/>
    </row>
    <row r="21" customFormat="false" ht="13.2" hidden="false" customHeight="false" outlineLevel="0" collapsed="false">
      <c r="A21" s="280" t="s">
        <v>1297</v>
      </c>
      <c r="B21" s="170" t="s">
        <v>1298</v>
      </c>
      <c r="D21" s="146" t="n">
        <f aca="false">'P&amp;L$'!C49</f>
        <v>7045</v>
      </c>
      <c r="E21" s="146" t="n">
        <f aca="false">'P&amp;L$'!D49</f>
        <v>7045</v>
      </c>
      <c r="F21" s="146" t="n">
        <f aca="false">'P&amp;L$'!E49</f>
        <v>7045</v>
      </c>
      <c r="G21" s="146" t="n">
        <f aca="false">'P&amp;L$'!F49</f>
        <v>7045</v>
      </c>
      <c r="H21" s="146" t="n">
        <f aca="false">'P&amp;L$'!G49</f>
        <v>7045</v>
      </c>
      <c r="I21" s="146" t="n">
        <f aca="false">'P&amp;L$'!H49</f>
        <v>7045</v>
      </c>
      <c r="J21" s="146" t="n">
        <f aca="false">'P&amp;L$'!I49</f>
        <v>7045</v>
      </c>
      <c r="K21" s="146" t="n">
        <f aca="false">'P&amp;L$'!J49</f>
        <v>7045</v>
      </c>
      <c r="L21" s="146" t="n">
        <f aca="false">'P&amp;L$'!K49</f>
        <v>7045</v>
      </c>
      <c r="M21" s="146" t="n">
        <f aca="false">'P&amp;L$'!L49</f>
        <v>7045</v>
      </c>
      <c r="N21" s="146" t="n">
        <f aca="false">'P&amp;L$'!M49</f>
        <v>7045</v>
      </c>
      <c r="O21" s="146" t="n">
        <f aca="false">'P&amp;L$'!N49</f>
        <v>7045</v>
      </c>
      <c r="P21" s="146" t="n">
        <f aca="false">SUM(D21:O21)</f>
        <v>84540</v>
      </c>
      <c r="Q21" s="146"/>
      <c r="R21" s="146"/>
    </row>
    <row r="22" customFormat="false" ht="13.2" hidden="false" customHeight="false" outlineLevel="0" collapsed="false">
      <c r="A22" s="359" t="s">
        <v>1299</v>
      </c>
      <c r="B22" s="170" t="s">
        <v>1300</v>
      </c>
      <c r="D22" s="146" t="n">
        <f aca="false">'P&amp;L$'!C48</f>
        <v>17072</v>
      </c>
      <c r="E22" s="146" t="n">
        <f aca="false">'P&amp;L$'!D48</f>
        <v>17072</v>
      </c>
      <c r="F22" s="146" t="n">
        <f aca="false">'P&amp;L$'!E48</f>
        <v>17072</v>
      </c>
      <c r="G22" s="146" t="n">
        <f aca="false">'P&amp;L$'!F48</f>
        <v>17072</v>
      </c>
      <c r="H22" s="146" t="n">
        <f aca="false">'P&amp;L$'!G48</f>
        <v>17072</v>
      </c>
      <c r="I22" s="146" t="n">
        <f aca="false">'P&amp;L$'!H48</f>
        <v>17072</v>
      </c>
      <c r="J22" s="146" t="n">
        <f aca="false">'P&amp;L$'!I48</f>
        <v>17072</v>
      </c>
      <c r="K22" s="146" t="n">
        <f aca="false">'P&amp;L$'!J48</f>
        <v>17072</v>
      </c>
      <c r="L22" s="146" t="n">
        <f aca="false">'P&amp;L$'!K48</f>
        <v>17072</v>
      </c>
      <c r="M22" s="146" t="n">
        <f aca="false">'P&amp;L$'!L48</f>
        <v>17072</v>
      </c>
      <c r="N22" s="146" t="n">
        <f aca="false">'P&amp;L$'!M48</f>
        <v>17072</v>
      </c>
      <c r="O22" s="146" t="n">
        <f aca="false">'P&amp;L$'!N48</f>
        <v>17072</v>
      </c>
      <c r="P22" s="146" t="n">
        <f aca="false">SUM(D22:O22)</f>
        <v>204864</v>
      </c>
      <c r="Q22" s="146"/>
      <c r="R22" s="146"/>
    </row>
    <row r="23" customFormat="false" ht="13.8" hidden="false" customHeight="false" outlineLevel="0" collapsed="false">
      <c r="A23" s="398" t="s">
        <v>1289</v>
      </c>
      <c r="B23" s="398" t="s">
        <v>1290</v>
      </c>
      <c r="C23" s="398"/>
      <c r="D23" s="189" t="n">
        <f aca="false">SUM(D18:D22)</f>
        <v>45110</v>
      </c>
      <c r="E23" s="189" t="n">
        <f aca="false">SUM(E18:E22)</f>
        <v>45110</v>
      </c>
      <c r="F23" s="189" t="n">
        <f aca="false">SUM(F18:F22)</f>
        <v>49463.3</v>
      </c>
      <c r="G23" s="189" t="n">
        <f aca="false">SUM(G18:G22)</f>
        <v>45110</v>
      </c>
      <c r="H23" s="189" t="n">
        <f aca="false">SUM(H18:H22)</f>
        <v>95110</v>
      </c>
      <c r="I23" s="189" t="n">
        <f aca="false">SUM(I18:I22)</f>
        <v>49463.3</v>
      </c>
      <c r="J23" s="189" t="n">
        <f aca="false">SUM(J18:J22)</f>
        <v>45110</v>
      </c>
      <c r="K23" s="189" t="n">
        <f aca="false">SUM(K18:K22)</f>
        <v>45110</v>
      </c>
      <c r="L23" s="189" t="n">
        <f aca="false">SUM(L18:L22)</f>
        <v>68789.9</v>
      </c>
      <c r="M23" s="189" t="n">
        <f aca="false">SUM(M18:M22)</f>
        <v>45110</v>
      </c>
      <c r="N23" s="189" t="n">
        <f aca="false">SUM(N18:N22)</f>
        <v>45110</v>
      </c>
      <c r="O23" s="189" t="n">
        <f aca="false">SUM(O18:O22)</f>
        <v>49463.3</v>
      </c>
      <c r="P23" s="189" t="n">
        <f aca="false">SUM(P18:P22)</f>
        <v>628059.8</v>
      </c>
      <c r="Q23" s="361"/>
      <c r="R23" s="36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85"/>
      <c r="DJ23" s="285"/>
      <c r="DK23" s="285"/>
      <c r="DL23" s="285"/>
      <c r="DM23" s="285"/>
      <c r="DN23" s="285"/>
      <c r="DO23" s="285"/>
      <c r="DP23" s="285"/>
      <c r="DQ23" s="285"/>
      <c r="DR23" s="285"/>
      <c r="DS23" s="285"/>
      <c r="DT23" s="285"/>
      <c r="DU23" s="285"/>
      <c r="DV23" s="285"/>
      <c r="DW23" s="285"/>
      <c r="DX23" s="285"/>
      <c r="DY23" s="285"/>
      <c r="DZ23" s="285"/>
      <c r="EA23" s="285"/>
      <c r="EB23" s="285"/>
      <c r="EC23" s="285"/>
      <c r="ED23" s="285"/>
      <c r="EE23" s="285"/>
      <c r="EF23" s="285"/>
      <c r="EG23" s="285"/>
      <c r="EH23" s="285"/>
      <c r="EI23" s="285"/>
      <c r="EJ23" s="285"/>
      <c r="EK23" s="285"/>
      <c r="EL23" s="285"/>
      <c r="EM23" s="285"/>
      <c r="EN23" s="285"/>
      <c r="EO23" s="285"/>
      <c r="EP23" s="285"/>
      <c r="EQ23" s="285"/>
      <c r="ER23" s="285"/>
      <c r="ES23" s="285"/>
      <c r="ET23" s="285"/>
      <c r="EU23" s="285"/>
      <c r="EV23" s="285"/>
      <c r="EW23" s="285"/>
      <c r="EX23" s="285"/>
      <c r="EY23" s="285"/>
      <c r="EZ23" s="285"/>
      <c r="FA23" s="285"/>
      <c r="FB23" s="285"/>
      <c r="FC23" s="285"/>
      <c r="FD23" s="285"/>
      <c r="FE23" s="285"/>
      <c r="FF23" s="285"/>
      <c r="FG23" s="285"/>
      <c r="FH23" s="285"/>
      <c r="FI23" s="285"/>
      <c r="FJ23" s="285"/>
      <c r="FK23" s="285"/>
      <c r="FL23" s="285"/>
      <c r="FM23" s="285"/>
      <c r="FN23" s="285"/>
      <c r="FO23" s="285"/>
      <c r="FP23" s="285"/>
      <c r="FQ23" s="285"/>
      <c r="FR23" s="285"/>
      <c r="FS23" s="285"/>
      <c r="FT23" s="285"/>
      <c r="FU23" s="285"/>
      <c r="FV23" s="285"/>
      <c r="FW23" s="285"/>
      <c r="FX23" s="285"/>
      <c r="FY23" s="285"/>
      <c r="FZ23" s="285"/>
      <c r="GA23" s="285"/>
      <c r="GB23" s="285"/>
      <c r="GC23" s="285"/>
      <c r="GD23" s="285"/>
      <c r="GE23" s="285"/>
      <c r="GF23" s="285"/>
      <c r="GG23" s="285"/>
      <c r="GH23" s="285"/>
      <c r="GI23" s="285"/>
      <c r="GJ23" s="285"/>
      <c r="GK23" s="285"/>
      <c r="GL23" s="285"/>
      <c r="GM23" s="285"/>
      <c r="GN23" s="285"/>
      <c r="GO23" s="285"/>
      <c r="GP23" s="285"/>
      <c r="GQ23" s="285"/>
      <c r="GR23" s="285"/>
      <c r="GS23" s="285"/>
      <c r="GT23" s="285"/>
      <c r="GU23" s="285"/>
      <c r="GV23" s="285"/>
      <c r="GW23" s="285"/>
      <c r="GX23" s="285"/>
      <c r="GY23" s="285"/>
      <c r="GZ23" s="285"/>
      <c r="HA23" s="285"/>
      <c r="HB23" s="285"/>
      <c r="HC23" s="285"/>
      <c r="HD23" s="285"/>
      <c r="HE23" s="285"/>
      <c r="HF23" s="285"/>
      <c r="HG23" s="285"/>
      <c r="HH23" s="285"/>
      <c r="HI23" s="285"/>
      <c r="HJ23" s="285"/>
      <c r="HK23" s="285"/>
      <c r="HL23" s="285"/>
      <c r="HM23" s="285"/>
      <c r="HN23" s="285"/>
      <c r="HO23" s="285"/>
      <c r="HP23" s="285"/>
      <c r="HQ23" s="285"/>
      <c r="HR23" s="285"/>
      <c r="HS23" s="285"/>
      <c r="HT23" s="285"/>
      <c r="HU23" s="285"/>
      <c r="HV23" s="285"/>
      <c r="HW23" s="285"/>
      <c r="HX23" s="285"/>
      <c r="HY23" s="285"/>
      <c r="HZ23" s="285"/>
      <c r="IA23" s="285"/>
      <c r="IB23" s="285"/>
      <c r="IC23" s="285"/>
      <c r="ID23" s="285"/>
      <c r="IE23" s="285"/>
      <c r="IF23" s="285"/>
      <c r="IG23" s="285"/>
      <c r="IH23" s="285"/>
      <c r="II23" s="285"/>
      <c r="IJ23" s="285"/>
      <c r="IK23" s="285"/>
      <c r="IL23" s="285"/>
      <c r="IM23" s="285"/>
      <c r="IN23" s="285"/>
      <c r="IO23" s="285"/>
      <c r="IP23" s="285"/>
      <c r="IQ23" s="285"/>
      <c r="IR23" s="285"/>
      <c r="IS23" s="285"/>
      <c r="IT23" s="285"/>
      <c r="IU23" s="285"/>
      <c r="IV23" s="285"/>
      <c r="IW23" s="285"/>
    </row>
    <row r="24" customFormat="false" ht="32.4" hidden="false" customHeight="true" outlineLevel="0" collapsed="false">
      <c r="Q24" s="146"/>
      <c r="R24" s="146"/>
    </row>
    <row r="25" customFormat="false" ht="13.2" hidden="false" customHeight="false" outlineLevel="0" collapsed="false">
      <c r="A25" s="26" t="s">
        <v>1301</v>
      </c>
      <c r="B25" s="26" t="s">
        <v>1302</v>
      </c>
      <c r="C25" s="396" t="s">
        <v>1282</v>
      </c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146"/>
      <c r="R25" s="146"/>
    </row>
    <row r="26" customFormat="false" ht="13.2" hidden="false" customHeight="false" outlineLevel="0" collapsed="false">
      <c r="A26" s="144" t="s">
        <v>192</v>
      </c>
      <c r="B26" s="144" t="s">
        <v>1303</v>
      </c>
      <c r="C26" s="137" t="s">
        <v>1304</v>
      </c>
      <c r="D26" s="397" t="n">
        <f aca="false">'P&amp;L$'!C31</f>
        <v>1580.13992399285</v>
      </c>
      <c r="E26" s="397" t="n">
        <f aca="false">'P&amp;L$'!D31</f>
        <v>1577.93390495258</v>
      </c>
      <c r="F26" s="397" t="n">
        <f aca="false">'P&amp;L$'!E31</f>
        <v>1575.73403693133</v>
      </c>
      <c r="G26" s="397" t="n">
        <f aca="false">'P&amp;L$'!F31</f>
        <v>1573.54029423871</v>
      </c>
      <c r="H26" s="397" t="n">
        <f aca="false">'P&amp;L$'!G31</f>
        <v>1571.35265132715</v>
      </c>
      <c r="I26" s="397" t="n">
        <f aca="false">'P&amp;L$'!H31</f>
        <v>1569.171082791</v>
      </c>
      <c r="J26" s="397" t="n">
        <f aca="false">'P&amp;L$'!I31</f>
        <v>1566.99556336546</v>
      </c>
      <c r="K26" s="397" t="n">
        <f aca="false">'P&amp;L$'!J31</f>
        <v>1564.82606792567</v>
      </c>
      <c r="L26" s="397" t="n">
        <f aca="false">'P&amp;L$'!K31</f>
        <v>1562.66257148572</v>
      </c>
      <c r="M26" s="397" t="n">
        <f aca="false">'P&amp;L$'!L31</f>
        <v>1560.50504919767</v>
      </c>
      <c r="N26" s="397" t="n">
        <f aca="false">'P&amp;L$'!M31</f>
        <v>1558.35347635064</v>
      </c>
      <c r="O26" s="397" t="n">
        <f aca="false">'P&amp;L$'!N31</f>
        <v>1556.20782836983</v>
      </c>
      <c r="P26" s="146" t="n">
        <f aca="false">SUM(D26:O26)</f>
        <v>18817.4224509286</v>
      </c>
      <c r="Q26" s="146"/>
      <c r="R26" s="146"/>
    </row>
    <row r="27" customFormat="false" ht="13.2" hidden="false" customHeight="false" outlineLevel="0" collapsed="false">
      <c r="A27" s="205" t="s">
        <v>1173</v>
      </c>
      <c r="B27" s="205" t="s">
        <v>1305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146"/>
      <c r="Q27" s="146"/>
      <c r="R27" s="146"/>
    </row>
    <row r="28" customFormat="false" ht="13.2" hidden="false" customHeight="false" outlineLevel="0" collapsed="false">
      <c r="A28" s="145" t="s">
        <v>1306</v>
      </c>
      <c r="B28" s="170" t="s">
        <v>1307</v>
      </c>
      <c r="C28" s="137" t="s">
        <v>207</v>
      </c>
      <c r="D28" s="400" t="n">
        <f aca="false">'P&amp;L$'!C53</f>
        <v>11007.25</v>
      </c>
      <c r="E28" s="400" t="n">
        <f aca="false">'P&amp;L$'!D53</f>
        <v>11007.25</v>
      </c>
      <c r="F28" s="400" t="n">
        <f aca="false">'P&amp;L$'!E53</f>
        <v>11007.25</v>
      </c>
      <c r="G28" s="400" t="n">
        <f aca="false">'P&amp;L$'!F53</f>
        <v>11007.25</v>
      </c>
      <c r="H28" s="400" t="n">
        <f aca="false">'P&amp;L$'!G53</f>
        <v>13208.7</v>
      </c>
      <c r="I28" s="400" t="n">
        <f aca="false">'P&amp;L$'!H53</f>
        <v>13208.7</v>
      </c>
      <c r="J28" s="400" t="n">
        <f aca="false">'P&amp;L$'!I53</f>
        <v>13060.15</v>
      </c>
      <c r="K28" s="400" t="n">
        <f aca="false">'P&amp;L$'!J53</f>
        <v>13060.15</v>
      </c>
      <c r="L28" s="400" t="n">
        <f aca="false">'P&amp;L$'!K53</f>
        <v>13060.15</v>
      </c>
      <c r="M28" s="400" t="n">
        <f aca="false">'P&amp;L$'!L53</f>
        <v>13060.15</v>
      </c>
      <c r="N28" s="400" t="n">
        <f aca="false">'P&amp;L$'!M53</f>
        <v>11258.75</v>
      </c>
      <c r="O28" s="400" t="n">
        <f aca="false">'P&amp;L$'!N53</f>
        <v>11258.75</v>
      </c>
      <c r="P28" s="146" t="n">
        <f aca="false">SUM(D28:O28)</f>
        <v>145204.5</v>
      </c>
      <c r="Q28" s="146"/>
      <c r="R28" s="146"/>
    </row>
    <row r="29" customFormat="false" ht="13.2" hidden="false" customHeight="false" outlineLevel="0" collapsed="false">
      <c r="A29" s="170" t="s">
        <v>1175</v>
      </c>
      <c r="B29" s="170" t="s">
        <v>1308</v>
      </c>
      <c r="C29" s="166" t="s">
        <v>209</v>
      </c>
      <c r="D29" s="400" t="n">
        <f aca="false">'P&amp;L$'!C54</f>
        <v>250</v>
      </c>
      <c r="E29" s="400" t="n">
        <f aca="false">'P&amp;L$'!D54</f>
        <v>250</v>
      </c>
      <c r="F29" s="400" t="n">
        <f aca="false">'P&amp;L$'!E54</f>
        <v>250</v>
      </c>
      <c r="G29" s="400" t="n">
        <f aca="false">'P&amp;L$'!F54</f>
        <v>250</v>
      </c>
      <c r="H29" s="400" t="n">
        <f aca="false">'P&amp;L$'!G54</f>
        <v>250</v>
      </c>
      <c r="I29" s="400" t="n">
        <f aca="false">'P&amp;L$'!H54</f>
        <v>250</v>
      </c>
      <c r="J29" s="400" t="n">
        <f aca="false">'P&amp;L$'!I54</f>
        <v>250</v>
      </c>
      <c r="K29" s="400" t="n">
        <f aca="false">'P&amp;L$'!J54</f>
        <v>250</v>
      </c>
      <c r="L29" s="400" t="n">
        <f aca="false">'P&amp;L$'!K54</f>
        <v>250</v>
      </c>
      <c r="M29" s="400" t="n">
        <f aca="false">'P&amp;L$'!L54</f>
        <v>250</v>
      </c>
      <c r="N29" s="400" t="n">
        <f aca="false">'P&amp;L$'!M54</f>
        <v>250</v>
      </c>
      <c r="O29" s="400" t="n">
        <f aca="false">'P&amp;L$'!N54</f>
        <v>250</v>
      </c>
      <c r="P29" s="146" t="n">
        <f aca="false">SUM(D29:O29)</f>
        <v>3000</v>
      </c>
      <c r="Q29" s="146"/>
      <c r="R29" s="146"/>
    </row>
    <row r="30" customFormat="false" ht="13.2" hidden="false" customHeight="false" outlineLevel="0" collapsed="false">
      <c r="A30" s="170" t="s">
        <v>1171</v>
      </c>
      <c r="B30" s="170" t="s">
        <v>1309</v>
      </c>
      <c r="C30" s="166" t="s">
        <v>217</v>
      </c>
      <c r="D30" s="400" t="n">
        <f aca="false">'P&amp;L$'!C39</f>
        <v>3253.2292552794</v>
      </c>
      <c r="E30" s="400" t="n">
        <f aca="false">'P&amp;L$'!D39</f>
        <v>3248.68745137295</v>
      </c>
      <c r="F30" s="400" t="n">
        <f aca="false">'P&amp;L$'!E39</f>
        <v>3244.15831132921</v>
      </c>
      <c r="G30" s="400" t="n">
        <f aca="false">'P&amp;L$'!F39</f>
        <v>3239.64178225616</v>
      </c>
      <c r="H30" s="400" t="n">
        <f aca="false">'P&amp;L$'!G39</f>
        <v>3235.1378115559</v>
      </c>
      <c r="I30" s="400" t="n">
        <f aca="false">'P&amp;L$'!H39</f>
        <v>3230.64634692264</v>
      </c>
      <c r="J30" s="400" t="n">
        <f aca="false">'P&amp;L$'!I39</f>
        <v>3226.16733634066</v>
      </c>
      <c r="K30" s="400" t="n">
        <f aca="false">'P&amp;L$'!J39</f>
        <v>3221.70072808227</v>
      </c>
      <c r="L30" s="400" t="n">
        <f aca="false">'P&amp;L$'!K39</f>
        <v>3217.2464707059</v>
      </c>
      <c r="M30" s="400" t="n">
        <f aca="false">'P&amp;L$'!L39</f>
        <v>3212.80451305404</v>
      </c>
      <c r="N30" s="400" t="n">
        <f aca="false">'P&amp;L$'!M39</f>
        <v>3208.37480425132</v>
      </c>
      <c r="O30" s="400" t="n">
        <f aca="false">'P&amp;L$'!N39</f>
        <v>3203.95729370259</v>
      </c>
      <c r="P30" s="146" t="n">
        <f aca="false">SUM(D30:O30)</f>
        <v>38741.752104853</v>
      </c>
      <c r="Q30" s="146"/>
      <c r="R30" s="146"/>
    </row>
    <row r="31" customFormat="false" ht="13.2" hidden="false" customHeight="false" outlineLevel="0" collapsed="false">
      <c r="A31" s="291" t="s">
        <v>1310</v>
      </c>
      <c r="B31" s="205" t="s">
        <v>1311</v>
      </c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146"/>
      <c r="Q31" s="146"/>
      <c r="R31" s="146"/>
    </row>
    <row r="32" customFormat="false" ht="13.2" hidden="false" customHeight="false" outlineLevel="0" collapsed="false">
      <c r="A32" s="170" t="s">
        <v>1187</v>
      </c>
      <c r="B32" s="170" t="s">
        <v>1312</v>
      </c>
      <c r="C32" s="166" t="s">
        <v>851</v>
      </c>
      <c r="D32" s="400" t="n">
        <f aca="false">'P&amp;L$'!C67</f>
        <v>15000</v>
      </c>
      <c r="E32" s="400" t="n">
        <f aca="false">'P&amp;L$'!D67</f>
        <v>15000</v>
      </c>
      <c r="F32" s="400" t="n">
        <f aca="false">'P&amp;L$'!E67</f>
        <v>15000</v>
      </c>
      <c r="G32" s="400" t="n">
        <f aca="false">'P&amp;L$'!F67</f>
        <v>15000</v>
      </c>
      <c r="H32" s="400" t="n">
        <f aca="false">'P&amp;L$'!G67</f>
        <v>15000</v>
      </c>
      <c r="I32" s="400" t="n">
        <f aca="false">'P&amp;L$'!H67</f>
        <v>15000</v>
      </c>
      <c r="J32" s="400" t="n">
        <f aca="false">'P&amp;L$'!I67</f>
        <v>15000</v>
      </c>
      <c r="K32" s="400" t="n">
        <f aca="false">'P&amp;L$'!J67</f>
        <v>15000</v>
      </c>
      <c r="L32" s="400" t="n">
        <f aca="false">'P&amp;L$'!K67</f>
        <v>15000</v>
      </c>
      <c r="M32" s="400" t="n">
        <f aca="false">'P&amp;L$'!L67</f>
        <v>15000</v>
      </c>
      <c r="N32" s="400" t="n">
        <f aca="false">'P&amp;L$'!M67</f>
        <v>15000</v>
      </c>
      <c r="O32" s="400" t="n">
        <f aca="false">'P&amp;L$'!N67</f>
        <v>15000</v>
      </c>
      <c r="P32" s="146" t="n">
        <f aca="false">SUM(D32:O32)</f>
        <v>180000</v>
      </c>
      <c r="Q32" s="146"/>
      <c r="R32" s="146"/>
    </row>
    <row r="33" customFormat="false" ht="13.2" hidden="false" customHeight="false" outlineLevel="0" collapsed="false">
      <c r="A33" s="170" t="s">
        <v>1188</v>
      </c>
      <c r="B33" s="170" t="s">
        <v>1313</v>
      </c>
      <c r="C33" s="166" t="s">
        <v>848</v>
      </c>
      <c r="D33" s="400" t="n">
        <f aca="false">'P&amp;L$'!C68</f>
        <v>5000</v>
      </c>
      <c r="E33" s="400" t="n">
        <f aca="false">'P&amp;L$'!D68</f>
        <v>5000</v>
      </c>
      <c r="F33" s="400" t="n">
        <f aca="false">'P&amp;L$'!E68</f>
        <v>5000</v>
      </c>
      <c r="G33" s="400" t="n">
        <f aca="false">'P&amp;L$'!F68</f>
        <v>5000</v>
      </c>
      <c r="H33" s="400" t="n">
        <f aca="false">'P&amp;L$'!G68</f>
        <v>5000</v>
      </c>
      <c r="I33" s="400" t="n">
        <f aca="false">'P&amp;L$'!H68</f>
        <v>5000</v>
      </c>
      <c r="J33" s="400" t="n">
        <f aca="false">'P&amp;L$'!I68</f>
        <v>5000</v>
      </c>
      <c r="K33" s="400" t="n">
        <f aca="false">'P&amp;L$'!J68</f>
        <v>5000</v>
      </c>
      <c r="L33" s="400" t="n">
        <f aca="false">'P&amp;L$'!K68</f>
        <v>5000</v>
      </c>
      <c r="M33" s="400" t="n">
        <f aca="false">'P&amp;L$'!L68</f>
        <v>5000</v>
      </c>
      <c r="N33" s="400" t="n">
        <f aca="false">'P&amp;L$'!M68</f>
        <v>5000</v>
      </c>
      <c r="O33" s="400" t="n">
        <f aca="false">'P&amp;L$'!N68</f>
        <v>5000</v>
      </c>
      <c r="P33" s="146" t="n">
        <f aca="false">SUM(D33:O33)</f>
        <v>60000</v>
      </c>
      <c r="Q33" s="146"/>
      <c r="R33" s="146"/>
    </row>
    <row r="34" customFormat="false" ht="13.2" hidden="false" customHeight="false" outlineLevel="0" collapsed="false">
      <c r="A34" s="170" t="s">
        <v>1190</v>
      </c>
      <c r="B34" s="170" t="s">
        <v>1314</v>
      </c>
      <c r="C34" s="166" t="s">
        <v>853</v>
      </c>
      <c r="D34" s="400" t="n">
        <f aca="false">'P&amp;L$'!C70</f>
        <v>1000</v>
      </c>
      <c r="E34" s="400" t="n">
        <f aca="false">'P&amp;L$'!D70</f>
        <v>1000</v>
      </c>
      <c r="F34" s="400" t="n">
        <f aca="false">'P&amp;L$'!E70</f>
        <v>1000</v>
      </c>
      <c r="G34" s="400" t="n">
        <f aca="false">'P&amp;L$'!F70</f>
        <v>1000</v>
      </c>
      <c r="H34" s="400" t="n">
        <f aca="false">'P&amp;L$'!G70</f>
        <v>1000</v>
      </c>
      <c r="I34" s="400" t="n">
        <f aca="false">'P&amp;L$'!H70</f>
        <v>1000</v>
      </c>
      <c r="J34" s="400" t="n">
        <f aca="false">'P&amp;L$'!I70</f>
        <v>1000</v>
      </c>
      <c r="K34" s="400" t="n">
        <f aca="false">'P&amp;L$'!J70</f>
        <v>1000</v>
      </c>
      <c r="L34" s="400" t="n">
        <f aca="false">'P&amp;L$'!K70</f>
        <v>1000</v>
      </c>
      <c r="M34" s="400" t="n">
        <f aca="false">'P&amp;L$'!L70</f>
        <v>1000</v>
      </c>
      <c r="N34" s="400" t="n">
        <f aca="false">'P&amp;L$'!M70</f>
        <v>1000</v>
      </c>
      <c r="O34" s="400" t="n">
        <f aca="false">'P&amp;L$'!N70</f>
        <v>1000</v>
      </c>
      <c r="P34" s="146" t="n">
        <f aca="false">SUM(D34:O34)</f>
        <v>12000</v>
      </c>
      <c r="Q34" s="146"/>
      <c r="R34" s="146"/>
    </row>
    <row r="35" customFormat="false" ht="13.2" hidden="false" customHeight="false" outlineLevel="0" collapsed="false">
      <c r="A35" s="170" t="s">
        <v>856</v>
      </c>
      <c r="B35" s="170" t="s">
        <v>1315</v>
      </c>
      <c r="C35" s="166" t="s">
        <v>855</v>
      </c>
      <c r="D35" s="400" t="n">
        <f aca="false">'P&amp;L$'!C71</f>
        <v>4000</v>
      </c>
      <c r="E35" s="400" t="n">
        <f aca="false">'P&amp;L$'!D71</f>
        <v>4000</v>
      </c>
      <c r="F35" s="400" t="n">
        <f aca="false">'P&amp;L$'!E71</f>
        <v>4000</v>
      </c>
      <c r="G35" s="400" t="n">
        <f aca="false">'P&amp;L$'!F71</f>
        <v>4000</v>
      </c>
      <c r="H35" s="400" t="n">
        <f aca="false">'P&amp;L$'!G71</f>
        <v>4000</v>
      </c>
      <c r="I35" s="400" t="n">
        <f aca="false">'P&amp;L$'!H71</f>
        <v>4000</v>
      </c>
      <c r="J35" s="400" t="n">
        <f aca="false">'P&amp;L$'!I71</f>
        <v>4000</v>
      </c>
      <c r="K35" s="400" t="n">
        <f aca="false">'P&amp;L$'!J71</f>
        <v>4000</v>
      </c>
      <c r="L35" s="400" t="n">
        <f aca="false">'P&amp;L$'!K71</f>
        <v>4000</v>
      </c>
      <c r="M35" s="400" t="n">
        <f aca="false">'P&amp;L$'!L71</f>
        <v>4000</v>
      </c>
      <c r="N35" s="400" t="n">
        <f aca="false">'P&amp;L$'!M71</f>
        <v>4000</v>
      </c>
      <c r="O35" s="400" t="n">
        <f aca="false">'P&amp;L$'!N71</f>
        <v>4000</v>
      </c>
      <c r="P35" s="146" t="n">
        <f aca="false">SUM(D35:O35)</f>
        <v>48000</v>
      </c>
      <c r="Q35" s="146"/>
      <c r="R35" s="146"/>
    </row>
    <row r="36" customFormat="false" ht="13.2" hidden="false" customHeight="false" outlineLevel="0" collapsed="false">
      <c r="A36" s="170" t="s">
        <v>1192</v>
      </c>
      <c r="B36" s="170" t="s">
        <v>1316</v>
      </c>
      <c r="C36" s="166" t="s">
        <v>860</v>
      </c>
      <c r="D36" s="400" t="n">
        <f aca="false">'P&amp;L$'!C73</f>
        <v>662.264526967593</v>
      </c>
      <c r="E36" s="400" t="n">
        <f aca="false">'P&amp;L$'!D73</f>
        <v>661.339945458065</v>
      </c>
      <c r="F36" s="400" t="n">
        <f aca="false">'P&amp;L$'!E73</f>
        <v>660.417941949161</v>
      </c>
      <c r="G36" s="400" t="n">
        <f aca="false">'P&amp;L$'!F73</f>
        <v>659.498505673575</v>
      </c>
      <c r="H36" s="400" t="n">
        <f aca="false">'P&amp;L$'!G73</f>
        <v>658.58162592388</v>
      </c>
      <c r="I36" s="400" t="n">
        <f aca="false">'P&amp;L$'!H73</f>
        <v>657.66729205211</v>
      </c>
      <c r="J36" s="400" t="n">
        <f aca="false">'P&amp;L$'!I73</f>
        <v>656.755493469348</v>
      </c>
      <c r="K36" s="400" t="n">
        <f aca="false">'P&amp;L$'!J73</f>
        <v>655.84621964532</v>
      </c>
      <c r="L36" s="400" t="n">
        <f aca="false">'P&amp;L$'!K73</f>
        <v>654.939460107986</v>
      </c>
      <c r="M36" s="400" t="n">
        <f aca="false">'P&amp;L$'!L73</f>
        <v>654.035204443143</v>
      </c>
      <c r="N36" s="400" t="n">
        <f aca="false">'P&amp;L$'!M73</f>
        <v>653.133442294019</v>
      </c>
      <c r="O36" s="400" t="n">
        <f aca="false">'P&amp;L$'!N73</f>
        <v>652.234163360884</v>
      </c>
      <c r="P36" s="146" t="n">
        <f aca="false">SUM(D36:O36)</f>
        <v>7886.71382134508</v>
      </c>
      <c r="Q36" s="146"/>
      <c r="R36" s="146"/>
    </row>
    <row r="37" customFormat="false" ht="13.2" hidden="false" customHeight="false" outlineLevel="0" collapsed="false">
      <c r="A37" s="170" t="s">
        <v>1193</v>
      </c>
      <c r="B37" s="170" t="s">
        <v>1317</v>
      </c>
      <c r="C37" s="166" t="s">
        <v>862</v>
      </c>
      <c r="D37" s="400" t="n">
        <f aca="false">'P&amp;L$'!C74</f>
        <v>650.645851055881</v>
      </c>
      <c r="E37" s="400" t="n">
        <f aca="false">'P&amp;L$'!D74</f>
        <v>649.73749027459</v>
      </c>
      <c r="F37" s="400" t="n">
        <f aca="false">'P&amp;L$'!E74</f>
        <v>648.831662265842</v>
      </c>
      <c r="G37" s="400" t="n">
        <f aca="false">'P&amp;L$'!F74</f>
        <v>647.928356451232</v>
      </c>
      <c r="H37" s="400" t="n">
        <f aca="false">'P&amp;L$'!G74</f>
        <v>647.02756231118</v>
      </c>
      <c r="I37" s="400" t="n">
        <f aca="false">'P&amp;L$'!H74</f>
        <v>646.129269384529</v>
      </c>
      <c r="J37" s="400" t="n">
        <f aca="false">'P&amp;L$'!I74</f>
        <v>645.233467268131</v>
      </c>
      <c r="K37" s="400" t="n">
        <f aca="false">'P&amp;L$'!J74</f>
        <v>644.340145616454</v>
      </c>
      <c r="L37" s="400" t="n">
        <f aca="false">'P&amp;L$'!K74</f>
        <v>643.44929414118</v>
      </c>
      <c r="M37" s="400" t="n">
        <f aca="false">'P&amp;L$'!L74</f>
        <v>642.560902610807</v>
      </c>
      <c r="N37" s="400" t="n">
        <f aca="false">'P&amp;L$'!M74</f>
        <v>641.674960850264</v>
      </c>
      <c r="O37" s="400" t="n">
        <f aca="false">'P&amp;L$'!N74</f>
        <v>640.791458740518</v>
      </c>
      <c r="P37" s="146" t="n">
        <f aca="false">SUM(D37:O37)</f>
        <v>7748.35042097061</v>
      </c>
      <c r="Q37" s="146"/>
      <c r="R37" s="146"/>
    </row>
    <row r="38" customFormat="false" ht="13.2" hidden="false" customHeight="false" outlineLevel="0" collapsed="false">
      <c r="A38" s="205" t="s">
        <v>1318</v>
      </c>
      <c r="B38" s="205" t="s">
        <v>1319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146"/>
      <c r="Q38" s="146"/>
      <c r="R38" s="146"/>
    </row>
    <row r="39" customFormat="false" ht="13.2" hidden="false" customHeight="false" outlineLevel="0" collapsed="false">
      <c r="A39" s="170" t="s">
        <v>1196</v>
      </c>
      <c r="B39" s="170" t="s">
        <v>1320</v>
      </c>
      <c r="C39" s="166" t="s">
        <v>868</v>
      </c>
      <c r="D39" s="400" t="n">
        <f aca="false">'P&amp;L$'!C78</f>
        <v>640.421416253574</v>
      </c>
      <c r="E39" s="400" t="n">
        <f aca="false">'P&amp;L$'!D78</f>
        <v>639.527329713132</v>
      </c>
      <c r="F39" s="400" t="n">
        <f aca="false">'P&amp;L$'!E78</f>
        <v>638.635736144522</v>
      </c>
      <c r="G39" s="400" t="n">
        <f aca="false">'P&amp;L$'!F78</f>
        <v>637.74662513557</v>
      </c>
      <c r="H39" s="400" t="n">
        <f aca="false">'P&amp;L$'!G78</f>
        <v>636.859986332005</v>
      </c>
      <c r="I39" s="400" t="n">
        <f aca="false">'P&amp;L$'!H78</f>
        <v>635.975809437058</v>
      </c>
      <c r="J39" s="400" t="n">
        <f aca="false">'P&amp;L$'!I78</f>
        <v>635.09408421106</v>
      </c>
      <c r="K39" s="400" t="n">
        <f aca="false">'P&amp;L$'!J78</f>
        <v>634.214800471053</v>
      </c>
      <c r="L39" s="400" t="n">
        <f aca="false">'P&amp;L$'!K78</f>
        <v>633.33794809039</v>
      </c>
      <c r="M39" s="400" t="n">
        <f aca="false">'P&amp;L$'!L78</f>
        <v>632.463516998352</v>
      </c>
      <c r="N39" s="400" t="n">
        <f aca="false">'P&amp;L$'!M78</f>
        <v>631.59149717976</v>
      </c>
      <c r="O39" s="400" t="n">
        <f aca="false">'P&amp;L$'!N78</f>
        <v>630.721878674595</v>
      </c>
      <c r="P39" s="146" t="n">
        <f aca="false">SUM(D39:O39)</f>
        <v>7626.59062864107</v>
      </c>
      <c r="Q39" s="146"/>
      <c r="R39" s="146"/>
    </row>
    <row r="40" customFormat="false" ht="13.2" hidden="false" customHeight="false" outlineLevel="0" collapsed="false">
      <c r="A40" s="170" t="s">
        <v>1197</v>
      </c>
      <c r="B40" s="170" t="s">
        <v>1321</v>
      </c>
      <c r="C40" s="166" t="s">
        <v>870</v>
      </c>
      <c r="D40" s="400" t="n">
        <f aca="false">'P&amp;L$'!C79</f>
        <v>374.400212579013</v>
      </c>
      <c r="E40" s="400" t="n">
        <f aca="false">'P&amp;L$'!D79</f>
        <v>373.877515832293</v>
      </c>
      <c r="F40" s="400" t="n">
        <f aca="false">'P&amp;L$'!E79</f>
        <v>373.356276515259</v>
      </c>
      <c r="G40" s="400" t="n">
        <f aca="false">'P&amp;L$'!F79</f>
        <v>372.836488540795</v>
      </c>
      <c r="H40" s="400" t="n">
        <f aca="false">'P&amp;L$'!G79</f>
        <v>372.318145855634</v>
      </c>
      <c r="I40" s="400" t="n">
        <f aca="false">'P&amp;L$'!H79</f>
        <v>371.801242440126</v>
      </c>
      <c r="J40" s="400" t="n">
        <f aca="false">'P&amp;L$'!I79</f>
        <v>371.285772308005</v>
      </c>
      <c r="K40" s="400" t="n">
        <f aca="false">'P&amp;L$'!J79</f>
        <v>370.771729506154</v>
      </c>
      <c r="L40" s="400" t="n">
        <f aca="false">'P&amp;L$'!K79</f>
        <v>370.259108114382</v>
      </c>
      <c r="M40" s="400" t="n">
        <f aca="false">'P&amp;L$'!L79</f>
        <v>369.74790224519</v>
      </c>
      <c r="N40" s="400" t="n">
        <f aca="false">'P&amp;L$'!M79</f>
        <v>369.238106043552</v>
      </c>
      <c r="O40" s="400" t="n">
        <f aca="false">'P&amp;L$'!N79</f>
        <v>368.729713686687</v>
      </c>
      <c r="P40" s="146" t="n">
        <f aca="false">SUM(D40:O40)</f>
        <v>4458.62221366709</v>
      </c>
      <c r="Q40" s="146"/>
      <c r="R40" s="146"/>
    </row>
    <row r="41" customFormat="false" ht="13.2" hidden="false" customHeight="false" outlineLevel="0" collapsed="false">
      <c r="A41" s="170" t="s">
        <v>1198</v>
      </c>
      <c r="B41" s="170" t="s">
        <v>1322</v>
      </c>
      <c r="C41" s="166" t="s">
        <v>872</v>
      </c>
      <c r="D41" s="400" t="n">
        <f aca="false">'P&amp;L$'!C80</f>
        <v>763.579380917723</v>
      </c>
      <c r="E41" s="400" t="n">
        <f aca="false">'P&amp;L$'!D80</f>
        <v>762.513354657965</v>
      </c>
      <c r="F41" s="400" t="n">
        <f aca="false">'P&amp;L$'!E80</f>
        <v>761.450300787699</v>
      </c>
      <c r="G41" s="400" t="n">
        <f aca="false">'P&amp;L$'!F80</f>
        <v>760.39020689241</v>
      </c>
      <c r="H41" s="400" t="n">
        <f aca="false">'P&amp;L$'!G80</f>
        <v>759.333060626621</v>
      </c>
      <c r="I41" s="400" t="n">
        <f aca="false">'P&amp;L$'!H80</f>
        <v>758.278849713415</v>
      </c>
      <c r="J41" s="400" t="n">
        <f aca="false">'P&amp;L$'!I80</f>
        <v>757.227561943957</v>
      </c>
      <c r="K41" s="400" t="n">
        <f aca="false">'P&amp;L$'!J80</f>
        <v>756.179185177025</v>
      </c>
      <c r="L41" s="400" t="n">
        <f aca="false">'P&amp;L$'!K80</f>
        <v>755.133707338542</v>
      </c>
      <c r="M41" s="400" t="n">
        <f aca="false">'P&amp;L$'!L80</f>
        <v>754.091116421112</v>
      </c>
      <c r="N41" s="400" t="n">
        <f aca="false">'P&amp;L$'!M80</f>
        <v>753.05140048356</v>
      </c>
      <c r="O41" s="400" t="n">
        <f aca="false">'P&amp;L$'!N80</f>
        <v>752.014547650479</v>
      </c>
      <c r="P41" s="146" t="n">
        <f aca="false">SUM(D41:O41)</f>
        <v>9093.24267261051</v>
      </c>
      <c r="Q41" s="146"/>
      <c r="R41" s="146"/>
    </row>
    <row r="42" customFormat="false" ht="13.2" hidden="false" customHeight="false" outlineLevel="0" collapsed="false">
      <c r="A42" s="170" t="s">
        <v>1323</v>
      </c>
      <c r="B42" s="170" t="s">
        <v>1324</v>
      </c>
      <c r="C42" s="166" t="s">
        <v>874</v>
      </c>
      <c r="D42" s="400" t="n">
        <f aca="false">'P&amp;L$'!C81</f>
        <v>232.373518234243</v>
      </c>
      <c r="E42" s="400" t="n">
        <f aca="false">'P&amp;L$'!D81</f>
        <v>232.049103669496</v>
      </c>
      <c r="F42" s="400" t="n">
        <f aca="false">'P&amp;L$'!E81</f>
        <v>231.725593666372</v>
      </c>
      <c r="G42" s="400" t="n">
        <f aca="false">'P&amp;L$'!F81</f>
        <v>231.402984446869</v>
      </c>
      <c r="H42" s="400" t="n">
        <f aca="false">'P&amp;L$'!G81</f>
        <v>231.081272253993</v>
      </c>
      <c r="I42" s="400" t="n">
        <f aca="false">'P&amp;L$'!H81</f>
        <v>230.760453351617</v>
      </c>
      <c r="J42" s="400" t="n">
        <f aca="false">'P&amp;L$'!I81</f>
        <v>230.440524024333</v>
      </c>
      <c r="K42" s="400" t="n">
        <f aca="false">'P&amp;L$'!J81</f>
        <v>230.121480577305</v>
      </c>
      <c r="L42" s="400" t="n">
        <f aca="false">'P&amp;L$'!K81</f>
        <v>229.803319336136</v>
      </c>
      <c r="M42" s="400" t="n">
        <f aca="false">'P&amp;L$'!L81</f>
        <v>229.486036646717</v>
      </c>
      <c r="N42" s="400" t="n">
        <f aca="false">'P&amp;L$'!M81</f>
        <v>229.169628875094</v>
      </c>
      <c r="O42" s="400" t="n">
        <f aca="false">'P&amp;L$'!N81</f>
        <v>228.854092407328</v>
      </c>
      <c r="P42" s="146" t="n">
        <f aca="false">SUM(D42:O42)</f>
        <v>2767.2680074895</v>
      </c>
      <c r="Q42" s="146"/>
      <c r="R42" s="146"/>
    </row>
    <row r="43" customFormat="false" ht="13.2" hidden="false" customHeight="false" outlineLevel="0" collapsed="false">
      <c r="A43" s="170" t="s">
        <v>1200</v>
      </c>
      <c r="B43" s="170" t="s">
        <v>877</v>
      </c>
      <c r="C43" s="166" t="s">
        <v>876</v>
      </c>
      <c r="D43" s="400" t="n">
        <f aca="false">'P&amp;L$'!C82</f>
        <v>4248.94978091313</v>
      </c>
      <c r="E43" s="400" t="n">
        <f aca="false">'P&amp;L$'!D82</f>
        <v>4243.01786059674</v>
      </c>
      <c r="F43" s="400" t="n">
        <f aca="false">'P&amp;L$'!E82</f>
        <v>4237.10248018962</v>
      </c>
      <c r="G43" s="400" t="n">
        <f aca="false">'P&amp;L$'!F82</f>
        <v>4231.20357061099</v>
      </c>
      <c r="H43" s="400" t="n">
        <f aca="false">'P&amp;L$'!G82</f>
        <v>4225.32106316426</v>
      </c>
      <c r="I43" s="400" t="n">
        <f aca="false">'P&amp;L$'!H82</f>
        <v>4219.45488953432</v>
      </c>
      <c r="J43" s="400" t="n">
        <f aca="false">'P&amp;L$'!I82</f>
        <v>4213.60498178492</v>
      </c>
      <c r="K43" s="400" t="n">
        <f aca="false">'P&amp;L$'!J82</f>
        <v>4207.77127235602</v>
      </c>
      <c r="L43" s="400" t="n">
        <f aca="false">'P&amp;L$'!K82</f>
        <v>4201.95369406124</v>
      </c>
      <c r="M43" s="400" t="n">
        <f aca="false">'P&amp;L$'!L82</f>
        <v>4196.15218008522</v>
      </c>
      <c r="N43" s="400" t="n">
        <f aca="false">'P&amp;L$'!M82</f>
        <v>4190.3666639811</v>
      </c>
      <c r="O43" s="400" t="n">
        <f aca="false">'P&amp;L$'!N82</f>
        <v>4184.59707966799</v>
      </c>
      <c r="P43" s="146" t="n">
        <f aca="false">SUM(D43:O43)</f>
        <v>50599.4955169456</v>
      </c>
      <c r="Q43" s="146"/>
      <c r="R43" s="146"/>
    </row>
    <row r="44" customFormat="false" ht="13.2" hidden="false" customHeight="false" outlineLevel="0" collapsed="false">
      <c r="A44" s="170" t="s">
        <v>1201</v>
      </c>
      <c r="B44" s="170" t="s">
        <v>879</v>
      </c>
      <c r="C44" s="166" t="s">
        <v>878</v>
      </c>
      <c r="D44" s="400" t="n">
        <f aca="false">'P&amp;L$'!C83</f>
        <v>573.96259003858</v>
      </c>
      <c r="E44" s="400" t="n">
        <f aca="false">'P&amp;L$'!D83</f>
        <v>573.161286063656</v>
      </c>
      <c r="F44" s="400" t="n">
        <f aca="false">'P&amp;L$'!E83</f>
        <v>572.362216355939</v>
      </c>
      <c r="G44" s="400" t="n">
        <f aca="false">'P&amp;L$'!F83</f>
        <v>571.565371583765</v>
      </c>
      <c r="H44" s="400" t="n">
        <f aca="false">'P&amp;L$'!G83</f>
        <v>570.770742467363</v>
      </c>
      <c r="I44" s="400" t="n">
        <f aca="false">'P&amp;L$'!H83</f>
        <v>569.978319778495</v>
      </c>
      <c r="J44" s="400" t="n">
        <f aca="false">'P&amp;L$'!I83</f>
        <v>569.188094340101</v>
      </c>
      <c r="K44" s="400" t="n">
        <f aca="false">'P&amp;L$'!J83</f>
        <v>568.400057025944</v>
      </c>
      <c r="L44" s="400" t="n">
        <f aca="false">'P&amp;L$'!K83</f>
        <v>567.614198760255</v>
      </c>
      <c r="M44" s="400" t="n">
        <f aca="false">'P&amp;L$'!L83</f>
        <v>566.830510517391</v>
      </c>
      <c r="N44" s="400" t="n">
        <f aca="false">'P&amp;L$'!M83</f>
        <v>566.048983321483</v>
      </c>
      <c r="O44" s="400" t="n">
        <f aca="false">'P&amp;L$'!N83</f>
        <v>565.2696082461</v>
      </c>
      <c r="P44" s="146" t="n">
        <f aca="false">SUM(D44:O44)</f>
        <v>6835.15197849907</v>
      </c>
      <c r="Q44" s="146"/>
      <c r="R44" s="146"/>
    </row>
    <row r="45" customFormat="false" ht="13.2" hidden="false" customHeight="false" outlineLevel="0" collapsed="false">
      <c r="A45" s="170" t="s">
        <v>1202</v>
      </c>
      <c r="B45" s="170" t="s">
        <v>881</v>
      </c>
      <c r="C45" s="166" t="s">
        <v>880</v>
      </c>
      <c r="D45" s="400" t="n">
        <f aca="false">'P&amp;L$'!C84</f>
        <v>69.7120554702729</v>
      </c>
      <c r="E45" s="400" t="n">
        <f aca="false">'P&amp;L$'!D84</f>
        <v>69.6147311008489</v>
      </c>
      <c r="F45" s="400" t="n">
        <f aca="false">'P&amp;L$'!E84</f>
        <v>69.5176780999117</v>
      </c>
      <c r="G45" s="400" t="n">
        <f aca="false">'P&amp;L$'!F84</f>
        <v>69.4208953340606</v>
      </c>
      <c r="H45" s="400" t="n">
        <f aca="false">'P&amp;L$'!G84</f>
        <v>69.3243816761979</v>
      </c>
      <c r="I45" s="400" t="n">
        <f aca="false">'P&amp;L$'!H84</f>
        <v>69.2281360054852</v>
      </c>
      <c r="J45" s="400" t="n">
        <f aca="false">'P&amp;L$'!I84</f>
        <v>69.1321572072997</v>
      </c>
      <c r="K45" s="400" t="n">
        <f aca="false">'P&amp;L$'!J84</f>
        <v>69.0364441731915</v>
      </c>
      <c r="L45" s="400" t="n">
        <f aca="false">'P&amp;L$'!K84</f>
        <v>68.9409958008407</v>
      </c>
      <c r="M45" s="400" t="n">
        <f aca="false">'P&amp;L$'!L84</f>
        <v>68.8458109940151</v>
      </c>
      <c r="N45" s="400" t="n">
        <f aca="false">'P&amp;L$'!M84</f>
        <v>68.7508886625283</v>
      </c>
      <c r="O45" s="400" t="n">
        <f aca="false">'P&amp;L$'!N84</f>
        <v>68.6562277221983</v>
      </c>
      <c r="P45" s="146" t="n">
        <f aca="false">SUM(D45:O45)</f>
        <v>830.180402246851</v>
      </c>
      <c r="Q45" s="146"/>
      <c r="R45" s="146"/>
    </row>
    <row r="46" customFormat="false" ht="13.2" hidden="false" customHeight="false" outlineLevel="0" collapsed="false">
      <c r="A46" s="170" t="s">
        <v>1205</v>
      </c>
      <c r="B46" s="170" t="s">
        <v>887</v>
      </c>
      <c r="C46" s="166" t="s">
        <v>886</v>
      </c>
      <c r="D46" s="400" t="n">
        <f aca="false">'P&amp;L$'!C87</f>
        <v>487.705540070029</v>
      </c>
      <c r="E46" s="400" t="n">
        <f aca="false">'P&amp;L$'!D87</f>
        <v>487.024658781539</v>
      </c>
      <c r="F46" s="400" t="n">
        <f aca="false">'P&amp;L$'!E87</f>
        <v>486.345675986982</v>
      </c>
      <c r="G46" s="400" t="n">
        <f aca="false">'P&amp;L$'!F87</f>
        <v>485.668583757088</v>
      </c>
      <c r="H46" s="400" t="n">
        <f aca="false">'P&amp;L$'!G87</f>
        <v>484.993374206681</v>
      </c>
      <c r="I46" s="400" t="n">
        <f aca="false">'P&amp;L$'!H87</f>
        <v>484.320039494375</v>
      </c>
      <c r="J46" s="400" t="n">
        <f aca="false">'P&amp;L$'!I87</f>
        <v>483.648571822269</v>
      </c>
      <c r="K46" s="400" t="n">
        <f aca="false">'P&amp;L$'!J87</f>
        <v>482.978963435648</v>
      </c>
      <c r="L46" s="400" t="n">
        <f aca="false">'P&amp;L$'!K87</f>
        <v>482.311206622681</v>
      </c>
      <c r="M46" s="400" t="n">
        <f aca="false">'P&amp;L$'!L87</f>
        <v>481.645293714129</v>
      </c>
      <c r="N46" s="400" t="n">
        <f aca="false">'P&amp;L$'!M87</f>
        <v>480.981217083048</v>
      </c>
      <c r="O46" s="400" t="n">
        <f aca="false">'P&amp;L$'!N87</f>
        <v>480.3189691445</v>
      </c>
      <c r="P46" s="146" t="n">
        <f aca="false">SUM(D46:O46)</f>
        <v>5807.94209411897</v>
      </c>
      <c r="Q46" s="146"/>
      <c r="R46" s="146"/>
    </row>
    <row r="47" customFormat="false" ht="13.2" hidden="false" customHeight="false" outlineLevel="0" collapsed="false">
      <c r="A47" s="170" t="s">
        <v>1206</v>
      </c>
      <c r="B47" s="170" t="s">
        <v>889</v>
      </c>
      <c r="C47" s="166" t="s">
        <v>888</v>
      </c>
      <c r="D47" s="400" t="n">
        <f aca="false">'P&amp;L$'!C88</f>
        <v>2290.73814275317</v>
      </c>
      <c r="E47" s="400" t="n">
        <f aca="false">'P&amp;L$'!D88</f>
        <v>2287.5400639739</v>
      </c>
      <c r="F47" s="400" t="n">
        <f aca="false">'P&amp;L$'!E88</f>
        <v>2284.3509023631</v>
      </c>
      <c r="G47" s="400" t="n">
        <f aca="false">'P&amp;L$'!F88</f>
        <v>2281.17062067723</v>
      </c>
      <c r="H47" s="400" t="n">
        <f aca="false">'P&amp;L$'!G88</f>
        <v>2277.99918187986</v>
      </c>
      <c r="I47" s="400" t="n">
        <f aca="false">'P&amp;L$'!H88</f>
        <v>2274.83654914024</v>
      </c>
      <c r="J47" s="400" t="n">
        <f aca="false">'P&amp;L$'!I88</f>
        <v>2271.68268583187</v>
      </c>
      <c r="K47" s="400" t="n">
        <f aca="false">'P&amp;L$'!J88</f>
        <v>2268.53755553107</v>
      </c>
      <c r="L47" s="400" t="n">
        <f aca="false">'P&amp;L$'!K88</f>
        <v>2265.40112201563</v>
      </c>
      <c r="M47" s="400" t="n">
        <f aca="false">'P&amp;L$'!L88</f>
        <v>2262.27334926333</v>
      </c>
      <c r="N47" s="400" t="n">
        <f aca="false">'P&amp;L$'!M88</f>
        <v>2259.15420145068</v>
      </c>
      <c r="O47" s="400" t="n">
        <f aca="false">'P&amp;L$'!N88</f>
        <v>2256.04364295144</v>
      </c>
      <c r="P47" s="146" t="n">
        <f aca="false">SUM(D47:O47)</f>
        <v>27279.7280178315</v>
      </c>
      <c r="Q47" s="146"/>
      <c r="R47" s="146"/>
    </row>
    <row r="48" customFormat="false" ht="13.2" hidden="false" customHeight="false" outlineLevel="0" collapsed="false">
      <c r="A48" s="170" t="s">
        <v>1207</v>
      </c>
      <c r="B48" s="170" t="s">
        <v>891</v>
      </c>
      <c r="C48" s="166" t="s">
        <v>890</v>
      </c>
      <c r="D48" s="400" t="n">
        <f aca="false">'P&amp;L$'!C89</f>
        <v>1133.05327491017</v>
      </c>
      <c r="E48" s="400" t="n">
        <f aca="false">'P&amp;L$'!D89</f>
        <v>1131.47142949246</v>
      </c>
      <c r="F48" s="400" t="n">
        <f aca="false">'P&amp;L$'!E89</f>
        <v>1129.89399471723</v>
      </c>
      <c r="G48" s="400" t="n">
        <f aca="false">'P&amp;L$'!F89</f>
        <v>1128.32095216293</v>
      </c>
      <c r="H48" s="400" t="n">
        <f aca="false">'P&amp;L$'!G89</f>
        <v>1126.75228351047</v>
      </c>
      <c r="I48" s="400" t="n">
        <f aca="false">'P&amp;L$'!H89</f>
        <v>1125.18797054249</v>
      </c>
      <c r="J48" s="400" t="n">
        <f aca="false">'P&amp;L$'!I89</f>
        <v>1123.62799514265</v>
      </c>
      <c r="K48" s="400" t="n">
        <f aca="false">'P&amp;L$'!J89</f>
        <v>1122.07233929494</v>
      </c>
      <c r="L48" s="400" t="n">
        <f aca="false">'P&amp;L$'!K89</f>
        <v>1120.520985083</v>
      </c>
      <c r="M48" s="400" t="n">
        <f aca="false">'P&amp;L$'!L89</f>
        <v>1118.97391468939</v>
      </c>
      <c r="N48" s="400" t="n">
        <f aca="false">'P&amp;L$'!M89</f>
        <v>1117.43111039496</v>
      </c>
      <c r="O48" s="400" t="n">
        <f aca="false">'P&amp;L$'!N89</f>
        <v>1115.89255457813</v>
      </c>
      <c r="P48" s="146" t="n">
        <f aca="false">SUM(D48:O48)</f>
        <v>13493.1988045188</v>
      </c>
      <c r="Q48" s="146"/>
      <c r="R48" s="146"/>
    </row>
    <row r="49" customFormat="false" ht="13.2" hidden="false" customHeight="false" outlineLevel="0" collapsed="false">
      <c r="A49" s="170" t="str">
        <f aca="false">Oheads!B38</f>
        <v>Enron &amp; Polpac</v>
      </c>
      <c r="B49" s="170" t="s">
        <v>1325</v>
      </c>
      <c r="C49" s="166" t="s">
        <v>892</v>
      </c>
      <c r="D49" s="400" t="n">
        <f aca="false">'P&amp;L$'!C90</f>
        <v>1170.00066430941</v>
      </c>
      <c r="E49" s="400" t="n">
        <f aca="false">'P&amp;L$'!D90</f>
        <v>1168.36723697591</v>
      </c>
      <c r="F49" s="400" t="n">
        <f aca="false">'P&amp;L$'!E90</f>
        <v>1166.73836411018</v>
      </c>
      <c r="G49" s="400" t="n">
        <f aca="false">'P&amp;L$'!F90</f>
        <v>1165.11402668998</v>
      </c>
      <c r="H49" s="400" t="n">
        <f aca="false">'P&amp;L$'!G90</f>
        <v>1163.49420579885</v>
      </c>
      <c r="I49" s="400" t="n">
        <f aca="false">'P&amp;L$'!H90</f>
        <v>1161.87888262539</v>
      </c>
      <c r="J49" s="400" t="n">
        <f aca="false">'P&amp;L$'!I90</f>
        <v>1160.26803846251</v>
      </c>
      <c r="K49" s="400" t="n">
        <f aca="false">'P&amp;L$'!J90</f>
        <v>1158.66165470673</v>
      </c>
      <c r="L49" s="400" t="n">
        <f aca="false">'P&amp;L$'!K90</f>
        <v>1157.05971285744</v>
      </c>
      <c r="M49" s="400" t="n">
        <f aca="false">'P&amp;L$'!L90</f>
        <v>1155.46219451622</v>
      </c>
      <c r="N49" s="400" t="n">
        <f aca="false">'P&amp;L$'!M90</f>
        <v>1153.8690813861</v>
      </c>
      <c r="O49" s="400" t="n">
        <f aca="false">'P&amp;L$'!N90</f>
        <v>1152.2803552709</v>
      </c>
      <c r="P49" s="146" t="n">
        <f aca="false">SUM(D49:O49)</f>
        <v>13933.1944177096</v>
      </c>
      <c r="Q49" s="146"/>
      <c r="R49" s="146"/>
    </row>
    <row r="50" customFormat="false" ht="13.2" hidden="false" customHeight="false" outlineLevel="0" collapsed="false">
      <c r="A50" s="170" t="s">
        <v>1209</v>
      </c>
      <c r="B50" s="170" t="s">
        <v>896</v>
      </c>
      <c r="C50" s="166" t="s">
        <v>895</v>
      </c>
      <c r="D50" s="400" t="n">
        <f aca="false">'P&amp;L$'!C91</f>
        <v>3941.05486925276</v>
      </c>
      <c r="E50" s="400" t="n">
        <f aca="false">'P&amp;L$'!D91</f>
        <v>3935.55279823466</v>
      </c>
      <c r="F50" s="400" t="n">
        <f aca="false">'P&amp;L$'!E91</f>
        <v>3930.06606858167</v>
      </c>
      <c r="G50" s="400" t="n">
        <f aca="false">'P&amp;L$'!F91</f>
        <v>3924.59461621889</v>
      </c>
      <c r="H50" s="400" t="n">
        <f aca="false">'P&amp;L$'!G91</f>
        <v>3919.13837742772</v>
      </c>
      <c r="I50" s="400" t="n">
        <f aca="false">'P&amp;L$'!H91</f>
        <v>3913.69728884343</v>
      </c>
      <c r="J50" s="400" t="n">
        <f aca="false">'P&amp;L$'!I91</f>
        <v>3908.27128745268</v>
      </c>
      <c r="K50" s="400" t="n">
        <f aca="false">'P&amp;L$'!J91</f>
        <v>3902.86031059109</v>
      </c>
      <c r="L50" s="400" t="n">
        <f aca="false">'P&amp;L$'!K91</f>
        <v>3897.46429594086</v>
      </c>
      <c r="M50" s="400" t="n">
        <f aca="false">'P&amp;L$'!L91</f>
        <v>3892.08318152832</v>
      </c>
      <c r="N50" s="400" t="n">
        <f aca="false">'P&amp;L$'!M91</f>
        <v>3886.7169057216</v>
      </c>
      <c r="O50" s="400" t="n">
        <f aca="false">'P&amp;L$'!N91</f>
        <v>3881.36540722828</v>
      </c>
      <c r="P50" s="146" t="n">
        <f aca="false">SUM(D50:O50)</f>
        <v>46932.865407022</v>
      </c>
      <c r="Q50" s="146"/>
      <c r="R50" s="146"/>
    </row>
    <row r="51" customFormat="false" ht="13.2" hidden="false" customHeight="false" outlineLevel="0" collapsed="false">
      <c r="A51" s="170" t="s">
        <v>1326</v>
      </c>
      <c r="B51" s="170" t="s">
        <v>898</v>
      </c>
      <c r="C51" s="166" t="s">
        <v>897</v>
      </c>
      <c r="D51" s="400" t="n">
        <f aca="false">'P&amp;L$'!C92</f>
        <v>2463.15929328298</v>
      </c>
      <c r="E51" s="400" t="n">
        <f aca="false">'P&amp;L$'!D92</f>
        <v>2459.72049889666</v>
      </c>
      <c r="F51" s="400" t="n">
        <f aca="false">'P&amp;L$'!E92</f>
        <v>2456.29129286355</v>
      </c>
      <c r="G51" s="400" t="n">
        <f aca="false">'P&amp;L$'!F92</f>
        <v>2452.87163513681</v>
      </c>
      <c r="H51" s="400" t="n">
        <f aca="false">'P&amp;L$'!G92</f>
        <v>2449.46148589233</v>
      </c>
      <c r="I51" s="400" t="n">
        <f aca="false">'P&amp;L$'!H92</f>
        <v>2446.06080552714</v>
      </c>
      <c r="J51" s="400" t="n">
        <f aca="false">'P&amp;L$'!I92</f>
        <v>2442.66955465792</v>
      </c>
      <c r="K51" s="400" t="n">
        <f aca="false">'P&amp;L$'!J92</f>
        <v>2439.28769411943</v>
      </c>
      <c r="L51" s="400" t="n">
        <f aca="false">'P&amp;L$'!K92</f>
        <v>2435.91518496304</v>
      </c>
      <c r="M51" s="400" t="n">
        <f aca="false">'P&amp;L$'!L92</f>
        <v>2432.5519884552</v>
      </c>
      <c r="N51" s="400" t="n">
        <f aca="false">'P&amp;L$'!M92</f>
        <v>2429.198066076</v>
      </c>
      <c r="O51" s="400" t="n">
        <f aca="false">'P&amp;L$'!N92</f>
        <v>2425.85337951767</v>
      </c>
      <c r="P51" s="146" t="n">
        <f aca="false">SUM(D51:O51)</f>
        <v>29333.0408793887</v>
      </c>
      <c r="Q51" s="146"/>
      <c r="R51" s="146"/>
    </row>
    <row r="52" customFormat="false" ht="13.2" hidden="false" customHeight="false" outlineLevel="0" collapsed="false">
      <c r="A52" s="170" t="s">
        <v>1211</v>
      </c>
      <c r="B52" s="170" t="s">
        <v>900</v>
      </c>
      <c r="C52" s="137" t="s">
        <v>899</v>
      </c>
      <c r="D52" s="400" t="n">
        <f aca="false">'P&amp;L$'!C93</f>
        <v>394.105486925276</v>
      </c>
      <c r="E52" s="400" t="n">
        <f aca="false">'P&amp;L$'!D93</f>
        <v>393.555279823466</v>
      </c>
      <c r="F52" s="400" t="n">
        <f aca="false">'P&amp;L$'!E93</f>
        <v>393.006606858167</v>
      </c>
      <c r="G52" s="400" t="n">
        <f aca="false">'P&amp;L$'!F93</f>
        <v>392.459461621889</v>
      </c>
      <c r="H52" s="400" t="n">
        <f aca="false">'P&amp;L$'!G93</f>
        <v>391.913837742772</v>
      </c>
      <c r="I52" s="400" t="n">
        <f aca="false">'P&amp;L$'!H93</f>
        <v>391.369728884343</v>
      </c>
      <c r="J52" s="400" t="n">
        <f aca="false">'P&amp;L$'!I93</f>
        <v>390.827128745268</v>
      </c>
      <c r="K52" s="400" t="n">
        <f aca="false">'P&amp;L$'!J93</f>
        <v>390.286031059109</v>
      </c>
      <c r="L52" s="400" t="n">
        <f aca="false">'P&amp;L$'!K93</f>
        <v>389.746429594086</v>
      </c>
      <c r="M52" s="400" t="n">
        <f aca="false">'P&amp;L$'!L93</f>
        <v>389.208318152832</v>
      </c>
      <c r="N52" s="400" t="n">
        <f aca="false">'P&amp;L$'!M93</f>
        <v>388.67169057216</v>
      </c>
      <c r="O52" s="400" t="n">
        <f aca="false">'P&amp;L$'!N93</f>
        <v>388.136540722828</v>
      </c>
      <c r="P52" s="146" t="n">
        <f aca="false">SUM(D52:O52)</f>
        <v>4693.2865407022</v>
      </c>
      <c r="Q52" s="146"/>
      <c r="R52" s="146"/>
    </row>
    <row r="53" customFormat="false" ht="13.2" hidden="false" customHeight="false" outlineLevel="0" collapsed="false">
      <c r="A53" s="170" t="s">
        <v>1212</v>
      </c>
      <c r="B53" s="170" t="s">
        <v>902</v>
      </c>
      <c r="C53" s="166" t="s">
        <v>901</v>
      </c>
      <c r="D53" s="400" t="n">
        <f aca="false">'P&amp;L$'!C94</f>
        <v>464.747036468486</v>
      </c>
      <c r="E53" s="400" t="n">
        <f aca="false">'P&amp;L$'!D94</f>
        <v>464.098207338993</v>
      </c>
      <c r="F53" s="400" t="n">
        <f aca="false">'P&amp;L$'!E94</f>
        <v>463.451187332745</v>
      </c>
      <c r="G53" s="400" t="n">
        <f aca="false">'P&amp;L$'!F94</f>
        <v>462.805968893737</v>
      </c>
      <c r="H53" s="400" t="n">
        <f aca="false">'P&amp;L$'!G94</f>
        <v>462.162544507986</v>
      </c>
      <c r="I53" s="400" t="n">
        <f aca="false">'P&amp;L$'!H94</f>
        <v>461.520906703235</v>
      </c>
      <c r="J53" s="400" t="n">
        <f aca="false">'P&amp;L$'!I94</f>
        <v>460.881048048665</v>
      </c>
      <c r="K53" s="400" t="n">
        <f aca="false">'P&amp;L$'!J94</f>
        <v>460.24296115461</v>
      </c>
      <c r="L53" s="400" t="n">
        <f aca="false">'P&amp;L$'!K94</f>
        <v>459.606638672271</v>
      </c>
      <c r="M53" s="400" t="n">
        <f aca="false">'P&amp;L$'!L94</f>
        <v>458.972073293434</v>
      </c>
      <c r="N53" s="400" t="n">
        <f aca="false">'P&amp;L$'!M94</f>
        <v>458.339257750189</v>
      </c>
      <c r="O53" s="400" t="n">
        <f aca="false">'P&amp;L$'!N94</f>
        <v>457.708184814656</v>
      </c>
      <c r="P53" s="146" t="n">
        <f aca="false">SUM(D53:O53)</f>
        <v>5534.53601497901</v>
      </c>
      <c r="Q53" s="146"/>
      <c r="R53" s="146"/>
    </row>
    <row r="54" customFormat="false" ht="13.8" hidden="false" customHeight="false" outlineLevel="0" collapsed="false">
      <c r="A54" s="398" t="s">
        <v>1289</v>
      </c>
      <c r="B54" s="398" t="s">
        <v>1290</v>
      </c>
      <c r="C54" s="285"/>
      <c r="D54" s="189" t="n">
        <f aca="false">SUM(D26:D53)</f>
        <v>61651.4928196746</v>
      </c>
      <c r="E54" s="189" t="n">
        <f aca="false">SUM(E26:E53)</f>
        <v>61616.0401472099</v>
      </c>
      <c r="F54" s="189" t="n">
        <f aca="false">SUM(F26:F53)</f>
        <v>61580.6863270485</v>
      </c>
      <c r="G54" s="189" t="n">
        <f aca="false">SUM(G26:G53)</f>
        <v>61545.4309463227</v>
      </c>
      <c r="H54" s="189" t="n">
        <f aca="false">SUM(H26:H53)</f>
        <v>63711.7235944609</v>
      </c>
      <c r="I54" s="189" t="n">
        <f aca="false">SUM(I26:I53)</f>
        <v>63676.6638631714</v>
      </c>
      <c r="J54" s="189" t="n">
        <f aca="false">SUM(J26:J53)</f>
        <v>63493.1513464271</v>
      </c>
      <c r="K54" s="189" t="n">
        <f aca="false">SUM(K26:K53)</f>
        <v>63458.2856404491</v>
      </c>
      <c r="L54" s="189" t="n">
        <f aca="false">SUM(L26:L53)</f>
        <v>63423.5163436916</v>
      </c>
      <c r="M54" s="189" t="n">
        <f aca="false">SUM(M26:M53)</f>
        <v>63388.8430568265</v>
      </c>
      <c r="N54" s="189" t="n">
        <f aca="false">SUM(N26:N53)</f>
        <v>61552.8653827281</v>
      </c>
      <c r="O54" s="189" t="n">
        <f aca="false">SUM(O26:O53)</f>
        <v>61518.3829264576</v>
      </c>
      <c r="P54" s="189" t="n">
        <f aca="false">SUM(P26:P53)</f>
        <v>750617.082394468</v>
      </c>
      <c r="Q54" s="366"/>
      <c r="R54" s="36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85"/>
      <c r="DJ54" s="285"/>
      <c r="DK54" s="285"/>
      <c r="DL54" s="285"/>
      <c r="DM54" s="285"/>
      <c r="DN54" s="285"/>
      <c r="DO54" s="285"/>
      <c r="DP54" s="285"/>
      <c r="DQ54" s="285"/>
      <c r="DR54" s="285"/>
      <c r="DS54" s="285"/>
      <c r="DT54" s="285"/>
      <c r="DU54" s="285"/>
      <c r="DV54" s="285"/>
      <c r="DW54" s="285"/>
      <c r="DX54" s="285"/>
      <c r="DY54" s="285"/>
      <c r="DZ54" s="285"/>
      <c r="EA54" s="285"/>
      <c r="EB54" s="285"/>
      <c r="EC54" s="285"/>
      <c r="ED54" s="285"/>
      <c r="EE54" s="285"/>
      <c r="EF54" s="285"/>
      <c r="EG54" s="285"/>
      <c r="EH54" s="285"/>
      <c r="EI54" s="285"/>
      <c r="EJ54" s="285"/>
      <c r="EK54" s="285"/>
      <c r="EL54" s="285"/>
      <c r="EM54" s="285"/>
      <c r="EN54" s="285"/>
      <c r="EO54" s="285"/>
      <c r="EP54" s="285"/>
      <c r="EQ54" s="285"/>
      <c r="ER54" s="285"/>
      <c r="ES54" s="285"/>
      <c r="ET54" s="285"/>
      <c r="EU54" s="285"/>
      <c r="EV54" s="285"/>
      <c r="EW54" s="285"/>
      <c r="EX54" s="285"/>
      <c r="EY54" s="285"/>
      <c r="EZ54" s="285"/>
      <c r="FA54" s="285"/>
      <c r="FB54" s="285"/>
      <c r="FC54" s="285"/>
      <c r="FD54" s="285"/>
      <c r="FE54" s="285"/>
      <c r="FF54" s="285"/>
      <c r="FG54" s="285"/>
      <c r="FH54" s="285"/>
      <c r="FI54" s="285"/>
      <c r="FJ54" s="285"/>
      <c r="FK54" s="285"/>
      <c r="FL54" s="285"/>
      <c r="FM54" s="285"/>
      <c r="FN54" s="285"/>
      <c r="FO54" s="285"/>
      <c r="FP54" s="285"/>
      <c r="FQ54" s="285"/>
      <c r="FR54" s="285"/>
      <c r="FS54" s="285"/>
      <c r="FT54" s="285"/>
      <c r="FU54" s="285"/>
      <c r="FV54" s="285"/>
      <c r="FW54" s="285"/>
      <c r="FX54" s="285"/>
      <c r="FY54" s="285"/>
      <c r="FZ54" s="285"/>
      <c r="GA54" s="285"/>
      <c r="GB54" s="285"/>
      <c r="GC54" s="285"/>
      <c r="GD54" s="285"/>
      <c r="GE54" s="285"/>
      <c r="GF54" s="285"/>
      <c r="GG54" s="285"/>
      <c r="GH54" s="285"/>
      <c r="GI54" s="285"/>
      <c r="GJ54" s="285"/>
      <c r="GK54" s="285"/>
      <c r="GL54" s="285"/>
      <c r="GM54" s="285"/>
      <c r="GN54" s="285"/>
      <c r="GO54" s="285"/>
      <c r="GP54" s="285"/>
      <c r="GQ54" s="285"/>
      <c r="GR54" s="285"/>
      <c r="GS54" s="285"/>
      <c r="GT54" s="285"/>
      <c r="GU54" s="285"/>
      <c r="GV54" s="285"/>
      <c r="GW54" s="285"/>
      <c r="GX54" s="285"/>
      <c r="GY54" s="285"/>
      <c r="GZ54" s="285"/>
      <c r="HA54" s="285"/>
      <c r="HB54" s="285"/>
      <c r="HC54" s="285"/>
      <c r="HD54" s="285"/>
      <c r="HE54" s="285"/>
      <c r="HF54" s="285"/>
      <c r="HG54" s="285"/>
      <c r="HH54" s="285"/>
      <c r="HI54" s="285"/>
      <c r="HJ54" s="285"/>
      <c r="HK54" s="285"/>
      <c r="HL54" s="285"/>
      <c r="HM54" s="285"/>
      <c r="HN54" s="285"/>
      <c r="HO54" s="285"/>
      <c r="HP54" s="285"/>
      <c r="HQ54" s="285"/>
      <c r="HR54" s="285"/>
      <c r="HS54" s="285"/>
      <c r="HT54" s="285"/>
      <c r="HU54" s="285"/>
      <c r="HV54" s="285"/>
      <c r="HW54" s="285"/>
      <c r="HX54" s="285"/>
      <c r="HY54" s="285"/>
      <c r="HZ54" s="285"/>
      <c r="IA54" s="285"/>
      <c r="IB54" s="285"/>
      <c r="IC54" s="285"/>
      <c r="ID54" s="285"/>
      <c r="IE54" s="285"/>
      <c r="IF54" s="285"/>
      <c r="IG54" s="285"/>
      <c r="IH54" s="285"/>
      <c r="II54" s="285"/>
      <c r="IJ54" s="285"/>
      <c r="IK54" s="285"/>
      <c r="IL54" s="285"/>
      <c r="IM54" s="285"/>
      <c r="IN54" s="285"/>
      <c r="IO54" s="285"/>
      <c r="IP54" s="285"/>
      <c r="IQ54" s="285"/>
      <c r="IR54" s="285"/>
      <c r="IS54" s="285"/>
      <c r="IT54" s="285"/>
      <c r="IU54" s="285"/>
      <c r="IV54" s="285"/>
      <c r="IW54" s="285"/>
    </row>
    <row r="55" customFormat="false" ht="27" hidden="false" customHeight="true" outlineLevel="0" collapsed="false">
      <c r="P55" s="146"/>
      <c r="Q55" s="146"/>
      <c r="R55" s="146"/>
    </row>
    <row r="56" customFormat="false" ht="13.2" hidden="false" customHeight="false" outlineLevel="0" collapsed="false">
      <c r="A56" s="26" t="s">
        <v>1213</v>
      </c>
      <c r="B56" s="205" t="s">
        <v>1327</v>
      </c>
      <c r="C56" s="396" t="s">
        <v>1282</v>
      </c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396"/>
      <c r="P56" s="396"/>
      <c r="Q56" s="146"/>
      <c r="R56" s="146"/>
    </row>
    <row r="57" customFormat="false" ht="13.2" hidden="false" customHeight="false" outlineLevel="0" collapsed="false">
      <c r="A57" s="170" t="s">
        <v>1215</v>
      </c>
      <c r="B57" s="170" t="s">
        <v>906</v>
      </c>
      <c r="C57" s="166" t="s">
        <v>1328</v>
      </c>
      <c r="D57" s="400" t="n">
        <f aca="false">'P&amp;L$'!C98</f>
        <v>2025.13521141143</v>
      </c>
      <c r="E57" s="400" t="n">
        <f aca="false">'P&amp;L$'!D98</f>
        <v>2022.30793847966</v>
      </c>
      <c r="F57" s="400" t="n">
        <f aca="false">'P&amp;L$'!E98</f>
        <v>2019.48854880243</v>
      </c>
      <c r="G57" s="400" t="n">
        <f aca="false">'P&amp;L$'!F98</f>
        <v>2016.67700945446</v>
      </c>
      <c r="H57" s="400" t="n">
        <f aca="false">'P&amp;L$'!G98</f>
        <v>2013.87328769355</v>
      </c>
      <c r="I57" s="400" t="n">
        <f aca="false">'P&amp;L$'!H98</f>
        <v>2011.07735095935</v>
      </c>
      <c r="J57" s="400" t="n">
        <f aca="false">'P&amp;L$'!I98</f>
        <v>2008.28916687206</v>
      </c>
      <c r="K57" s="400" t="n">
        <f aca="false">'P&amp;L$'!J98</f>
        <v>2005.50870323121</v>
      </c>
      <c r="L57" s="400" t="n">
        <f aca="false">'P&amp;L$'!K98</f>
        <v>2002.73592801442</v>
      </c>
      <c r="M57" s="400" t="n">
        <f aca="false">'P&amp;L$'!L98</f>
        <v>1999.97080937614</v>
      </c>
      <c r="N57" s="400" t="n">
        <f aca="false">'P&amp;L$'!M98</f>
        <v>1997.21331564645</v>
      </c>
      <c r="O57" s="400" t="n">
        <f aca="false">'P&amp;L$'!N98</f>
        <v>1994.46341532986</v>
      </c>
      <c r="P57" s="146" t="n">
        <f aca="false">SUM(D57:O57)</f>
        <v>24116.740685271</v>
      </c>
      <c r="Q57" s="146"/>
      <c r="R57" s="146"/>
    </row>
    <row r="58" customFormat="false" ht="13.2" hidden="false" customHeight="false" outlineLevel="0" collapsed="false">
      <c r="A58" s="45" t="s">
        <v>1216</v>
      </c>
      <c r="B58" s="45" t="s">
        <v>908</v>
      </c>
      <c r="C58" s="166" t="s">
        <v>907</v>
      </c>
      <c r="D58" s="400" t="n">
        <f aca="false">'P&amp;L$'!C99</f>
        <v>19854.9228920067</v>
      </c>
      <c r="E58" s="400" t="n">
        <f aca="false">'P&amp;L$'!D99</f>
        <v>19827.2036139365</v>
      </c>
      <c r="F58" s="400" t="n">
        <f aca="false">'P&amp;L$'!E99</f>
        <v>19799.5616252295</v>
      </c>
      <c r="G58" s="400" t="n">
        <f aca="false">'P&amp;L$'!F99</f>
        <v>19771.9966030782</v>
      </c>
      <c r="H58" s="400" t="n">
        <f aca="false">'P&amp;L$'!G99</f>
        <v>19744.5082264702</v>
      </c>
      <c r="I58" s="400" t="n">
        <f aca="false">'P&amp;L$'!H99</f>
        <v>19717.0961761756</v>
      </c>
      <c r="J58" s="400" t="n">
        <f aca="false">'P&amp;L$'!I99</f>
        <v>19689.7601347351</v>
      </c>
      <c r="K58" s="400" t="n">
        <f aca="false">'P&amp;L$'!J99</f>
        <v>19662.4997864473</v>
      </c>
      <c r="L58" s="400" t="n">
        <f aca="false">'P&amp;L$'!K99</f>
        <v>19635.3148173568</v>
      </c>
      <c r="M58" s="400" t="n">
        <f aca="false">'P&amp;L$'!L99</f>
        <v>19608.2049152421</v>
      </c>
      <c r="N58" s="400" t="n">
        <f aca="false">'P&amp;L$'!M99</f>
        <v>19581.1697696036</v>
      </c>
      <c r="O58" s="400" t="n">
        <f aca="false">'P&amp;L$'!N99</f>
        <v>19554.2090716517</v>
      </c>
      <c r="P58" s="146" t="n">
        <f aca="false">SUM(D58:O58)</f>
        <v>236446.447631933</v>
      </c>
      <c r="Q58" s="146"/>
      <c r="R58" s="146"/>
    </row>
    <row r="59" customFormat="false" ht="13.2" hidden="false" customHeight="false" outlineLevel="0" collapsed="false">
      <c r="A59" s="45" t="s">
        <v>910</v>
      </c>
      <c r="B59" s="45" t="s">
        <v>910</v>
      </c>
      <c r="C59" s="166" t="s">
        <v>909</v>
      </c>
      <c r="D59" s="400" t="n">
        <f aca="false">'P&amp;L$'!C100</f>
        <v>580.933795585608</v>
      </c>
      <c r="E59" s="400" t="n">
        <f aca="false">'P&amp;L$'!D100</f>
        <v>580.122759173741</v>
      </c>
      <c r="F59" s="400" t="n">
        <f aca="false">'P&amp;L$'!E100</f>
        <v>579.313984165931</v>
      </c>
      <c r="G59" s="400" t="n">
        <f aca="false">'P&amp;L$'!F100</f>
        <v>578.507461117171</v>
      </c>
      <c r="H59" s="400" t="n">
        <f aca="false">'P&amp;L$'!G100</f>
        <v>577.703180634983</v>
      </c>
      <c r="I59" s="400" t="n">
        <f aca="false">'P&amp;L$'!H100</f>
        <v>576.901133379044</v>
      </c>
      <c r="J59" s="400" t="n">
        <f aca="false">'P&amp;L$'!I100</f>
        <v>576.101310060831</v>
      </c>
      <c r="K59" s="400" t="n">
        <f aca="false">'P&amp;L$'!J100</f>
        <v>575.303701443263</v>
      </c>
      <c r="L59" s="400" t="n">
        <f aca="false">'P&amp;L$'!K100</f>
        <v>574.508298340339</v>
      </c>
      <c r="M59" s="400" t="n">
        <f aca="false">'P&amp;L$'!L100</f>
        <v>573.715091616792</v>
      </c>
      <c r="N59" s="400" t="n">
        <f aca="false">'P&amp;L$'!M100</f>
        <v>572.924072187736</v>
      </c>
      <c r="O59" s="400" t="n">
        <f aca="false">'P&amp;L$'!N100</f>
        <v>572.135231018319</v>
      </c>
      <c r="P59" s="146" t="n">
        <f aca="false">SUM(D59:O59)</f>
        <v>6918.17001872376</v>
      </c>
      <c r="Q59" s="146"/>
      <c r="R59" s="146"/>
    </row>
    <row r="60" customFormat="false" ht="13.2" hidden="false" customHeight="false" outlineLevel="0" collapsed="false">
      <c r="A60" s="45" t="s">
        <v>1218</v>
      </c>
      <c r="B60" s="45" t="s">
        <v>914</v>
      </c>
      <c r="C60" s="166" t="s">
        <v>913</v>
      </c>
      <c r="D60" s="400" t="n">
        <f aca="false">'P&amp;L$'!C102</f>
        <v>2521.25267284154</v>
      </c>
      <c r="E60" s="400" t="n">
        <f aca="false">'P&amp;L$'!D102</f>
        <v>2517.73277481404</v>
      </c>
      <c r="F60" s="400" t="n">
        <f aca="false">'P&amp;L$'!E102</f>
        <v>2514.22269128014</v>
      </c>
      <c r="G60" s="400" t="n">
        <f aca="false">'P&amp;L$'!F102</f>
        <v>2510.72238124852</v>
      </c>
      <c r="H60" s="400" t="n">
        <f aca="false">'P&amp;L$'!G102</f>
        <v>2507.23180395582</v>
      </c>
      <c r="I60" s="400" t="n">
        <f aca="false">'P&amp;L$'!H102</f>
        <v>2503.75091886505</v>
      </c>
      <c r="J60" s="400" t="n">
        <f aca="false">'P&amp;L$'!I102</f>
        <v>2500.27968566401</v>
      </c>
      <c r="K60" s="400" t="n">
        <f aca="false">'P&amp;L$'!J102</f>
        <v>2496.81806426376</v>
      </c>
      <c r="L60" s="400" t="n">
        <f aca="false">'P&amp;L$'!K102</f>
        <v>2493.36601479707</v>
      </c>
      <c r="M60" s="400" t="n">
        <f aca="false">'P&amp;L$'!L102</f>
        <v>2489.92349761688</v>
      </c>
      <c r="N60" s="400" t="n">
        <f aca="false">'P&amp;L$'!M102</f>
        <v>2486.49047329477</v>
      </c>
      <c r="O60" s="400" t="n">
        <f aca="false">'P&amp;L$'!N102</f>
        <v>2483.06690261951</v>
      </c>
      <c r="P60" s="146" t="n">
        <f aca="false">SUM(D60:O60)</f>
        <v>30024.8578812611</v>
      </c>
      <c r="Q60" s="146"/>
      <c r="R60" s="146"/>
    </row>
    <row r="61" customFormat="false" ht="13.2" hidden="false" customHeight="false" outlineLevel="0" collapsed="false">
      <c r="A61" s="45" t="s">
        <v>1219</v>
      </c>
      <c r="B61" s="45" t="s">
        <v>916</v>
      </c>
      <c r="C61" s="166" t="s">
        <v>915</v>
      </c>
      <c r="D61" s="400" t="n">
        <f aca="false">'P&amp;L$'!C103</f>
        <v>220.754842322531</v>
      </c>
      <c r="E61" s="400" t="n">
        <f aca="false">'P&amp;L$'!D103</f>
        <v>220.446648486022</v>
      </c>
      <c r="F61" s="400" t="n">
        <f aca="false">'P&amp;L$'!E103</f>
        <v>220.139313983054</v>
      </c>
      <c r="G61" s="400" t="n">
        <f aca="false">'P&amp;L$'!F103</f>
        <v>219.832835224525</v>
      </c>
      <c r="H61" s="400" t="n">
        <f aca="false">'P&amp;L$'!G103</f>
        <v>219.527208641293</v>
      </c>
      <c r="I61" s="400" t="n">
        <f aca="false">'P&amp;L$'!H103</f>
        <v>219.222430684037</v>
      </c>
      <c r="J61" s="400" t="n">
        <f aca="false">'P&amp;L$'!I103</f>
        <v>218.918497823116</v>
      </c>
      <c r="K61" s="400" t="n">
        <f aca="false">'P&amp;L$'!J103</f>
        <v>218.61540654844</v>
      </c>
      <c r="L61" s="400" t="n">
        <f aca="false">'P&amp;L$'!K103</f>
        <v>218.313153369329</v>
      </c>
      <c r="M61" s="400" t="n">
        <f aca="false">'P&amp;L$'!L103</f>
        <v>218.011734814381</v>
      </c>
      <c r="N61" s="400" t="n">
        <f aca="false">'P&amp;L$'!M103</f>
        <v>217.71114743134</v>
      </c>
      <c r="O61" s="400" t="n">
        <f aca="false">'P&amp;L$'!N103</f>
        <v>217.411387786961</v>
      </c>
      <c r="P61" s="146" t="n">
        <f aca="false">SUM(D61:O61)</f>
        <v>2628.90460711503</v>
      </c>
      <c r="Q61" s="146"/>
      <c r="R61" s="146"/>
    </row>
    <row r="62" customFormat="false" ht="13.2" hidden="false" customHeight="false" outlineLevel="0" collapsed="false">
      <c r="A62" s="45" t="s">
        <v>1220</v>
      </c>
      <c r="B62" s="45" t="s">
        <v>918</v>
      </c>
      <c r="C62" s="166" t="s">
        <v>917</v>
      </c>
      <c r="D62" s="400" t="n">
        <f aca="false">'P&amp;L$'!C104</f>
        <v>372.262376211257</v>
      </c>
      <c r="E62" s="400" t="n">
        <f aca="false">'P&amp;L$'!D104</f>
        <v>371.742664078533</v>
      </c>
      <c r="F62" s="400" t="n">
        <f aca="false">'P&amp;L$'!E104</f>
        <v>371.224401053528</v>
      </c>
      <c r="G62" s="400" t="n">
        <f aca="false">'P&amp;L$'!F104</f>
        <v>370.707581083883</v>
      </c>
      <c r="H62" s="400" t="n">
        <f aca="false">'P&amp;L$'!G104</f>
        <v>370.192198150897</v>
      </c>
      <c r="I62" s="400" t="n">
        <f aca="false">'P&amp;L$'!H104</f>
        <v>369.678246269291</v>
      </c>
      <c r="J62" s="400" t="n">
        <f aca="false">'P&amp;L$'!I104</f>
        <v>369.165719486981</v>
      </c>
      <c r="K62" s="400" t="n">
        <f aca="false">'P&amp;L$'!J104</f>
        <v>368.654611884843</v>
      </c>
      <c r="L62" s="400" t="n">
        <f aca="false">'P&amp;L$'!K104</f>
        <v>368.144917576489</v>
      </c>
      <c r="M62" s="400" t="n">
        <f aca="false">'P&amp;L$'!L104</f>
        <v>367.63663070804</v>
      </c>
      <c r="N62" s="400" t="n">
        <f aca="false">'P&amp;L$'!M104</f>
        <v>367.129745457901</v>
      </c>
      <c r="O62" s="400" t="n">
        <f aca="false">'P&amp;L$'!N104</f>
        <v>366.624256036539</v>
      </c>
      <c r="P62" s="146" t="n">
        <f aca="false">SUM(D62:O62)</f>
        <v>4433.16334799818</v>
      </c>
      <c r="Q62" s="146"/>
      <c r="R62" s="146"/>
    </row>
    <row r="63" customFormat="false" ht="13.2" hidden="false" customHeight="false" outlineLevel="0" collapsed="false">
      <c r="A63" s="45" t="s">
        <v>1221</v>
      </c>
      <c r="B63" s="45" t="s">
        <v>920</v>
      </c>
      <c r="C63" s="166" t="s">
        <v>919</v>
      </c>
      <c r="D63" s="400" t="n">
        <f aca="false">'P&amp;L$'!C105</f>
        <v>255.610870057667</v>
      </c>
      <c r="E63" s="400" t="n">
        <f aca="false">'P&amp;L$'!D105</f>
        <v>255.254014036446</v>
      </c>
      <c r="F63" s="400" t="n">
        <f aca="false">'P&amp;L$'!E105</f>
        <v>254.898153033009</v>
      </c>
      <c r="G63" s="400" t="n">
        <f aca="false">'P&amp;L$'!F105</f>
        <v>254.543282891555</v>
      </c>
      <c r="H63" s="400" t="n">
        <f aca="false">'P&amp;L$'!G105</f>
        <v>254.189399479392</v>
      </c>
      <c r="I63" s="400" t="n">
        <f aca="false">'P&amp;L$'!H105</f>
        <v>253.836498686779</v>
      </c>
      <c r="J63" s="400" t="n">
        <f aca="false">'P&amp;L$'!I105</f>
        <v>253.484576426766</v>
      </c>
      <c r="K63" s="400" t="n">
        <f aca="false">'P&amp;L$'!J105</f>
        <v>253.133628635036</v>
      </c>
      <c r="L63" s="400" t="n">
        <f aca="false">'P&amp;L$'!K105</f>
        <v>252.783651269749</v>
      </c>
      <c r="M63" s="400" t="n">
        <f aca="false">'P&amp;L$'!L105</f>
        <v>252.434640311389</v>
      </c>
      <c r="N63" s="400" t="n">
        <f aca="false">'P&amp;L$'!M105</f>
        <v>252.086591762604</v>
      </c>
      <c r="O63" s="400" t="n">
        <f aca="false">'P&amp;L$'!N105</f>
        <v>251.739501648061</v>
      </c>
      <c r="P63" s="146" t="n">
        <f aca="false">SUM(D63:O63)</f>
        <v>3043.99480823845</v>
      </c>
      <c r="Q63" s="146"/>
      <c r="R63" s="146"/>
    </row>
    <row r="64" customFormat="false" ht="13.2" hidden="false" customHeight="false" outlineLevel="0" collapsed="false">
      <c r="A64" s="45" t="s">
        <v>1222</v>
      </c>
      <c r="B64" s="45" t="s">
        <v>922</v>
      </c>
      <c r="C64" s="166" t="s">
        <v>921</v>
      </c>
      <c r="D64" s="400" t="n">
        <f aca="false">'P&amp;L$'!C106</f>
        <v>4.64747036468486</v>
      </c>
      <c r="E64" s="400" t="n">
        <f aca="false">'P&amp;L$'!D106</f>
        <v>4.64098207338993</v>
      </c>
      <c r="F64" s="400" t="n">
        <f aca="false">'P&amp;L$'!E106</f>
        <v>4.63451187332745</v>
      </c>
      <c r="G64" s="400" t="n">
        <f aca="false">'P&amp;L$'!F106</f>
        <v>4.62805968893737</v>
      </c>
      <c r="H64" s="400" t="n">
        <f aca="false">'P&amp;L$'!G106</f>
        <v>4.62162544507986</v>
      </c>
      <c r="I64" s="400" t="n">
        <f aca="false">'P&amp;L$'!H106</f>
        <v>4.61520906703235</v>
      </c>
      <c r="J64" s="400" t="n">
        <f aca="false">'P&amp;L$'!I106</f>
        <v>4.60881048048665</v>
      </c>
      <c r="K64" s="400" t="n">
        <f aca="false">'P&amp;L$'!J106</f>
        <v>4.6024296115461</v>
      </c>
      <c r="L64" s="400" t="n">
        <f aca="false">'P&amp;L$'!K106</f>
        <v>4.59606638672271</v>
      </c>
      <c r="M64" s="400" t="n">
        <f aca="false">'P&amp;L$'!L106</f>
        <v>4.58972073293434</v>
      </c>
      <c r="N64" s="400" t="n">
        <f aca="false">'P&amp;L$'!M106</f>
        <v>4.58339257750189</v>
      </c>
      <c r="O64" s="400" t="n">
        <f aca="false">'P&amp;L$'!N106</f>
        <v>4.57708184814656</v>
      </c>
      <c r="P64" s="146" t="n">
        <f aca="false">SUM(D64:O64)</f>
        <v>55.3453601497901</v>
      </c>
      <c r="Q64" s="146"/>
      <c r="R64" s="146"/>
    </row>
    <row r="65" customFormat="false" ht="13.2" hidden="false" customHeight="false" outlineLevel="0" collapsed="false">
      <c r="A65" s="45" t="s">
        <v>1223</v>
      </c>
      <c r="B65" s="45" t="s">
        <v>924</v>
      </c>
      <c r="C65" s="166" t="s">
        <v>923</v>
      </c>
      <c r="D65" s="400" t="n">
        <f aca="false">'P&amp;L$'!C107</f>
        <v>23.2373518234243</v>
      </c>
      <c r="E65" s="400" t="n">
        <f aca="false">'P&amp;L$'!D107</f>
        <v>23.2049103669496</v>
      </c>
      <c r="F65" s="400" t="n">
        <f aca="false">'P&amp;L$'!E107</f>
        <v>23.1725593666372</v>
      </c>
      <c r="G65" s="400" t="n">
        <f aca="false">'P&amp;L$'!F107</f>
        <v>23.1402984446869</v>
      </c>
      <c r="H65" s="400" t="n">
        <f aca="false">'P&amp;L$'!G107</f>
        <v>23.1081272253993</v>
      </c>
      <c r="I65" s="400" t="n">
        <f aca="false">'P&amp;L$'!H107</f>
        <v>23.0760453351617</v>
      </c>
      <c r="J65" s="400" t="n">
        <f aca="false">'P&amp;L$'!I107</f>
        <v>23.0440524024333</v>
      </c>
      <c r="K65" s="400" t="n">
        <f aca="false">'P&amp;L$'!J107</f>
        <v>23.0121480577305</v>
      </c>
      <c r="L65" s="400" t="n">
        <f aca="false">'P&amp;L$'!K107</f>
        <v>22.9803319336136</v>
      </c>
      <c r="M65" s="400" t="n">
        <f aca="false">'P&amp;L$'!L107</f>
        <v>22.9486036646717</v>
      </c>
      <c r="N65" s="400" t="n">
        <f aca="false">'P&amp;L$'!M107</f>
        <v>22.9169628875094</v>
      </c>
      <c r="O65" s="400" t="n">
        <f aca="false">'P&amp;L$'!N107</f>
        <v>22.8854092407328</v>
      </c>
      <c r="P65" s="146" t="n">
        <f aca="false">SUM(D65:O65)</f>
        <v>276.72680074895</v>
      </c>
      <c r="Q65" s="146"/>
      <c r="R65" s="146"/>
    </row>
    <row r="66" customFormat="false" ht="13.2" hidden="false" customHeight="false" outlineLevel="0" collapsed="false">
      <c r="A66" s="45" t="s">
        <v>1224</v>
      </c>
      <c r="B66" s="45" t="s">
        <v>926</v>
      </c>
      <c r="C66" s="166" t="s">
        <v>925</v>
      </c>
      <c r="D66" s="400" t="n">
        <f aca="false">'P&amp;L$'!C108</f>
        <v>174.280138675682</v>
      </c>
      <c r="E66" s="400" t="n">
        <f aca="false">'P&amp;L$'!D108</f>
        <v>174.036827752122</v>
      </c>
      <c r="F66" s="400" t="n">
        <f aca="false">'P&amp;L$'!E108</f>
        <v>173.794195249779</v>
      </c>
      <c r="G66" s="400" t="n">
        <f aca="false">'P&amp;L$'!F108</f>
        <v>173.552238335151</v>
      </c>
      <c r="H66" s="400" t="n">
        <f aca="false">'P&amp;L$'!G108</f>
        <v>173.310954190495</v>
      </c>
      <c r="I66" s="400" t="n">
        <f aca="false">'P&amp;L$'!H108</f>
        <v>173.070340013713</v>
      </c>
      <c r="J66" s="400" t="n">
        <f aca="false">'P&amp;L$'!I108</f>
        <v>172.830393018249</v>
      </c>
      <c r="K66" s="400" t="n">
        <f aca="false">'P&amp;L$'!J108</f>
        <v>172.591110432979</v>
      </c>
      <c r="L66" s="400" t="n">
        <f aca="false">'P&amp;L$'!K108</f>
        <v>172.352489502102</v>
      </c>
      <c r="M66" s="400" t="n">
        <f aca="false">'P&amp;L$'!L108</f>
        <v>172.114527485038</v>
      </c>
      <c r="N66" s="400" t="n">
        <f aca="false">'P&amp;L$'!M108</f>
        <v>171.877221656321</v>
      </c>
      <c r="O66" s="400" t="n">
        <f aca="false">'P&amp;L$'!N108</f>
        <v>171.640569305496</v>
      </c>
      <c r="P66" s="146" t="n">
        <f aca="false">SUM(D66:O66)</f>
        <v>2075.45100561713</v>
      </c>
      <c r="Q66" s="146"/>
      <c r="R66" s="146"/>
    </row>
    <row r="67" customFormat="false" ht="13.2" hidden="false" customHeight="false" outlineLevel="0" collapsed="false">
      <c r="A67" s="45" t="s">
        <v>1225</v>
      </c>
      <c r="B67" s="45" t="s">
        <v>928</v>
      </c>
      <c r="C67" s="166" t="s">
        <v>927</v>
      </c>
      <c r="D67" s="400" t="n">
        <f aca="false">'P&amp;L$'!C109</f>
        <v>209.136166410819</v>
      </c>
      <c r="E67" s="400" t="n">
        <f aca="false">'P&amp;L$'!D109</f>
        <v>208.844193302547</v>
      </c>
      <c r="F67" s="400" t="n">
        <f aca="false">'P&amp;L$'!E109</f>
        <v>208.553034299735</v>
      </c>
      <c r="G67" s="400" t="n">
        <f aca="false">'P&amp;L$'!F109</f>
        <v>208.262686002182</v>
      </c>
      <c r="H67" s="400" t="n">
        <f aca="false">'P&amp;L$'!G109</f>
        <v>207.973145028594</v>
      </c>
      <c r="I67" s="400" t="n">
        <f aca="false">'P&amp;L$'!H109</f>
        <v>207.684408016456</v>
      </c>
      <c r="J67" s="400" t="n">
        <f aca="false">'P&amp;L$'!I109</f>
        <v>207.396471621899</v>
      </c>
      <c r="K67" s="400" t="n">
        <f aca="false">'P&amp;L$'!J109</f>
        <v>207.109332519575</v>
      </c>
      <c r="L67" s="400" t="n">
        <f aca="false">'P&amp;L$'!K109</f>
        <v>206.822987402522</v>
      </c>
      <c r="M67" s="400" t="n">
        <f aca="false">'P&amp;L$'!L109</f>
        <v>206.537432982045</v>
      </c>
      <c r="N67" s="400" t="n">
        <f aca="false">'P&amp;L$'!M109</f>
        <v>206.252665987585</v>
      </c>
      <c r="O67" s="400" t="n">
        <f aca="false">'P&amp;L$'!N109</f>
        <v>205.968683166595</v>
      </c>
      <c r="P67" s="146" t="n">
        <f aca="false">SUM(D67:O67)</f>
        <v>2490.54120674055</v>
      </c>
      <c r="Q67" s="146"/>
      <c r="R67" s="146"/>
    </row>
    <row r="68" customFormat="false" ht="13.2" hidden="false" customHeight="false" outlineLevel="0" collapsed="false">
      <c r="A68" s="45" t="s">
        <v>1226</v>
      </c>
      <c r="B68" s="45" t="s">
        <v>932</v>
      </c>
      <c r="C68" s="166" t="s">
        <v>931</v>
      </c>
      <c r="D68" s="400" t="n">
        <f aca="false">'P&amp;L$'!C111</f>
        <v>290.466897792804</v>
      </c>
      <c r="E68" s="400" t="n">
        <f aca="false">'P&amp;L$'!D111</f>
        <v>290.061379586871</v>
      </c>
      <c r="F68" s="400" t="n">
        <f aca="false">'P&amp;L$'!E111</f>
        <v>289.656992082965</v>
      </c>
      <c r="G68" s="400" t="n">
        <f aca="false">'P&amp;L$'!F111</f>
        <v>289.253730558586</v>
      </c>
      <c r="H68" s="400" t="n">
        <f aca="false">'P&amp;L$'!G111</f>
        <v>288.851590317491</v>
      </c>
      <c r="I68" s="400" t="n">
        <f aca="false">'P&amp;L$'!H111</f>
        <v>288.450566689522</v>
      </c>
      <c r="J68" s="400" t="n">
        <f aca="false">'P&amp;L$'!I111</f>
        <v>288.050655030416</v>
      </c>
      <c r="K68" s="400" t="n">
        <f aca="false">'P&amp;L$'!J111</f>
        <v>287.651850721631</v>
      </c>
      <c r="L68" s="400" t="n">
        <f aca="false">'P&amp;L$'!K111</f>
        <v>287.25414917017</v>
      </c>
      <c r="M68" s="400" t="n">
        <f aca="false">'P&amp;L$'!L111</f>
        <v>286.857545808396</v>
      </c>
      <c r="N68" s="400" t="n">
        <f aca="false">'P&amp;L$'!M111</f>
        <v>286.462036093868</v>
      </c>
      <c r="O68" s="400" t="n">
        <f aca="false">'P&amp;L$'!N111</f>
        <v>286.06761550916</v>
      </c>
      <c r="P68" s="146" t="n">
        <f aca="false">SUM(D68:O68)</f>
        <v>3459.08500936188</v>
      </c>
      <c r="Q68" s="146"/>
      <c r="R68" s="146"/>
    </row>
    <row r="69" customFormat="false" ht="13.8" hidden="false" customHeight="false" outlineLevel="0" collapsed="false">
      <c r="A69" s="398" t="s">
        <v>1289</v>
      </c>
      <c r="B69" s="398" t="s">
        <v>1290</v>
      </c>
      <c r="C69" s="401"/>
      <c r="D69" s="31" t="n">
        <f aca="false">SUM(D57:D68)</f>
        <v>26532.6406855041</v>
      </c>
      <c r="E69" s="31" t="n">
        <f aca="false">SUM(E57:E68)</f>
        <v>26495.5987060868</v>
      </c>
      <c r="F69" s="31" t="n">
        <f aca="false">SUM(F57:F68)</f>
        <v>26458.66001042</v>
      </c>
      <c r="G69" s="31" t="n">
        <f aca="false">SUM(G57:G68)</f>
        <v>26421.8241671279</v>
      </c>
      <c r="H69" s="31" t="n">
        <f aca="false">SUM(H57:H68)</f>
        <v>26385.0907472332</v>
      </c>
      <c r="I69" s="31" t="n">
        <f aca="false">SUM(I57:I68)</f>
        <v>26348.459324141</v>
      </c>
      <c r="J69" s="31" t="n">
        <f aca="false">SUM(J57:J68)</f>
        <v>26311.9294736223</v>
      </c>
      <c r="K69" s="31" t="n">
        <f aca="false">SUM(K57:K68)</f>
        <v>26275.5007737973</v>
      </c>
      <c r="L69" s="31" t="n">
        <f aca="false">SUM(L57:L68)</f>
        <v>26239.1728051193</v>
      </c>
      <c r="M69" s="31" t="n">
        <f aca="false">SUM(M57:M68)</f>
        <v>26202.9451503588</v>
      </c>
      <c r="N69" s="31" t="n">
        <f aca="false">SUM(N57:N68)</f>
        <v>26166.8173945872</v>
      </c>
      <c r="O69" s="31" t="n">
        <f aca="false">SUM(O57:O68)</f>
        <v>26130.7891251611</v>
      </c>
      <c r="P69" s="189" t="n">
        <f aca="false">SUM(P57:P68)</f>
        <v>315969.428363159</v>
      </c>
      <c r="Q69" s="402"/>
      <c r="R69" s="402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401"/>
      <c r="DJ69" s="401"/>
      <c r="DK69" s="401"/>
      <c r="DL69" s="401"/>
      <c r="DM69" s="401"/>
      <c r="DN69" s="401"/>
      <c r="DO69" s="401"/>
      <c r="DP69" s="401"/>
      <c r="DQ69" s="401"/>
      <c r="DR69" s="401"/>
      <c r="DS69" s="401"/>
      <c r="DT69" s="401"/>
      <c r="DU69" s="401"/>
      <c r="DV69" s="401"/>
      <c r="DW69" s="401"/>
      <c r="DX69" s="401"/>
      <c r="DY69" s="401"/>
      <c r="DZ69" s="401"/>
      <c r="EA69" s="401"/>
      <c r="EB69" s="401"/>
      <c r="EC69" s="401"/>
      <c r="ED69" s="401"/>
      <c r="EE69" s="401"/>
      <c r="EF69" s="401"/>
      <c r="EG69" s="401"/>
      <c r="EH69" s="401"/>
      <c r="EI69" s="401"/>
      <c r="EJ69" s="401"/>
      <c r="EK69" s="401"/>
      <c r="EL69" s="401"/>
      <c r="EM69" s="401"/>
      <c r="EN69" s="401"/>
      <c r="EO69" s="401"/>
      <c r="EP69" s="401"/>
      <c r="EQ69" s="401"/>
      <c r="ER69" s="401"/>
      <c r="ES69" s="401"/>
      <c r="ET69" s="401"/>
      <c r="EU69" s="401"/>
      <c r="EV69" s="401"/>
      <c r="EW69" s="401"/>
      <c r="EX69" s="401"/>
      <c r="EY69" s="401"/>
      <c r="EZ69" s="401"/>
      <c r="FA69" s="401"/>
      <c r="FB69" s="401"/>
      <c r="FC69" s="401"/>
      <c r="FD69" s="401"/>
      <c r="FE69" s="401"/>
      <c r="FF69" s="401"/>
      <c r="FG69" s="401"/>
      <c r="FH69" s="401"/>
      <c r="FI69" s="401"/>
      <c r="FJ69" s="401"/>
      <c r="FK69" s="401"/>
      <c r="FL69" s="401"/>
      <c r="FM69" s="401"/>
      <c r="FN69" s="401"/>
      <c r="FO69" s="401"/>
      <c r="FP69" s="401"/>
      <c r="FQ69" s="401"/>
      <c r="FR69" s="401"/>
      <c r="FS69" s="401"/>
      <c r="FT69" s="401"/>
      <c r="FU69" s="401"/>
      <c r="FV69" s="401"/>
      <c r="FW69" s="401"/>
      <c r="FX69" s="401"/>
      <c r="FY69" s="401"/>
      <c r="FZ69" s="401"/>
      <c r="GA69" s="401"/>
      <c r="GB69" s="401"/>
      <c r="GC69" s="401"/>
      <c r="GD69" s="401"/>
      <c r="GE69" s="401"/>
      <c r="GF69" s="401"/>
      <c r="GG69" s="401"/>
      <c r="GH69" s="401"/>
      <c r="GI69" s="401"/>
      <c r="GJ69" s="401"/>
      <c r="GK69" s="401"/>
      <c r="GL69" s="401"/>
      <c r="GM69" s="401"/>
      <c r="GN69" s="401"/>
      <c r="GO69" s="401"/>
      <c r="GP69" s="401"/>
      <c r="GQ69" s="401"/>
      <c r="GR69" s="401"/>
      <c r="GS69" s="401"/>
      <c r="GT69" s="401"/>
      <c r="GU69" s="401"/>
      <c r="GV69" s="401"/>
      <c r="GW69" s="401"/>
      <c r="GX69" s="401"/>
      <c r="GY69" s="401"/>
      <c r="GZ69" s="401"/>
      <c r="HA69" s="401"/>
      <c r="HB69" s="401"/>
      <c r="HC69" s="401"/>
      <c r="HD69" s="401"/>
      <c r="HE69" s="401"/>
      <c r="HF69" s="401"/>
      <c r="HG69" s="401"/>
      <c r="HH69" s="401"/>
      <c r="HI69" s="401"/>
      <c r="HJ69" s="401"/>
      <c r="HK69" s="401"/>
      <c r="HL69" s="401"/>
      <c r="HM69" s="401"/>
      <c r="HN69" s="401"/>
      <c r="HO69" s="401"/>
      <c r="HP69" s="401"/>
      <c r="HQ69" s="401"/>
      <c r="HR69" s="401"/>
      <c r="HS69" s="401"/>
      <c r="HT69" s="401"/>
      <c r="HU69" s="401"/>
      <c r="HV69" s="401"/>
      <c r="HW69" s="401"/>
      <c r="HX69" s="401"/>
      <c r="HY69" s="401"/>
      <c r="HZ69" s="401"/>
      <c r="IA69" s="401"/>
      <c r="IB69" s="401"/>
      <c r="IC69" s="401"/>
      <c r="ID69" s="401"/>
      <c r="IE69" s="401"/>
      <c r="IF69" s="401"/>
      <c r="IG69" s="401"/>
      <c r="IH69" s="401"/>
      <c r="II69" s="401"/>
      <c r="IJ69" s="401"/>
      <c r="IK69" s="401"/>
      <c r="IL69" s="401"/>
      <c r="IM69" s="401"/>
      <c r="IN69" s="401"/>
      <c r="IO69" s="401"/>
      <c r="IP69" s="401"/>
      <c r="IQ69" s="401"/>
      <c r="IR69" s="401"/>
      <c r="IS69" s="401"/>
      <c r="IT69" s="401"/>
      <c r="IU69" s="401"/>
      <c r="IV69" s="401"/>
      <c r="IW69" s="401"/>
    </row>
    <row r="70" customFormat="false" ht="31.95" hidden="false" customHeight="true" outlineLevel="0" collapsed="false">
      <c r="P70" s="146"/>
      <c r="Q70" s="146"/>
      <c r="R70" s="146"/>
    </row>
    <row r="71" customFormat="false" ht="13.2" hidden="false" customHeight="false" outlineLevel="0" collapsed="false">
      <c r="A71" s="144" t="s">
        <v>1329</v>
      </c>
      <c r="B71" s="291" t="s">
        <v>1330</v>
      </c>
      <c r="C71" s="396" t="s">
        <v>1282</v>
      </c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146"/>
      <c r="R71" s="146"/>
    </row>
    <row r="72" customFormat="false" ht="13.2" hidden="false" customHeight="false" outlineLevel="0" collapsed="false">
      <c r="A72" s="144" t="s">
        <v>1229</v>
      </c>
      <c r="B72" s="144" t="s">
        <v>1331</v>
      </c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146"/>
      <c r="R72" s="146"/>
    </row>
    <row r="73" customFormat="false" ht="13.2" hidden="false" customHeight="false" outlineLevel="0" collapsed="false">
      <c r="A73" s="45" t="s">
        <v>1229</v>
      </c>
      <c r="B73" s="45" t="s">
        <v>1332</v>
      </c>
      <c r="C73" s="137" t="s">
        <v>1041</v>
      </c>
      <c r="D73" s="397" t="n">
        <f aca="false">'P&amp;L$'!C115</f>
        <v>127854.347977674</v>
      </c>
      <c r="E73" s="397" t="n">
        <f aca="false">'P&amp;L$'!D115</f>
        <v>56490.4777072375</v>
      </c>
      <c r="F73" s="397" t="n">
        <f aca="false">'P&amp;L$'!E115</f>
        <v>56411.7218132023</v>
      </c>
      <c r="G73" s="397" t="n">
        <f aca="false">'P&amp;L$'!F115</f>
        <v>56333.1852076549</v>
      </c>
      <c r="H73" s="397" t="n">
        <f aca="false">'P&amp;L$'!G115</f>
        <v>56254.8669759859</v>
      </c>
      <c r="I73" s="397" t="n">
        <f aca="false">'P&amp;L$'!H115</f>
        <v>56176.766208665</v>
      </c>
      <c r="J73" s="397" t="n">
        <f aca="false">'P&amp;L$'!I115</f>
        <v>56098.882001206</v>
      </c>
      <c r="K73" s="397" t="n">
        <f aca="false">'P&amp;L$'!J115</f>
        <v>56021.2134541315</v>
      </c>
      <c r="L73" s="397" t="n">
        <f aca="false">'P&amp;L$'!K115</f>
        <v>55943.7596729387</v>
      </c>
      <c r="M73" s="397" t="n">
        <f aca="false">'P&amp;L$'!L115</f>
        <v>55866.5197680649</v>
      </c>
      <c r="N73" s="397" t="n">
        <f aca="false">'P&amp;L$'!M115</f>
        <v>55789.492854853</v>
      </c>
      <c r="O73" s="397" t="n">
        <f aca="false">'P&amp;L$'!N115</f>
        <v>55712.6780535187</v>
      </c>
      <c r="P73" s="146" t="n">
        <f aca="false">SUM(D73:O73)</f>
        <v>744953.911695133</v>
      </c>
      <c r="Q73" s="146"/>
      <c r="R73" s="146"/>
    </row>
    <row r="74" customFormat="false" ht="13.2" hidden="false" customHeight="false" outlineLevel="0" collapsed="false">
      <c r="A74" s="45" t="s">
        <v>1230</v>
      </c>
      <c r="B74" s="45" t="s">
        <v>1333</v>
      </c>
      <c r="C74" s="137" t="s">
        <v>1042</v>
      </c>
      <c r="D74" s="397" t="n">
        <f aca="false">'P&amp;L$'!C116</f>
        <v>25152.3294610271</v>
      </c>
      <c r="E74" s="397" t="n">
        <f aca="false">'P&amp;L$'!D116</f>
        <v>10168.2859873028</v>
      </c>
      <c r="F74" s="397" t="n">
        <f aca="false">'P&amp;L$'!E116</f>
        <v>10154.1099263764</v>
      </c>
      <c r="G74" s="397" t="n">
        <f aca="false">'P&amp;L$'!F116</f>
        <v>10139.9733373779</v>
      </c>
      <c r="H74" s="397" t="n">
        <f aca="false">'P&amp;L$'!G116</f>
        <v>10125.8760556775</v>
      </c>
      <c r="I74" s="397" t="n">
        <f aca="false">'P&amp;L$'!H116</f>
        <v>10111.8179175597</v>
      </c>
      <c r="J74" s="397" t="n">
        <f aca="false">'P&amp;L$'!I116</f>
        <v>10097.7987602171</v>
      </c>
      <c r="K74" s="397" t="n">
        <f aca="false">'P&amp;L$'!J116</f>
        <v>10083.8184217437</v>
      </c>
      <c r="L74" s="397" t="n">
        <f aca="false">'P&amp;L$'!K116</f>
        <v>10069.876741129</v>
      </c>
      <c r="M74" s="397" t="n">
        <f aca="false">'P&amp;L$'!L116</f>
        <v>10055.9735582517</v>
      </c>
      <c r="N74" s="397" t="n">
        <f aca="false">'P&amp;L$'!M116</f>
        <v>10042.1087138735</v>
      </c>
      <c r="O74" s="397" t="n">
        <f aca="false">'P&amp;L$'!N116</f>
        <v>10028.2820496334</v>
      </c>
      <c r="P74" s="146" t="n">
        <f aca="false">SUM(D74:O74)</f>
        <v>136230.25093017</v>
      </c>
      <c r="Q74" s="146"/>
      <c r="R74" s="146"/>
    </row>
    <row r="75" customFormat="false" ht="13.2" hidden="false" customHeight="false" outlineLevel="0" collapsed="false">
      <c r="A75" s="45" t="s">
        <v>1232</v>
      </c>
      <c r="B75" s="45" t="s">
        <v>1334</v>
      </c>
      <c r="C75" s="137" t="s">
        <v>1044</v>
      </c>
      <c r="D75" s="397" t="n">
        <f aca="false">'P&amp;L$'!C118</f>
        <v>5562.66295793265</v>
      </c>
      <c r="E75" s="397" t="n">
        <f aca="false">'P&amp;L$'!D118</f>
        <v>5554.89697454502</v>
      </c>
      <c r="F75" s="397" t="n">
        <f aca="false">'P&amp;L$'!E118</f>
        <v>5547.1526449649</v>
      </c>
      <c r="G75" s="397" t="n">
        <f aca="false">'P&amp;L$'!F118</f>
        <v>5539.42987875273</v>
      </c>
      <c r="H75" s="397" t="n">
        <f aca="false">'P&amp;L$'!G118</f>
        <v>5531.72858597195</v>
      </c>
      <c r="I75" s="397" t="n">
        <f aca="false">'P&amp;L$'!H118</f>
        <v>5524.04867718539</v>
      </c>
      <c r="J75" s="397" t="n">
        <f aca="false">'P&amp;L$'!I118</f>
        <v>5516.39006345192</v>
      </c>
      <c r="K75" s="397" t="n">
        <f aca="false">'P&amp;L$'!J118</f>
        <v>5508.75265632293</v>
      </c>
      <c r="L75" s="397" t="n">
        <f aca="false">'P&amp;L$'!K118</f>
        <v>5501.13636783898</v>
      </c>
      <c r="M75" s="397" t="n">
        <f aca="false">'P&amp;L$'!L118</f>
        <v>5493.54111052638</v>
      </c>
      <c r="N75" s="397" t="n">
        <f aca="false">'P&amp;L$'!M118</f>
        <v>5485.96679739388</v>
      </c>
      <c r="O75" s="397" t="n">
        <f aca="false">'P&amp;L$'!N118</f>
        <v>5478.41334192933</v>
      </c>
      <c r="P75" s="146" t="n">
        <f aca="false">SUM(D75:O75)</f>
        <v>66244.1200568161</v>
      </c>
      <c r="Q75" s="146"/>
      <c r="R75" s="146"/>
    </row>
    <row r="76" customFormat="false" ht="13.2" hidden="false" customHeight="false" outlineLevel="0" collapsed="false">
      <c r="A76" s="26" t="s">
        <v>1335</v>
      </c>
      <c r="B76" s="144" t="s">
        <v>455</v>
      </c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6"/>
      <c r="Q76" s="146"/>
      <c r="R76" s="146"/>
    </row>
    <row r="77" customFormat="false" ht="13.2" hidden="false" customHeight="false" outlineLevel="0" collapsed="false">
      <c r="A77" s="145" t="s">
        <v>1336</v>
      </c>
      <c r="B77" s="45" t="s">
        <v>458</v>
      </c>
      <c r="C77" s="137" t="s">
        <v>456</v>
      </c>
      <c r="D77" s="397" t="n">
        <f aca="false">'P&amp;L$'!C123</f>
        <v>1463.95316487573</v>
      </c>
      <c r="E77" s="397" t="n">
        <f aca="false">'P&amp;L$'!D123</f>
        <v>1461.90935311783</v>
      </c>
      <c r="F77" s="397" t="n">
        <f aca="false">'P&amp;L$'!E123</f>
        <v>1459.87124009815</v>
      </c>
      <c r="G77" s="397" t="n">
        <f aca="false">'P&amp;L$'!F123</f>
        <v>1457.83880201527</v>
      </c>
      <c r="H77" s="397" t="n">
        <f aca="false">'P&amp;L$'!G123</f>
        <v>1455.81201520016</v>
      </c>
      <c r="I77" s="397" t="n">
        <f aca="false">'P&amp;L$'!H123</f>
        <v>1453.79085611519</v>
      </c>
      <c r="J77" s="397" t="n">
        <f aca="false">'P&amp;L$'!I123</f>
        <v>1451.77530135329</v>
      </c>
      <c r="K77" s="397" t="n">
        <f aca="false">'P&amp;L$'!J123</f>
        <v>1449.76532763702</v>
      </c>
      <c r="L77" s="397" t="n">
        <f aca="false">'P&amp;L$'!K123</f>
        <v>1447.76091181765</v>
      </c>
      <c r="M77" s="397" t="n">
        <f aca="false">'P&amp;L$'!L123</f>
        <v>1445.76203087432</v>
      </c>
      <c r="N77" s="397" t="n">
        <f aca="false">'P&amp;L$'!M123</f>
        <v>1443.76866191309</v>
      </c>
      <c r="O77" s="397" t="n">
        <f aca="false">'P&amp;L$'!N123</f>
        <v>1441.78078216617</v>
      </c>
      <c r="P77" s="146" t="n">
        <f aca="false">SUM(D77:O77)</f>
        <v>17433.7884471839</v>
      </c>
      <c r="Q77" s="146"/>
      <c r="R77" s="146"/>
    </row>
    <row r="78" customFormat="false" ht="13.2" hidden="false" customHeight="false" outlineLevel="0" collapsed="false">
      <c r="A78" s="145" t="s">
        <v>1337</v>
      </c>
      <c r="B78" s="45" t="s">
        <v>461</v>
      </c>
      <c r="C78" s="137" t="s">
        <v>459</v>
      </c>
      <c r="D78" s="397" t="n">
        <f aca="false">'P&amp;L$'!C124</f>
        <v>3137.04249616228</v>
      </c>
      <c r="E78" s="397" t="n">
        <f aca="false">'P&amp;L$'!D124</f>
        <v>3132.6628995382</v>
      </c>
      <c r="F78" s="397" t="n">
        <f aca="false">'P&amp;L$'!E124</f>
        <v>3128.29551449603</v>
      </c>
      <c r="G78" s="397" t="n">
        <f aca="false">'P&amp;L$'!F124</f>
        <v>3123.94029003273</v>
      </c>
      <c r="H78" s="397" t="n">
        <f aca="false">'P&amp;L$'!G124</f>
        <v>3119.59717542891</v>
      </c>
      <c r="I78" s="397" t="n">
        <f aca="false">'P&amp;L$'!H124</f>
        <v>3115.26612024683</v>
      </c>
      <c r="J78" s="397" t="n">
        <f aca="false">'P&amp;L$'!I124</f>
        <v>3110.94707432849</v>
      </c>
      <c r="K78" s="397" t="n">
        <f aca="false">'P&amp;L$'!J124</f>
        <v>3106.63998779362</v>
      </c>
      <c r="L78" s="397" t="n">
        <f aca="false">'P&amp;L$'!K124</f>
        <v>3102.34481103783</v>
      </c>
      <c r="M78" s="397" t="n">
        <f aca="false">'P&amp;L$'!L124</f>
        <v>3098.06149473068</v>
      </c>
      <c r="N78" s="397" t="n">
        <f aca="false">'P&amp;L$'!M124</f>
        <v>3093.78998981378</v>
      </c>
      <c r="O78" s="397" t="n">
        <f aca="false">'P&amp;L$'!N124</f>
        <v>3089.53024749893</v>
      </c>
      <c r="P78" s="146" t="n">
        <f aca="false">SUM(D78:O78)</f>
        <v>37358.1181011083</v>
      </c>
      <c r="Q78" s="146"/>
      <c r="R78" s="146"/>
    </row>
    <row r="79" customFormat="false" ht="13.2" hidden="false" customHeight="false" outlineLevel="0" collapsed="false">
      <c r="A79" s="145" t="s">
        <v>1237</v>
      </c>
      <c r="B79" s="45" t="s">
        <v>464</v>
      </c>
      <c r="C79" s="137" t="s">
        <v>462</v>
      </c>
      <c r="D79" s="397" t="n">
        <f aca="false">'P&amp;L$'!C125</f>
        <v>580.933795585608</v>
      </c>
      <c r="E79" s="397" t="n">
        <f aca="false">'P&amp;L$'!D125</f>
        <v>580.122759173741</v>
      </c>
      <c r="F79" s="397" t="n">
        <f aca="false">'P&amp;L$'!E125</f>
        <v>579.313984165931</v>
      </c>
      <c r="G79" s="397" t="n">
        <f aca="false">'P&amp;L$'!F125</f>
        <v>578.507461117171</v>
      </c>
      <c r="H79" s="397" t="n">
        <f aca="false">'P&amp;L$'!G125</f>
        <v>577.703180634983</v>
      </c>
      <c r="I79" s="397" t="n">
        <f aca="false">'P&amp;L$'!H125</f>
        <v>576.901133379044</v>
      </c>
      <c r="J79" s="397" t="n">
        <f aca="false">'P&amp;L$'!I125</f>
        <v>576.101310060831</v>
      </c>
      <c r="K79" s="397" t="n">
        <f aca="false">'P&amp;L$'!J125</f>
        <v>575.303701443263</v>
      </c>
      <c r="L79" s="397" t="n">
        <f aca="false">'P&amp;L$'!K125</f>
        <v>574.508298340339</v>
      </c>
      <c r="M79" s="397" t="n">
        <f aca="false">'P&amp;L$'!L125</f>
        <v>573.715091616792</v>
      </c>
      <c r="N79" s="397" t="n">
        <f aca="false">'P&amp;L$'!M125</f>
        <v>572.924072187736</v>
      </c>
      <c r="O79" s="397" t="n">
        <f aca="false">'P&amp;L$'!N125</f>
        <v>572.135231018319</v>
      </c>
      <c r="P79" s="146" t="n">
        <f aca="false">SUM(D79:O79)</f>
        <v>6918.17001872376</v>
      </c>
      <c r="Q79" s="146"/>
      <c r="R79" s="146"/>
    </row>
    <row r="80" customFormat="false" ht="13.2" hidden="false" customHeight="false" outlineLevel="0" collapsed="false">
      <c r="A80" s="145" t="s">
        <v>466</v>
      </c>
      <c r="B80" s="45" t="s">
        <v>467</v>
      </c>
      <c r="C80" s="137" t="s">
        <v>465</v>
      </c>
      <c r="D80" s="397" t="n">
        <f aca="false">'P&amp;L$'!C126</f>
        <v>2556.10870057667</v>
      </c>
      <c r="E80" s="397" t="n">
        <f aca="false">'P&amp;L$'!D126</f>
        <v>2552.54014036446</v>
      </c>
      <c r="F80" s="397" t="n">
        <f aca="false">'P&amp;L$'!E126</f>
        <v>2548.98153033009</v>
      </c>
      <c r="G80" s="397" t="n">
        <f aca="false">'P&amp;L$'!F126</f>
        <v>2545.43282891555</v>
      </c>
      <c r="H80" s="397" t="n">
        <f aca="false">'P&amp;L$'!G126</f>
        <v>2541.89399479392</v>
      </c>
      <c r="I80" s="397" t="n">
        <f aca="false">'P&amp;L$'!H126</f>
        <v>2538.36498686779</v>
      </c>
      <c r="J80" s="397" t="n">
        <f aca="false">'P&amp;L$'!I126</f>
        <v>2534.84576426766</v>
      </c>
      <c r="K80" s="397" t="n">
        <f aca="false">'P&amp;L$'!J126</f>
        <v>2531.33628635036</v>
      </c>
      <c r="L80" s="397" t="n">
        <f aca="false">'P&amp;L$'!K126</f>
        <v>2527.83651269749</v>
      </c>
      <c r="M80" s="397" t="n">
        <f aca="false">'P&amp;L$'!L126</f>
        <v>2524.34640311389</v>
      </c>
      <c r="N80" s="397" t="n">
        <f aca="false">'P&amp;L$'!M126</f>
        <v>2520.86591762604</v>
      </c>
      <c r="O80" s="397" t="n">
        <f aca="false">'P&amp;L$'!N126</f>
        <v>2517.39501648061</v>
      </c>
      <c r="P80" s="146" t="n">
        <f aca="false">SUM(D80:O80)</f>
        <v>30439.9480823845</v>
      </c>
      <c r="Q80" s="146"/>
      <c r="R80" s="146"/>
    </row>
    <row r="81" customFormat="false" ht="13.2" hidden="false" customHeight="false" outlineLevel="0" collapsed="false">
      <c r="A81" s="145" t="s">
        <v>469</v>
      </c>
      <c r="B81" s="45" t="s">
        <v>470</v>
      </c>
      <c r="C81" s="137" t="s">
        <v>468</v>
      </c>
      <c r="D81" s="397" t="n">
        <f aca="false">'P&amp;L$'!C127</f>
        <v>232.373518234243</v>
      </c>
      <c r="E81" s="397" t="n">
        <f aca="false">'P&amp;L$'!D127</f>
        <v>232.049103669496</v>
      </c>
      <c r="F81" s="397" t="n">
        <f aca="false">'P&amp;L$'!E127</f>
        <v>231.725593666372</v>
      </c>
      <c r="G81" s="397" t="n">
        <f aca="false">'P&amp;L$'!F127</f>
        <v>231.402984446869</v>
      </c>
      <c r="H81" s="397" t="n">
        <f aca="false">'P&amp;L$'!G127</f>
        <v>231.081272253993</v>
      </c>
      <c r="I81" s="397" t="n">
        <f aca="false">'P&amp;L$'!H127</f>
        <v>230.760453351617</v>
      </c>
      <c r="J81" s="397" t="n">
        <f aca="false">'P&amp;L$'!I127</f>
        <v>230.440524024333</v>
      </c>
      <c r="K81" s="397" t="n">
        <f aca="false">'P&amp;L$'!J127</f>
        <v>230.121480577305</v>
      </c>
      <c r="L81" s="397" t="n">
        <f aca="false">'P&amp;L$'!K127</f>
        <v>229.803319336136</v>
      </c>
      <c r="M81" s="397" t="n">
        <f aca="false">'P&amp;L$'!L127</f>
        <v>229.486036646717</v>
      </c>
      <c r="N81" s="397" t="n">
        <f aca="false">'P&amp;L$'!M127</f>
        <v>229.169628875094</v>
      </c>
      <c r="O81" s="397" t="n">
        <f aca="false">'P&amp;L$'!N127</f>
        <v>228.854092407328</v>
      </c>
      <c r="P81" s="146" t="n">
        <f aca="false">SUM(D81:O81)</f>
        <v>2767.2680074895</v>
      </c>
      <c r="Q81" s="146"/>
      <c r="R81" s="146"/>
    </row>
    <row r="82" customFormat="false" ht="13.8" hidden="false" customHeight="false" outlineLevel="0" collapsed="false">
      <c r="A82" s="398" t="s">
        <v>1289</v>
      </c>
      <c r="B82" s="398" t="s">
        <v>1290</v>
      </c>
      <c r="C82" s="358"/>
      <c r="D82" s="57" t="n">
        <f aca="false">SUM(D73:D81)</f>
        <v>166539.752072069</v>
      </c>
      <c r="E82" s="57" t="n">
        <f aca="false">SUM(E73:E81)</f>
        <v>80172.944924949</v>
      </c>
      <c r="F82" s="57" t="n">
        <f aca="false">SUM(F73:F81)</f>
        <v>80061.1722473002</v>
      </c>
      <c r="G82" s="57" t="n">
        <f aca="false">SUM(G73:G81)</f>
        <v>79949.7107903131</v>
      </c>
      <c r="H82" s="57" t="n">
        <f aca="false">SUM(H73:H81)</f>
        <v>79838.5592559473</v>
      </c>
      <c r="I82" s="57" t="n">
        <f aca="false">SUM(I73:I81)</f>
        <v>79727.7163533706</v>
      </c>
      <c r="J82" s="57" t="n">
        <f aca="false">SUM(J73:J81)</f>
        <v>79617.1807989096</v>
      </c>
      <c r="K82" s="57" t="n">
        <f aca="false">SUM(K73:K81)</f>
        <v>79506.9513159997</v>
      </c>
      <c r="L82" s="57" t="n">
        <f aca="false">SUM(L73:L81)</f>
        <v>79397.0266351362</v>
      </c>
      <c r="M82" s="57" t="n">
        <f aca="false">SUM(M73:M81)</f>
        <v>79287.4054938253</v>
      </c>
      <c r="N82" s="57" t="n">
        <f aca="false">SUM(N73:N81)</f>
        <v>79178.0866365362</v>
      </c>
      <c r="O82" s="57" t="n">
        <f aca="false">SUM(O73:O81)</f>
        <v>79069.0688146527</v>
      </c>
      <c r="P82" s="189" t="n">
        <f aca="false">SUM(P73:P81)</f>
        <v>1042345.57533901</v>
      </c>
      <c r="Q82" s="402"/>
      <c r="R82" s="402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1"/>
      <c r="CG82" s="291"/>
      <c r="CH82" s="291"/>
      <c r="CI82" s="291"/>
      <c r="CJ82" s="291"/>
      <c r="CK82" s="291"/>
      <c r="CL82" s="291"/>
      <c r="CM82" s="291"/>
      <c r="CN82" s="291"/>
      <c r="CO82" s="291"/>
      <c r="CP82" s="291"/>
      <c r="CQ82" s="291"/>
      <c r="CR82" s="291"/>
      <c r="CS82" s="291"/>
      <c r="CT82" s="291"/>
      <c r="CU82" s="291"/>
      <c r="CV82" s="291"/>
      <c r="CW82" s="291"/>
      <c r="CX82" s="291"/>
      <c r="CY82" s="291"/>
      <c r="CZ82" s="291"/>
      <c r="DA82" s="291"/>
      <c r="DB82" s="291"/>
      <c r="DC82" s="291"/>
      <c r="DD82" s="291"/>
      <c r="DE82" s="291"/>
      <c r="DF82" s="291"/>
      <c r="DG82" s="291"/>
      <c r="DH82" s="291"/>
      <c r="DI82" s="401"/>
      <c r="DJ82" s="401"/>
      <c r="DK82" s="401"/>
      <c r="DL82" s="401"/>
      <c r="DM82" s="401"/>
      <c r="DN82" s="401"/>
      <c r="DO82" s="401"/>
      <c r="DP82" s="401"/>
      <c r="DQ82" s="401"/>
      <c r="DR82" s="401"/>
      <c r="DS82" s="401"/>
      <c r="DT82" s="401"/>
      <c r="DU82" s="401"/>
      <c r="DV82" s="401"/>
      <c r="DW82" s="401"/>
      <c r="DX82" s="401"/>
      <c r="DY82" s="401"/>
      <c r="DZ82" s="401"/>
      <c r="EA82" s="401"/>
      <c r="EB82" s="401"/>
      <c r="EC82" s="401"/>
      <c r="ED82" s="401"/>
      <c r="EE82" s="401"/>
      <c r="EF82" s="401"/>
      <c r="EG82" s="401"/>
      <c r="EH82" s="401"/>
      <c r="EI82" s="401"/>
      <c r="EJ82" s="401"/>
      <c r="EK82" s="401"/>
      <c r="EL82" s="401"/>
      <c r="EM82" s="401"/>
      <c r="EN82" s="401"/>
      <c r="EO82" s="401"/>
      <c r="EP82" s="401"/>
      <c r="EQ82" s="401"/>
      <c r="ER82" s="401"/>
      <c r="ES82" s="401"/>
      <c r="ET82" s="401"/>
      <c r="EU82" s="401"/>
      <c r="EV82" s="401"/>
      <c r="EW82" s="401"/>
      <c r="EX82" s="401"/>
      <c r="EY82" s="401"/>
      <c r="EZ82" s="401"/>
      <c r="FA82" s="401"/>
      <c r="FB82" s="401"/>
      <c r="FC82" s="401"/>
      <c r="FD82" s="401"/>
      <c r="FE82" s="401"/>
      <c r="FF82" s="401"/>
      <c r="FG82" s="401"/>
      <c r="FH82" s="401"/>
      <c r="FI82" s="401"/>
      <c r="FJ82" s="401"/>
      <c r="FK82" s="401"/>
      <c r="FL82" s="401"/>
      <c r="FM82" s="401"/>
      <c r="FN82" s="401"/>
      <c r="FO82" s="401"/>
      <c r="FP82" s="401"/>
      <c r="FQ82" s="401"/>
      <c r="FR82" s="401"/>
      <c r="FS82" s="401"/>
      <c r="FT82" s="401"/>
      <c r="FU82" s="401"/>
      <c r="FV82" s="401"/>
      <c r="FW82" s="401"/>
      <c r="FX82" s="401"/>
      <c r="FY82" s="401"/>
      <c r="FZ82" s="401"/>
      <c r="GA82" s="401"/>
      <c r="GB82" s="401"/>
      <c r="GC82" s="401"/>
      <c r="GD82" s="401"/>
      <c r="GE82" s="401"/>
      <c r="GF82" s="401"/>
      <c r="GG82" s="401"/>
      <c r="GH82" s="401"/>
      <c r="GI82" s="401"/>
      <c r="GJ82" s="401"/>
      <c r="GK82" s="401"/>
      <c r="GL82" s="401"/>
      <c r="GM82" s="401"/>
      <c r="GN82" s="401"/>
      <c r="GO82" s="401"/>
      <c r="GP82" s="401"/>
      <c r="GQ82" s="401"/>
      <c r="GR82" s="401"/>
      <c r="GS82" s="401"/>
      <c r="GT82" s="401"/>
      <c r="GU82" s="401"/>
      <c r="GV82" s="401"/>
      <c r="GW82" s="401"/>
      <c r="GX82" s="401"/>
      <c r="GY82" s="401"/>
      <c r="GZ82" s="401"/>
      <c r="HA82" s="401"/>
      <c r="HB82" s="401"/>
      <c r="HC82" s="401"/>
      <c r="HD82" s="401"/>
      <c r="HE82" s="401"/>
      <c r="HF82" s="401"/>
      <c r="HG82" s="401"/>
      <c r="HH82" s="401"/>
      <c r="HI82" s="401"/>
      <c r="HJ82" s="401"/>
      <c r="HK82" s="401"/>
      <c r="HL82" s="401"/>
      <c r="HM82" s="401"/>
      <c r="HN82" s="401"/>
      <c r="HO82" s="401"/>
      <c r="HP82" s="401"/>
      <c r="HQ82" s="401"/>
      <c r="HR82" s="401"/>
      <c r="HS82" s="401"/>
      <c r="HT82" s="401"/>
      <c r="HU82" s="401"/>
      <c r="HV82" s="401"/>
      <c r="HW82" s="401"/>
      <c r="HX82" s="401"/>
      <c r="HY82" s="401"/>
      <c r="HZ82" s="401"/>
      <c r="IA82" s="401"/>
      <c r="IB82" s="401"/>
      <c r="IC82" s="401"/>
      <c r="ID82" s="401"/>
      <c r="IE82" s="401"/>
      <c r="IF82" s="401"/>
      <c r="IG82" s="401"/>
      <c r="IH82" s="401"/>
      <c r="II82" s="401"/>
      <c r="IJ82" s="401"/>
      <c r="IK82" s="401"/>
      <c r="IL82" s="401"/>
      <c r="IM82" s="401"/>
      <c r="IN82" s="401"/>
      <c r="IO82" s="401"/>
      <c r="IP82" s="401"/>
      <c r="IQ82" s="401"/>
      <c r="IR82" s="401"/>
      <c r="IS82" s="401"/>
      <c r="IT82" s="401"/>
      <c r="IU82" s="401"/>
      <c r="IV82" s="401"/>
      <c r="IW82" s="401"/>
    </row>
    <row r="83" customFormat="false" ht="33" hidden="false" customHeight="true" outlineLevel="0" collapsed="false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46"/>
      <c r="Q83" s="146"/>
      <c r="R83" s="146"/>
    </row>
    <row r="84" customFormat="false" ht="13.2" hidden="false" customHeight="false" outlineLevel="0" collapsed="false">
      <c r="A84" s="26" t="s">
        <v>942</v>
      </c>
      <c r="B84" s="144" t="s">
        <v>1338</v>
      </c>
      <c r="C84" s="396" t="s">
        <v>1282</v>
      </c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146"/>
      <c r="R84" s="146"/>
    </row>
    <row r="85" customFormat="false" ht="13.2" hidden="false" customHeight="false" outlineLevel="0" collapsed="false">
      <c r="A85" s="45" t="s">
        <v>1238</v>
      </c>
      <c r="B85" s="45" t="s">
        <v>1339</v>
      </c>
      <c r="C85" s="137" t="s">
        <v>943</v>
      </c>
      <c r="D85" s="397" t="n">
        <f aca="false">'P&amp;L$'!C131</f>
        <v>43854</v>
      </c>
      <c r="E85" s="397" t="n">
        <f aca="false">'P&amp;L$'!D131</f>
        <v>43854</v>
      </c>
      <c r="F85" s="397" t="n">
        <f aca="false">'P&amp;L$'!E131</f>
        <v>43854</v>
      </c>
      <c r="G85" s="397" t="n">
        <f aca="false">'P&amp;L$'!F131</f>
        <v>43854</v>
      </c>
      <c r="H85" s="397" t="n">
        <f aca="false">'P&amp;L$'!G131</f>
        <v>43854</v>
      </c>
      <c r="I85" s="397" t="n">
        <f aca="false">'P&amp;L$'!H131</f>
        <v>43854</v>
      </c>
      <c r="J85" s="397" t="n">
        <f aca="false">'P&amp;L$'!I131</f>
        <v>48239.4</v>
      </c>
      <c r="K85" s="397" t="n">
        <f aca="false">'P&amp;L$'!J131</f>
        <v>48239.4</v>
      </c>
      <c r="L85" s="397" t="n">
        <f aca="false">'P&amp;L$'!K131</f>
        <v>48239.4</v>
      </c>
      <c r="M85" s="397" t="n">
        <f aca="false">'P&amp;L$'!L131</f>
        <v>48239.4</v>
      </c>
      <c r="N85" s="397" t="n">
        <f aca="false">'P&amp;L$'!M131</f>
        <v>48239.4</v>
      </c>
      <c r="O85" s="397" t="n">
        <f aca="false">'P&amp;L$'!N131</f>
        <v>48239.4</v>
      </c>
      <c r="P85" s="146" t="n">
        <f aca="false">'P&amp;L$'!O131</f>
        <v>552560.4</v>
      </c>
      <c r="Q85" s="146"/>
      <c r="R85" s="146"/>
    </row>
    <row r="86" customFormat="false" ht="13.2" hidden="false" customHeight="false" outlineLevel="0" collapsed="false">
      <c r="A86" s="45" t="s">
        <v>948</v>
      </c>
      <c r="B86" s="45" t="s">
        <v>949</v>
      </c>
      <c r="C86" s="137" t="s">
        <v>947</v>
      </c>
      <c r="D86" s="397" t="n">
        <f aca="false">'P&amp;L$'!C132</f>
        <v>395.034980998213</v>
      </c>
      <c r="E86" s="397" t="n">
        <f aca="false">'P&amp;L$'!D132</f>
        <v>394.483476238144</v>
      </c>
      <c r="F86" s="397" t="n">
        <f aca="false">'P&amp;L$'!E132</f>
        <v>393.933509232833</v>
      </c>
      <c r="G86" s="397" t="n">
        <f aca="false">'P&amp;L$'!F132</f>
        <v>393.385073559676</v>
      </c>
      <c r="H86" s="397" t="n">
        <f aca="false">'P&amp;L$'!G132</f>
        <v>392.838162831788</v>
      </c>
      <c r="I86" s="397" t="n">
        <f aca="false">'P&amp;L$'!H132</f>
        <v>392.29277069775</v>
      </c>
      <c r="J86" s="397" t="n">
        <f aca="false">'P&amp;L$'!I132</f>
        <v>430.923779925502</v>
      </c>
      <c r="K86" s="397" t="n">
        <f aca="false">'P&amp;L$'!J132</f>
        <v>430.327168679561</v>
      </c>
      <c r="L86" s="397" t="n">
        <f aca="false">'P&amp;L$'!K132</f>
        <v>429.732207158574</v>
      </c>
      <c r="M86" s="397" t="n">
        <f aca="false">'P&amp;L$'!L132</f>
        <v>429.138888529361</v>
      </c>
      <c r="N86" s="397" t="n">
        <f aca="false">'P&amp;L$'!M132</f>
        <v>428.547205996427</v>
      </c>
      <c r="O86" s="397" t="n">
        <f aca="false">'P&amp;L$'!N132</f>
        <v>427.957152801703</v>
      </c>
      <c r="P86" s="146" t="n">
        <f aca="false">'P&amp;L$'!O132</f>
        <v>4938.59437664953</v>
      </c>
      <c r="Q86" s="146"/>
      <c r="R86" s="146"/>
    </row>
    <row r="87" customFormat="false" ht="13.8" hidden="false" customHeight="false" outlineLevel="0" collapsed="false">
      <c r="A87" s="398" t="s">
        <v>1289</v>
      </c>
      <c r="B87" s="398" t="s">
        <v>1290</v>
      </c>
      <c r="C87" s="285"/>
      <c r="D87" s="189" t="n">
        <f aca="false">SUM(D85:D86)</f>
        <v>44249.0349809982</v>
      </c>
      <c r="E87" s="189" t="n">
        <f aca="false">SUM(E85:E86)</f>
        <v>44248.4834762381</v>
      </c>
      <c r="F87" s="189" t="n">
        <f aca="false">SUM(F85:F86)</f>
        <v>44247.9335092328</v>
      </c>
      <c r="G87" s="189" t="n">
        <f aca="false">SUM(G85:G86)</f>
        <v>44247.3850735597</v>
      </c>
      <c r="H87" s="189" t="n">
        <f aca="false">SUM(H85:H86)</f>
        <v>44246.8381628318</v>
      </c>
      <c r="I87" s="189" t="n">
        <f aca="false">SUM(I85:I86)</f>
        <v>44246.2927706978</v>
      </c>
      <c r="J87" s="189" t="n">
        <f aca="false">SUM(J85:J86)</f>
        <v>48670.3237799255</v>
      </c>
      <c r="K87" s="189" t="n">
        <f aca="false">SUM(K85:K86)</f>
        <v>48669.7271686796</v>
      </c>
      <c r="L87" s="189" t="n">
        <f aca="false">SUM(L85:L86)</f>
        <v>48669.1322071586</v>
      </c>
      <c r="M87" s="189" t="n">
        <f aca="false">SUM(M85:M86)</f>
        <v>48668.5388885294</v>
      </c>
      <c r="N87" s="189" t="n">
        <f aca="false">SUM(N85:N86)</f>
        <v>48667.9472059964</v>
      </c>
      <c r="O87" s="189" t="n">
        <f aca="false">SUM(O85:O86)</f>
        <v>48667.3571528017</v>
      </c>
      <c r="P87" s="189" t="n">
        <f aca="false">SUM(P85:P86)</f>
        <v>557498.99437665</v>
      </c>
      <c r="Q87" s="366"/>
      <c r="R87" s="36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85"/>
      <c r="DJ87" s="285"/>
      <c r="DK87" s="285"/>
      <c r="DL87" s="285"/>
      <c r="DM87" s="285"/>
      <c r="DN87" s="285"/>
      <c r="DO87" s="285"/>
      <c r="DP87" s="285"/>
      <c r="DQ87" s="285"/>
      <c r="DR87" s="285"/>
      <c r="DS87" s="285"/>
      <c r="DT87" s="285"/>
      <c r="DU87" s="285"/>
      <c r="DV87" s="285"/>
      <c r="DW87" s="285"/>
      <c r="DX87" s="285"/>
      <c r="DY87" s="285"/>
      <c r="DZ87" s="285"/>
      <c r="EA87" s="285"/>
      <c r="EB87" s="285"/>
      <c r="EC87" s="285"/>
      <c r="ED87" s="285"/>
      <c r="EE87" s="285"/>
      <c r="EF87" s="285"/>
      <c r="EG87" s="285"/>
      <c r="EH87" s="285"/>
      <c r="EI87" s="285"/>
      <c r="EJ87" s="285"/>
      <c r="EK87" s="285"/>
      <c r="EL87" s="285"/>
      <c r="EM87" s="285"/>
      <c r="EN87" s="285"/>
      <c r="EO87" s="285"/>
      <c r="EP87" s="285"/>
      <c r="EQ87" s="285"/>
      <c r="ER87" s="285"/>
      <c r="ES87" s="285"/>
      <c r="ET87" s="285"/>
      <c r="EU87" s="285"/>
      <c r="EV87" s="285"/>
      <c r="EW87" s="285"/>
      <c r="EX87" s="285"/>
      <c r="EY87" s="285"/>
      <c r="EZ87" s="285"/>
      <c r="FA87" s="285"/>
      <c r="FB87" s="285"/>
      <c r="FC87" s="285"/>
      <c r="FD87" s="285"/>
      <c r="FE87" s="285"/>
      <c r="FF87" s="285"/>
      <c r="FG87" s="285"/>
      <c r="FH87" s="285"/>
      <c r="FI87" s="285"/>
      <c r="FJ87" s="285"/>
      <c r="FK87" s="285"/>
      <c r="FL87" s="285"/>
      <c r="FM87" s="285"/>
      <c r="FN87" s="285"/>
      <c r="FO87" s="285"/>
      <c r="FP87" s="285"/>
      <c r="FQ87" s="285"/>
      <c r="FR87" s="285"/>
      <c r="FS87" s="285"/>
      <c r="FT87" s="285"/>
      <c r="FU87" s="285"/>
      <c r="FV87" s="285"/>
      <c r="FW87" s="285"/>
      <c r="FX87" s="285"/>
      <c r="FY87" s="285"/>
      <c r="FZ87" s="285"/>
      <c r="GA87" s="285"/>
      <c r="GB87" s="285"/>
      <c r="GC87" s="285"/>
      <c r="GD87" s="285"/>
      <c r="GE87" s="285"/>
      <c r="GF87" s="285"/>
      <c r="GG87" s="285"/>
      <c r="GH87" s="285"/>
      <c r="GI87" s="285"/>
      <c r="GJ87" s="285"/>
      <c r="GK87" s="285"/>
      <c r="GL87" s="285"/>
      <c r="GM87" s="285"/>
      <c r="GN87" s="285"/>
      <c r="GO87" s="285"/>
      <c r="GP87" s="285"/>
      <c r="GQ87" s="285"/>
      <c r="GR87" s="285"/>
      <c r="GS87" s="285"/>
      <c r="GT87" s="285"/>
      <c r="GU87" s="285"/>
      <c r="GV87" s="285"/>
      <c r="GW87" s="285"/>
      <c r="GX87" s="285"/>
      <c r="GY87" s="285"/>
      <c r="GZ87" s="285"/>
      <c r="HA87" s="285"/>
      <c r="HB87" s="285"/>
      <c r="HC87" s="285"/>
      <c r="HD87" s="285"/>
      <c r="HE87" s="285"/>
      <c r="HF87" s="285"/>
      <c r="HG87" s="285"/>
      <c r="HH87" s="285"/>
      <c r="HI87" s="285"/>
      <c r="HJ87" s="285"/>
      <c r="HK87" s="285"/>
      <c r="HL87" s="285"/>
      <c r="HM87" s="285"/>
      <c r="HN87" s="285"/>
      <c r="HO87" s="285"/>
      <c r="HP87" s="285"/>
      <c r="HQ87" s="285"/>
      <c r="HR87" s="285"/>
      <c r="HS87" s="285"/>
      <c r="HT87" s="285"/>
      <c r="HU87" s="285"/>
      <c r="HV87" s="285"/>
      <c r="HW87" s="285"/>
      <c r="HX87" s="285"/>
      <c r="HY87" s="285"/>
      <c r="HZ87" s="285"/>
      <c r="IA87" s="285"/>
      <c r="IB87" s="285"/>
      <c r="IC87" s="285"/>
      <c r="ID87" s="285"/>
      <c r="IE87" s="285"/>
      <c r="IF87" s="285"/>
      <c r="IG87" s="285"/>
      <c r="IH87" s="285"/>
      <c r="II87" s="285"/>
      <c r="IJ87" s="285"/>
      <c r="IK87" s="285"/>
      <c r="IL87" s="285"/>
      <c r="IM87" s="285"/>
      <c r="IN87" s="285"/>
      <c r="IO87" s="285"/>
      <c r="IP87" s="285"/>
      <c r="IQ87" s="285"/>
      <c r="IR87" s="285"/>
      <c r="IS87" s="285"/>
      <c r="IT87" s="285"/>
      <c r="IU87" s="285"/>
      <c r="IV87" s="285"/>
      <c r="IW87" s="285"/>
    </row>
    <row r="88" customFormat="false" ht="34.95" hidden="false" customHeight="true" outlineLevel="0" collapsed="false">
      <c r="P88" s="146"/>
      <c r="Q88" s="146"/>
      <c r="R88" s="146"/>
    </row>
    <row r="89" customFormat="false" ht="13.2" hidden="false" customHeight="false" outlineLevel="0" collapsed="false">
      <c r="A89" s="144" t="s">
        <v>933</v>
      </c>
      <c r="B89" s="144" t="s">
        <v>1340</v>
      </c>
      <c r="C89" s="396" t="s">
        <v>1282</v>
      </c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6"/>
      <c r="P89" s="396"/>
      <c r="Q89" s="146"/>
      <c r="R89" s="146"/>
    </row>
    <row r="90" customFormat="false" ht="13.2" hidden="false" customHeight="false" outlineLevel="0" collapsed="false">
      <c r="A90" s="45" t="s">
        <v>935</v>
      </c>
      <c r="B90" s="45" t="s">
        <v>1341</v>
      </c>
      <c r="C90" s="137" t="s">
        <v>934</v>
      </c>
      <c r="D90" s="397" t="n">
        <f aca="false">'P&amp;L$'!C137</f>
        <v>3764.45099539474</v>
      </c>
      <c r="E90" s="397" t="n">
        <f aca="false">'P&amp;L$'!D137</f>
        <v>3759.19547944584</v>
      </c>
      <c r="F90" s="397" t="n">
        <f aca="false">'P&amp;L$'!E137</f>
        <v>3753.95461739523</v>
      </c>
      <c r="G90" s="397" t="n">
        <f aca="false">'P&amp;L$'!F137</f>
        <v>3748.72834803927</v>
      </c>
      <c r="H90" s="397" t="n">
        <f aca="false">'P&amp;L$'!G137</f>
        <v>3743.51661051469</v>
      </c>
      <c r="I90" s="397" t="n">
        <f aca="false">'P&amp;L$'!H137</f>
        <v>3738.3193442962</v>
      </c>
      <c r="J90" s="397" t="n">
        <f aca="false">'P&amp;L$'!I137</f>
        <v>3733.13648919419</v>
      </c>
      <c r="K90" s="397" t="n">
        <f aca="false">'P&amp;L$'!J137</f>
        <v>3727.96798535234</v>
      </c>
      <c r="L90" s="397" t="n">
        <f aca="false">'P&amp;L$'!K137</f>
        <v>3722.8137732454</v>
      </c>
      <c r="M90" s="397" t="n">
        <f aca="false">'P&amp;L$'!L137</f>
        <v>3717.67379367681</v>
      </c>
      <c r="N90" s="397" t="n">
        <f aca="false">'P&amp;L$'!M137</f>
        <v>3712.54798777653</v>
      </c>
      <c r="O90" s="397" t="n">
        <f aca="false">'P&amp;L$'!N137</f>
        <v>3707.43629699871</v>
      </c>
      <c r="P90" s="146" t="n">
        <f aca="false">'P&amp;L$'!O137</f>
        <v>44829.74172133</v>
      </c>
      <c r="Q90" s="146"/>
      <c r="R90" s="146"/>
    </row>
    <row r="91" customFormat="false" ht="13.8" hidden="false" customHeight="false" outlineLevel="0" collapsed="false">
      <c r="A91" s="398" t="s">
        <v>1289</v>
      </c>
      <c r="B91" s="398" t="s">
        <v>1290</v>
      </c>
      <c r="C91" s="403"/>
      <c r="D91" s="189" t="n">
        <f aca="false">SUM(D90)</f>
        <v>3764.45099539474</v>
      </c>
      <c r="E91" s="189" t="n">
        <f aca="false">SUM(E90)</f>
        <v>3759.19547944584</v>
      </c>
      <c r="F91" s="189" t="n">
        <f aca="false">SUM(F90)</f>
        <v>3753.95461739523</v>
      </c>
      <c r="G91" s="189" t="n">
        <f aca="false">SUM(G90)</f>
        <v>3748.72834803927</v>
      </c>
      <c r="H91" s="189" t="n">
        <f aca="false">SUM(H90)</f>
        <v>3743.51661051469</v>
      </c>
      <c r="I91" s="189" t="n">
        <f aca="false">SUM(I90)</f>
        <v>3738.3193442962</v>
      </c>
      <c r="J91" s="189" t="n">
        <f aca="false">SUM(J90)</f>
        <v>3733.13648919419</v>
      </c>
      <c r="K91" s="189" t="n">
        <f aca="false">SUM(K90)</f>
        <v>3727.96798535234</v>
      </c>
      <c r="L91" s="189" t="n">
        <f aca="false">SUM(L90)</f>
        <v>3722.8137732454</v>
      </c>
      <c r="M91" s="189" t="n">
        <f aca="false">SUM(M90)</f>
        <v>3717.67379367681</v>
      </c>
      <c r="N91" s="189" t="n">
        <f aca="false">SUM(N90)</f>
        <v>3712.54798777653</v>
      </c>
      <c r="O91" s="189" t="n">
        <f aca="false">SUM(O90)</f>
        <v>3707.43629699871</v>
      </c>
      <c r="P91" s="189" t="n">
        <f aca="false">SUM(P90)</f>
        <v>44829.74172133</v>
      </c>
      <c r="Q91" s="361"/>
      <c r="R91" s="361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0"/>
      <c r="AM91" s="280"/>
      <c r="AN91" s="280"/>
      <c r="AO91" s="280"/>
      <c r="AP91" s="280"/>
      <c r="AQ91" s="280"/>
      <c r="AR91" s="280"/>
      <c r="AS91" s="280"/>
      <c r="AT91" s="280"/>
      <c r="AU91" s="280"/>
      <c r="AV91" s="280"/>
      <c r="AW91" s="280"/>
      <c r="AX91" s="280"/>
      <c r="AY91" s="280"/>
      <c r="AZ91" s="280"/>
      <c r="BA91" s="280"/>
      <c r="BB91" s="280"/>
      <c r="BC91" s="280"/>
      <c r="BD91" s="280"/>
      <c r="BE91" s="280"/>
      <c r="BF91" s="280"/>
      <c r="BG91" s="280"/>
      <c r="BH91" s="280"/>
      <c r="BI91" s="280"/>
      <c r="BJ91" s="280"/>
      <c r="BK91" s="280"/>
      <c r="BL91" s="280"/>
      <c r="BM91" s="280"/>
      <c r="BN91" s="280"/>
      <c r="BO91" s="280"/>
      <c r="BP91" s="280"/>
      <c r="BQ91" s="280"/>
      <c r="BR91" s="280"/>
      <c r="BS91" s="280"/>
      <c r="BT91" s="280"/>
      <c r="BU91" s="280"/>
      <c r="BV91" s="280"/>
      <c r="BW91" s="280"/>
      <c r="BX91" s="280"/>
      <c r="BY91" s="280"/>
      <c r="BZ91" s="280"/>
      <c r="CA91" s="280"/>
      <c r="CB91" s="280"/>
      <c r="CC91" s="280"/>
      <c r="CD91" s="280"/>
      <c r="CE91" s="280"/>
      <c r="CF91" s="280"/>
      <c r="CG91" s="280"/>
      <c r="CH91" s="280"/>
      <c r="CI91" s="280"/>
      <c r="CJ91" s="280"/>
      <c r="CK91" s="280"/>
      <c r="CL91" s="280"/>
      <c r="CM91" s="280"/>
      <c r="CN91" s="280"/>
      <c r="CO91" s="280"/>
      <c r="CP91" s="280"/>
      <c r="CQ91" s="280"/>
      <c r="CR91" s="280"/>
      <c r="CS91" s="280"/>
      <c r="CT91" s="280"/>
      <c r="CU91" s="280"/>
      <c r="CV91" s="280"/>
      <c r="CW91" s="280"/>
      <c r="CX91" s="280"/>
      <c r="CY91" s="280"/>
      <c r="CZ91" s="280"/>
      <c r="DA91" s="280"/>
      <c r="DB91" s="280"/>
      <c r="DC91" s="280"/>
      <c r="DD91" s="280"/>
      <c r="DE91" s="280"/>
      <c r="DF91" s="280"/>
      <c r="DG91" s="280"/>
      <c r="DH91" s="280"/>
      <c r="DI91" s="403"/>
      <c r="DJ91" s="403"/>
      <c r="DK91" s="403"/>
      <c r="DL91" s="403"/>
      <c r="DM91" s="403"/>
      <c r="DN91" s="403"/>
      <c r="DO91" s="403"/>
      <c r="DP91" s="403"/>
      <c r="DQ91" s="403"/>
      <c r="DR91" s="403"/>
      <c r="DS91" s="403"/>
      <c r="DT91" s="403"/>
      <c r="DU91" s="403"/>
      <c r="DV91" s="403"/>
      <c r="DW91" s="403"/>
      <c r="DX91" s="403"/>
      <c r="DY91" s="403"/>
      <c r="DZ91" s="403"/>
      <c r="EA91" s="403"/>
      <c r="EB91" s="403"/>
      <c r="EC91" s="403"/>
      <c r="ED91" s="403"/>
      <c r="EE91" s="403"/>
      <c r="EF91" s="403"/>
      <c r="EG91" s="403"/>
      <c r="EH91" s="403"/>
      <c r="EI91" s="403"/>
      <c r="EJ91" s="403"/>
      <c r="EK91" s="403"/>
      <c r="EL91" s="403"/>
      <c r="EM91" s="403"/>
      <c r="EN91" s="403"/>
      <c r="EO91" s="403"/>
      <c r="EP91" s="403"/>
      <c r="EQ91" s="403"/>
      <c r="ER91" s="403"/>
      <c r="ES91" s="403"/>
      <c r="ET91" s="403"/>
      <c r="EU91" s="403"/>
      <c r="EV91" s="403"/>
      <c r="EW91" s="403"/>
      <c r="EX91" s="403"/>
      <c r="EY91" s="403"/>
      <c r="EZ91" s="403"/>
      <c r="FA91" s="403"/>
      <c r="FB91" s="403"/>
      <c r="FC91" s="403"/>
      <c r="FD91" s="403"/>
      <c r="FE91" s="403"/>
      <c r="FF91" s="403"/>
      <c r="FG91" s="403"/>
      <c r="FH91" s="403"/>
      <c r="FI91" s="403"/>
      <c r="FJ91" s="403"/>
      <c r="FK91" s="403"/>
      <c r="FL91" s="403"/>
      <c r="FM91" s="403"/>
      <c r="FN91" s="403"/>
      <c r="FO91" s="403"/>
      <c r="FP91" s="403"/>
      <c r="FQ91" s="403"/>
      <c r="FR91" s="403"/>
      <c r="FS91" s="403"/>
      <c r="FT91" s="403"/>
      <c r="FU91" s="403"/>
      <c r="FV91" s="403"/>
      <c r="FW91" s="403"/>
      <c r="FX91" s="403"/>
      <c r="FY91" s="403"/>
      <c r="FZ91" s="403"/>
      <c r="GA91" s="403"/>
      <c r="GB91" s="403"/>
      <c r="GC91" s="403"/>
      <c r="GD91" s="403"/>
      <c r="GE91" s="403"/>
      <c r="GF91" s="403"/>
      <c r="GG91" s="403"/>
      <c r="GH91" s="403"/>
      <c r="GI91" s="403"/>
      <c r="GJ91" s="403"/>
      <c r="GK91" s="403"/>
      <c r="GL91" s="403"/>
      <c r="GM91" s="403"/>
      <c r="GN91" s="403"/>
      <c r="GO91" s="403"/>
      <c r="GP91" s="403"/>
      <c r="GQ91" s="403"/>
      <c r="GR91" s="403"/>
      <c r="GS91" s="403"/>
      <c r="GT91" s="403"/>
      <c r="GU91" s="403"/>
      <c r="GV91" s="403"/>
      <c r="GW91" s="403"/>
      <c r="GX91" s="403"/>
      <c r="GY91" s="403"/>
      <c r="GZ91" s="403"/>
      <c r="HA91" s="403"/>
      <c r="HB91" s="403"/>
      <c r="HC91" s="403"/>
      <c r="HD91" s="403"/>
      <c r="HE91" s="403"/>
      <c r="HF91" s="403"/>
      <c r="HG91" s="403"/>
      <c r="HH91" s="403"/>
      <c r="HI91" s="403"/>
      <c r="HJ91" s="403"/>
      <c r="HK91" s="403"/>
      <c r="HL91" s="403"/>
      <c r="HM91" s="403"/>
      <c r="HN91" s="403"/>
      <c r="HO91" s="403"/>
      <c r="HP91" s="403"/>
      <c r="HQ91" s="403"/>
      <c r="HR91" s="403"/>
      <c r="HS91" s="403"/>
      <c r="HT91" s="403"/>
      <c r="HU91" s="403"/>
      <c r="HV91" s="403"/>
      <c r="HW91" s="403"/>
      <c r="HX91" s="403"/>
      <c r="HY91" s="403"/>
      <c r="HZ91" s="403"/>
      <c r="IA91" s="403"/>
      <c r="IB91" s="403"/>
      <c r="IC91" s="403"/>
      <c r="ID91" s="403"/>
      <c r="IE91" s="403"/>
      <c r="IF91" s="403"/>
      <c r="IG91" s="403"/>
      <c r="IH91" s="403"/>
      <c r="II91" s="403"/>
      <c r="IJ91" s="403"/>
      <c r="IK91" s="403"/>
      <c r="IL91" s="403"/>
      <c r="IM91" s="403"/>
      <c r="IN91" s="403"/>
      <c r="IO91" s="403"/>
      <c r="IP91" s="403"/>
      <c r="IQ91" s="403"/>
      <c r="IR91" s="403"/>
      <c r="IS91" s="403"/>
      <c r="IT91" s="403"/>
      <c r="IU91" s="403"/>
      <c r="IV91" s="403"/>
      <c r="IW91" s="403"/>
    </row>
    <row r="92" customFormat="false" ht="30.6" hidden="false" customHeight="true" outlineLevel="0" collapsed="false">
      <c r="B92" s="45"/>
      <c r="P92" s="146"/>
      <c r="Q92" s="146"/>
      <c r="R92" s="146"/>
    </row>
    <row r="93" customFormat="false" ht="13.2" hidden="false" customHeight="false" outlineLevel="0" collapsed="false">
      <c r="A93" s="291" t="s">
        <v>952</v>
      </c>
      <c r="B93" s="144" t="s">
        <v>1342</v>
      </c>
      <c r="C93" s="396" t="s">
        <v>1282</v>
      </c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6"/>
      <c r="P93" s="396"/>
      <c r="Q93" s="146"/>
      <c r="R93" s="146"/>
    </row>
    <row r="94" customFormat="false" ht="13.2" hidden="false" customHeight="false" outlineLevel="0" collapsed="false">
      <c r="A94" s="145" t="s">
        <v>954</v>
      </c>
      <c r="B94" s="45" t="s">
        <v>955</v>
      </c>
      <c r="C94" s="137" t="s">
        <v>953</v>
      </c>
      <c r="D94" s="397" t="n">
        <f aca="false">'P&amp;L$'!C144</f>
        <v>1975.17490499107</v>
      </c>
      <c r="E94" s="397" t="n">
        <f aca="false">'P&amp;L$'!D144</f>
        <v>1972.41738119072</v>
      </c>
      <c r="F94" s="397" t="n">
        <f aca="false">'P&amp;L$'!E144</f>
        <v>1969.66754616416</v>
      </c>
      <c r="G94" s="397" t="n">
        <f aca="false">'P&amp;L$'!F144</f>
        <v>1966.92536779838</v>
      </c>
      <c r="H94" s="397" t="n">
        <f aca="false">'P&amp;L$'!G144</f>
        <v>1964.19081415894</v>
      </c>
      <c r="I94" s="397" t="n">
        <f aca="false">'P&amp;L$'!H144</f>
        <v>1961.46385348875</v>
      </c>
      <c r="J94" s="397" t="n">
        <f aca="false">'P&amp;L$'!I144</f>
        <v>1958.74445420683</v>
      </c>
      <c r="K94" s="397" t="n">
        <f aca="false">'P&amp;L$'!J144</f>
        <v>1956.03258490709</v>
      </c>
      <c r="L94" s="397" t="n">
        <f aca="false">'P&amp;L$'!K144</f>
        <v>1953.32821435715</v>
      </c>
      <c r="M94" s="397" t="n">
        <f aca="false">'P&amp;L$'!L144</f>
        <v>1950.63131149709</v>
      </c>
      <c r="N94" s="397" t="n">
        <f aca="false">'P&amp;L$'!M144</f>
        <v>1947.9418454383</v>
      </c>
      <c r="O94" s="397" t="n">
        <f aca="false">'P&amp;L$'!N144</f>
        <v>1945.25978546229</v>
      </c>
      <c r="P94" s="146" t="n">
        <f aca="false">'P&amp;L$'!O144</f>
        <v>23521.7780636608</v>
      </c>
      <c r="Q94" s="146"/>
      <c r="R94" s="146"/>
    </row>
    <row r="95" customFormat="false" ht="13.2" hidden="false" customHeight="false" outlineLevel="0" collapsed="false">
      <c r="A95" s="145" t="s">
        <v>957</v>
      </c>
      <c r="B95" s="45" t="s">
        <v>958</v>
      </c>
      <c r="C95" s="137" t="s">
        <v>956</v>
      </c>
      <c r="D95" s="397" t="n">
        <f aca="false">'P&amp;L$'!C145</f>
        <v>1208.34229481806</v>
      </c>
      <c r="E95" s="397" t="n">
        <f aca="false">'P&amp;L$'!D145</f>
        <v>1206.65533908138</v>
      </c>
      <c r="F95" s="397" t="n">
        <f aca="false">'P&amp;L$'!E145</f>
        <v>1204.97308706514</v>
      </c>
      <c r="G95" s="397" t="n">
        <f aca="false">'P&amp;L$'!F145</f>
        <v>1203.29551912372</v>
      </c>
      <c r="H95" s="397" t="n">
        <f aca="false">'P&amp;L$'!G145</f>
        <v>1201.62261572076</v>
      </c>
      <c r="I95" s="397" t="n">
        <f aca="false">'P&amp;L$'!H145</f>
        <v>1199.95435742841</v>
      </c>
      <c r="J95" s="397" t="n">
        <f aca="false">'P&amp;L$'!I145</f>
        <v>1198.29072492653</v>
      </c>
      <c r="K95" s="397" t="n">
        <f aca="false">'P&amp;L$'!J145</f>
        <v>1196.63169900199</v>
      </c>
      <c r="L95" s="397" t="n">
        <f aca="false">'P&amp;L$'!K145</f>
        <v>1194.97726054791</v>
      </c>
      <c r="M95" s="397" t="n">
        <f aca="false">'P&amp;L$'!L145</f>
        <v>1193.32739056293</v>
      </c>
      <c r="N95" s="397" t="n">
        <f aca="false">'P&amp;L$'!M145</f>
        <v>1191.68207015049</v>
      </c>
      <c r="O95" s="397" t="n">
        <f aca="false">'P&amp;L$'!N145</f>
        <v>1190.0412805181</v>
      </c>
      <c r="P95" s="146" t="n">
        <f aca="false">'P&amp;L$'!O145</f>
        <v>14389.7936389454</v>
      </c>
      <c r="Q95" s="146"/>
      <c r="R95" s="146"/>
    </row>
    <row r="96" customFormat="false" ht="13.8" hidden="false" customHeight="false" outlineLevel="0" collapsed="false">
      <c r="A96" s="398" t="s">
        <v>1289</v>
      </c>
      <c r="B96" s="398" t="s">
        <v>1290</v>
      </c>
      <c r="C96" s="403"/>
      <c r="D96" s="189" t="n">
        <f aca="false">SUM(D94:D95)</f>
        <v>3183.51719980913</v>
      </c>
      <c r="E96" s="189" t="n">
        <f aca="false">SUM(E94:E95)</f>
        <v>3179.0727202721</v>
      </c>
      <c r="F96" s="189" t="n">
        <f aca="false">SUM(F94:F95)</f>
        <v>3174.6406332293</v>
      </c>
      <c r="G96" s="189" t="n">
        <f aca="false">SUM(G94:G95)</f>
        <v>3170.2208869221</v>
      </c>
      <c r="H96" s="189" t="n">
        <f aca="false">SUM(H94:H95)</f>
        <v>3165.8134298797</v>
      </c>
      <c r="I96" s="189" t="n">
        <f aca="false">SUM(I94:I95)</f>
        <v>3161.41821091716</v>
      </c>
      <c r="J96" s="189" t="n">
        <f aca="false">SUM(J94:J95)</f>
        <v>3157.03517913336</v>
      </c>
      <c r="K96" s="189" t="n">
        <f aca="false">SUM(K94:K95)</f>
        <v>3152.66428390908</v>
      </c>
      <c r="L96" s="189" t="n">
        <f aca="false">SUM(L94:L95)</f>
        <v>3148.30547490506</v>
      </c>
      <c r="M96" s="189" t="n">
        <f aca="false">SUM(M94:M95)</f>
        <v>3143.95870206002</v>
      </c>
      <c r="N96" s="189" t="n">
        <f aca="false">SUM(N94:N95)</f>
        <v>3139.62391558879</v>
      </c>
      <c r="O96" s="189" t="n">
        <f aca="false">SUM(O94:O95)</f>
        <v>3135.30106598039</v>
      </c>
      <c r="P96" s="189" t="n">
        <f aca="false">SUM(P94:P95)</f>
        <v>37911.5717026062</v>
      </c>
      <c r="Q96" s="361"/>
      <c r="R96" s="361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  <c r="AL96" s="280"/>
      <c r="AM96" s="280"/>
      <c r="AN96" s="280"/>
      <c r="AO96" s="280"/>
      <c r="AP96" s="280"/>
      <c r="AQ96" s="280"/>
      <c r="AR96" s="280"/>
      <c r="AS96" s="280"/>
      <c r="AT96" s="280"/>
      <c r="AU96" s="280"/>
      <c r="AV96" s="280"/>
      <c r="AW96" s="280"/>
      <c r="AX96" s="280"/>
      <c r="AY96" s="280"/>
      <c r="AZ96" s="280"/>
      <c r="BA96" s="280"/>
      <c r="BB96" s="280"/>
      <c r="BC96" s="280"/>
      <c r="BD96" s="280"/>
      <c r="BE96" s="280"/>
      <c r="BF96" s="280"/>
      <c r="BG96" s="280"/>
      <c r="BH96" s="280"/>
      <c r="BI96" s="280"/>
      <c r="BJ96" s="280"/>
      <c r="BK96" s="280"/>
      <c r="BL96" s="280"/>
      <c r="BM96" s="280"/>
      <c r="BN96" s="280"/>
      <c r="BO96" s="280"/>
      <c r="BP96" s="280"/>
      <c r="BQ96" s="280"/>
      <c r="BR96" s="280"/>
      <c r="BS96" s="280"/>
      <c r="BT96" s="280"/>
      <c r="BU96" s="280"/>
      <c r="BV96" s="280"/>
      <c r="BW96" s="280"/>
      <c r="BX96" s="280"/>
      <c r="BY96" s="280"/>
      <c r="BZ96" s="280"/>
      <c r="CA96" s="280"/>
      <c r="CB96" s="280"/>
      <c r="CC96" s="280"/>
      <c r="CD96" s="280"/>
      <c r="CE96" s="280"/>
      <c r="CF96" s="280"/>
      <c r="CG96" s="280"/>
      <c r="CH96" s="280"/>
      <c r="CI96" s="280"/>
      <c r="CJ96" s="280"/>
      <c r="CK96" s="280"/>
      <c r="CL96" s="280"/>
      <c r="CM96" s="280"/>
      <c r="CN96" s="280"/>
      <c r="CO96" s="280"/>
      <c r="CP96" s="280"/>
      <c r="CQ96" s="280"/>
      <c r="CR96" s="280"/>
      <c r="CS96" s="280"/>
      <c r="CT96" s="280"/>
      <c r="CU96" s="280"/>
      <c r="CV96" s="280"/>
      <c r="CW96" s="280"/>
      <c r="CX96" s="280"/>
      <c r="CY96" s="280"/>
      <c r="CZ96" s="280"/>
      <c r="DA96" s="280"/>
      <c r="DB96" s="280"/>
      <c r="DC96" s="280"/>
      <c r="DD96" s="280"/>
      <c r="DE96" s="280"/>
      <c r="DF96" s="280"/>
      <c r="DG96" s="280"/>
      <c r="DH96" s="280"/>
      <c r="DI96" s="403"/>
      <c r="DJ96" s="403"/>
      <c r="DK96" s="403"/>
      <c r="DL96" s="403"/>
      <c r="DM96" s="403"/>
      <c r="DN96" s="403"/>
      <c r="DO96" s="403"/>
      <c r="DP96" s="403"/>
      <c r="DQ96" s="403"/>
      <c r="DR96" s="403"/>
      <c r="DS96" s="403"/>
      <c r="DT96" s="403"/>
      <c r="DU96" s="403"/>
      <c r="DV96" s="403"/>
      <c r="DW96" s="403"/>
      <c r="DX96" s="403"/>
      <c r="DY96" s="403"/>
      <c r="DZ96" s="403"/>
      <c r="EA96" s="403"/>
      <c r="EB96" s="403"/>
      <c r="EC96" s="403"/>
      <c r="ED96" s="403"/>
      <c r="EE96" s="403"/>
      <c r="EF96" s="403"/>
      <c r="EG96" s="403"/>
      <c r="EH96" s="403"/>
      <c r="EI96" s="403"/>
      <c r="EJ96" s="403"/>
      <c r="EK96" s="403"/>
      <c r="EL96" s="403"/>
      <c r="EM96" s="403"/>
      <c r="EN96" s="403"/>
      <c r="EO96" s="403"/>
      <c r="EP96" s="403"/>
      <c r="EQ96" s="403"/>
      <c r="ER96" s="403"/>
      <c r="ES96" s="403"/>
      <c r="ET96" s="403"/>
      <c r="EU96" s="403"/>
      <c r="EV96" s="403"/>
      <c r="EW96" s="403"/>
      <c r="EX96" s="403"/>
      <c r="EY96" s="403"/>
      <c r="EZ96" s="403"/>
      <c r="FA96" s="403"/>
      <c r="FB96" s="403"/>
      <c r="FC96" s="403"/>
      <c r="FD96" s="403"/>
      <c r="FE96" s="403"/>
      <c r="FF96" s="403"/>
      <c r="FG96" s="403"/>
      <c r="FH96" s="403"/>
      <c r="FI96" s="403"/>
      <c r="FJ96" s="403"/>
      <c r="FK96" s="403"/>
      <c r="FL96" s="403"/>
      <c r="FM96" s="403"/>
      <c r="FN96" s="403"/>
      <c r="FO96" s="403"/>
      <c r="FP96" s="403"/>
      <c r="FQ96" s="403"/>
      <c r="FR96" s="403"/>
      <c r="FS96" s="403"/>
      <c r="FT96" s="403"/>
      <c r="FU96" s="403"/>
      <c r="FV96" s="403"/>
      <c r="FW96" s="403"/>
      <c r="FX96" s="403"/>
      <c r="FY96" s="403"/>
      <c r="FZ96" s="403"/>
      <c r="GA96" s="403"/>
      <c r="GB96" s="403"/>
      <c r="GC96" s="403"/>
      <c r="GD96" s="403"/>
      <c r="GE96" s="403"/>
      <c r="GF96" s="403"/>
      <c r="GG96" s="403"/>
      <c r="GH96" s="403"/>
      <c r="GI96" s="403"/>
      <c r="GJ96" s="403"/>
      <c r="GK96" s="403"/>
      <c r="GL96" s="403"/>
      <c r="GM96" s="403"/>
      <c r="GN96" s="403"/>
      <c r="GO96" s="403"/>
      <c r="GP96" s="403"/>
      <c r="GQ96" s="403"/>
      <c r="GR96" s="403"/>
      <c r="GS96" s="403"/>
      <c r="GT96" s="403"/>
      <c r="GU96" s="403"/>
      <c r="GV96" s="403"/>
      <c r="GW96" s="403"/>
      <c r="GX96" s="403"/>
      <c r="GY96" s="403"/>
      <c r="GZ96" s="403"/>
      <c r="HA96" s="403"/>
      <c r="HB96" s="403"/>
      <c r="HC96" s="403"/>
      <c r="HD96" s="403"/>
      <c r="HE96" s="403"/>
      <c r="HF96" s="403"/>
      <c r="HG96" s="403"/>
      <c r="HH96" s="403"/>
      <c r="HI96" s="403"/>
      <c r="HJ96" s="403"/>
      <c r="HK96" s="403"/>
      <c r="HL96" s="403"/>
      <c r="HM96" s="403"/>
      <c r="HN96" s="403"/>
      <c r="HO96" s="403"/>
      <c r="HP96" s="403"/>
      <c r="HQ96" s="403"/>
      <c r="HR96" s="403"/>
      <c r="HS96" s="403"/>
      <c r="HT96" s="403"/>
      <c r="HU96" s="403"/>
      <c r="HV96" s="403"/>
      <c r="HW96" s="403"/>
      <c r="HX96" s="403"/>
      <c r="HY96" s="403"/>
      <c r="HZ96" s="403"/>
      <c r="IA96" s="403"/>
      <c r="IB96" s="403"/>
      <c r="IC96" s="403"/>
      <c r="ID96" s="403"/>
      <c r="IE96" s="403"/>
      <c r="IF96" s="403"/>
      <c r="IG96" s="403"/>
      <c r="IH96" s="403"/>
      <c r="II96" s="403"/>
      <c r="IJ96" s="403"/>
      <c r="IK96" s="403"/>
      <c r="IL96" s="403"/>
      <c r="IM96" s="403"/>
      <c r="IN96" s="403"/>
      <c r="IO96" s="403"/>
      <c r="IP96" s="403"/>
      <c r="IQ96" s="403"/>
      <c r="IR96" s="403"/>
      <c r="IS96" s="403"/>
      <c r="IT96" s="403"/>
      <c r="IU96" s="403"/>
      <c r="IV96" s="403"/>
      <c r="IW96" s="403"/>
    </row>
    <row r="97" customFormat="false" ht="31.95" hidden="false" customHeight="true" outlineLevel="0" collapsed="false">
      <c r="P97" s="146"/>
      <c r="Q97" s="146"/>
      <c r="R97" s="146"/>
    </row>
    <row r="98" customFormat="false" ht="13.2" hidden="false" customHeight="false" outlineLevel="0" collapsed="false">
      <c r="A98" s="291" t="s">
        <v>960</v>
      </c>
      <c r="B98" s="144" t="s">
        <v>1343</v>
      </c>
      <c r="C98" s="396" t="s">
        <v>1282</v>
      </c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6"/>
      <c r="P98" s="396"/>
      <c r="Q98" s="146"/>
      <c r="R98" s="146"/>
    </row>
    <row r="99" customFormat="false" ht="13.2" hidden="false" customHeight="false" outlineLevel="0" collapsed="false">
      <c r="A99" s="45" t="s">
        <v>963</v>
      </c>
      <c r="B99" s="45" t="s">
        <v>964</v>
      </c>
      <c r="C99" s="137" t="s">
        <v>962</v>
      </c>
      <c r="D99" s="397" t="n">
        <f aca="false">'P&amp;L$'!C149</f>
        <v>1347.76640575861</v>
      </c>
      <c r="E99" s="397" t="n">
        <f aca="false">'P&amp;L$'!D149</f>
        <v>1345.88480128308</v>
      </c>
      <c r="F99" s="397" t="n">
        <f aca="false">'P&amp;L$'!E149</f>
        <v>1344.00844326496</v>
      </c>
      <c r="G99" s="397" t="n">
        <f aca="false">'P&amp;L$'!F149</f>
        <v>1342.13730979184</v>
      </c>
      <c r="H99" s="397" t="n">
        <f aca="false">'P&amp;L$'!G149</f>
        <v>1340.27137907316</v>
      </c>
      <c r="I99" s="397" t="n">
        <f aca="false">'P&amp;L$'!H149</f>
        <v>1338.41062943938</v>
      </c>
      <c r="J99" s="397" t="n">
        <f aca="false">'P&amp;L$'!I149</f>
        <v>1336.55503934113</v>
      </c>
      <c r="K99" s="397" t="n">
        <f aca="false">'P&amp;L$'!J149</f>
        <v>1334.70458734837</v>
      </c>
      <c r="L99" s="397" t="n">
        <f aca="false">'P&amp;L$'!K149</f>
        <v>1332.85925214959</v>
      </c>
      <c r="M99" s="397" t="n">
        <f aca="false">'P&amp;L$'!L149</f>
        <v>1331.01901255096</v>
      </c>
      <c r="N99" s="397" t="n">
        <f aca="false">'P&amp;L$'!M149</f>
        <v>1329.18384747555</v>
      </c>
      <c r="O99" s="397" t="n">
        <f aca="false">'P&amp;L$'!N149</f>
        <v>1327.3537359625</v>
      </c>
      <c r="P99" s="146" t="n">
        <f aca="false">'P&amp;L$'!O149</f>
        <v>16050.1544434391</v>
      </c>
      <c r="Q99" s="146"/>
      <c r="R99" s="146"/>
    </row>
    <row r="100" customFormat="false" ht="13.2" hidden="false" customHeight="false" outlineLevel="0" collapsed="false">
      <c r="A100" s="45" t="s">
        <v>966</v>
      </c>
      <c r="B100" s="45" t="s">
        <v>967</v>
      </c>
      <c r="C100" s="137" t="s">
        <v>965</v>
      </c>
      <c r="D100" s="397" t="n">
        <f aca="false">'P&amp;L$'!C150</f>
        <v>487.984388291911</v>
      </c>
      <c r="E100" s="397" t="n">
        <f aca="false">'P&amp;L$'!D150</f>
        <v>487.303117705943</v>
      </c>
      <c r="F100" s="397" t="n">
        <f aca="false">'P&amp;L$'!E150</f>
        <v>486.623746699382</v>
      </c>
      <c r="G100" s="397" t="n">
        <f aca="false">'P&amp;L$'!F150</f>
        <v>485.946267338424</v>
      </c>
      <c r="H100" s="397" t="n">
        <f aca="false">'P&amp;L$'!G150</f>
        <v>485.270671733385</v>
      </c>
      <c r="I100" s="397" t="n">
        <f aca="false">'P&amp;L$'!H150</f>
        <v>484.596952038396</v>
      </c>
      <c r="J100" s="397" t="n">
        <f aca="false">'P&amp;L$'!I150</f>
        <v>483.925100451098</v>
      </c>
      <c r="K100" s="397" t="n">
        <f aca="false">'P&amp;L$'!J150</f>
        <v>483.255109212341</v>
      </c>
      <c r="L100" s="397" t="n">
        <f aca="false">'P&amp;L$'!K150</f>
        <v>482.586970605885</v>
      </c>
      <c r="M100" s="397" t="n">
        <f aca="false">'P&amp;L$'!L150</f>
        <v>481.920676958105</v>
      </c>
      <c r="N100" s="397" t="n">
        <f aca="false">'P&amp;L$'!M150</f>
        <v>481.256220637698</v>
      </c>
      <c r="O100" s="397" t="n">
        <f aca="false">'P&amp;L$'!N150</f>
        <v>480.593594055388</v>
      </c>
      <c r="P100" s="146" t="n">
        <f aca="false">'P&amp;L$'!O150</f>
        <v>5811.26281572796</v>
      </c>
      <c r="Q100" s="146"/>
      <c r="R100" s="146"/>
    </row>
    <row r="101" customFormat="false" ht="13.8" hidden="false" customHeight="false" outlineLevel="0" collapsed="false">
      <c r="A101" s="398" t="s">
        <v>1289</v>
      </c>
      <c r="B101" s="398" t="s">
        <v>1290</v>
      </c>
      <c r="C101" s="403"/>
      <c r="D101" s="189" t="n">
        <f aca="false">SUM(D99:D100)</f>
        <v>1835.75079405052</v>
      </c>
      <c r="E101" s="189" t="n">
        <f aca="false">SUM(E99:E100)</f>
        <v>1833.18791898902</v>
      </c>
      <c r="F101" s="189" t="n">
        <f aca="false">SUM(F99:F100)</f>
        <v>1830.63218996434</v>
      </c>
      <c r="G101" s="189" t="n">
        <f aca="false">SUM(G99:G100)</f>
        <v>1828.08357713026</v>
      </c>
      <c r="H101" s="189" t="n">
        <f aca="false">SUM(H99:H100)</f>
        <v>1825.54205080655</v>
      </c>
      <c r="I101" s="189" t="n">
        <f aca="false">SUM(I99:I100)</f>
        <v>1823.00758147778</v>
      </c>
      <c r="J101" s="189" t="n">
        <f aca="false">SUM(J99:J100)</f>
        <v>1820.48013979223</v>
      </c>
      <c r="K101" s="189" t="n">
        <f aca="false">SUM(K99:K100)</f>
        <v>1817.95969656071</v>
      </c>
      <c r="L101" s="189" t="n">
        <f aca="false">SUM(L99:L100)</f>
        <v>1815.44622275547</v>
      </c>
      <c r="M101" s="189" t="n">
        <f aca="false">SUM(M99:M100)</f>
        <v>1812.93968950906</v>
      </c>
      <c r="N101" s="189" t="n">
        <f aca="false">SUM(N99:N100)</f>
        <v>1810.44006811325</v>
      </c>
      <c r="O101" s="189" t="n">
        <f aca="false">SUM(O99:O100)</f>
        <v>1807.94733001789</v>
      </c>
      <c r="P101" s="189" t="n">
        <f aca="false">SUM(P99:P100)</f>
        <v>21861.4172591671</v>
      </c>
      <c r="Q101" s="361"/>
      <c r="R101" s="361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  <c r="AL101" s="280"/>
      <c r="AM101" s="280"/>
      <c r="AN101" s="280"/>
      <c r="AO101" s="280"/>
      <c r="AP101" s="280"/>
      <c r="AQ101" s="280"/>
      <c r="AR101" s="280"/>
      <c r="AS101" s="280"/>
      <c r="AT101" s="280"/>
      <c r="AU101" s="280"/>
      <c r="AV101" s="280"/>
      <c r="AW101" s="280"/>
      <c r="AX101" s="280"/>
      <c r="AY101" s="280"/>
      <c r="AZ101" s="280"/>
      <c r="BA101" s="280"/>
      <c r="BB101" s="280"/>
      <c r="BC101" s="280"/>
      <c r="BD101" s="280"/>
      <c r="BE101" s="280"/>
      <c r="BF101" s="280"/>
      <c r="BG101" s="280"/>
      <c r="BH101" s="280"/>
      <c r="BI101" s="280"/>
      <c r="BJ101" s="280"/>
      <c r="BK101" s="280"/>
      <c r="BL101" s="280"/>
      <c r="BM101" s="280"/>
      <c r="BN101" s="280"/>
      <c r="BO101" s="280"/>
      <c r="BP101" s="280"/>
      <c r="BQ101" s="280"/>
      <c r="BR101" s="280"/>
      <c r="BS101" s="280"/>
      <c r="BT101" s="280"/>
      <c r="BU101" s="280"/>
      <c r="BV101" s="280"/>
      <c r="BW101" s="280"/>
      <c r="BX101" s="280"/>
      <c r="BY101" s="280"/>
      <c r="BZ101" s="280"/>
      <c r="CA101" s="280"/>
      <c r="CB101" s="280"/>
      <c r="CC101" s="280"/>
      <c r="CD101" s="280"/>
      <c r="CE101" s="280"/>
      <c r="CF101" s="280"/>
      <c r="CG101" s="280"/>
      <c r="CH101" s="280"/>
      <c r="CI101" s="280"/>
      <c r="CJ101" s="280"/>
      <c r="CK101" s="280"/>
      <c r="CL101" s="280"/>
      <c r="CM101" s="280"/>
      <c r="CN101" s="280"/>
      <c r="CO101" s="280"/>
      <c r="CP101" s="280"/>
      <c r="CQ101" s="280"/>
      <c r="CR101" s="280"/>
      <c r="CS101" s="280"/>
      <c r="CT101" s="280"/>
      <c r="CU101" s="280"/>
      <c r="CV101" s="280"/>
      <c r="CW101" s="280"/>
      <c r="CX101" s="280"/>
      <c r="CY101" s="280"/>
      <c r="CZ101" s="280"/>
      <c r="DA101" s="280"/>
      <c r="DB101" s="280"/>
      <c r="DC101" s="280"/>
      <c r="DD101" s="280"/>
      <c r="DE101" s="280"/>
      <c r="DF101" s="280"/>
      <c r="DG101" s="280"/>
      <c r="DH101" s="280"/>
      <c r="DI101" s="403"/>
      <c r="DJ101" s="403"/>
      <c r="DK101" s="403"/>
      <c r="DL101" s="403"/>
      <c r="DM101" s="403"/>
      <c r="DN101" s="403"/>
      <c r="DO101" s="403"/>
      <c r="DP101" s="403"/>
      <c r="DQ101" s="403"/>
      <c r="DR101" s="403"/>
      <c r="DS101" s="403"/>
      <c r="DT101" s="403"/>
      <c r="DU101" s="403"/>
      <c r="DV101" s="403"/>
      <c r="DW101" s="403"/>
      <c r="DX101" s="403"/>
      <c r="DY101" s="403"/>
      <c r="DZ101" s="403"/>
      <c r="EA101" s="403"/>
      <c r="EB101" s="403"/>
      <c r="EC101" s="403"/>
      <c r="ED101" s="403"/>
      <c r="EE101" s="403"/>
      <c r="EF101" s="403"/>
      <c r="EG101" s="403"/>
      <c r="EH101" s="403"/>
      <c r="EI101" s="403"/>
      <c r="EJ101" s="403"/>
      <c r="EK101" s="403"/>
      <c r="EL101" s="403"/>
      <c r="EM101" s="403"/>
      <c r="EN101" s="403"/>
      <c r="EO101" s="403"/>
      <c r="EP101" s="403"/>
      <c r="EQ101" s="403"/>
      <c r="ER101" s="403"/>
      <c r="ES101" s="403"/>
      <c r="ET101" s="403"/>
      <c r="EU101" s="403"/>
      <c r="EV101" s="403"/>
      <c r="EW101" s="403"/>
      <c r="EX101" s="403"/>
      <c r="EY101" s="403"/>
      <c r="EZ101" s="403"/>
      <c r="FA101" s="403"/>
      <c r="FB101" s="403"/>
      <c r="FC101" s="403"/>
      <c r="FD101" s="403"/>
      <c r="FE101" s="403"/>
      <c r="FF101" s="403"/>
      <c r="FG101" s="403"/>
      <c r="FH101" s="403"/>
      <c r="FI101" s="403"/>
      <c r="FJ101" s="403"/>
      <c r="FK101" s="403"/>
      <c r="FL101" s="403"/>
      <c r="FM101" s="403"/>
      <c r="FN101" s="403"/>
      <c r="FO101" s="403"/>
      <c r="FP101" s="403"/>
      <c r="FQ101" s="403"/>
      <c r="FR101" s="403"/>
      <c r="FS101" s="403"/>
      <c r="FT101" s="403"/>
      <c r="FU101" s="403"/>
      <c r="FV101" s="403"/>
      <c r="FW101" s="403"/>
      <c r="FX101" s="403"/>
      <c r="FY101" s="403"/>
      <c r="FZ101" s="403"/>
      <c r="GA101" s="403"/>
      <c r="GB101" s="403"/>
      <c r="GC101" s="403"/>
      <c r="GD101" s="403"/>
      <c r="GE101" s="403"/>
      <c r="GF101" s="403"/>
      <c r="GG101" s="403"/>
      <c r="GH101" s="403"/>
      <c r="GI101" s="403"/>
      <c r="GJ101" s="403"/>
      <c r="GK101" s="403"/>
      <c r="GL101" s="403"/>
      <c r="GM101" s="403"/>
      <c r="GN101" s="403"/>
      <c r="GO101" s="403"/>
      <c r="GP101" s="403"/>
      <c r="GQ101" s="403"/>
      <c r="GR101" s="403"/>
      <c r="GS101" s="403"/>
      <c r="GT101" s="403"/>
      <c r="GU101" s="403"/>
      <c r="GV101" s="403"/>
      <c r="GW101" s="403"/>
      <c r="GX101" s="403"/>
      <c r="GY101" s="403"/>
      <c r="GZ101" s="403"/>
      <c r="HA101" s="403"/>
      <c r="HB101" s="403"/>
      <c r="HC101" s="403"/>
      <c r="HD101" s="403"/>
      <c r="HE101" s="403"/>
      <c r="HF101" s="403"/>
      <c r="HG101" s="403"/>
      <c r="HH101" s="403"/>
      <c r="HI101" s="403"/>
      <c r="HJ101" s="403"/>
      <c r="HK101" s="403"/>
      <c r="HL101" s="403"/>
      <c r="HM101" s="403"/>
      <c r="HN101" s="403"/>
      <c r="HO101" s="403"/>
      <c r="HP101" s="403"/>
      <c r="HQ101" s="403"/>
      <c r="HR101" s="403"/>
      <c r="HS101" s="403"/>
      <c r="HT101" s="403"/>
      <c r="HU101" s="403"/>
      <c r="HV101" s="403"/>
      <c r="HW101" s="403"/>
      <c r="HX101" s="403"/>
      <c r="HY101" s="403"/>
      <c r="HZ101" s="403"/>
      <c r="IA101" s="403"/>
      <c r="IB101" s="403"/>
      <c r="IC101" s="403"/>
      <c r="ID101" s="403"/>
      <c r="IE101" s="403"/>
      <c r="IF101" s="403"/>
      <c r="IG101" s="403"/>
      <c r="IH101" s="403"/>
      <c r="II101" s="403"/>
      <c r="IJ101" s="403"/>
      <c r="IK101" s="403"/>
      <c r="IL101" s="403"/>
      <c r="IM101" s="403"/>
      <c r="IN101" s="403"/>
      <c r="IO101" s="403"/>
      <c r="IP101" s="403"/>
      <c r="IQ101" s="403"/>
      <c r="IR101" s="403"/>
      <c r="IS101" s="403"/>
      <c r="IT101" s="403"/>
      <c r="IU101" s="403"/>
      <c r="IV101" s="403"/>
      <c r="IW101" s="403"/>
    </row>
    <row r="102" customFormat="false" ht="30" hidden="false" customHeight="true" outlineLevel="0" collapsed="false">
      <c r="P102" s="146"/>
      <c r="Q102" s="146"/>
      <c r="R102" s="146"/>
    </row>
    <row r="103" customFormat="false" ht="13.2" hidden="false" customHeight="false" outlineLevel="0" collapsed="false">
      <c r="A103" s="26" t="s">
        <v>968</v>
      </c>
      <c r="B103" s="26" t="s">
        <v>1344</v>
      </c>
      <c r="C103" s="396" t="s">
        <v>1282</v>
      </c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146"/>
      <c r="R103" s="146"/>
    </row>
    <row r="104" customFormat="false" ht="13.8" hidden="false" customHeight="false" outlineLevel="0" collapsed="false">
      <c r="A104" s="403" t="s">
        <v>970</v>
      </c>
      <c r="B104" s="404" t="s">
        <v>971</v>
      </c>
      <c r="C104" s="405" t="s">
        <v>969</v>
      </c>
      <c r="D104" s="57" t="n">
        <f aca="false">'P&amp;L$'!C155</f>
        <v>2091.36166410819</v>
      </c>
      <c r="E104" s="57" t="n">
        <f aca="false">'P&amp;L$'!D155</f>
        <v>2088.44193302547</v>
      </c>
      <c r="F104" s="57" t="n">
        <f aca="false">'P&amp;L$'!E155</f>
        <v>2085.53034299735</v>
      </c>
      <c r="G104" s="57" t="n">
        <f aca="false">'P&amp;L$'!F155</f>
        <v>2082.62686002182</v>
      </c>
      <c r="H104" s="57" t="n">
        <f aca="false">'P&amp;L$'!G155</f>
        <v>2079.73145028594</v>
      </c>
      <c r="I104" s="57" t="n">
        <f aca="false">'P&amp;L$'!H155</f>
        <v>2076.84408016456</v>
      </c>
      <c r="J104" s="57" t="n">
        <f aca="false">'P&amp;L$'!I155</f>
        <v>2073.96471621899</v>
      </c>
      <c r="K104" s="57" t="n">
        <f aca="false">'P&amp;L$'!J155</f>
        <v>2071.09332519575</v>
      </c>
      <c r="L104" s="57" t="n">
        <f aca="false">'P&amp;L$'!K155</f>
        <v>2068.22987402522</v>
      </c>
      <c r="M104" s="57" t="n">
        <f aca="false">'P&amp;L$'!L155</f>
        <v>2065.37432982045</v>
      </c>
      <c r="N104" s="57" t="n">
        <f aca="false">'P&amp;L$'!M155</f>
        <v>2062.52665987585</v>
      </c>
      <c r="O104" s="57" t="n">
        <f aca="false">'P&amp;L$'!N155</f>
        <v>2059.68683166595</v>
      </c>
      <c r="P104" s="143" t="n">
        <f aca="false">'P&amp;L$'!O155</f>
        <v>24905.4120674055</v>
      </c>
      <c r="Q104" s="361"/>
      <c r="R104" s="361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  <c r="AL104" s="280"/>
      <c r="AM104" s="280"/>
      <c r="AN104" s="280"/>
      <c r="AO104" s="280"/>
      <c r="AP104" s="280"/>
      <c r="AQ104" s="280"/>
      <c r="AR104" s="280"/>
      <c r="AS104" s="280"/>
      <c r="AT104" s="280"/>
      <c r="AU104" s="280"/>
      <c r="AV104" s="280"/>
      <c r="AW104" s="280"/>
      <c r="AX104" s="280"/>
      <c r="AY104" s="280"/>
      <c r="AZ104" s="280"/>
      <c r="BA104" s="280"/>
      <c r="BB104" s="280"/>
      <c r="BC104" s="280"/>
      <c r="BD104" s="280"/>
      <c r="BE104" s="280"/>
      <c r="BF104" s="280"/>
      <c r="BG104" s="280"/>
      <c r="BH104" s="280"/>
      <c r="BI104" s="280"/>
      <c r="BJ104" s="280"/>
      <c r="BK104" s="280"/>
      <c r="BL104" s="280"/>
      <c r="BM104" s="280"/>
      <c r="BN104" s="280"/>
      <c r="BO104" s="280"/>
      <c r="BP104" s="280"/>
      <c r="BQ104" s="280"/>
      <c r="BR104" s="280"/>
      <c r="BS104" s="280"/>
      <c r="BT104" s="280"/>
      <c r="BU104" s="280"/>
      <c r="BV104" s="280"/>
      <c r="BW104" s="280"/>
      <c r="BX104" s="280"/>
      <c r="BY104" s="280"/>
      <c r="BZ104" s="280"/>
      <c r="CA104" s="280"/>
      <c r="CB104" s="280"/>
      <c r="CC104" s="280"/>
      <c r="CD104" s="280"/>
      <c r="CE104" s="280"/>
      <c r="CF104" s="280"/>
      <c r="CG104" s="280"/>
      <c r="CH104" s="280"/>
      <c r="CI104" s="280"/>
      <c r="CJ104" s="280"/>
      <c r="CK104" s="280"/>
      <c r="CL104" s="280"/>
      <c r="CM104" s="280"/>
      <c r="CN104" s="280"/>
      <c r="CO104" s="280"/>
      <c r="CP104" s="280"/>
      <c r="CQ104" s="280"/>
      <c r="CR104" s="280"/>
      <c r="CS104" s="280"/>
      <c r="CT104" s="280"/>
      <c r="CU104" s="280"/>
      <c r="CV104" s="280"/>
      <c r="CW104" s="280"/>
      <c r="CX104" s="280"/>
      <c r="CY104" s="280"/>
      <c r="CZ104" s="280"/>
      <c r="DA104" s="280"/>
      <c r="DB104" s="280"/>
      <c r="DC104" s="280"/>
      <c r="DD104" s="280"/>
      <c r="DE104" s="280"/>
      <c r="DF104" s="280"/>
      <c r="DG104" s="280"/>
      <c r="DH104" s="280"/>
      <c r="DI104" s="403"/>
      <c r="DJ104" s="403"/>
      <c r="DK104" s="403"/>
      <c r="DL104" s="403"/>
      <c r="DM104" s="403"/>
      <c r="DN104" s="403"/>
      <c r="DO104" s="403"/>
      <c r="DP104" s="403"/>
      <c r="DQ104" s="403"/>
      <c r="DR104" s="403"/>
      <c r="DS104" s="403"/>
      <c r="DT104" s="403"/>
      <c r="DU104" s="403"/>
      <c r="DV104" s="403"/>
      <c r="DW104" s="403"/>
      <c r="DX104" s="403"/>
      <c r="DY104" s="403"/>
      <c r="DZ104" s="403"/>
      <c r="EA104" s="403"/>
      <c r="EB104" s="403"/>
      <c r="EC104" s="403"/>
      <c r="ED104" s="403"/>
      <c r="EE104" s="403"/>
      <c r="EF104" s="403"/>
      <c r="EG104" s="403"/>
      <c r="EH104" s="403"/>
      <c r="EI104" s="403"/>
      <c r="EJ104" s="403"/>
      <c r="EK104" s="403"/>
      <c r="EL104" s="403"/>
      <c r="EM104" s="403"/>
      <c r="EN104" s="403"/>
      <c r="EO104" s="403"/>
      <c r="EP104" s="403"/>
      <c r="EQ104" s="403"/>
      <c r="ER104" s="403"/>
      <c r="ES104" s="403"/>
      <c r="ET104" s="403"/>
      <c r="EU104" s="403"/>
      <c r="EV104" s="403"/>
      <c r="EW104" s="403"/>
      <c r="EX104" s="403"/>
      <c r="EY104" s="403"/>
      <c r="EZ104" s="403"/>
      <c r="FA104" s="403"/>
      <c r="FB104" s="403"/>
      <c r="FC104" s="403"/>
      <c r="FD104" s="403"/>
      <c r="FE104" s="403"/>
      <c r="FF104" s="403"/>
      <c r="FG104" s="403"/>
      <c r="FH104" s="403"/>
      <c r="FI104" s="403"/>
      <c r="FJ104" s="403"/>
      <c r="FK104" s="403"/>
      <c r="FL104" s="403"/>
      <c r="FM104" s="403"/>
      <c r="FN104" s="403"/>
      <c r="FO104" s="403"/>
      <c r="FP104" s="403"/>
      <c r="FQ104" s="403"/>
      <c r="FR104" s="403"/>
      <c r="FS104" s="403"/>
      <c r="FT104" s="403"/>
      <c r="FU104" s="403"/>
      <c r="FV104" s="403"/>
      <c r="FW104" s="403"/>
      <c r="FX104" s="403"/>
      <c r="FY104" s="403"/>
      <c r="FZ104" s="403"/>
      <c r="GA104" s="403"/>
      <c r="GB104" s="403"/>
      <c r="GC104" s="403"/>
      <c r="GD104" s="403"/>
      <c r="GE104" s="403"/>
      <c r="GF104" s="403"/>
      <c r="GG104" s="403"/>
      <c r="GH104" s="403"/>
      <c r="GI104" s="403"/>
      <c r="GJ104" s="403"/>
      <c r="GK104" s="403"/>
      <c r="GL104" s="403"/>
      <c r="GM104" s="403"/>
      <c r="GN104" s="403"/>
      <c r="GO104" s="403"/>
      <c r="GP104" s="403"/>
      <c r="GQ104" s="403"/>
      <c r="GR104" s="403"/>
      <c r="GS104" s="403"/>
      <c r="GT104" s="403"/>
      <c r="GU104" s="403"/>
      <c r="GV104" s="403"/>
      <c r="GW104" s="403"/>
      <c r="GX104" s="403"/>
      <c r="GY104" s="403"/>
      <c r="GZ104" s="403"/>
      <c r="HA104" s="403"/>
      <c r="HB104" s="403"/>
      <c r="HC104" s="403"/>
      <c r="HD104" s="403"/>
      <c r="HE104" s="403"/>
      <c r="HF104" s="403"/>
      <c r="HG104" s="403"/>
      <c r="HH104" s="403"/>
      <c r="HI104" s="403"/>
      <c r="HJ104" s="403"/>
      <c r="HK104" s="403"/>
      <c r="HL104" s="403"/>
      <c r="HM104" s="403"/>
      <c r="HN104" s="403"/>
      <c r="HO104" s="403"/>
      <c r="HP104" s="403"/>
      <c r="HQ104" s="403"/>
      <c r="HR104" s="403"/>
      <c r="HS104" s="403"/>
      <c r="HT104" s="403"/>
      <c r="HU104" s="403"/>
      <c r="HV104" s="403"/>
      <c r="HW104" s="403"/>
      <c r="HX104" s="403"/>
      <c r="HY104" s="403"/>
      <c r="HZ104" s="403"/>
      <c r="IA104" s="403"/>
      <c r="IB104" s="403"/>
      <c r="IC104" s="403"/>
      <c r="ID104" s="403"/>
      <c r="IE104" s="403"/>
      <c r="IF104" s="403"/>
      <c r="IG104" s="403"/>
      <c r="IH104" s="403"/>
      <c r="II104" s="403"/>
      <c r="IJ104" s="403"/>
      <c r="IK104" s="403"/>
      <c r="IL104" s="403"/>
      <c r="IM104" s="403"/>
      <c r="IN104" s="403"/>
      <c r="IO104" s="403"/>
      <c r="IP104" s="403"/>
      <c r="IQ104" s="403"/>
      <c r="IR104" s="403"/>
      <c r="IS104" s="403"/>
      <c r="IT104" s="403"/>
      <c r="IU104" s="403"/>
      <c r="IV104" s="403"/>
      <c r="IW104" s="403"/>
    </row>
    <row r="105" customFormat="false" ht="22.95" hidden="false" customHeight="true" outlineLevel="0" collapsed="false"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146"/>
      <c r="Q105" s="146"/>
      <c r="R105" s="146"/>
    </row>
    <row r="106" customFormat="false" ht="13.2" hidden="false" customHeight="false" outlineLevel="0" collapsed="false">
      <c r="A106" s="26" t="s">
        <v>1345</v>
      </c>
      <c r="B106" s="26" t="s">
        <v>1346</v>
      </c>
      <c r="C106" s="396" t="s">
        <v>1282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146"/>
      <c r="Q106" s="146"/>
      <c r="R106" s="146"/>
    </row>
    <row r="107" customFormat="false" ht="13.8" hidden="false" customHeight="false" outlineLevel="0" collapsed="false">
      <c r="A107" s="296" t="s">
        <v>1010</v>
      </c>
      <c r="B107" s="296" t="s">
        <v>1347</v>
      </c>
      <c r="C107" s="405" t="str">
        <f aca="false">'P&amp;L$'!A190</f>
        <v>761-003</v>
      </c>
      <c r="D107" s="57" t="n">
        <f aca="false">'P&amp;L$'!C190</f>
        <v>1045.68083205409</v>
      </c>
      <c r="E107" s="57" t="n">
        <f aca="false">'P&amp;L$'!D190</f>
        <v>1044.22096651273</v>
      </c>
      <c r="F107" s="57" t="n">
        <f aca="false">'P&amp;L$'!E190</f>
        <v>1042.76517149868</v>
      </c>
      <c r="G107" s="57" t="n">
        <f aca="false">'P&amp;L$'!F190</f>
        <v>1041.31343001091</v>
      </c>
      <c r="H107" s="57" t="n">
        <f aca="false">'P&amp;L$'!G190</f>
        <v>1039.86572514297</v>
      </c>
      <c r="I107" s="57" t="n">
        <f aca="false">'P&amp;L$'!H190</f>
        <v>1038.42204008228</v>
      </c>
      <c r="J107" s="57" t="n">
        <f aca="false">'P&amp;L$'!I190</f>
        <v>1036.9823581095</v>
      </c>
      <c r="K107" s="57" t="n">
        <f aca="false">'P&amp;L$'!J190</f>
        <v>1035.54666259787</v>
      </c>
      <c r="L107" s="57" t="n">
        <f aca="false">'P&amp;L$'!K190</f>
        <v>1034.11493701261</v>
      </c>
      <c r="M107" s="57" t="n">
        <f aca="false">'P&amp;L$'!L190</f>
        <v>1032.68716491023</v>
      </c>
      <c r="N107" s="57" t="n">
        <f aca="false">'P&amp;L$'!M190</f>
        <v>1031.26332993793</v>
      </c>
      <c r="O107" s="57" t="n">
        <f aca="false">'P&amp;L$'!N190</f>
        <v>1029.84341583297</v>
      </c>
      <c r="P107" s="143" t="n">
        <f aca="false">SUM(D107:O107)</f>
        <v>12452.7060337028</v>
      </c>
      <c r="Q107" s="402"/>
      <c r="R107" s="402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1"/>
      <c r="BV107" s="291"/>
      <c r="BW107" s="291"/>
      <c r="BX107" s="291"/>
      <c r="BY107" s="291"/>
      <c r="BZ107" s="291"/>
      <c r="CA107" s="291"/>
      <c r="CB107" s="291"/>
      <c r="CC107" s="291"/>
      <c r="CD107" s="291"/>
      <c r="CE107" s="291"/>
      <c r="CF107" s="291"/>
      <c r="CG107" s="291"/>
      <c r="CH107" s="291"/>
      <c r="CI107" s="291"/>
      <c r="CJ107" s="291"/>
      <c r="CK107" s="291"/>
      <c r="CL107" s="291"/>
      <c r="CM107" s="291"/>
      <c r="CN107" s="291"/>
      <c r="CO107" s="291"/>
      <c r="CP107" s="291"/>
      <c r="CQ107" s="291"/>
      <c r="CR107" s="291"/>
      <c r="CS107" s="291"/>
      <c r="CT107" s="291"/>
      <c r="CU107" s="291"/>
      <c r="CV107" s="291"/>
      <c r="CW107" s="291"/>
      <c r="CX107" s="291"/>
      <c r="CY107" s="291"/>
      <c r="CZ107" s="291"/>
      <c r="DA107" s="291"/>
      <c r="DB107" s="291"/>
      <c r="DC107" s="291"/>
      <c r="DD107" s="291"/>
      <c r="DE107" s="291"/>
      <c r="DF107" s="291"/>
      <c r="DG107" s="291"/>
      <c r="DH107" s="291"/>
      <c r="DI107" s="401"/>
      <c r="DJ107" s="401"/>
      <c r="DK107" s="401"/>
      <c r="DL107" s="401"/>
      <c r="DM107" s="401"/>
      <c r="DN107" s="401"/>
      <c r="DO107" s="401"/>
      <c r="DP107" s="401"/>
      <c r="DQ107" s="401"/>
      <c r="DR107" s="401"/>
      <c r="DS107" s="401"/>
      <c r="DT107" s="401"/>
      <c r="DU107" s="401"/>
      <c r="DV107" s="401"/>
      <c r="DW107" s="401"/>
      <c r="DX107" s="401"/>
      <c r="DY107" s="401"/>
      <c r="DZ107" s="401"/>
      <c r="EA107" s="401"/>
      <c r="EB107" s="401"/>
      <c r="EC107" s="401"/>
      <c r="ED107" s="401"/>
      <c r="EE107" s="401"/>
      <c r="EF107" s="401"/>
      <c r="EG107" s="401"/>
      <c r="EH107" s="401"/>
      <c r="EI107" s="401"/>
      <c r="EJ107" s="401"/>
      <c r="EK107" s="401"/>
      <c r="EL107" s="401"/>
      <c r="EM107" s="401"/>
      <c r="EN107" s="401"/>
      <c r="EO107" s="401"/>
      <c r="EP107" s="401"/>
      <c r="EQ107" s="401"/>
      <c r="ER107" s="401"/>
      <c r="ES107" s="401"/>
      <c r="ET107" s="401"/>
      <c r="EU107" s="401"/>
      <c r="EV107" s="401"/>
      <c r="EW107" s="401"/>
      <c r="EX107" s="401"/>
      <c r="EY107" s="401"/>
      <c r="EZ107" s="401"/>
      <c r="FA107" s="401"/>
      <c r="FB107" s="401"/>
      <c r="FC107" s="401"/>
      <c r="FD107" s="401"/>
      <c r="FE107" s="401"/>
      <c r="FF107" s="401"/>
      <c r="FG107" s="401"/>
      <c r="FH107" s="401"/>
      <c r="FI107" s="401"/>
      <c r="FJ107" s="401"/>
      <c r="FK107" s="401"/>
      <c r="FL107" s="401"/>
      <c r="FM107" s="401"/>
      <c r="FN107" s="401"/>
      <c r="FO107" s="401"/>
      <c r="FP107" s="401"/>
      <c r="FQ107" s="401"/>
      <c r="FR107" s="401"/>
      <c r="FS107" s="401"/>
      <c r="FT107" s="401"/>
      <c r="FU107" s="401"/>
      <c r="FV107" s="401"/>
      <c r="FW107" s="401"/>
      <c r="FX107" s="401"/>
      <c r="FY107" s="401"/>
      <c r="FZ107" s="401"/>
      <c r="GA107" s="401"/>
      <c r="GB107" s="401"/>
      <c r="GC107" s="401"/>
      <c r="GD107" s="401"/>
      <c r="GE107" s="401"/>
      <c r="GF107" s="401"/>
      <c r="GG107" s="401"/>
      <c r="GH107" s="401"/>
      <c r="GI107" s="401"/>
      <c r="GJ107" s="401"/>
      <c r="GK107" s="401"/>
      <c r="GL107" s="401"/>
      <c r="GM107" s="401"/>
      <c r="GN107" s="401"/>
      <c r="GO107" s="401"/>
      <c r="GP107" s="401"/>
      <c r="GQ107" s="401"/>
      <c r="GR107" s="401"/>
      <c r="GS107" s="401"/>
      <c r="GT107" s="401"/>
      <c r="GU107" s="401"/>
      <c r="GV107" s="401"/>
      <c r="GW107" s="401"/>
      <c r="GX107" s="401"/>
      <c r="GY107" s="401"/>
      <c r="GZ107" s="401"/>
      <c r="HA107" s="401"/>
      <c r="HB107" s="401"/>
      <c r="HC107" s="401"/>
      <c r="HD107" s="401"/>
      <c r="HE107" s="401"/>
      <c r="HF107" s="401"/>
      <c r="HG107" s="401"/>
      <c r="HH107" s="401"/>
      <c r="HI107" s="401"/>
      <c r="HJ107" s="401"/>
      <c r="HK107" s="401"/>
      <c r="HL107" s="401"/>
      <c r="HM107" s="401"/>
      <c r="HN107" s="401"/>
      <c r="HO107" s="401"/>
      <c r="HP107" s="401"/>
      <c r="HQ107" s="401"/>
      <c r="HR107" s="401"/>
      <c r="HS107" s="401"/>
      <c r="HT107" s="401"/>
      <c r="HU107" s="401"/>
      <c r="HV107" s="401"/>
      <c r="HW107" s="401"/>
      <c r="HX107" s="401"/>
      <c r="HY107" s="401"/>
      <c r="HZ107" s="401"/>
      <c r="IA107" s="401"/>
      <c r="IB107" s="401"/>
      <c r="IC107" s="401"/>
      <c r="ID107" s="401"/>
      <c r="IE107" s="401"/>
      <c r="IF107" s="401"/>
      <c r="IG107" s="401"/>
      <c r="IH107" s="401"/>
      <c r="II107" s="401"/>
      <c r="IJ107" s="401"/>
      <c r="IK107" s="401"/>
      <c r="IL107" s="401"/>
      <c r="IM107" s="401"/>
      <c r="IN107" s="401"/>
      <c r="IO107" s="401"/>
      <c r="IP107" s="401"/>
      <c r="IQ107" s="401"/>
      <c r="IR107" s="401"/>
      <c r="IS107" s="401"/>
      <c r="IT107" s="401"/>
      <c r="IU107" s="401"/>
      <c r="IV107" s="401"/>
      <c r="IW107" s="401"/>
    </row>
    <row r="108" customFormat="false" ht="13.8" hidden="false" customHeight="false" outlineLevel="0" collapsed="false">
      <c r="A108" s="26"/>
      <c r="B108" s="26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146"/>
      <c r="Q108" s="146"/>
      <c r="R108" s="146"/>
    </row>
    <row r="109" customFormat="false" ht="22.95" hidden="false" customHeight="true" outlineLevel="0" collapsed="false"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146"/>
      <c r="Q109" s="146"/>
      <c r="R109" s="146"/>
    </row>
    <row r="110" customFormat="false" ht="18" hidden="false" customHeight="false" outlineLevel="0" collapsed="false">
      <c r="A110" s="406" t="s">
        <v>138</v>
      </c>
      <c r="B110" s="406" t="s">
        <v>1348</v>
      </c>
      <c r="C110" s="407"/>
      <c r="D110" s="57" t="n">
        <f aca="false">D15+D23+D54+D69+D82+D87+D91+D96+D101+D104+D107</f>
        <v>420929.467167753</v>
      </c>
      <c r="E110" s="57" t="n">
        <f aca="false">E15+E23+E54+E69+E82+E87+E91+E96+E101+E104+E107</f>
        <v>331675.875324471</v>
      </c>
      <c r="F110" s="57" t="n">
        <f aca="false">F15+F23+F54+F69+F82+F87+F91+F96+F101+F104+F107</f>
        <v>336997.174302728</v>
      </c>
      <c r="G110" s="57" t="n">
        <f aca="false">G15+G23+G54+G69+G82+G87+G91+G96+G101+G104+G107</f>
        <v>333986.818834545</v>
      </c>
      <c r="H110" s="57" t="n">
        <f aca="false">H15+H23+H54+H69+H82+H87+H91+H96+H101+H104+H107</f>
        <v>385101.717467168</v>
      </c>
      <c r="I110" s="57" t="n">
        <f aca="false">I15+I23+I54+I69+I82+I87+I91+I96+I101+I104+I107</f>
        <v>343384.799653368</v>
      </c>
      <c r="J110" s="57" t="n">
        <f aca="false">J15+J23+J54+J69+J82+J87+J91+J96+J101+J104+J107</f>
        <v>343521.786711182</v>
      </c>
      <c r="K110" s="57" t="n">
        <f aca="false">K15+K23+K54+K69+K82+K87+K91+K96+K101+K104+K107</f>
        <v>344221.668652415</v>
      </c>
      <c r="L110" s="57" t="n">
        <f aca="false">L15+L23+L54+L69+L82+L87+L91+L96+L101+L104+L107</f>
        <v>366885.679539494</v>
      </c>
      <c r="M110" s="57" t="n">
        <f aca="false">M15+M23+M54+M69+M82+M87+M91+M96+M101+M104+M107</f>
        <v>342217.186169885</v>
      </c>
      <c r="N110" s="57" t="n">
        <f aca="false">N15+N23+N54+N69+N82+N87+N91+N96+N101+N104+N107</f>
        <v>338439.42794626</v>
      </c>
      <c r="O110" s="57" t="n">
        <f aca="false">O15+O23+O54+O69+O82+O87+O91+O96+O101+O104+O107</f>
        <v>339883.314841861</v>
      </c>
      <c r="P110" s="408" t="n">
        <f aca="false">P15+P23+P54+P69+P82+P87+P91+P96+P101+P104+P107</f>
        <v>4227244.91661113</v>
      </c>
      <c r="Q110" s="146"/>
      <c r="R110" s="146"/>
    </row>
    <row r="111" customFormat="false" ht="13.8" hidden="false" customHeight="false" outlineLevel="0" collapsed="false">
      <c r="P111" s="146"/>
      <c r="Q111" s="146"/>
    </row>
    <row r="112" customFormat="false" ht="13.2" hidden="false" customHeight="false" outlineLevel="0" collapsed="false">
      <c r="P112" s="146"/>
      <c r="Q112" s="146"/>
    </row>
    <row r="113" customFormat="false" ht="13.2" hidden="false" customHeight="false" outlineLevel="0" collapsed="false">
      <c r="P113" s="146"/>
      <c r="Q113" s="146"/>
    </row>
    <row r="114" customFormat="false" ht="13.2" hidden="false" customHeight="false" outlineLevel="0" collapsed="false">
      <c r="P114" s="146"/>
      <c r="Q114" s="146"/>
    </row>
    <row r="115" customFormat="false" ht="13.2" hidden="false" customHeight="false" outlineLevel="0" collapsed="false">
      <c r="P115" s="146"/>
      <c r="Q115" s="146"/>
    </row>
    <row r="116" customFormat="false" ht="13.2" hidden="false" customHeight="false" outlineLevel="0" collapsed="false">
      <c r="P116" s="146"/>
      <c r="Q116" s="146"/>
    </row>
    <row r="117" customFormat="false" ht="13.2" hidden="false" customHeight="false" outlineLevel="0" collapsed="false">
      <c r="P117" s="146"/>
      <c r="Q117" s="146"/>
    </row>
    <row r="118" customFormat="false" ht="13.2" hidden="false" customHeight="false" outlineLevel="0" collapsed="false">
      <c r="P118" s="146"/>
      <c r="Q118" s="146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2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C43" activeCellId="0" sqref="C4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2" width="32.66"/>
    <col collapsed="false" customWidth="true" hidden="false" outlineLevel="0" max="13" min="2" style="2" width="9.87"/>
    <col collapsed="false" customWidth="true" hidden="false" outlineLevel="0" max="14" min="14" style="2" width="10.87"/>
  </cols>
  <sheetData>
    <row r="1" customFormat="false" ht="13.2" hidden="false" customHeight="false" outlineLevel="0" collapsed="false">
      <c r="A1" s="7" t="s">
        <v>32</v>
      </c>
    </row>
    <row r="2" customFormat="false" ht="21" hidden="false" customHeight="false" outlineLevel="0" collapsed="false">
      <c r="A2" s="6" t="s">
        <v>64</v>
      </c>
    </row>
    <row r="4" customFormat="false" ht="13.2" hidden="false" customHeight="false" outlineLevel="0" collapsed="false">
      <c r="A4" s="7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customFormat="false" ht="13.2" hidden="false" customHeight="false" outlineLevel="0" collapsed="false">
      <c r="A5" s="7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customFormat="false" ht="13.2" hidden="false" customHeight="false" outlineLevel="0" collapsed="false">
      <c r="A6" s="24" t="s">
        <v>65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3.2" hidden="false" customHeight="false" outlineLevel="0" collapsed="false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customFormat="false" ht="13.2" hidden="false" customHeight="false" outlineLevel="0" collapsed="false">
      <c r="A8" s="28"/>
      <c r="B8" s="27" t="s">
        <v>41</v>
      </c>
      <c r="C8" s="27" t="s">
        <v>42</v>
      </c>
      <c r="D8" s="27" t="s">
        <v>43</v>
      </c>
      <c r="E8" s="27" t="s">
        <v>44</v>
      </c>
      <c r="F8" s="27" t="s">
        <v>45</v>
      </c>
      <c r="G8" s="27" t="s">
        <v>46</v>
      </c>
      <c r="H8" s="27" t="s">
        <v>47</v>
      </c>
      <c r="I8" s="27" t="s">
        <v>48</v>
      </c>
      <c r="J8" s="27" t="s">
        <v>49</v>
      </c>
      <c r="K8" s="27" t="s">
        <v>50</v>
      </c>
      <c r="L8" s="27" t="s">
        <v>51</v>
      </c>
      <c r="M8" s="27" t="s">
        <v>52</v>
      </c>
      <c r="N8" s="29" t="s">
        <v>66</v>
      </c>
    </row>
    <row r="9" customFormat="false" ht="13.8" hidden="false" customHeight="false" outlineLevel="0" collapsed="false">
      <c r="A9" s="30" t="s">
        <v>67</v>
      </c>
      <c r="B9" s="31" t="n">
        <v>67728</v>
      </c>
      <c r="C9" s="31" t="n">
        <v>61344</v>
      </c>
      <c r="D9" s="31" t="n">
        <v>66408</v>
      </c>
      <c r="E9" s="31" t="n">
        <v>60624</v>
      </c>
      <c r="F9" s="31" t="n">
        <v>60768</v>
      </c>
      <c r="G9" s="31" t="n">
        <v>59520</v>
      </c>
      <c r="H9" s="31" t="n">
        <v>64080</v>
      </c>
      <c r="I9" s="31" t="n">
        <v>61872</v>
      </c>
      <c r="J9" s="31" t="n">
        <v>60624</v>
      </c>
      <c r="K9" s="31" t="n">
        <v>69048</v>
      </c>
      <c r="L9" s="31" t="n">
        <v>62520</v>
      </c>
      <c r="M9" s="31" t="n">
        <v>63768</v>
      </c>
      <c r="N9" s="31" t="n">
        <f aca="false">SUM(B9:M9)</f>
        <v>758304</v>
      </c>
    </row>
    <row r="10" customFormat="false" ht="13.8" hidden="false" customHeight="false" outlineLevel="0" collapsed="false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false" ht="13.2" hidden="false" customHeight="false" outlineLevel="0" collapsed="false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customFormat="false" ht="13.2" hidden="false" customHeight="false" outlineLevel="0" collapsed="false">
      <c r="A12" s="23" t="s">
        <v>68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customFormat="false" ht="40.2" hidden="false" customHeight="true" outlineLevel="0" collapsed="false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customFormat="false" ht="13.2" hidden="false" customHeight="false" outlineLevel="0" collapsed="false">
      <c r="A14" s="24" t="s">
        <v>69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customFormat="false" ht="12.6" hidden="false" customHeight="true" outlineLevel="0" collapsed="false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customFormat="false" ht="13.2" hidden="false" customHeight="false" outlineLevel="0" collapsed="false">
      <c r="A16" s="34" t="s">
        <v>70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3"/>
    </row>
    <row r="17" customFormat="false" ht="13.2" hidden="false" customHeight="false" outlineLevel="0" collapsed="false">
      <c r="A17" s="33"/>
      <c r="B17" s="36" t="s">
        <v>41</v>
      </c>
      <c r="C17" s="36" t="s">
        <v>42</v>
      </c>
      <c r="D17" s="36" t="s">
        <v>43</v>
      </c>
      <c r="E17" s="36" t="s">
        <v>44</v>
      </c>
      <c r="F17" s="36" t="s">
        <v>45</v>
      </c>
      <c r="G17" s="36" t="s">
        <v>46</v>
      </c>
      <c r="H17" s="36" t="s">
        <v>47</v>
      </c>
      <c r="I17" s="36" t="s">
        <v>48</v>
      </c>
      <c r="J17" s="36" t="s">
        <v>49</v>
      </c>
      <c r="K17" s="36" t="s">
        <v>50</v>
      </c>
      <c r="L17" s="36" t="s">
        <v>51</v>
      </c>
      <c r="M17" s="36" t="s">
        <v>52</v>
      </c>
      <c r="N17" s="37" t="s">
        <v>66</v>
      </c>
    </row>
    <row r="18" customFormat="false" ht="13.2" hidden="false" customHeight="false" outlineLevel="0" collapsed="false">
      <c r="A18" s="33" t="s">
        <v>71</v>
      </c>
      <c r="B18" s="35" t="n">
        <v>58678</v>
      </c>
      <c r="C18" s="35" t="n">
        <v>51179</v>
      </c>
      <c r="D18" s="35" t="n">
        <v>48808</v>
      </c>
      <c r="E18" s="35" t="n">
        <v>36968</v>
      </c>
      <c r="F18" s="35" t="n">
        <v>15026</v>
      </c>
      <c r="G18" s="35" t="n">
        <f aca="false">(15191.7+11353)/2</f>
        <v>13272.35</v>
      </c>
      <c r="H18" s="35" t="n">
        <f aca="false">(15371.5+4826)/2</f>
        <v>10098.75</v>
      </c>
      <c r="I18" s="35" t="n">
        <f aca="false">(16846.8+5697)/2</f>
        <v>11271.9</v>
      </c>
      <c r="J18" s="35" t="n">
        <v>23087</v>
      </c>
      <c r="K18" s="35" t="n">
        <v>38462</v>
      </c>
      <c r="L18" s="35" t="n">
        <v>45256.5</v>
      </c>
      <c r="M18" s="35" t="n">
        <v>53042</v>
      </c>
      <c r="N18" s="38" t="n">
        <f aca="false">SUM(B18:M18)</f>
        <v>405149.5</v>
      </c>
    </row>
    <row r="19" customFormat="false" ht="13.2" hidden="false" customHeight="false" outlineLevel="0" collapsed="false">
      <c r="A19" s="33" t="s">
        <v>72</v>
      </c>
      <c r="B19" s="35" t="n">
        <v>9804</v>
      </c>
      <c r="C19" s="35" t="n">
        <v>8129</v>
      </c>
      <c r="D19" s="35" t="n">
        <v>7085</v>
      </c>
      <c r="E19" s="35" t="n">
        <v>6634</v>
      </c>
      <c r="F19" s="35" t="n">
        <v>4307</v>
      </c>
      <c r="G19" s="35" t="n">
        <f aca="false">(3800.7+4427)/2</f>
        <v>4113.85</v>
      </c>
      <c r="H19" s="35" t="n">
        <f aca="false">(4239.2+11191)/2</f>
        <v>7715.1</v>
      </c>
      <c r="I19" s="35" t="n">
        <f aca="false">(3985.4+9775)/2</f>
        <v>6880.2</v>
      </c>
      <c r="J19" s="35" t="n">
        <v>3206</v>
      </c>
      <c r="K19" s="35" t="n">
        <v>4910</v>
      </c>
      <c r="L19" s="35" t="n">
        <v>6322</v>
      </c>
      <c r="M19" s="35" t="n">
        <v>8003</v>
      </c>
      <c r="N19" s="38" t="n">
        <f aca="false">SUM(B19:M19)</f>
        <v>77109.15</v>
      </c>
    </row>
    <row r="20" customFormat="false" ht="13.8" hidden="false" customHeight="false" outlineLevel="0" collapsed="false">
      <c r="A20" s="33" t="s">
        <v>66</v>
      </c>
      <c r="B20" s="39" t="n">
        <f aca="false">SUM(B18:B19)</f>
        <v>68482</v>
      </c>
      <c r="C20" s="39" t="n">
        <f aca="false">SUM(C18:C19)</f>
        <v>59308</v>
      </c>
      <c r="D20" s="39" t="n">
        <f aca="false">SUM(D18:D19)</f>
        <v>55893</v>
      </c>
      <c r="E20" s="39" t="n">
        <f aca="false">SUM(E18:E19)</f>
        <v>43602</v>
      </c>
      <c r="F20" s="39" t="n">
        <f aca="false">SUM(F18:F19)</f>
        <v>19333</v>
      </c>
      <c r="G20" s="39" t="n">
        <f aca="false">SUM(G18:G19)</f>
        <v>17386.2</v>
      </c>
      <c r="H20" s="39" t="n">
        <f aca="false">SUM(H18:H19)</f>
        <v>17813.85</v>
      </c>
      <c r="I20" s="39" t="n">
        <f aca="false">SUM(I18:I19)</f>
        <v>18152.1</v>
      </c>
      <c r="J20" s="39" t="n">
        <f aca="false">SUM(J18:J19)</f>
        <v>26293</v>
      </c>
      <c r="K20" s="39" t="n">
        <f aca="false">SUM(K18:K19)</f>
        <v>43372</v>
      </c>
      <c r="L20" s="39" t="n">
        <f aca="false">SUM(L18:L19)</f>
        <v>51578.5</v>
      </c>
      <c r="M20" s="39" t="n">
        <f aca="false">SUM(M18:M19)</f>
        <v>61045</v>
      </c>
      <c r="N20" s="39" t="n">
        <f aca="false">SUM(N18:N19)</f>
        <v>482258.65</v>
      </c>
    </row>
    <row r="21" customFormat="false" ht="13.8" hidden="false" customHeight="false" outlineLevel="0" collapsed="false">
      <c r="A21" s="3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customFormat="false" ht="13.2" hidden="false" customHeight="false" outlineLevel="0" collapsed="false">
      <c r="A22" s="33" t="s">
        <v>73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customFormat="false" ht="13.2" hidden="false" customHeight="false" outlineLevel="0" collapsed="false">
      <c r="A23" s="3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customFormat="false" ht="13.2" hidden="false" customHeight="false" outlineLevel="0" collapsed="false">
      <c r="A24" s="34" t="s">
        <v>74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3"/>
    </row>
    <row r="25" customFormat="false" ht="13.2" hidden="false" customHeight="false" outlineLevel="0" collapsed="false">
      <c r="A25" s="33"/>
      <c r="B25" s="36" t="s">
        <v>41</v>
      </c>
      <c r="C25" s="36" t="s">
        <v>42</v>
      </c>
      <c r="D25" s="36" t="s">
        <v>43</v>
      </c>
      <c r="E25" s="36" t="s">
        <v>44</v>
      </c>
      <c r="F25" s="36" t="s">
        <v>45</v>
      </c>
      <c r="G25" s="36" t="s">
        <v>46</v>
      </c>
      <c r="H25" s="36" t="s">
        <v>47</v>
      </c>
      <c r="I25" s="36" t="s">
        <v>48</v>
      </c>
      <c r="J25" s="36" t="s">
        <v>49</v>
      </c>
      <c r="K25" s="36" t="s">
        <v>50</v>
      </c>
      <c r="L25" s="36" t="s">
        <v>51</v>
      </c>
      <c r="M25" s="36" t="s">
        <v>52</v>
      </c>
      <c r="N25" s="37" t="s">
        <v>66</v>
      </c>
    </row>
    <row r="26" customFormat="false" ht="13.8" hidden="false" customHeight="false" outlineLevel="0" collapsed="false">
      <c r="A26" s="33" t="s">
        <v>75</v>
      </c>
      <c r="B26" s="39" t="n">
        <v>12342</v>
      </c>
      <c r="C26" s="39" t="n">
        <v>11005</v>
      </c>
      <c r="D26" s="39" t="n">
        <v>10085</v>
      </c>
      <c r="E26" s="39" t="n">
        <v>6437</v>
      </c>
      <c r="F26" s="39" t="n">
        <v>1288</v>
      </c>
      <c r="G26" s="39" t="n">
        <v>1211</v>
      </c>
      <c r="H26" s="39" t="n">
        <v>1128</v>
      </c>
      <c r="I26" s="39" t="n">
        <v>1133</v>
      </c>
      <c r="J26" s="39" t="n">
        <v>2000</v>
      </c>
      <c r="K26" s="39" t="n">
        <v>6000</v>
      </c>
      <c r="L26" s="39" t="n">
        <v>7500</v>
      </c>
      <c r="M26" s="39" t="n">
        <v>9000</v>
      </c>
      <c r="N26" s="39" t="n">
        <f aca="false">SUM(B26:M26)</f>
        <v>69129</v>
      </c>
    </row>
    <row r="27" customFormat="false" ht="13.8" hidden="false" customHeight="false" outlineLevel="0" collapsed="false">
      <c r="A27" s="3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3"/>
    </row>
    <row r="28" customFormat="false" ht="13.2" hidden="false" customHeight="false" outlineLevel="0" collapsed="false">
      <c r="A28" s="33" t="s">
        <v>73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3"/>
    </row>
    <row r="29" customFormat="false" ht="46.8" hidden="false" customHeight="true" outlineLevel="0" collapsed="false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customFormat="false" ht="13.2" hidden="false" customHeight="false" outlineLevel="0" collapsed="false">
      <c r="A30" s="41" t="s">
        <v>76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customFormat="false" ht="13.2" hidden="false" customHeight="false" outlineLevel="0" collapsed="false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customFormat="false" ht="13.2" hidden="false" customHeight="false" outlineLevel="0" collapsed="false">
      <c r="A32" s="28"/>
      <c r="B32" s="27" t="s">
        <v>41</v>
      </c>
      <c r="C32" s="27" t="s">
        <v>42</v>
      </c>
      <c r="D32" s="27" t="s">
        <v>43</v>
      </c>
      <c r="E32" s="27" t="s">
        <v>44</v>
      </c>
      <c r="F32" s="27" t="s">
        <v>45</v>
      </c>
      <c r="G32" s="27" t="s">
        <v>46</v>
      </c>
      <c r="H32" s="27" t="s">
        <v>47</v>
      </c>
      <c r="I32" s="27" t="s">
        <v>48</v>
      </c>
      <c r="J32" s="27" t="s">
        <v>49</v>
      </c>
      <c r="K32" s="27" t="s">
        <v>50</v>
      </c>
      <c r="L32" s="27" t="s">
        <v>51</v>
      </c>
      <c r="M32" s="27" t="s">
        <v>52</v>
      </c>
      <c r="N32" s="29" t="s">
        <v>66</v>
      </c>
    </row>
    <row r="33" customFormat="false" ht="13.8" hidden="false" customHeight="false" outlineLevel="0" collapsed="false">
      <c r="A33" s="42" t="s">
        <v>77</v>
      </c>
      <c r="B33" s="43" t="n">
        <v>15.9141779714738</v>
      </c>
      <c r="C33" s="43" t="n">
        <v>14.4141172555234</v>
      </c>
      <c r="D33" s="43" t="n">
        <v>15.6040150414841</v>
      </c>
      <c r="E33" s="43" t="n">
        <v>14.244937475529</v>
      </c>
      <c r="F33" s="43" t="n">
        <v>14.2787734315279</v>
      </c>
      <c r="G33" s="43" t="n">
        <v>13.9855284795376</v>
      </c>
      <c r="H33" s="43" t="n">
        <v>15.0570004195022</v>
      </c>
      <c r="I33" s="43" t="n">
        <v>14.5381824275193</v>
      </c>
      <c r="J33" s="43" t="n">
        <v>14.244937475529</v>
      </c>
      <c r="K33" s="43" t="n">
        <v>16.2243409014636</v>
      </c>
      <c r="L33" s="43" t="n">
        <v>14.6904442295143</v>
      </c>
      <c r="M33" s="43" t="n">
        <v>14.9836891815046</v>
      </c>
      <c r="N33" s="43" t="n">
        <v>178.180144290109</v>
      </c>
    </row>
    <row r="34" customFormat="false" ht="35.4" hidden="false" customHeight="true" outlineLevel="0" collapsed="false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customFormat="false" ht="13.2" hidden="false" customHeight="false" outlineLevel="0" collapsed="false">
      <c r="A35" s="44" t="s">
        <v>78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13.2" hidden="false" customHeight="false" outlineLevel="0" collapsed="false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customFormat="false" ht="13.2" hidden="false" customHeight="false" outlineLevel="0" collapsed="false">
      <c r="A37" s="23"/>
      <c r="B37" s="27" t="s">
        <v>41</v>
      </c>
      <c r="C37" s="27" t="s">
        <v>42</v>
      </c>
      <c r="D37" s="27" t="s">
        <v>43</v>
      </c>
      <c r="E37" s="27" t="s">
        <v>44</v>
      </c>
      <c r="F37" s="27" t="s">
        <v>45</v>
      </c>
      <c r="G37" s="27" t="s">
        <v>46</v>
      </c>
      <c r="H37" s="27" t="s">
        <v>47</v>
      </c>
      <c r="I37" s="27" t="s">
        <v>48</v>
      </c>
      <c r="J37" s="27" t="s">
        <v>49</v>
      </c>
      <c r="K37" s="27" t="s">
        <v>50</v>
      </c>
      <c r="L37" s="27" t="s">
        <v>51</v>
      </c>
      <c r="M37" s="27" t="s">
        <v>52</v>
      </c>
      <c r="N37" s="8" t="s">
        <v>66</v>
      </c>
    </row>
    <row r="38" customFormat="false" ht="13.2" hidden="false" customHeight="false" outlineLevel="0" collapsed="false">
      <c r="A38" s="2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3"/>
    </row>
    <row r="39" customFormat="false" ht="13.2" hidden="false" customHeight="false" outlineLevel="0" collapsed="false">
      <c r="A39" s="45" t="s">
        <v>79</v>
      </c>
      <c r="B39" s="46" t="n">
        <v>29358</v>
      </c>
      <c r="C39" s="46" t="n">
        <f aca="false">B39</f>
        <v>29358</v>
      </c>
      <c r="D39" s="46" t="n">
        <f aca="false">C39</f>
        <v>29358</v>
      </c>
      <c r="E39" s="46" t="n">
        <f aca="false">D39</f>
        <v>29358</v>
      </c>
      <c r="F39" s="46" t="n">
        <f aca="false">E39</f>
        <v>29358</v>
      </c>
      <c r="G39" s="46" t="n">
        <f aca="false">F39</f>
        <v>29358</v>
      </c>
      <c r="H39" s="46" t="n">
        <f aca="false">G39</f>
        <v>29358</v>
      </c>
      <c r="I39" s="46" t="n">
        <f aca="false">H39</f>
        <v>29358</v>
      </c>
      <c r="J39" s="46" t="n">
        <f aca="false">I39</f>
        <v>29358</v>
      </c>
      <c r="K39" s="46" t="n">
        <f aca="false">J39</f>
        <v>29358</v>
      </c>
      <c r="L39" s="46" t="n">
        <f aca="false">K39</f>
        <v>29358</v>
      </c>
      <c r="M39" s="46" t="n">
        <f aca="false">L39</f>
        <v>29358</v>
      </c>
      <c r="N39" s="47" t="n">
        <f aca="false">SUM(B39:M39)</f>
        <v>352296</v>
      </c>
    </row>
    <row r="40" customFormat="false" ht="13.2" hidden="false" customHeight="false" outlineLevel="0" collapsed="false">
      <c r="A40" s="45" t="s">
        <v>80</v>
      </c>
      <c r="B40" s="46" t="n">
        <v>125000</v>
      </c>
      <c r="C40" s="47" t="n">
        <v>115000</v>
      </c>
      <c r="D40" s="47" t="n">
        <f aca="false">C40</f>
        <v>115000</v>
      </c>
      <c r="E40" s="47" t="n">
        <v>120000</v>
      </c>
      <c r="F40" s="47" t="n">
        <f aca="false">E40</f>
        <v>120000</v>
      </c>
      <c r="G40" s="47" t="n">
        <v>130000</v>
      </c>
      <c r="H40" s="47" t="n">
        <f aca="false">G40</f>
        <v>130000</v>
      </c>
      <c r="I40" s="47" t="n">
        <f aca="false">H40</f>
        <v>130000</v>
      </c>
      <c r="J40" s="47" t="n">
        <f aca="false">I40</f>
        <v>130000</v>
      </c>
      <c r="K40" s="47" t="n">
        <v>125000</v>
      </c>
      <c r="L40" s="47" t="n">
        <f aca="false">K40</f>
        <v>125000</v>
      </c>
      <c r="M40" s="47" t="n">
        <v>120000</v>
      </c>
      <c r="N40" s="47" t="n">
        <f aca="false">SUM(B40:M40)</f>
        <v>1485000</v>
      </c>
    </row>
    <row r="41" customFormat="false" ht="13.2" hidden="false" customHeight="false" outlineLevel="0" collapsed="false">
      <c r="A41" s="45" t="s">
        <v>81</v>
      </c>
      <c r="B41" s="46" t="n">
        <v>20000</v>
      </c>
      <c r="C41" s="47" t="n">
        <f aca="false">B41</f>
        <v>20000</v>
      </c>
      <c r="D41" s="47" t="n">
        <f aca="false">C41</f>
        <v>20000</v>
      </c>
      <c r="E41" s="47" t="n">
        <f aca="false">D41</f>
        <v>20000</v>
      </c>
      <c r="F41" s="47" t="n">
        <f aca="false">E41</f>
        <v>20000</v>
      </c>
      <c r="G41" s="47" t="n">
        <f aca="false">F41</f>
        <v>20000</v>
      </c>
      <c r="H41" s="47" t="n">
        <f aca="false">G41</f>
        <v>20000</v>
      </c>
      <c r="I41" s="47" t="n">
        <f aca="false">H41</f>
        <v>20000</v>
      </c>
      <c r="J41" s="47" t="n">
        <f aca="false">I41</f>
        <v>20000</v>
      </c>
      <c r="K41" s="47" t="n">
        <f aca="false">J41</f>
        <v>20000</v>
      </c>
      <c r="L41" s="47" t="n">
        <f aca="false">K41</f>
        <v>20000</v>
      </c>
      <c r="M41" s="47" t="n">
        <f aca="false">L41</f>
        <v>20000</v>
      </c>
      <c r="N41" s="47" t="n">
        <f aca="false">SUM(B41:M41)</f>
        <v>240000</v>
      </c>
    </row>
    <row r="42" customFormat="false" ht="13.2" hidden="false" customHeight="false" outlineLevel="0" collapsed="false">
      <c r="A42" s="45" t="s">
        <v>82</v>
      </c>
      <c r="B42" s="46" t="n">
        <v>10000</v>
      </c>
      <c r="C42" s="47" t="n">
        <f aca="false">B42</f>
        <v>10000</v>
      </c>
      <c r="D42" s="47" t="n">
        <f aca="false">C42</f>
        <v>10000</v>
      </c>
      <c r="E42" s="47" t="n">
        <f aca="false">D42</f>
        <v>10000</v>
      </c>
      <c r="F42" s="47" t="n">
        <f aca="false">E42</f>
        <v>10000</v>
      </c>
      <c r="G42" s="47" t="n">
        <f aca="false">F42</f>
        <v>10000</v>
      </c>
      <c r="H42" s="47" t="n">
        <f aca="false">G42</f>
        <v>10000</v>
      </c>
      <c r="I42" s="47" t="n">
        <f aca="false">H42</f>
        <v>10000</v>
      </c>
      <c r="J42" s="47" t="n">
        <f aca="false">I42</f>
        <v>10000</v>
      </c>
      <c r="K42" s="47" t="n">
        <f aca="false">J42</f>
        <v>10000</v>
      </c>
      <c r="L42" s="47" t="n">
        <f aca="false">K42</f>
        <v>10000</v>
      </c>
      <c r="M42" s="47" t="n">
        <f aca="false">L42</f>
        <v>10000</v>
      </c>
      <c r="N42" s="47" t="n">
        <f aca="false">SUM(B42:M42)</f>
        <v>120000</v>
      </c>
    </row>
    <row r="43" customFormat="false" ht="13.2" hidden="false" customHeight="false" outlineLevel="0" collapsed="false">
      <c r="A43" s="45" t="s">
        <v>83</v>
      </c>
      <c r="B43" s="46" t="n">
        <v>4500</v>
      </c>
      <c r="C43" s="47" t="n">
        <f aca="false">B43</f>
        <v>4500</v>
      </c>
      <c r="D43" s="47" t="n">
        <f aca="false">C43</f>
        <v>4500</v>
      </c>
      <c r="E43" s="47" t="n">
        <f aca="false">D43</f>
        <v>4500</v>
      </c>
      <c r="F43" s="47" t="n">
        <f aca="false">E43</f>
        <v>4500</v>
      </c>
      <c r="G43" s="47" t="n">
        <f aca="false">F43</f>
        <v>4500</v>
      </c>
      <c r="H43" s="47" t="n">
        <f aca="false">G43</f>
        <v>4500</v>
      </c>
      <c r="I43" s="47" t="n">
        <f aca="false">H43</f>
        <v>4500</v>
      </c>
      <c r="J43" s="47" t="n">
        <f aca="false">I43</f>
        <v>4500</v>
      </c>
      <c r="K43" s="47" t="n">
        <f aca="false">J43</f>
        <v>4500</v>
      </c>
      <c r="L43" s="47" t="n">
        <f aca="false">K43</f>
        <v>4500</v>
      </c>
      <c r="M43" s="47" t="n">
        <f aca="false">L43</f>
        <v>4500</v>
      </c>
      <c r="N43" s="47" t="n">
        <f aca="false">SUM(B43:M43)</f>
        <v>54000</v>
      </c>
    </row>
    <row r="44" customFormat="false" ht="13.2" hidden="false" customHeight="false" outlineLevel="0" collapsed="false">
      <c r="A44" s="45" t="s">
        <v>84</v>
      </c>
      <c r="B44" s="46" t="n">
        <v>3200</v>
      </c>
      <c r="C44" s="47" t="n">
        <f aca="false">B44</f>
        <v>3200</v>
      </c>
      <c r="D44" s="47" t="n">
        <f aca="false">C44</f>
        <v>3200</v>
      </c>
      <c r="E44" s="47" t="n">
        <f aca="false">D44</f>
        <v>3200</v>
      </c>
      <c r="F44" s="47" t="n">
        <f aca="false">E44</f>
        <v>3200</v>
      </c>
      <c r="G44" s="47" t="n">
        <f aca="false">F44</f>
        <v>3200</v>
      </c>
      <c r="H44" s="47" t="n">
        <f aca="false">G44</f>
        <v>3200</v>
      </c>
      <c r="I44" s="47" t="n">
        <f aca="false">H44</f>
        <v>3200</v>
      </c>
      <c r="J44" s="47" t="n">
        <f aca="false">I44</f>
        <v>3200</v>
      </c>
      <c r="K44" s="47" t="n">
        <f aca="false">J44</f>
        <v>3200</v>
      </c>
      <c r="L44" s="47" t="n">
        <f aca="false">K44</f>
        <v>3200</v>
      </c>
      <c r="M44" s="47" t="n">
        <f aca="false">L44</f>
        <v>3200</v>
      </c>
      <c r="N44" s="47" t="n">
        <f aca="false">SUM(B44:M44)</f>
        <v>38400</v>
      </c>
    </row>
    <row r="45" customFormat="false" ht="13.2" hidden="false" customHeight="false" outlineLevel="0" collapsed="false">
      <c r="A45" s="48" t="s">
        <v>85</v>
      </c>
      <c r="B45" s="49" t="n">
        <v>36443.45</v>
      </c>
      <c r="C45" s="50" t="n">
        <f aca="false">B45</f>
        <v>36443.45</v>
      </c>
      <c r="D45" s="50" t="n">
        <f aca="false">C45</f>
        <v>36443.45</v>
      </c>
      <c r="E45" s="50" t="n">
        <f aca="false">D45</f>
        <v>36443.45</v>
      </c>
      <c r="F45" s="50" t="n">
        <f aca="false">E45</f>
        <v>36443.45</v>
      </c>
      <c r="G45" s="50" t="n">
        <f aca="false">F45</f>
        <v>36443.45</v>
      </c>
      <c r="H45" s="50" t="n">
        <f aca="false">G45</f>
        <v>36443.45</v>
      </c>
      <c r="I45" s="50" t="n">
        <f aca="false">H45</f>
        <v>36443.45</v>
      </c>
      <c r="J45" s="50" t="n">
        <f aca="false">I45</f>
        <v>36443.45</v>
      </c>
      <c r="K45" s="50" t="n">
        <f aca="false">J45</f>
        <v>36443.45</v>
      </c>
      <c r="L45" s="50" t="n">
        <f aca="false">K45</f>
        <v>36443.45</v>
      </c>
      <c r="M45" s="50" t="n">
        <f aca="false">L45</f>
        <v>36443.45</v>
      </c>
      <c r="N45" s="47" t="n">
        <f aca="false">SUM(B45:M45)</f>
        <v>437321.4</v>
      </c>
    </row>
    <row r="46" customFormat="false" ht="13.8" hidden="false" customHeight="false" outlineLevel="0" collapsed="false">
      <c r="A46" s="51" t="s">
        <v>86</v>
      </c>
      <c r="B46" s="39" t="n">
        <f aca="false">SUM(B39:B45)</f>
        <v>228501.45</v>
      </c>
      <c r="C46" s="39" t="n">
        <f aca="false">SUM(C39:C45)</f>
        <v>218501.45</v>
      </c>
      <c r="D46" s="39" t="n">
        <f aca="false">SUM(D39:D45)</f>
        <v>218501.45</v>
      </c>
      <c r="E46" s="39" t="n">
        <f aca="false">SUM(E39:E45)</f>
        <v>223501.45</v>
      </c>
      <c r="F46" s="39" t="n">
        <f aca="false">SUM(F39:F45)</f>
        <v>223501.45</v>
      </c>
      <c r="G46" s="39" t="n">
        <f aca="false">SUM(G39:G45)</f>
        <v>233501.45</v>
      </c>
      <c r="H46" s="39" t="n">
        <f aca="false">SUM(H39:H45)</f>
        <v>233501.45</v>
      </c>
      <c r="I46" s="39" t="n">
        <f aca="false">SUM(I39:I45)</f>
        <v>233501.45</v>
      </c>
      <c r="J46" s="39" t="n">
        <f aca="false">SUM(J39:J45)</f>
        <v>233501.45</v>
      </c>
      <c r="K46" s="39" t="n">
        <f aca="false">SUM(K39:K45)</f>
        <v>228501.45</v>
      </c>
      <c r="L46" s="39" t="n">
        <f aca="false">SUM(L39:L45)</f>
        <v>228501.45</v>
      </c>
      <c r="M46" s="39" t="n">
        <f aca="false">SUM(M39:M45)</f>
        <v>223501.45</v>
      </c>
      <c r="N46" s="39" t="n">
        <f aca="false">SUM(N39:N45)</f>
        <v>2727017.4</v>
      </c>
    </row>
    <row r="47" customFormat="false" ht="46.8" hidden="false" customHeight="true" outlineLevel="0" collapsed="false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customFormat="false" ht="13.2" hidden="false" customHeight="false" outlineLevel="0" collapsed="false">
      <c r="A48" s="52" t="s">
        <v>87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customFormat="false" ht="13.2" hidden="false" customHeight="false" outlineLevel="0" collapsed="false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</row>
    <row r="50" customFormat="false" ht="13.2" hidden="false" customHeight="false" outlineLevel="0" collapsed="false">
      <c r="A50" s="28"/>
      <c r="B50" s="27" t="s">
        <v>41</v>
      </c>
      <c r="C50" s="27" t="s">
        <v>42</v>
      </c>
      <c r="D50" s="27" t="s">
        <v>43</v>
      </c>
      <c r="E50" s="27" t="s">
        <v>44</v>
      </c>
      <c r="F50" s="27" t="s">
        <v>45</v>
      </c>
      <c r="G50" s="27" t="s">
        <v>46</v>
      </c>
      <c r="H50" s="27" t="s">
        <v>47</v>
      </c>
      <c r="I50" s="27" t="s">
        <v>48</v>
      </c>
      <c r="J50" s="27" t="s">
        <v>49</v>
      </c>
      <c r="K50" s="27" t="s">
        <v>50</v>
      </c>
      <c r="L50" s="27" t="s">
        <v>51</v>
      </c>
      <c r="M50" s="27" t="s">
        <v>52</v>
      </c>
      <c r="N50" s="29" t="s">
        <v>66</v>
      </c>
    </row>
    <row r="51" customFormat="false" ht="13.2" hidden="false" customHeight="false" outlineLevel="0" collapsed="false">
      <c r="A51" s="26" t="s">
        <v>88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/>
    </row>
    <row r="52" customFormat="false" ht="13.8" hidden="false" customHeight="false" outlineLevel="0" collapsed="false">
      <c r="A52" s="30" t="s">
        <v>89</v>
      </c>
      <c r="B52" s="31" t="n">
        <v>90000</v>
      </c>
      <c r="C52" s="31" t="n">
        <v>90000</v>
      </c>
      <c r="D52" s="31" t="n">
        <v>95000</v>
      </c>
      <c r="E52" s="31" t="n">
        <v>100000</v>
      </c>
      <c r="F52" s="31" t="n">
        <v>100000</v>
      </c>
      <c r="G52" s="31" t="n">
        <v>110000</v>
      </c>
      <c r="H52" s="31" t="n">
        <v>110000</v>
      </c>
      <c r="I52" s="31" t="n">
        <v>115000</v>
      </c>
      <c r="J52" s="31" t="n">
        <v>110000</v>
      </c>
      <c r="K52" s="31" t="n">
        <v>110000</v>
      </c>
      <c r="L52" s="31" t="n">
        <v>100000</v>
      </c>
      <c r="M52" s="31" t="n">
        <v>90000</v>
      </c>
      <c r="N52" s="31" t="n">
        <f aca="false">SUM(B52:M52)</f>
        <v>1220000</v>
      </c>
    </row>
    <row r="53" customFormat="false" ht="13.8" hidden="false" customHeight="false" outlineLevel="0" collapsed="false">
      <c r="A53" s="30"/>
      <c r="B53" s="53"/>
      <c r="C53" s="53"/>
      <c r="D53" s="53"/>
      <c r="E53" s="53"/>
      <c r="F53" s="53"/>
      <c r="G53" s="53"/>
      <c r="H53" s="23"/>
      <c r="I53" s="53"/>
      <c r="J53" s="53"/>
      <c r="K53" s="53"/>
      <c r="L53" s="53"/>
      <c r="M53" s="53"/>
      <c r="N53" s="30"/>
    </row>
    <row r="54" customFormat="false" ht="13.2" hidden="false" customHeight="false" outlineLevel="0" collapsed="false">
      <c r="A54" s="54" t="s">
        <v>90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30"/>
    </row>
    <row r="55" customFormat="false" ht="13.8" hidden="false" customHeight="false" outlineLevel="0" collapsed="false">
      <c r="A55" s="30" t="s">
        <v>91</v>
      </c>
      <c r="B55" s="55" t="n">
        <v>78.3571428571429</v>
      </c>
      <c r="C55" s="55" t="n">
        <v>78.3571428571429</v>
      </c>
      <c r="D55" s="55" t="n">
        <v>78.3571428571429</v>
      </c>
      <c r="E55" s="55" t="n">
        <v>78.3571428571429</v>
      </c>
      <c r="F55" s="55" t="n">
        <v>78.3571428571429</v>
      </c>
      <c r="G55" s="55" t="n">
        <v>78.3571428571429</v>
      </c>
      <c r="H55" s="55" t="n">
        <v>78.3571428571429</v>
      </c>
      <c r="I55" s="55" t="n">
        <v>78.3571428571429</v>
      </c>
      <c r="J55" s="55" t="n">
        <v>78.3571428571429</v>
      </c>
      <c r="K55" s="55" t="n">
        <v>78.3571428571429</v>
      </c>
      <c r="L55" s="55" t="n">
        <v>78.3571428571429</v>
      </c>
      <c r="M55" s="55" t="n">
        <v>78.3571428571429</v>
      </c>
      <c r="N55" s="31" t="n">
        <f aca="false">SUM(B55:M55)</f>
        <v>940.285714285714</v>
      </c>
    </row>
    <row r="56" customFormat="false" ht="13.8" hidden="false" customHeight="false" outlineLevel="0" collapsed="false">
      <c r="A56" s="30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30"/>
    </row>
    <row r="57" customFormat="false" ht="13.2" hidden="false" customHeight="false" outlineLevel="0" collapsed="false">
      <c r="A57" s="54" t="s">
        <v>92</v>
      </c>
      <c r="B57" s="53"/>
      <c r="C57" s="53"/>
      <c r="D57" s="53"/>
      <c r="E57" s="53"/>
      <c r="F57" s="53"/>
      <c r="G57" s="53"/>
      <c r="H57" s="23"/>
      <c r="I57" s="53"/>
      <c r="J57" s="53"/>
      <c r="K57" s="53"/>
      <c r="L57" s="53"/>
      <c r="M57" s="53"/>
      <c r="N57" s="30"/>
    </row>
    <row r="58" customFormat="false" ht="13.8" hidden="false" customHeight="false" outlineLevel="0" collapsed="false">
      <c r="A58" s="30" t="s">
        <v>93</v>
      </c>
      <c r="B58" s="31" t="n">
        <v>2500</v>
      </c>
      <c r="C58" s="31" t="n">
        <v>2500</v>
      </c>
      <c r="D58" s="31" t="n">
        <v>2500</v>
      </c>
      <c r="E58" s="31" t="n">
        <v>2500</v>
      </c>
      <c r="F58" s="31" t="n">
        <v>3000</v>
      </c>
      <c r="G58" s="31" t="n">
        <v>3000</v>
      </c>
      <c r="H58" s="31" t="n">
        <v>2900</v>
      </c>
      <c r="I58" s="31" t="n">
        <v>2900</v>
      </c>
      <c r="J58" s="31" t="n">
        <v>2900</v>
      </c>
      <c r="K58" s="31" t="n">
        <v>2900</v>
      </c>
      <c r="L58" s="31" t="n">
        <v>2500</v>
      </c>
      <c r="M58" s="31" t="n">
        <v>2500</v>
      </c>
      <c r="N58" s="31" t="n">
        <f aca="false">SUM(B58:M58)</f>
        <v>32600</v>
      </c>
    </row>
    <row r="59" customFormat="false" ht="13.8" hidden="false" customHeight="false" outlineLevel="0" collapsed="false">
      <c r="A59" s="30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56"/>
    </row>
    <row r="60" customFormat="false" ht="13.2" hidden="false" customHeight="false" outlineLevel="0" collapsed="false">
      <c r="A60" s="54" t="s">
        <v>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8"/>
    </row>
    <row r="61" customFormat="false" ht="13.8" hidden="false" customHeight="false" outlineLevel="0" collapsed="false">
      <c r="A61" s="28" t="s">
        <v>95</v>
      </c>
      <c r="B61" s="57" t="n">
        <v>4000</v>
      </c>
      <c r="C61" s="57" t="n">
        <v>3000</v>
      </c>
      <c r="D61" s="57" t="n">
        <v>3700</v>
      </c>
      <c r="E61" s="57" t="n">
        <v>2500</v>
      </c>
      <c r="F61" s="57" t="n">
        <v>500</v>
      </c>
      <c r="G61" s="57" t="n">
        <v>500</v>
      </c>
      <c r="H61" s="57" t="n">
        <v>500</v>
      </c>
      <c r="I61" s="57" t="n">
        <v>500</v>
      </c>
      <c r="J61" s="57" t="n">
        <v>1000</v>
      </c>
      <c r="K61" s="57" t="n">
        <v>2000</v>
      </c>
      <c r="L61" s="57" t="n">
        <v>2500</v>
      </c>
      <c r="M61" s="57" t="n">
        <v>3500</v>
      </c>
      <c r="N61" s="31" t="n">
        <f aca="false">SUM(B61:M61)</f>
        <v>24200</v>
      </c>
    </row>
    <row r="62" customFormat="false" ht="13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8"/>
  <sheetViews>
    <sheetView showFormulas="false" showGridLines="true" showRowColHeaders="true" showZeros="true" rightToLeft="false" tabSelected="false" showOutlineSymbols="true" defaultGridColor="true" view="pageBreakPreview" topLeftCell="A27" colorId="64" zoomScale="75" zoomScaleNormal="75" zoomScalePageLayoutView="75" workbookViewId="0">
      <selection pane="topLeft" activeCell="A37" activeCellId="0" sqref="A37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33" width="38.66"/>
    <col collapsed="false" customWidth="true" hidden="false" outlineLevel="0" max="2" min="2" style="33" width="13.33"/>
    <col collapsed="false" customWidth="true" hidden="false" outlineLevel="0" max="3" min="3" style="33" width="13.87"/>
    <col collapsed="false" customWidth="true" hidden="false" outlineLevel="0" max="5" min="4" style="33" width="13.55"/>
    <col collapsed="false" customWidth="true" hidden="false" outlineLevel="0" max="6" min="6" style="33" width="12.99"/>
    <col collapsed="false" customWidth="true" hidden="false" outlineLevel="0" max="7" min="7" style="33" width="13.1"/>
    <col collapsed="false" customWidth="true" hidden="false" outlineLevel="0" max="9" min="8" style="33" width="12.66"/>
    <col collapsed="false" customWidth="true" hidden="false" outlineLevel="0" max="13" min="10" style="33" width="12.32"/>
    <col collapsed="false" customWidth="true" hidden="false" outlineLevel="0" max="14" min="14" style="33" width="14.87"/>
    <col collapsed="false" customWidth="true" hidden="false" outlineLevel="0" max="15" min="15" style="33" width="52.66"/>
    <col collapsed="false" customWidth="true" hidden="false" outlineLevel="0" max="16" min="16" style="33" width="22.1"/>
    <col collapsed="false" customWidth="true" hidden="false" outlineLevel="0" max="28" min="17" style="33" width="11.55"/>
    <col collapsed="false" customWidth="true" hidden="false" outlineLevel="0" max="29" min="29" style="33" width="12.66"/>
    <col collapsed="false" customWidth="false" hidden="false" outlineLevel="0" max="30" min="30" style="33" width="8.87"/>
    <col collapsed="false" customWidth="true" hidden="false" outlineLevel="0" max="31" min="31" style="33" width="22.43"/>
    <col collapsed="false" customWidth="true" hidden="false" outlineLevel="0" max="43" min="32" style="33" width="11.55"/>
    <col collapsed="false" customWidth="true" hidden="false" outlineLevel="0" max="44" min="44" style="33" width="12.66"/>
    <col collapsed="false" customWidth="false" hidden="false" outlineLevel="0" max="257" min="45" style="33" width="8.87"/>
  </cols>
  <sheetData>
    <row r="1" customFormat="false" ht="13.2" hidden="false" customHeight="false" outlineLevel="0" collapsed="false">
      <c r="A1" s="7" t="s">
        <v>32</v>
      </c>
      <c r="P1" s="21" t="s">
        <v>96</v>
      </c>
      <c r="AE1" s="21" t="s">
        <v>97</v>
      </c>
    </row>
    <row r="2" customFormat="false" ht="26.25" hidden="false" customHeight="true" outlineLevel="0" collapsed="false">
      <c r="A2" s="6" t="s">
        <v>98</v>
      </c>
    </row>
    <row r="3" customFormat="false" ht="15.6" hidden="false" customHeight="false" outlineLevel="0" collapsed="false">
      <c r="A3" s="58"/>
      <c r="C3" s="33" t="s">
        <v>99</v>
      </c>
      <c r="P3" s="58" t="s">
        <v>100</v>
      </c>
      <c r="AE3" s="58" t="s">
        <v>100</v>
      </c>
    </row>
    <row r="5" customFormat="false" ht="17.4" hidden="false" customHeight="false" outlineLevel="0" collapsed="false">
      <c r="A5" s="59" t="s">
        <v>101</v>
      </c>
      <c r="P5" s="59" t="s">
        <v>102</v>
      </c>
      <c r="AE5" s="59" t="s">
        <v>102</v>
      </c>
    </row>
    <row r="6" customFormat="false" ht="13.8" hidden="false" customHeight="false" outlineLevel="0" collapsed="false">
      <c r="A6" s="60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</row>
    <row r="7" customFormat="false" ht="13.2" hidden="false" customHeight="false" outlineLevel="0" collapsed="false">
      <c r="A7" s="61" t="s">
        <v>103</v>
      </c>
      <c r="C7" s="37"/>
      <c r="D7" s="62" t="n">
        <v>1</v>
      </c>
      <c r="E7" s="37"/>
      <c r="F7" s="37"/>
      <c r="G7" s="37"/>
      <c r="H7" s="37"/>
      <c r="I7" s="37"/>
      <c r="J7" s="37"/>
      <c r="K7" s="37"/>
      <c r="L7" s="37"/>
      <c r="M7" s="37"/>
      <c r="N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</row>
    <row r="8" customFormat="false" ht="13.2" hidden="false" customHeight="false" outlineLevel="0" collapsed="false">
      <c r="A8" s="61" t="s">
        <v>104</v>
      </c>
      <c r="C8" s="37"/>
      <c r="D8" s="62"/>
      <c r="E8" s="37"/>
      <c r="F8" s="37"/>
      <c r="G8" s="37"/>
      <c r="H8" s="37"/>
      <c r="I8" s="37"/>
      <c r="J8" s="37"/>
      <c r="K8" s="37"/>
      <c r="L8" s="37"/>
      <c r="M8" s="37"/>
      <c r="N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</row>
    <row r="9" customFormat="false" ht="13.8" hidden="false" customHeight="true" outlineLevel="0" collapsed="false">
      <c r="A9" s="63" t="s">
        <v>105</v>
      </c>
      <c r="B9" s="63"/>
      <c r="C9" s="63"/>
      <c r="D9" s="62"/>
      <c r="E9" s="37"/>
      <c r="F9" s="37"/>
      <c r="G9" s="37"/>
      <c r="H9" s="37"/>
      <c r="I9" s="37"/>
      <c r="J9" s="37"/>
      <c r="K9" s="37"/>
      <c r="L9" s="37"/>
      <c r="M9" s="37"/>
      <c r="N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</row>
    <row r="10" customFormat="false" ht="17.4" hidden="false" customHeight="false" outlineLevel="0" collapsed="false">
      <c r="A10" s="64"/>
      <c r="B10" s="64"/>
      <c r="C10" s="65"/>
      <c r="D10" s="66"/>
      <c r="E10" s="37"/>
      <c r="F10" s="37"/>
      <c r="G10" s="37"/>
      <c r="H10" s="37"/>
      <c r="I10" s="37"/>
      <c r="J10" s="37"/>
      <c r="K10" s="37"/>
      <c r="L10" s="37"/>
      <c r="M10" s="37"/>
      <c r="N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</row>
    <row r="11" customFormat="false" ht="13.2" hidden="false" customHeight="false" outlineLevel="0" collapsed="false">
      <c r="A11" s="61"/>
      <c r="B11" s="37" t="s">
        <v>41</v>
      </c>
      <c r="C11" s="37" t="s">
        <v>42</v>
      </c>
      <c r="D11" s="37" t="s">
        <v>43</v>
      </c>
      <c r="E11" s="37" t="s">
        <v>44</v>
      </c>
      <c r="F11" s="37" t="s">
        <v>45</v>
      </c>
      <c r="G11" s="37" t="s">
        <v>46</v>
      </c>
      <c r="H11" s="37" t="s">
        <v>47</v>
      </c>
      <c r="I11" s="37" t="s">
        <v>48</v>
      </c>
      <c r="J11" s="37" t="s">
        <v>49</v>
      </c>
      <c r="K11" s="37" t="s">
        <v>50</v>
      </c>
      <c r="L11" s="37" t="s">
        <v>51</v>
      </c>
      <c r="M11" s="37" t="s">
        <v>52</v>
      </c>
      <c r="N11" s="37" t="s">
        <v>66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</row>
    <row r="12" customFormat="false" ht="15.6" hidden="false" customHeight="false" outlineLevel="0" collapsed="false">
      <c r="A12" s="67" t="s">
        <v>106</v>
      </c>
      <c r="B12" s="68" t="n">
        <f aca="false">IF($D$7=1,B21,IF($D$7=2,B32,IF($D$7=3,B42)))</f>
        <v>13639555.3408333</v>
      </c>
      <c r="C12" s="68" t="n">
        <f aca="false">IF($D$7=1,C21,IF($D$7=2,C32,IF($D$7=3,C42)))</f>
        <v>12909225.7408333</v>
      </c>
      <c r="D12" s="68" t="n">
        <f aca="false">IF($D$7=1,D21,IF($D$7=2,D32,IF($D$7=3,D42)))</f>
        <v>13488547.3408333</v>
      </c>
      <c r="E12" s="68" t="n">
        <f aca="false">IF($D$7=1,E21,IF($D$7=2,E32,IF($D$7=3,E42)))</f>
        <v>12826857.7408333</v>
      </c>
      <c r="F12" s="68" t="n">
        <f aca="false">IF($D$7=1,F21,IF($D$7=2,F32,IF($D$7=3,F42)))</f>
        <v>12843331.3408333</v>
      </c>
      <c r="G12" s="68" t="n">
        <f aca="false">IF($D$7=1,G21,IF($D$7=2,G32,IF($D$7=3,G42)))</f>
        <v>12700560.1408333</v>
      </c>
      <c r="H12" s="68" t="n">
        <f aca="false">IF($D$7=1,H21,IF($D$7=2,H32,IF($D$7=3,H42)))</f>
        <v>16138271.9508333</v>
      </c>
      <c r="I12" s="68" t="n">
        <f aca="false">IF($D$7=1,I21,IF($D$7=2,I32,IF($D$7=3,I42)))</f>
        <v>15835643.4708333</v>
      </c>
      <c r="J12" s="68" t="n">
        <f aca="false">IF($D$7=1,J21,IF($D$7=2,J32,IF($D$7=3,J42)))</f>
        <v>15664592.5908333</v>
      </c>
      <c r="K12" s="68" t="n">
        <f aca="false">IF($D$7=1,K21,IF($D$7=2,K32,IF($D$7=3,K42)))</f>
        <v>16819186.0308333</v>
      </c>
      <c r="L12" s="68" t="n">
        <f aca="false">IF($D$7=1,L21,IF($D$7=2,L32,IF($D$7=3,L42)))</f>
        <v>15924458.3508333</v>
      </c>
      <c r="M12" s="68" t="n">
        <f aca="false">IF($D$7=1,M21,IF($D$7=2,M32,IF($D$7=3,M42)))</f>
        <v>16095509.2308333</v>
      </c>
      <c r="N12" s="68" t="n">
        <f aca="false">SUM(B12:M12)</f>
        <v>174885739.27</v>
      </c>
      <c r="O12" s="67"/>
      <c r="P12" s="67" t="s">
        <v>106</v>
      </c>
      <c r="Q12" s="68" t="n">
        <f aca="false">Q18+Q19</f>
        <v>14624872.8504667</v>
      </c>
      <c r="R12" s="68" t="n">
        <f aca="false">R18+R19</f>
        <v>13825354.1304667</v>
      </c>
      <c r="S12" s="68" t="n">
        <f aca="false">S18+S19</f>
        <v>14447836.5624667</v>
      </c>
      <c r="T12" s="68" t="n">
        <f aca="false">T18+T19</f>
        <v>13459859.8584667</v>
      </c>
      <c r="U12" s="68" t="n">
        <f aca="false">U18+U19</f>
        <v>13608341.9064667</v>
      </c>
      <c r="V12" s="68" t="n">
        <f aca="false">V18+V19</f>
        <v>11358267.7944667</v>
      </c>
      <c r="W12" s="68" t="n">
        <f aca="false">W18+W19</f>
        <v>16941169.6384667</v>
      </c>
      <c r="X12" s="68" t="n">
        <f aca="false">X18+X19</f>
        <v>16448543.1040667</v>
      </c>
      <c r="Y12" s="68" t="n">
        <f aca="false">Y18+Y19</f>
        <v>14956979.4304667</v>
      </c>
      <c r="Z12" s="68" t="n">
        <f aca="false">Z18+Z19</f>
        <v>18042737.3056667</v>
      </c>
      <c r="AA12" s="68" t="n">
        <f aca="false">AA18+AA19</f>
        <v>17016432.0256667</v>
      </c>
      <c r="AB12" s="68" t="n">
        <f aca="false">AB18+AB19</f>
        <v>17618531.1232667</v>
      </c>
      <c r="AC12" s="68" t="n">
        <f aca="false">SUM(Q12:AB12)</f>
        <v>182348925.7304</v>
      </c>
      <c r="AD12" s="67"/>
      <c r="AE12" s="67" t="s">
        <v>106</v>
      </c>
      <c r="AF12" s="68" t="n">
        <f aca="false">AF18+AF19</f>
        <v>14933336.3267747</v>
      </c>
      <c r="AG12" s="68" t="n">
        <f aca="false">AG18+AG19</f>
        <v>14449056.4163747</v>
      </c>
      <c r="AH12" s="68" t="n">
        <f aca="false">AH18+AH19</f>
        <v>15272332.2640547</v>
      </c>
      <c r="AI12" s="68" t="n">
        <f aca="false">AI18+AI19</f>
        <v>14140327.9734947</v>
      </c>
      <c r="AJ12" s="68" t="n">
        <f aca="false">AJ18+AJ19</f>
        <v>13547085.0832547</v>
      </c>
      <c r="AK12" s="68" t="n">
        <f aca="false">AK18+AK19</f>
        <v>13843706.5283747</v>
      </c>
      <c r="AL12" s="68" t="n">
        <f aca="false">AL18+AL19</f>
        <v>17624022.1804227</v>
      </c>
      <c r="AM12" s="68" t="n">
        <f aca="false">AM18+AM19</f>
        <v>17624022.1804227</v>
      </c>
      <c r="AN12" s="68" t="n">
        <f aca="false">AN18+AN19</f>
        <v>17435455.6903107</v>
      </c>
      <c r="AO12" s="68" t="n">
        <f aca="false">AO18+AO19</f>
        <v>18218731.8800067</v>
      </c>
      <c r="AP12" s="68" t="n">
        <f aca="false">AP18+AP19</f>
        <v>17827093.7851587</v>
      </c>
      <c r="AQ12" s="68" t="n">
        <f aca="false">AQ18+AQ19</f>
        <v>18624875.0894787</v>
      </c>
      <c r="AR12" s="68" t="n">
        <f aca="false">SUM(AF12:AQ12)</f>
        <v>193540045.398128</v>
      </c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</row>
    <row r="13" customFormat="false" ht="16.2" hidden="false" customHeight="false" outlineLevel="0" collapsed="false">
      <c r="A13" s="69" t="s">
        <v>107</v>
      </c>
      <c r="B13" s="70" t="n">
        <f aca="false">B12/Factors!C11</f>
        <v>3169471.4617001</v>
      </c>
      <c r="C13" s="70" t="n">
        <f aca="false">C12/Factors!D11</f>
        <v>2995574.26222757</v>
      </c>
      <c r="D13" s="70" t="n">
        <f aca="false">D12/Factors!E11</f>
        <v>3125641.64025157</v>
      </c>
      <c r="E13" s="70" t="n">
        <f aca="false">E12/Factors!F11</f>
        <v>2968173.16230425</v>
      </c>
      <c r="F13" s="70" t="n">
        <f aca="false">F12/Factors!G11</f>
        <v>2967853.34621935</v>
      </c>
      <c r="G13" s="70" t="n">
        <f aca="false">G12/Factors!H11</f>
        <v>2930787.01591818</v>
      </c>
      <c r="H13" s="70" t="n">
        <f aca="false">H12/Factors!I11</f>
        <v>3718911.84519722</v>
      </c>
      <c r="I13" s="70" t="n">
        <f aca="false">I12/Factors!J11</f>
        <v>3644121.7214025</v>
      </c>
      <c r="J13" s="70" t="n">
        <f aca="false">J12/Factors!K11</f>
        <v>3599775.37342174</v>
      </c>
      <c r="K13" s="70" t="n">
        <f aca="false">K12/Factors!L11</f>
        <v>3859768.34183977</v>
      </c>
      <c r="L13" s="70" t="n">
        <f aca="false">L12/Factors!M11</f>
        <v>3649402.21029737</v>
      </c>
      <c r="M13" s="70" t="n">
        <f aca="false">M12/Factors!N11</f>
        <v>3683523.15685613</v>
      </c>
      <c r="N13" s="70" t="n">
        <f aca="false">SUM(B13:M13)</f>
        <v>40313003.5376357</v>
      </c>
      <c r="O13" s="69"/>
      <c r="P13" s="69" t="s">
        <v>107</v>
      </c>
      <c r="Q13" s="70" t="n">
        <f aca="false">Q12/Factors!R11</f>
        <v>3333074.19362601</v>
      </c>
      <c r="R13" s="70" t="n">
        <f aca="false">R12/Factors!S11</f>
        <v>3137840.20337638</v>
      </c>
      <c r="S13" s="70" t="n">
        <f aca="false">S12/Factors!T11</f>
        <v>3265626.19629898</v>
      </c>
      <c r="T13" s="70" t="n">
        <f aca="false">T12/Factors!U11</f>
        <v>3029846.56902218</v>
      </c>
      <c r="U13" s="70" t="n">
        <f aca="false">U12/Factors!V11</f>
        <v>3050767.08849603</v>
      </c>
      <c r="V13" s="70" t="n">
        <f aca="false">V12/Factors!W11</f>
        <v>2535986.40724102</v>
      </c>
      <c r="W13" s="70" t="n">
        <f aca="false">W12/Factors!X11</f>
        <v>3767179.92090352</v>
      </c>
      <c r="X13" s="70" t="n">
        <f aca="false">X12/Factors!Y11</f>
        <v>3642886.84210063</v>
      </c>
      <c r="Y13" s="70" t="n">
        <f aca="false">Y12/Factors!Z11</f>
        <v>3299244.29177303</v>
      </c>
      <c r="Z13" s="70" t="n">
        <f aca="false">Z12/Factors!AA11</f>
        <v>3963988.09980689</v>
      </c>
      <c r="AA13" s="70" t="n">
        <f aca="false">AA12/Factors!AB11</f>
        <v>3723614.44517444</v>
      </c>
      <c r="AB13" s="70" t="n">
        <f aca="false">AB12/Factors!AC11</f>
        <v>3840069.4759671</v>
      </c>
      <c r="AC13" s="70" t="n">
        <f aca="false">SUM(Q13:AB13)</f>
        <v>40590123.7337862</v>
      </c>
      <c r="AD13" s="69"/>
      <c r="AE13" s="69" t="s">
        <v>107</v>
      </c>
      <c r="AF13" s="70" t="n">
        <f aca="false">AF12/Factors!AG11</f>
        <v>3241308.95713327</v>
      </c>
      <c r="AG13" s="70" t="n">
        <f aca="false">AG12/Factors!AH11</f>
        <v>3123235.60076666</v>
      </c>
      <c r="AH13" s="70" t="n">
        <f aca="false">AH12/Factors!AI11</f>
        <v>3287605.63361165</v>
      </c>
      <c r="AI13" s="70" t="n">
        <f aca="false">AI12/Factors!AJ11</f>
        <v>3031449.10980428</v>
      </c>
      <c r="AJ13" s="70" t="n">
        <f aca="false">AJ12/Factors!AK11</f>
        <v>2892413.63171368</v>
      </c>
      <c r="AK13" s="70" t="n">
        <f aca="false">AK12/Factors!AL11</f>
        <v>2943729.51740263</v>
      </c>
      <c r="AL13" s="70" t="n">
        <f aca="false">AL12/Factors!AM11</f>
        <v>3732404.4887609</v>
      </c>
      <c r="AM13" s="70" t="n">
        <f aca="false">AM12/Factors!AN11</f>
        <v>3717354.47066106</v>
      </c>
      <c r="AN13" s="70" t="n">
        <f aca="false">AN12/Factors!AO11</f>
        <v>3662811.60088512</v>
      </c>
      <c r="AO13" s="70" t="n">
        <f aca="false">AO12/Factors!AP11</f>
        <v>3812051.51927897</v>
      </c>
      <c r="AP13" s="70" t="n">
        <f aca="false">AP12/Factors!AQ11</f>
        <v>3715244.95705207</v>
      </c>
      <c r="AQ13" s="70" t="n">
        <f aca="false">AQ12/Factors!AR11</f>
        <v>3866103.29687301</v>
      </c>
      <c r="AR13" s="70" t="n">
        <f aca="false">SUM(AF13:AQ13)</f>
        <v>41025712.7839433</v>
      </c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</row>
    <row r="14" customFormat="false" ht="42" hidden="false" customHeight="true" outlineLevel="0" collapsed="false">
      <c r="A14" s="60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customFormat="false" ht="13.2" hidden="false" customHeight="false" outlineLevel="0" collapsed="false">
      <c r="A15" s="61" t="s">
        <v>108</v>
      </c>
      <c r="B15" s="37" t="str">
        <f aca="false">B11</f>
        <v>Jan</v>
      </c>
      <c r="C15" s="37" t="str">
        <f aca="false">C11</f>
        <v>Feb</v>
      </c>
      <c r="D15" s="37" t="str">
        <f aca="false">D11</f>
        <v>Mar</v>
      </c>
      <c r="E15" s="37" t="str">
        <f aca="false">E11</f>
        <v>Apr</v>
      </c>
      <c r="F15" s="37" t="str">
        <f aca="false">F11</f>
        <v>May</v>
      </c>
      <c r="G15" s="37" t="str">
        <f aca="false">G11</f>
        <v>June</v>
      </c>
      <c r="H15" s="37" t="str">
        <f aca="false">H11</f>
        <v>July</v>
      </c>
      <c r="I15" s="37" t="str">
        <f aca="false">I11</f>
        <v>Aug</v>
      </c>
      <c r="J15" s="37" t="str">
        <f aca="false">J11</f>
        <v>Sept</v>
      </c>
      <c r="K15" s="37" t="str">
        <f aca="false">K11</f>
        <v>Oct</v>
      </c>
      <c r="L15" s="37" t="str">
        <f aca="false">L11</f>
        <v>Nov</v>
      </c>
      <c r="M15" s="37" t="str">
        <f aca="false">M11</f>
        <v>Dec</v>
      </c>
      <c r="N15" s="37" t="str">
        <f aca="false">N11</f>
        <v>Total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</row>
    <row r="16" customFormat="false" ht="16.2" hidden="false" customHeight="true" outlineLevel="0" collapsed="false">
      <c r="A16" s="60" t="s">
        <v>109</v>
      </c>
      <c r="B16" s="35" t="n">
        <v>67728</v>
      </c>
      <c r="C16" s="35" t="n">
        <v>61344</v>
      </c>
      <c r="D16" s="35" t="n">
        <v>66408</v>
      </c>
      <c r="E16" s="35" t="n">
        <v>60624</v>
      </c>
      <c r="F16" s="35" t="n">
        <v>60768</v>
      </c>
      <c r="G16" s="35" t="n">
        <v>59520</v>
      </c>
      <c r="H16" s="35" t="n">
        <v>64080</v>
      </c>
      <c r="I16" s="35" t="n">
        <v>61872</v>
      </c>
      <c r="J16" s="35" t="n">
        <v>60624</v>
      </c>
      <c r="K16" s="35" t="n">
        <v>69048</v>
      </c>
      <c r="L16" s="35" t="n">
        <v>62520</v>
      </c>
      <c r="M16" s="35" t="n">
        <v>63768</v>
      </c>
      <c r="N16" s="35" t="n">
        <f aca="false">SUM(B16:M16)</f>
        <v>758304</v>
      </c>
      <c r="P16" s="33" t="s">
        <v>110</v>
      </c>
      <c r="Q16" s="35" t="n">
        <v>71424</v>
      </c>
      <c r="R16" s="35" t="n">
        <v>64704</v>
      </c>
      <c r="S16" s="35" t="n">
        <v>69936</v>
      </c>
      <c r="T16" s="35" t="n">
        <v>61632</v>
      </c>
      <c r="U16" s="35" t="n">
        <v>62880</v>
      </c>
      <c r="V16" s="35" t="n">
        <v>43968</v>
      </c>
      <c r="W16" s="35" t="n">
        <v>65184</v>
      </c>
      <c r="X16" s="35" t="n">
        <v>61728</v>
      </c>
      <c r="Y16" s="35" t="n">
        <v>51264</v>
      </c>
      <c r="Z16" s="35" t="n">
        <v>72912</v>
      </c>
      <c r="AA16" s="35" t="n">
        <v>65712</v>
      </c>
      <c r="AB16" s="35" t="n">
        <v>69936</v>
      </c>
      <c r="AC16" s="35" t="n">
        <f aca="false">SUM(Q16:AB16)</f>
        <v>761280</v>
      </c>
      <c r="AE16" s="33" t="s">
        <v>110</v>
      </c>
      <c r="AF16" s="35" t="n">
        <v>66912</v>
      </c>
      <c r="AG16" s="35" t="n">
        <v>63072</v>
      </c>
      <c r="AH16" s="35" t="n">
        <v>69600</v>
      </c>
      <c r="AI16" s="35" t="n">
        <v>60624</v>
      </c>
      <c r="AJ16" s="35" t="n">
        <v>55920</v>
      </c>
      <c r="AK16" s="35" t="n">
        <v>58272</v>
      </c>
      <c r="AL16" s="35" t="n">
        <v>62976</v>
      </c>
      <c r="AM16" s="35" t="n">
        <v>62976</v>
      </c>
      <c r="AN16" s="35" t="n">
        <v>61728</v>
      </c>
      <c r="AO16" s="35" t="n">
        <v>66912</v>
      </c>
      <c r="AP16" s="35" t="n">
        <v>64320</v>
      </c>
      <c r="AQ16" s="35" t="n">
        <v>69600</v>
      </c>
      <c r="AR16" s="35" t="n">
        <f aca="false">SUM(AF16:AQ16)</f>
        <v>762912</v>
      </c>
    </row>
    <row r="17" customFormat="false" ht="13.2" hidden="false" customHeight="false" outlineLevel="0" collapsed="false">
      <c r="A17" s="33" t="s">
        <v>111</v>
      </c>
      <c r="B17" s="71" t="n">
        <v>114.4</v>
      </c>
      <c r="C17" s="71" t="n">
        <f aca="false">B17</f>
        <v>114.4</v>
      </c>
      <c r="D17" s="71" t="n">
        <f aca="false">C17</f>
        <v>114.4</v>
      </c>
      <c r="E17" s="71" t="n">
        <f aca="false">D17</f>
        <v>114.4</v>
      </c>
      <c r="F17" s="71" t="n">
        <f aca="false">E17</f>
        <v>114.4</v>
      </c>
      <c r="G17" s="71" t="n">
        <f aca="false">F17</f>
        <v>114.4</v>
      </c>
      <c r="H17" s="71" t="n">
        <v>137.06</v>
      </c>
      <c r="I17" s="71" t="n">
        <v>137.06</v>
      </c>
      <c r="J17" s="71" t="n">
        <v>137.06</v>
      </c>
      <c r="K17" s="71" t="n">
        <v>137.06</v>
      </c>
      <c r="L17" s="71" t="n">
        <v>137.06</v>
      </c>
      <c r="M17" s="71" t="n">
        <v>137.06</v>
      </c>
      <c r="N17" s="35"/>
      <c r="P17" s="33" t="s">
        <v>111</v>
      </c>
      <c r="Q17" s="71" t="n">
        <f aca="false">B17*Factors!$R$16</f>
        <v>118.976</v>
      </c>
      <c r="R17" s="71" t="n">
        <f aca="false">C17*Factors!$R$16</f>
        <v>118.976</v>
      </c>
      <c r="S17" s="71" t="n">
        <f aca="false">D17*Factors!$R$16</f>
        <v>118.976</v>
      </c>
      <c r="T17" s="71" t="n">
        <f aca="false">E17*Factors!$R$16</f>
        <v>118.976</v>
      </c>
      <c r="U17" s="71" t="n">
        <f aca="false">F17*Factors!$R$16</f>
        <v>118.976</v>
      </c>
      <c r="V17" s="71" t="n">
        <f aca="false">G17*Factors!$R$16</f>
        <v>118.976</v>
      </c>
      <c r="W17" s="71" t="n">
        <f aca="false">H17*Factors!$R$16</f>
        <v>142.5424</v>
      </c>
      <c r="X17" s="71" t="n">
        <f aca="false">I17*Factors!$R$16</f>
        <v>142.5424</v>
      </c>
      <c r="Y17" s="71" t="n">
        <f aca="false">J17*Factors!$R$16</f>
        <v>142.5424</v>
      </c>
      <c r="Z17" s="71" t="n">
        <f aca="false">K17*Factors!$R$16</f>
        <v>142.5424</v>
      </c>
      <c r="AA17" s="71" t="n">
        <f aca="false">L17*Factors!$R$16</f>
        <v>142.5424</v>
      </c>
      <c r="AB17" s="71" t="n">
        <f aca="false">M17*Factors!$R$16</f>
        <v>142.5424</v>
      </c>
      <c r="AC17" s="35"/>
      <c r="AE17" s="33" t="s">
        <v>111</v>
      </c>
      <c r="AF17" s="71" t="n">
        <f aca="false">Q17*Factors!$AG$16</f>
        <v>126.11456</v>
      </c>
      <c r="AG17" s="71" t="n">
        <f aca="false">R17*Factors!$AG$16</f>
        <v>126.11456</v>
      </c>
      <c r="AH17" s="71" t="n">
        <f aca="false">S17*Factors!$AG$16</f>
        <v>126.11456</v>
      </c>
      <c r="AI17" s="71" t="n">
        <f aca="false">T17*Factors!$AG$16</f>
        <v>126.11456</v>
      </c>
      <c r="AJ17" s="71" t="n">
        <f aca="false">U17*Factors!$AG$16</f>
        <v>126.11456</v>
      </c>
      <c r="AK17" s="71" t="n">
        <f aca="false">V17*Factors!$AG$16</f>
        <v>126.11456</v>
      </c>
      <c r="AL17" s="71" t="n">
        <f aca="false">W17*Factors!$AG$16</f>
        <v>151.094944</v>
      </c>
      <c r="AM17" s="71" t="n">
        <f aca="false">X17*Factors!$AG$16</f>
        <v>151.094944</v>
      </c>
      <c r="AN17" s="71" t="n">
        <f aca="false">Y17*Factors!$AG$16</f>
        <v>151.094944</v>
      </c>
      <c r="AO17" s="71" t="n">
        <f aca="false">Z17*Factors!$AG$16</f>
        <v>151.094944</v>
      </c>
      <c r="AP17" s="71" t="n">
        <f aca="false">AA17*Factors!$AG$16</f>
        <v>151.094944</v>
      </c>
      <c r="AQ17" s="71" t="n">
        <f aca="false">AB17*Factors!$AG$16</f>
        <v>151.094944</v>
      </c>
      <c r="AR17" s="35"/>
    </row>
    <row r="18" customFormat="false" ht="13.2" hidden="false" customHeight="false" outlineLevel="0" collapsed="false">
      <c r="A18" s="33" t="s">
        <v>112</v>
      </c>
      <c r="B18" s="35" t="n">
        <f aca="false">B16*B17</f>
        <v>7748083.2</v>
      </c>
      <c r="C18" s="35" t="n">
        <f aca="false">C16*C17</f>
        <v>7017753.6</v>
      </c>
      <c r="D18" s="35" t="n">
        <f aca="false">D16*D17</f>
        <v>7597075.2</v>
      </c>
      <c r="E18" s="35" t="n">
        <f aca="false">E16*E17</f>
        <v>6935385.6</v>
      </c>
      <c r="F18" s="35" t="n">
        <f aca="false">F16*F17</f>
        <v>6951859.2</v>
      </c>
      <c r="G18" s="35" t="n">
        <f aca="false">G16*G17</f>
        <v>6809088</v>
      </c>
      <c r="H18" s="35" t="n">
        <f aca="false">H16*H17</f>
        <v>8782804.8</v>
      </c>
      <c r="I18" s="35" t="n">
        <f aca="false">I16*I17</f>
        <v>8480176.32</v>
      </c>
      <c r="J18" s="35" t="n">
        <f aca="false">J16*J17</f>
        <v>8309125.44</v>
      </c>
      <c r="K18" s="35" t="n">
        <f aca="false">K16*K17</f>
        <v>9463718.88</v>
      </c>
      <c r="L18" s="35" t="n">
        <f aca="false">L16*L17</f>
        <v>8568991.2</v>
      </c>
      <c r="M18" s="35" t="n">
        <f aca="false">M16*M17</f>
        <v>8740042.08</v>
      </c>
      <c r="N18" s="35" t="n">
        <f aca="false">SUM(B18:M18)</f>
        <v>95404103.52</v>
      </c>
      <c r="P18" s="33" t="s">
        <v>112</v>
      </c>
      <c r="Q18" s="35" t="n">
        <f aca="false">Q16*Q17</f>
        <v>8497741.824</v>
      </c>
      <c r="R18" s="35" t="n">
        <f aca="false">R16*R17</f>
        <v>7698223.104</v>
      </c>
      <c r="S18" s="35" t="n">
        <f aca="false">S16*S17</f>
        <v>8320705.536</v>
      </c>
      <c r="T18" s="35" t="n">
        <f aca="false">T16*T17</f>
        <v>7332728.832</v>
      </c>
      <c r="U18" s="35" t="n">
        <f aca="false">U16*U17</f>
        <v>7481210.88</v>
      </c>
      <c r="V18" s="35" t="n">
        <f aca="false">V16*V17</f>
        <v>5231136.768</v>
      </c>
      <c r="W18" s="35" t="n">
        <f aca="false">W16*W17</f>
        <v>9291483.8016</v>
      </c>
      <c r="X18" s="35" t="n">
        <f aca="false">X16*X17</f>
        <v>8798857.2672</v>
      </c>
      <c r="Y18" s="35" t="n">
        <f aca="false">Y16*Y17</f>
        <v>7307293.5936</v>
      </c>
      <c r="Z18" s="35" t="n">
        <f aca="false">Z16*Z17</f>
        <v>10393051.4688</v>
      </c>
      <c r="AA18" s="35" t="n">
        <f aca="false">AA16*AA17</f>
        <v>9366746.1888</v>
      </c>
      <c r="AB18" s="35" t="n">
        <f aca="false">AB16*AB17</f>
        <v>9968845.2864</v>
      </c>
      <c r="AC18" s="35" t="n">
        <f aca="false">SUM(Q18:AB18)</f>
        <v>99688024.5504</v>
      </c>
      <c r="AE18" s="33" t="s">
        <v>112</v>
      </c>
      <c r="AF18" s="35" t="n">
        <f aca="false">AF16*AF17</f>
        <v>8438577.43872</v>
      </c>
      <c r="AG18" s="35" t="n">
        <f aca="false">AG16*AG17</f>
        <v>7954297.52832</v>
      </c>
      <c r="AH18" s="35" t="n">
        <f aca="false">AH16*AH17</f>
        <v>8777573.376</v>
      </c>
      <c r="AI18" s="35" t="n">
        <f aca="false">AI16*AI17</f>
        <v>7645569.08544</v>
      </c>
      <c r="AJ18" s="35" t="n">
        <f aca="false">AJ16*AJ17</f>
        <v>7052326.1952</v>
      </c>
      <c r="AK18" s="35" t="n">
        <f aca="false">AK16*AK17</f>
        <v>7348947.64032</v>
      </c>
      <c r="AL18" s="35" t="n">
        <f aca="false">AL16*AL17</f>
        <v>9515355.193344</v>
      </c>
      <c r="AM18" s="35" t="n">
        <f aca="false">AM16*AM17</f>
        <v>9515355.193344</v>
      </c>
      <c r="AN18" s="35" t="n">
        <f aca="false">AN16*AN17</f>
        <v>9326788.703232</v>
      </c>
      <c r="AO18" s="35" t="n">
        <f aca="false">AO16*AO17</f>
        <v>10110064.892928</v>
      </c>
      <c r="AP18" s="35" t="n">
        <f aca="false">AP16*AP17</f>
        <v>9718426.79808</v>
      </c>
      <c r="AQ18" s="35" t="n">
        <f aca="false">AQ16*AQ17</f>
        <v>10516208.1024</v>
      </c>
      <c r="AR18" s="35" t="n">
        <f aca="false">SUM(AF18:AQ18)</f>
        <v>105919490.147328</v>
      </c>
    </row>
    <row r="19" customFormat="false" ht="13.2" hidden="false" customHeight="false" outlineLevel="0" collapsed="false">
      <c r="A19" s="35" t="s">
        <v>113</v>
      </c>
      <c r="B19" s="35" t="n">
        <f aca="false">70697665.69/(12*107.94)*107.94</f>
        <v>5891472.14083333</v>
      </c>
      <c r="C19" s="35" t="n">
        <f aca="false">70697665.69/(12*107.94)*107.94</f>
        <v>5891472.14083333</v>
      </c>
      <c r="D19" s="35" t="n">
        <f aca="false">70697665.69/(12*107.94)*107.94</f>
        <v>5891472.14083333</v>
      </c>
      <c r="E19" s="35" t="n">
        <f aca="false">70697665.69/(12*107.94)*107.94</f>
        <v>5891472.14083333</v>
      </c>
      <c r="F19" s="35" t="n">
        <f aca="false">70697665.69/(12*107.94)*107.94</f>
        <v>5891472.14083333</v>
      </c>
      <c r="G19" s="35" t="n">
        <f aca="false">70697665.69/(12*107.94)*107.94</f>
        <v>5891472.14083333</v>
      </c>
      <c r="H19" s="35" t="n">
        <f aca="false">88265605.81/(12*107.94)*107.94</f>
        <v>7355467.15083333</v>
      </c>
      <c r="I19" s="35" t="n">
        <f aca="false">88265605.81/(12*107.94)*107.94</f>
        <v>7355467.15083333</v>
      </c>
      <c r="J19" s="35" t="n">
        <f aca="false">88265605.81/(12*107.94)*107.94</f>
        <v>7355467.15083333</v>
      </c>
      <c r="K19" s="35" t="n">
        <f aca="false">88265605.81/(12*107.94)*107.94</f>
        <v>7355467.15083333</v>
      </c>
      <c r="L19" s="35" t="n">
        <f aca="false">88265605.81/(12*107.94)*107.94</f>
        <v>7355467.15083333</v>
      </c>
      <c r="M19" s="35" t="n">
        <f aca="false">88265605.81/(12*107.94)*107.94</f>
        <v>7355467.15083333</v>
      </c>
      <c r="N19" s="35" t="n">
        <f aca="false">SUM(B19:M19)</f>
        <v>79481635.75</v>
      </c>
      <c r="O19" s="35"/>
      <c r="P19" s="35" t="s">
        <v>113</v>
      </c>
      <c r="Q19" s="35" t="n">
        <f aca="false">B19*Factors!$R$16</f>
        <v>6127131.02646667</v>
      </c>
      <c r="R19" s="35" t="n">
        <f aca="false">C19*Factors!$R$16</f>
        <v>6127131.02646667</v>
      </c>
      <c r="S19" s="35" t="n">
        <f aca="false">D19*Factors!$R$16</f>
        <v>6127131.02646667</v>
      </c>
      <c r="T19" s="35" t="n">
        <f aca="false">E19*Factors!$R$16</f>
        <v>6127131.02646667</v>
      </c>
      <c r="U19" s="35" t="n">
        <f aca="false">F19*Factors!$R$16</f>
        <v>6127131.02646667</v>
      </c>
      <c r="V19" s="35" t="n">
        <f aca="false">G19*Factors!$R$16</f>
        <v>6127131.02646667</v>
      </c>
      <c r="W19" s="35" t="n">
        <f aca="false">H19*Factors!$R$16</f>
        <v>7649685.83686667</v>
      </c>
      <c r="X19" s="35" t="n">
        <f aca="false">I19*Factors!$R$16</f>
        <v>7649685.83686667</v>
      </c>
      <c r="Y19" s="35" t="n">
        <f aca="false">J19*Factors!$R$16</f>
        <v>7649685.83686667</v>
      </c>
      <c r="Z19" s="35" t="n">
        <f aca="false">K19*Factors!$R$16</f>
        <v>7649685.83686667</v>
      </c>
      <c r="AA19" s="35" t="n">
        <f aca="false">L19*Factors!$R$16</f>
        <v>7649685.83686667</v>
      </c>
      <c r="AB19" s="35" t="n">
        <f aca="false">M19*Factors!$R$16</f>
        <v>7649685.83686667</v>
      </c>
      <c r="AC19" s="35" t="n">
        <f aca="false">SUM(Q19:AB19)</f>
        <v>82660901.18</v>
      </c>
      <c r="AD19" s="35"/>
      <c r="AE19" s="35" t="s">
        <v>113</v>
      </c>
      <c r="AF19" s="35" t="n">
        <f aca="false">Q19*Factors!$AG$16</f>
        <v>6494758.88805467</v>
      </c>
      <c r="AG19" s="35" t="n">
        <f aca="false">R19*Factors!$AG$16</f>
        <v>6494758.88805467</v>
      </c>
      <c r="AH19" s="35" t="n">
        <f aca="false">S19*Factors!$AG$16</f>
        <v>6494758.88805467</v>
      </c>
      <c r="AI19" s="35" t="n">
        <f aca="false">T19*Factors!$AG$16</f>
        <v>6494758.88805467</v>
      </c>
      <c r="AJ19" s="35" t="n">
        <f aca="false">U19*Factors!$AG$16</f>
        <v>6494758.88805467</v>
      </c>
      <c r="AK19" s="35" t="n">
        <f aca="false">V19*Factors!$AG$16</f>
        <v>6494758.88805467</v>
      </c>
      <c r="AL19" s="35" t="n">
        <f aca="false">W19*Factors!$AG$16</f>
        <v>8108666.98707867</v>
      </c>
      <c r="AM19" s="35" t="n">
        <f aca="false">X19*Factors!$AG$16</f>
        <v>8108666.98707867</v>
      </c>
      <c r="AN19" s="35" t="n">
        <f aca="false">Y19*Factors!$AG$16</f>
        <v>8108666.98707867</v>
      </c>
      <c r="AO19" s="35" t="n">
        <f aca="false">Z19*Factors!$AG$16</f>
        <v>8108666.98707867</v>
      </c>
      <c r="AP19" s="35" t="n">
        <f aca="false">AA19*Factors!$AG$16</f>
        <v>8108666.98707867</v>
      </c>
      <c r="AQ19" s="35" t="n">
        <f aca="false">AB19*Factors!$AG$16</f>
        <v>8108666.98707867</v>
      </c>
      <c r="AR19" s="35" t="n">
        <f aca="false">SUM(AF19:AQ19)</f>
        <v>87620555.2508</v>
      </c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5.4" hidden="false" customHeight="true" outlineLevel="0" collapsed="false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</row>
    <row r="21" customFormat="false" ht="13.2" hidden="false" customHeight="false" outlineLevel="0" collapsed="false">
      <c r="A21" s="72" t="s">
        <v>114</v>
      </c>
      <c r="B21" s="73" t="n">
        <f aca="false">B18+B19</f>
        <v>13639555.3408333</v>
      </c>
      <c r="C21" s="73" t="n">
        <f aca="false">C18+C19</f>
        <v>12909225.7408333</v>
      </c>
      <c r="D21" s="73" t="n">
        <f aca="false">D18+D19</f>
        <v>13488547.3408333</v>
      </c>
      <c r="E21" s="73" t="n">
        <f aca="false">E18+E19</f>
        <v>12826857.7408333</v>
      </c>
      <c r="F21" s="73" t="n">
        <f aca="false">F18+F19</f>
        <v>12843331.3408333</v>
      </c>
      <c r="G21" s="73" t="n">
        <f aca="false">G18+G19</f>
        <v>12700560.1408333</v>
      </c>
      <c r="H21" s="73" t="n">
        <f aca="false">H18+H19</f>
        <v>16138271.9508333</v>
      </c>
      <c r="I21" s="73" t="n">
        <f aca="false">I18+I19</f>
        <v>15835643.4708333</v>
      </c>
      <c r="J21" s="73" t="n">
        <f aca="false">J18+J19</f>
        <v>15664592.5908333</v>
      </c>
      <c r="K21" s="73" t="n">
        <f aca="false">K18+K19</f>
        <v>16819186.0308333</v>
      </c>
      <c r="L21" s="73" t="n">
        <f aca="false">L18+L19</f>
        <v>15924458.3508333</v>
      </c>
      <c r="M21" s="73" t="n">
        <f aca="false">M18+M19</f>
        <v>16095509.2308333</v>
      </c>
      <c r="N21" s="73" t="n">
        <f aca="false">SUM(B21:M21)</f>
        <v>174885739.27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3.8" hidden="false" customHeight="false" outlineLevel="0" collapsed="false">
      <c r="A22" s="74" t="s">
        <v>115</v>
      </c>
      <c r="B22" s="75" t="n">
        <f aca="false">B21/Factors!C11</f>
        <v>3169471.4617001</v>
      </c>
      <c r="C22" s="75" t="n">
        <f aca="false">C21/Factors!D11</f>
        <v>2995574.26222757</v>
      </c>
      <c r="D22" s="75" t="n">
        <f aca="false">D21/Factors!E11</f>
        <v>3125641.64025157</v>
      </c>
      <c r="E22" s="75" t="n">
        <f aca="false">E21/Factors!F11</f>
        <v>2968173.16230425</v>
      </c>
      <c r="F22" s="75" t="n">
        <f aca="false">F21/Factors!G11</f>
        <v>2967853.34621935</v>
      </c>
      <c r="G22" s="75" t="n">
        <f aca="false">G21/Factors!H11</f>
        <v>2930787.01591818</v>
      </c>
      <c r="H22" s="75" t="n">
        <f aca="false">H21/Factors!I11</f>
        <v>3718911.84519722</v>
      </c>
      <c r="I22" s="75" t="n">
        <f aca="false">I21/Factors!J11</f>
        <v>3644121.7214025</v>
      </c>
      <c r="J22" s="75" t="n">
        <f aca="false">J21/Factors!K11</f>
        <v>3599775.37342174</v>
      </c>
      <c r="K22" s="75" t="n">
        <f aca="false">K21/Factors!L11</f>
        <v>3859768.34183977</v>
      </c>
      <c r="L22" s="75" t="n">
        <f aca="false">L21/Factors!M11</f>
        <v>3649402.21029737</v>
      </c>
      <c r="M22" s="75" t="n">
        <f aca="false">M21/Factors!N11</f>
        <v>3683523.15685613</v>
      </c>
      <c r="N22" s="75" t="n">
        <f aca="false">SUM(B22:M22)</f>
        <v>40313003.5376357</v>
      </c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</row>
    <row r="23" customFormat="false" ht="5.4" hidden="false" customHeight="true" outlineLevel="0" collapsed="false"/>
    <row r="24" customFormat="false" ht="13.2" hidden="false" customHeight="false" outlineLevel="0" collapsed="false">
      <c r="A24" s="33" t="s">
        <v>116</v>
      </c>
      <c r="B24" s="35" t="n">
        <f aca="false">B12/B16</f>
        <v>201.387245169403</v>
      </c>
      <c r="C24" s="35" t="n">
        <f aca="false">C12/C16</f>
        <v>210.439908399083</v>
      </c>
      <c r="D24" s="35" t="n">
        <f aca="false">D12/D16</f>
        <v>203.116301361784</v>
      </c>
      <c r="E24" s="35" t="n">
        <f aca="false">E12/E16</f>
        <v>211.580524888383</v>
      </c>
      <c r="F24" s="35" t="n">
        <f aca="false">F12/F16</f>
        <v>211.350239284382</v>
      </c>
      <c r="G24" s="35" t="n">
        <f aca="false">G12/G16</f>
        <v>213.38306688228</v>
      </c>
      <c r="H24" s="35" t="n">
        <f aca="false">H12/H16</f>
        <v>251.845692116625</v>
      </c>
      <c r="I24" s="35" t="n">
        <f aca="false">I12/I16</f>
        <v>255.942000756939</v>
      </c>
      <c r="J24" s="35" t="n">
        <f aca="false">J12/J16</f>
        <v>258.389294517573</v>
      </c>
      <c r="K24" s="35" t="n">
        <f aca="false">K12/K16</f>
        <v>243.586867553489</v>
      </c>
      <c r="L24" s="35" t="n">
        <f aca="false">L12/L16</f>
        <v>254.709826468863</v>
      </c>
      <c r="M24" s="35" t="n">
        <f aca="false">M12/M16</f>
        <v>252.407308224083</v>
      </c>
      <c r="N24" s="35" t="n">
        <f aca="false">AVERAGE(B24:M24)</f>
        <v>230.678189635241</v>
      </c>
      <c r="Q24" s="35" t="n">
        <f aca="false">Q12/Q16</f>
        <v>204.76132463131</v>
      </c>
      <c r="R24" s="35" t="n">
        <f aca="false">R12/R16</f>
        <v>213.670779711713</v>
      </c>
      <c r="S24" s="35" t="n">
        <f aca="false">S12/S16</f>
        <v>206.586544304316</v>
      </c>
      <c r="T24" s="35" t="n">
        <f aca="false">T12/T16</f>
        <v>218.390768731611</v>
      </c>
      <c r="U24" s="35" t="n">
        <f aca="false">U12/U16</f>
        <v>216.417651184266</v>
      </c>
      <c r="V24" s="35" t="n">
        <f aca="false">V12/V16</f>
        <v>258.330326475315</v>
      </c>
      <c r="W24" s="35" t="n">
        <f aca="false">W12/W16</f>
        <v>259.897668729545</v>
      </c>
      <c r="X24" s="35" t="n">
        <f aca="false">X12/X16</f>
        <v>266.468103681744</v>
      </c>
      <c r="Y24" s="35" t="n">
        <f aca="false">Y12/Y16</f>
        <v>291.763799751613</v>
      </c>
      <c r="Z24" s="35" t="n">
        <f aca="false">Z12/Z16</f>
        <v>247.459091859593</v>
      </c>
      <c r="AA24" s="35" t="n">
        <f aca="false">AA12/AA16</f>
        <v>258.954711858818</v>
      </c>
      <c r="AB24" s="35" t="n">
        <f aca="false">AB12/AB16</f>
        <v>251.923631938725</v>
      </c>
      <c r="AF24" s="35" t="n">
        <f aca="false">AF12/AF16</f>
        <v>223.178747112247</v>
      </c>
      <c r="AG24" s="35" t="n">
        <f aca="false">AG12/AG16</f>
        <v>229.08828666246</v>
      </c>
      <c r="AH24" s="35" t="n">
        <f aca="false">AH12/AH16</f>
        <v>219.430061265153</v>
      </c>
      <c r="AI24" s="35" t="n">
        <f aca="false">AI12/AI16</f>
        <v>233.246370636954</v>
      </c>
      <c r="AJ24" s="35" t="n">
        <f aca="false">AJ12/AJ16</f>
        <v>242.258316939461</v>
      </c>
      <c r="AK24" s="35" t="n">
        <f aca="false">AK12/AK16</f>
        <v>237.570471725265</v>
      </c>
      <c r="AL24" s="35" t="n">
        <f aca="false">AL12/AL16</f>
        <v>279.852994480797</v>
      </c>
      <c r="AM24" s="35" t="n">
        <f aca="false">AM12/AM16</f>
        <v>279.852994480797</v>
      </c>
      <c r="AN24" s="35" t="n">
        <f aca="false">AN12/AN16</f>
        <v>282.456189902648</v>
      </c>
      <c r="AO24" s="35" t="n">
        <f aca="false">AO12/AO16</f>
        <v>272.278991511338</v>
      </c>
      <c r="AP24" s="35" t="n">
        <f aca="false">AP12/AP16</f>
        <v>277.162527754333</v>
      </c>
      <c r="AQ24" s="35" t="n">
        <f aca="false">AQ12/AQ16</f>
        <v>267.598780021245</v>
      </c>
    </row>
    <row r="25" customFormat="false" ht="39.6" hidden="false" customHeight="true" outlineLevel="0" collapsed="false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customFormat="false" ht="13.2" hidden="false" customHeight="false" outlineLevel="0" collapsed="false">
      <c r="A26" s="21" t="s">
        <v>117</v>
      </c>
      <c r="B26" s="37" t="str">
        <f aca="false">B11</f>
        <v>Jan</v>
      </c>
      <c r="C26" s="37" t="str">
        <f aca="false">C11</f>
        <v>Feb</v>
      </c>
      <c r="D26" s="37" t="str">
        <f aca="false">D11</f>
        <v>Mar</v>
      </c>
      <c r="E26" s="37" t="str">
        <f aca="false">E11</f>
        <v>Apr</v>
      </c>
      <c r="F26" s="37" t="str">
        <f aca="false">F11</f>
        <v>May</v>
      </c>
      <c r="G26" s="37" t="str">
        <f aca="false">G11</f>
        <v>June</v>
      </c>
      <c r="H26" s="37" t="str">
        <f aca="false">H11</f>
        <v>July</v>
      </c>
      <c r="I26" s="37" t="str">
        <f aca="false">I11</f>
        <v>Aug</v>
      </c>
      <c r="J26" s="37" t="str">
        <f aca="false">J11</f>
        <v>Sept</v>
      </c>
      <c r="K26" s="37" t="str">
        <f aca="false">K11</f>
        <v>Oct</v>
      </c>
      <c r="L26" s="37" t="str">
        <f aca="false">L11</f>
        <v>Nov</v>
      </c>
      <c r="M26" s="37" t="str">
        <f aca="false">M11</f>
        <v>Dec</v>
      </c>
      <c r="N26" s="37" t="str">
        <f aca="false">N11</f>
        <v>Total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</row>
    <row r="27" customFormat="false" ht="13.2" hidden="false" customHeight="false" outlineLevel="0" collapsed="false">
      <c r="A27" s="60" t="str">
        <f aca="false">A16</f>
        <v>MWh according to Dispatch Profile</v>
      </c>
      <c r="B27" s="35" t="n">
        <f aca="false">B16</f>
        <v>67728</v>
      </c>
      <c r="C27" s="35" t="n">
        <f aca="false">C16</f>
        <v>61344</v>
      </c>
      <c r="D27" s="35" t="n">
        <f aca="false">D16</f>
        <v>66408</v>
      </c>
      <c r="E27" s="35" t="n">
        <f aca="false">E16</f>
        <v>60624</v>
      </c>
      <c r="F27" s="35" t="n">
        <f aca="false">F16</f>
        <v>60768</v>
      </c>
      <c r="G27" s="35" t="n">
        <f aca="false">G16</f>
        <v>59520</v>
      </c>
      <c r="H27" s="35" t="n">
        <f aca="false">H16</f>
        <v>64080</v>
      </c>
      <c r="I27" s="35" t="n">
        <f aca="false">I16</f>
        <v>61872</v>
      </c>
      <c r="J27" s="35" t="n">
        <f aca="false">J16</f>
        <v>60624</v>
      </c>
      <c r="K27" s="35" t="n">
        <f aca="false">K16</f>
        <v>69048</v>
      </c>
      <c r="L27" s="35" t="n">
        <f aca="false">L16</f>
        <v>62520</v>
      </c>
      <c r="M27" s="35" t="n">
        <f aca="false">M16</f>
        <v>63768</v>
      </c>
      <c r="N27" s="35" t="n">
        <f aca="false">SUM(B27:M27)</f>
        <v>758304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customFormat="false" ht="13.2" hidden="false" customHeight="false" outlineLevel="0" collapsed="false">
      <c r="A28" s="33" t="s">
        <v>111</v>
      </c>
      <c r="B28" s="71" t="n">
        <v>145.23</v>
      </c>
      <c r="C28" s="71" t="n">
        <f aca="false">B28</f>
        <v>145.23</v>
      </c>
      <c r="D28" s="71" t="n">
        <f aca="false">C28</f>
        <v>145.23</v>
      </c>
      <c r="E28" s="71" t="n">
        <f aca="false">D28</f>
        <v>145.23</v>
      </c>
      <c r="F28" s="71" t="n">
        <f aca="false">E28</f>
        <v>145.23</v>
      </c>
      <c r="G28" s="71" t="n">
        <f aca="false">F28</f>
        <v>145.23</v>
      </c>
      <c r="H28" s="71" t="n">
        <f aca="false">G28</f>
        <v>145.23</v>
      </c>
      <c r="I28" s="71" t="n">
        <f aca="false">H28</f>
        <v>145.23</v>
      </c>
      <c r="J28" s="71" t="n">
        <f aca="false">I28</f>
        <v>145.23</v>
      </c>
      <c r="K28" s="71" t="n">
        <f aca="false">J28</f>
        <v>145.23</v>
      </c>
      <c r="L28" s="71" t="n">
        <f aca="false">K28</f>
        <v>145.23</v>
      </c>
      <c r="M28" s="71" t="n">
        <f aca="false">L28</f>
        <v>145.23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customFormat="false" ht="13.2" hidden="false" customHeight="false" outlineLevel="0" collapsed="false">
      <c r="A29" s="33" t="s">
        <v>112</v>
      </c>
      <c r="B29" s="35" t="n">
        <f aca="false">B27*B28</f>
        <v>9836137.44</v>
      </c>
      <c r="C29" s="35" t="n">
        <f aca="false">C27*C28</f>
        <v>8908989.12</v>
      </c>
      <c r="D29" s="35" t="n">
        <f aca="false">D27*D28</f>
        <v>9644433.84</v>
      </c>
      <c r="E29" s="35" t="n">
        <f aca="false">E27*E28</f>
        <v>8804423.52</v>
      </c>
      <c r="F29" s="35" t="n">
        <f aca="false">F27*F28</f>
        <v>8825336.64</v>
      </c>
      <c r="G29" s="35" t="n">
        <f aca="false">G27*G28</f>
        <v>8644089.6</v>
      </c>
      <c r="H29" s="35" t="n">
        <f aca="false">H27*H28</f>
        <v>9306338.4</v>
      </c>
      <c r="I29" s="35" t="n">
        <f aca="false">I27*I28</f>
        <v>8985670.56</v>
      </c>
      <c r="J29" s="35" t="n">
        <f aca="false">J27*J28</f>
        <v>8804423.52</v>
      </c>
      <c r="K29" s="35" t="n">
        <f aca="false">K27*K28</f>
        <v>10027841.04</v>
      </c>
      <c r="L29" s="35" t="n">
        <f aca="false">L27*L28</f>
        <v>9079779.6</v>
      </c>
      <c r="M29" s="35" t="n">
        <f aca="false">M27*M28</f>
        <v>9261026.64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</row>
    <row r="30" customFormat="false" ht="13.2" hidden="false" customHeight="false" outlineLevel="0" collapsed="false">
      <c r="A30" s="35" t="s">
        <v>113</v>
      </c>
      <c r="B30" s="35" t="n">
        <f aca="false">90586080.14/(12*107.94)*107.94</f>
        <v>7548840.01166667</v>
      </c>
      <c r="C30" s="35" t="n">
        <f aca="false">B30</f>
        <v>7548840.01166667</v>
      </c>
      <c r="D30" s="35" t="n">
        <f aca="false">C30</f>
        <v>7548840.01166667</v>
      </c>
      <c r="E30" s="35" t="n">
        <f aca="false">D30</f>
        <v>7548840.01166667</v>
      </c>
      <c r="F30" s="35" t="n">
        <f aca="false">E30</f>
        <v>7548840.01166667</v>
      </c>
      <c r="G30" s="35" t="n">
        <f aca="false">F30</f>
        <v>7548840.01166667</v>
      </c>
      <c r="H30" s="35" t="n">
        <f aca="false">G30</f>
        <v>7548840.01166667</v>
      </c>
      <c r="I30" s="35" t="n">
        <f aca="false">H30</f>
        <v>7548840.01166667</v>
      </c>
      <c r="J30" s="35" t="n">
        <f aca="false">I30</f>
        <v>7548840.01166667</v>
      </c>
      <c r="K30" s="35" t="n">
        <f aca="false">J30</f>
        <v>7548840.01166667</v>
      </c>
      <c r="L30" s="35" t="n">
        <f aca="false">K30</f>
        <v>7548840.01166667</v>
      </c>
      <c r="M30" s="35" t="n">
        <f aca="false">L30</f>
        <v>7548840.01166667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</row>
    <row r="31" customFormat="false" ht="5.4" hidden="false" customHeight="true" outlineLevel="0" collapsed="false">
      <c r="B31" s="7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</row>
    <row r="32" customFormat="false" ht="13.2" hidden="false" customHeight="false" outlineLevel="0" collapsed="false">
      <c r="A32" s="72" t="s">
        <v>114</v>
      </c>
      <c r="B32" s="73" t="n">
        <f aca="false">B29+B30</f>
        <v>17384977.4516667</v>
      </c>
      <c r="C32" s="73" t="n">
        <f aca="false">C29+C30</f>
        <v>16457829.1316667</v>
      </c>
      <c r="D32" s="73" t="n">
        <f aca="false">D29+D30</f>
        <v>17193273.8516667</v>
      </c>
      <c r="E32" s="73" t="n">
        <f aca="false">E29+E30</f>
        <v>16353263.5316667</v>
      </c>
      <c r="F32" s="73" t="n">
        <f aca="false">F29+F30</f>
        <v>16374176.6516667</v>
      </c>
      <c r="G32" s="73" t="n">
        <f aca="false">G29+G30</f>
        <v>16192929.6116667</v>
      </c>
      <c r="H32" s="73" t="n">
        <f aca="false">H29+H30</f>
        <v>16855178.4116667</v>
      </c>
      <c r="I32" s="73" t="n">
        <f aca="false">I29+I30</f>
        <v>16534510.5716667</v>
      </c>
      <c r="J32" s="73" t="n">
        <f aca="false">J29+J30</f>
        <v>16353263.5316667</v>
      </c>
      <c r="K32" s="73" t="n">
        <f aca="false">K29+K30</f>
        <v>17576681.0516667</v>
      </c>
      <c r="L32" s="73" t="n">
        <f aca="false">L29+L30</f>
        <v>16628619.6116667</v>
      </c>
      <c r="M32" s="73" t="n">
        <f aca="false">M29+M30</f>
        <v>16809866.6516667</v>
      </c>
      <c r="N32" s="76"/>
      <c r="O32" s="76"/>
      <c r="P32" s="76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6"/>
      <c r="AD32" s="76"/>
      <c r="AE32" s="76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3.8" hidden="false" customHeight="false" outlineLevel="0" collapsed="false">
      <c r="A33" s="74" t="s">
        <v>115</v>
      </c>
      <c r="B33" s="75" t="n">
        <f aca="false">B32/Factors!C11</f>
        <v>4039808.37486677</v>
      </c>
      <c r="C33" s="75" t="n">
        <f aca="false">C32/Factors!D11</f>
        <v>3819024.49834898</v>
      </c>
      <c r="D33" s="75" t="n">
        <f aca="false">D32/Factors!E11</f>
        <v>3984121.59034597</v>
      </c>
      <c r="E33" s="75" t="n">
        <f aca="false">E32/Factors!F11</f>
        <v>3784193.9866738</v>
      </c>
      <c r="F33" s="75" t="n">
        <f aca="false">F32/Factors!G11</f>
        <v>3783765.57277876</v>
      </c>
      <c r="G33" s="75" t="n">
        <f aca="false">G32/Factors!H11</f>
        <v>3736687.77827903</v>
      </c>
      <c r="H33" s="75" t="n">
        <f aca="false">H32/Factors!I11</f>
        <v>3884116.14570808</v>
      </c>
      <c r="I33" s="75" t="n">
        <f aca="false">I32/Factors!J11</f>
        <v>3804946.05337304</v>
      </c>
      <c r="J33" s="75" t="n">
        <f aca="false">J32/Factors!K11</f>
        <v>3758034.24155558</v>
      </c>
      <c r="K33" s="75" t="n">
        <f aca="false">K32/Factors!L11</f>
        <v>4033602.87195043</v>
      </c>
      <c r="L33" s="75" t="n">
        <f aca="false">L32/Factors!M11</f>
        <v>3810774.58511077</v>
      </c>
      <c r="M33" s="75" t="n">
        <f aca="false">M32/Factors!N11</f>
        <v>3847006.77605538</v>
      </c>
      <c r="N33" s="78"/>
      <c r="O33" s="78"/>
      <c r="P33" s="78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8"/>
      <c r="AD33" s="78"/>
      <c r="AE33" s="78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5.4" hidden="false" customHeight="true" outlineLevel="0" collapsed="false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</row>
    <row r="35" customFormat="false" ht="13.2" hidden="false" customHeight="false" outlineLevel="0" collapsed="false">
      <c r="A35" s="33" t="s">
        <v>116</v>
      </c>
      <c r="B35" s="35" t="n">
        <f aca="false">B32/B27</f>
        <v>256.68818585617</v>
      </c>
      <c r="C35" s="35" t="n">
        <f aca="false">C32/C27</f>
        <v>268.287511927274</v>
      </c>
      <c r="D35" s="35" t="n">
        <f aca="false">D32/D27</f>
        <v>258.903653952335</v>
      </c>
      <c r="E35" s="35" t="n">
        <f aca="false">E32/E27</f>
        <v>269.74900256774</v>
      </c>
      <c r="F35" s="35" t="n">
        <f aca="false">F32/F27</f>
        <v>269.453933841276</v>
      </c>
      <c r="G35" s="35" t="n">
        <f aca="false">G32/G27</f>
        <v>272.058629228271</v>
      </c>
      <c r="H35" s="35" t="n">
        <f aca="false">H32/H27</f>
        <v>263.033370968581</v>
      </c>
      <c r="I35" s="35" t="n">
        <f aca="false">I32/I27</f>
        <v>267.237370242867</v>
      </c>
      <c r="J35" s="35" t="n">
        <f aca="false">J32/J27</f>
        <v>269.74900256774</v>
      </c>
      <c r="K35" s="35" t="n">
        <f aca="false">K32/K27</f>
        <v>254.557424569382</v>
      </c>
      <c r="L35" s="35" t="n">
        <f aca="false">L32/L27</f>
        <v>265.97280248987</v>
      </c>
      <c r="M35" s="35" t="n">
        <f aca="false">M32/M27</f>
        <v>263.609751782503</v>
      </c>
      <c r="N35" s="35" t="n">
        <f aca="false">AVERAGE(B35:M35)</f>
        <v>264.941719999501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</row>
    <row r="36" customFormat="false" ht="38.4" hidden="false" customHeight="true" outlineLevel="0" collapsed="false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</row>
    <row r="37" customFormat="false" ht="13.2" hidden="false" customHeight="false" outlineLevel="0" collapsed="false">
      <c r="A37" s="21" t="s">
        <v>118</v>
      </c>
      <c r="B37" s="37" t="str">
        <f aca="false">B26</f>
        <v>Jan</v>
      </c>
      <c r="C37" s="37" t="str">
        <f aca="false">C26</f>
        <v>Feb</v>
      </c>
      <c r="D37" s="37" t="str">
        <f aca="false">D26</f>
        <v>Mar</v>
      </c>
      <c r="E37" s="37" t="str">
        <f aca="false">E26</f>
        <v>Apr</v>
      </c>
      <c r="F37" s="37" t="str">
        <f aca="false">F26</f>
        <v>May</v>
      </c>
      <c r="G37" s="37" t="str">
        <f aca="false">G26</f>
        <v>June</v>
      </c>
      <c r="H37" s="37" t="str">
        <f aca="false">H26</f>
        <v>July</v>
      </c>
      <c r="I37" s="37" t="str">
        <f aca="false">I26</f>
        <v>Aug</v>
      </c>
      <c r="J37" s="37" t="str">
        <f aca="false">J26</f>
        <v>Sept</v>
      </c>
      <c r="K37" s="37" t="str">
        <f aca="false">K26</f>
        <v>Oct</v>
      </c>
      <c r="L37" s="37" t="str">
        <f aca="false">L26</f>
        <v>Nov</v>
      </c>
      <c r="M37" s="37" t="str">
        <f aca="false">M26</f>
        <v>Dec</v>
      </c>
      <c r="N37" s="37" t="str">
        <f aca="false">N26</f>
        <v>Total</v>
      </c>
      <c r="O37" s="37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</row>
    <row r="38" customFormat="false" ht="13.2" hidden="false" customHeight="false" outlineLevel="0" collapsed="false">
      <c r="A38" s="60" t="str">
        <f aca="false">A27</f>
        <v>MWh according to Dispatch Profile</v>
      </c>
      <c r="B38" s="35" t="n">
        <f aca="false">B16</f>
        <v>67728</v>
      </c>
      <c r="C38" s="35" t="n">
        <f aca="false">C16</f>
        <v>61344</v>
      </c>
      <c r="D38" s="35" t="n">
        <f aca="false">D16</f>
        <v>66408</v>
      </c>
      <c r="E38" s="35" t="n">
        <f aca="false">E16</f>
        <v>60624</v>
      </c>
      <c r="F38" s="35" t="n">
        <f aca="false">F16</f>
        <v>60768</v>
      </c>
      <c r="G38" s="35" t="n">
        <f aca="false">G16</f>
        <v>59520</v>
      </c>
      <c r="H38" s="35" t="n">
        <f aca="false">H16</f>
        <v>64080</v>
      </c>
      <c r="I38" s="35" t="n">
        <f aca="false">I16</f>
        <v>61872</v>
      </c>
      <c r="J38" s="35" t="n">
        <f aca="false">J16</f>
        <v>60624</v>
      </c>
      <c r="K38" s="35" t="n">
        <f aca="false">K16</f>
        <v>69048</v>
      </c>
      <c r="L38" s="35" t="n">
        <f aca="false">L16</f>
        <v>62520</v>
      </c>
      <c r="M38" s="35" t="n">
        <f aca="false">M16</f>
        <v>63768</v>
      </c>
      <c r="N38" s="35" t="n">
        <f aca="false">SUM(B38:M38)</f>
        <v>758304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customFormat="false" ht="13.2" hidden="false" customHeight="false" outlineLevel="0" collapsed="false">
      <c r="A39" s="33" t="s">
        <v>111</v>
      </c>
      <c r="B39" s="71" t="n">
        <v>240.03</v>
      </c>
      <c r="C39" s="71" t="n">
        <f aca="false">B39</f>
        <v>240.03</v>
      </c>
      <c r="D39" s="71" t="n">
        <f aca="false">C39</f>
        <v>240.03</v>
      </c>
      <c r="E39" s="71" t="n">
        <f aca="false">D39</f>
        <v>240.03</v>
      </c>
      <c r="F39" s="71" t="n">
        <f aca="false">E39</f>
        <v>240.03</v>
      </c>
      <c r="G39" s="71" t="n">
        <f aca="false">F39</f>
        <v>240.03</v>
      </c>
      <c r="H39" s="71" t="n">
        <f aca="false">G39</f>
        <v>240.03</v>
      </c>
      <c r="I39" s="71" t="n">
        <f aca="false">H39</f>
        <v>240.03</v>
      </c>
      <c r="J39" s="71" t="n">
        <f aca="false">I39</f>
        <v>240.03</v>
      </c>
      <c r="K39" s="71" t="n">
        <f aca="false">J39</f>
        <v>240.03</v>
      </c>
      <c r="L39" s="71" t="n">
        <f aca="false">K39</f>
        <v>240.03</v>
      </c>
      <c r="M39" s="71" t="n">
        <f aca="false">L39</f>
        <v>240.03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</row>
    <row r="40" customFormat="false" ht="13.2" hidden="false" customHeight="false" outlineLevel="0" collapsed="false">
      <c r="A40" s="35" t="s">
        <v>112</v>
      </c>
      <c r="B40" s="35" t="n">
        <f aca="false">B38*B39</f>
        <v>16256751.84</v>
      </c>
      <c r="C40" s="35" t="n">
        <f aca="false">C38*C39</f>
        <v>14724400.32</v>
      </c>
      <c r="D40" s="35" t="n">
        <f aca="false">D38*D39</f>
        <v>15939912.24</v>
      </c>
      <c r="E40" s="35" t="n">
        <f aca="false">E38*E39</f>
        <v>14551578.72</v>
      </c>
      <c r="F40" s="35" t="n">
        <f aca="false">F38*F39</f>
        <v>14586143.04</v>
      </c>
      <c r="G40" s="35" t="n">
        <f aca="false">G38*G39</f>
        <v>14286585.6</v>
      </c>
      <c r="H40" s="35" t="n">
        <f aca="false">H38*H39</f>
        <v>15381122.4</v>
      </c>
      <c r="I40" s="35" t="n">
        <f aca="false">I38*I39</f>
        <v>14851136.16</v>
      </c>
      <c r="J40" s="35" t="n">
        <f aca="false">J38*J39</f>
        <v>14551578.72</v>
      </c>
      <c r="K40" s="35" t="n">
        <f aca="false">K38*K39</f>
        <v>16573591.44</v>
      </c>
      <c r="L40" s="35" t="n">
        <f aca="false">L38*L39</f>
        <v>15006675.6</v>
      </c>
      <c r="M40" s="35" t="n">
        <f aca="false">M38*M39</f>
        <v>15306233.04</v>
      </c>
      <c r="N40" s="35" t="n">
        <f aca="false">SUM(B40:M40)</f>
        <v>182015709.12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</row>
    <row r="41" customFormat="false" ht="5.4" hidden="false" customHeight="true" outlineLevel="0" collapsed="false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customFormat="false" ht="13.2" hidden="false" customHeight="false" outlineLevel="0" collapsed="false">
      <c r="A42" s="72" t="s">
        <v>114</v>
      </c>
      <c r="B42" s="73" t="n">
        <f aca="false">B40</f>
        <v>16256751.84</v>
      </c>
      <c r="C42" s="73" t="n">
        <f aca="false">C40</f>
        <v>14724400.32</v>
      </c>
      <c r="D42" s="73" t="n">
        <f aca="false">D40</f>
        <v>15939912.24</v>
      </c>
      <c r="E42" s="73" t="n">
        <f aca="false">E40</f>
        <v>14551578.72</v>
      </c>
      <c r="F42" s="73" t="n">
        <f aca="false">F40</f>
        <v>14586143.04</v>
      </c>
      <c r="G42" s="73" t="n">
        <f aca="false">G40</f>
        <v>14286585.6</v>
      </c>
      <c r="H42" s="73" t="n">
        <f aca="false">H40</f>
        <v>15381122.4</v>
      </c>
      <c r="I42" s="73" t="n">
        <f aca="false">I40</f>
        <v>14851136.16</v>
      </c>
      <c r="J42" s="73" t="n">
        <f aca="false">J40</f>
        <v>14551578.72</v>
      </c>
      <c r="K42" s="73" t="n">
        <f aca="false">K40</f>
        <v>16573591.44</v>
      </c>
      <c r="L42" s="73" t="n">
        <f aca="false">L40</f>
        <v>15006675.6</v>
      </c>
      <c r="M42" s="73" t="n">
        <f aca="false">M40</f>
        <v>15306233.04</v>
      </c>
      <c r="N42" s="73" t="n">
        <f aca="false">SUM(B42:M42)</f>
        <v>182015709.12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2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3.8" hidden="false" customHeight="false" outlineLevel="0" collapsed="false">
      <c r="A43" s="74" t="s">
        <v>115</v>
      </c>
      <c r="B43" s="75" t="n">
        <f aca="false">B42/Factors!C11</f>
        <v>3777638.62012181</v>
      </c>
      <c r="C43" s="75" t="n">
        <f aca="false">C42/Factors!D11</f>
        <v>3416783.89632685</v>
      </c>
      <c r="D43" s="75" t="n">
        <f aca="false">D42/Factors!E11</f>
        <v>3693685.62680387</v>
      </c>
      <c r="E43" s="75" t="n">
        <f aca="false">E42/Factors!F11</f>
        <v>3367278.74422154</v>
      </c>
      <c r="F43" s="75" t="n">
        <f aca="false">F42/Factors!G11</f>
        <v>3370584.49096193</v>
      </c>
      <c r="G43" s="75" t="n">
        <f aca="false">G42/Factors!H11</f>
        <v>3296778.96990269</v>
      </c>
      <c r="H43" s="75" t="n">
        <f aca="false">H42/Factors!I11</f>
        <v>3544433.9059384</v>
      </c>
      <c r="I43" s="75" t="n">
        <f aca="false">I42/Factors!J11</f>
        <v>3417565.44139435</v>
      </c>
      <c r="J43" s="75" t="n">
        <f aca="false">J42/Factors!K11</f>
        <v>3344001.09143708</v>
      </c>
      <c r="K43" s="75" t="n">
        <f aca="false">K42/Factors!L11</f>
        <v>3803407.81256755</v>
      </c>
      <c r="L43" s="75" t="n">
        <f aca="false">L42/Factors!M11</f>
        <v>3439074.27790093</v>
      </c>
      <c r="M43" s="75" t="n">
        <f aca="false">M42/Factors!N11</f>
        <v>3502894.07054425</v>
      </c>
      <c r="N43" s="75" t="n">
        <f aca="false">SUM(B43:M43)</f>
        <v>41974126.9481213</v>
      </c>
      <c r="O43" s="74"/>
      <c r="P43" s="74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4"/>
      <c r="AD43" s="74"/>
      <c r="AE43" s="74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</row>
    <row r="44" customFormat="false" ht="13.8" hidden="false" customHeight="false" outlineLevel="0" collapsed="false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customFormat="false" ht="13.2" hidden="false" customHeight="false" outlineLevel="0" collapsed="false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customFormat="false" ht="17.4" hidden="false" customHeight="false" outlineLevel="0" collapsed="false">
      <c r="A46" s="59" t="s">
        <v>119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P46" s="59" t="s">
        <v>120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E46" s="59" t="s">
        <v>120</v>
      </c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customFormat="false" ht="19.95" hidden="false" customHeight="true" outlineLevel="0" collapsed="false">
      <c r="B47" s="36" t="s">
        <v>41</v>
      </c>
      <c r="C47" s="36" t="s">
        <v>42</v>
      </c>
      <c r="D47" s="36" t="s">
        <v>43</v>
      </c>
      <c r="E47" s="36" t="s">
        <v>44</v>
      </c>
      <c r="F47" s="36" t="s">
        <v>45</v>
      </c>
      <c r="G47" s="36" t="s">
        <v>46</v>
      </c>
      <c r="H47" s="36" t="s">
        <v>47</v>
      </c>
      <c r="I47" s="36" t="s">
        <v>48</v>
      </c>
      <c r="J47" s="36" t="s">
        <v>49</v>
      </c>
      <c r="K47" s="36" t="s">
        <v>50</v>
      </c>
      <c r="L47" s="36" t="s">
        <v>51</v>
      </c>
      <c r="M47" s="36" t="s">
        <v>52</v>
      </c>
      <c r="N47" s="37" t="s">
        <v>66</v>
      </c>
      <c r="Q47" s="36" t="s">
        <v>41</v>
      </c>
      <c r="R47" s="36" t="s">
        <v>42</v>
      </c>
      <c r="S47" s="36" t="s">
        <v>43</v>
      </c>
      <c r="T47" s="36" t="s">
        <v>44</v>
      </c>
      <c r="U47" s="36" t="s">
        <v>45</v>
      </c>
      <c r="V47" s="36" t="s">
        <v>46</v>
      </c>
      <c r="W47" s="36" t="s">
        <v>47</v>
      </c>
      <c r="X47" s="36" t="s">
        <v>48</v>
      </c>
      <c r="Y47" s="36" t="s">
        <v>49</v>
      </c>
      <c r="Z47" s="36" t="s">
        <v>50</v>
      </c>
      <c r="AA47" s="36" t="s">
        <v>51</v>
      </c>
      <c r="AB47" s="36" t="s">
        <v>52</v>
      </c>
      <c r="AC47" s="37" t="s">
        <v>66</v>
      </c>
      <c r="AF47" s="36" t="s">
        <v>41</v>
      </c>
      <c r="AG47" s="36" t="s">
        <v>42</v>
      </c>
      <c r="AH47" s="36" t="s">
        <v>43</v>
      </c>
      <c r="AI47" s="36" t="s">
        <v>44</v>
      </c>
      <c r="AJ47" s="36" t="s">
        <v>45</v>
      </c>
      <c r="AK47" s="36" t="s">
        <v>46</v>
      </c>
      <c r="AL47" s="36" t="s">
        <v>47</v>
      </c>
      <c r="AM47" s="36" t="s">
        <v>48</v>
      </c>
      <c r="AN47" s="36" t="s">
        <v>49</v>
      </c>
      <c r="AO47" s="36" t="s">
        <v>50</v>
      </c>
      <c r="AP47" s="36" t="s">
        <v>51</v>
      </c>
      <c r="AQ47" s="36" t="s">
        <v>52</v>
      </c>
      <c r="AR47" s="37" t="s">
        <v>66</v>
      </c>
    </row>
    <row r="48" customFormat="false" ht="13.2" hidden="false" customHeight="false" outlineLevel="0" collapsed="false">
      <c r="A48" s="33" t="s">
        <v>71</v>
      </c>
      <c r="B48" s="35" t="n">
        <v>58678</v>
      </c>
      <c r="C48" s="35" t="n">
        <v>51179</v>
      </c>
      <c r="D48" s="35" t="n">
        <v>48808</v>
      </c>
      <c r="E48" s="35" t="n">
        <v>36968</v>
      </c>
      <c r="F48" s="35" t="n">
        <v>15026</v>
      </c>
      <c r="G48" s="35" t="n">
        <f aca="false">(15191.7+11353)/2</f>
        <v>13272.35</v>
      </c>
      <c r="H48" s="35" t="n">
        <f aca="false">(15371.5+4826)/2</f>
        <v>10098.75</v>
      </c>
      <c r="I48" s="35" t="n">
        <f aca="false">(16846.8+5697)/2</f>
        <v>11271.9</v>
      </c>
      <c r="J48" s="35" t="n">
        <v>23087</v>
      </c>
      <c r="K48" s="35" t="n">
        <v>38462</v>
      </c>
      <c r="L48" s="35" t="n">
        <v>45256.5</v>
      </c>
      <c r="M48" s="35" t="n">
        <v>53042</v>
      </c>
      <c r="N48" s="35" t="n">
        <f aca="false">SUM(B48:M48)</f>
        <v>405149.5</v>
      </c>
      <c r="P48" s="33" t="s">
        <v>71</v>
      </c>
      <c r="Q48" s="35" t="n">
        <v>58678</v>
      </c>
      <c r="R48" s="35" t="n">
        <v>51179</v>
      </c>
      <c r="S48" s="35" t="n">
        <v>48808</v>
      </c>
      <c r="T48" s="35" t="n">
        <v>36968</v>
      </c>
      <c r="U48" s="35" t="n">
        <v>15026</v>
      </c>
      <c r="V48" s="35" t="n">
        <f aca="false">(15191.7+11353)/2</f>
        <v>13272.35</v>
      </c>
      <c r="W48" s="35" t="n">
        <f aca="false">(15371.5+4826)/2</f>
        <v>10098.75</v>
      </c>
      <c r="X48" s="35" t="n">
        <f aca="false">(16846.8+5697)/2</f>
        <v>11271.9</v>
      </c>
      <c r="Y48" s="35" t="n">
        <v>23087</v>
      </c>
      <c r="Z48" s="35" t="n">
        <v>38462</v>
      </c>
      <c r="AA48" s="35" t="n">
        <v>45256.5</v>
      </c>
      <c r="AB48" s="35" t="n">
        <v>53042</v>
      </c>
      <c r="AC48" s="35" t="n">
        <f aca="false">SUM(Q48:AB48)</f>
        <v>405149.5</v>
      </c>
      <c r="AE48" s="33" t="s">
        <v>71</v>
      </c>
      <c r="AF48" s="35" t="n">
        <v>58678</v>
      </c>
      <c r="AG48" s="35" t="n">
        <v>51179</v>
      </c>
      <c r="AH48" s="35" t="n">
        <v>48808</v>
      </c>
      <c r="AI48" s="35" t="n">
        <v>36968</v>
      </c>
      <c r="AJ48" s="35" t="n">
        <v>15026</v>
      </c>
      <c r="AK48" s="35" t="n">
        <f aca="false">(15191.7+11353)/2</f>
        <v>13272.35</v>
      </c>
      <c r="AL48" s="35" t="n">
        <f aca="false">(15371.5+4826)/2</f>
        <v>10098.75</v>
      </c>
      <c r="AM48" s="35" t="n">
        <f aca="false">(16846.8+5697)/2</f>
        <v>11271.9</v>
      </c>
      <c r="AN48" s="35" t="n">
        <v>23087</v>
      </c>
      <c r="AO48" s="35" t="n">
        <v>38462</v>
      </c>
      <c r="AP48" s="35" t="n">
        <v>45256.5</v>
      </c>
      <c r="AQ48" s="35" t="n">
        <v>53042</v>
      </c>
      <c r="AR48" s="35" t="n">
        <f aca="false">SUM(AF48:AQ48)</f>
        <v>405149.5</v>
      </c>
    </row>
    <row r="49" customFormat="false" ht="13.2" hidden="false" customHeight="false" outlineLevel="0" collapsed="false">
      <c r="A49" s="33" t="s">
        <v>72</v>
      </c>
      <c r="B49" s="35" t="n">
        <v>9804</v>
      </c>
      <c r="C49" s="35" t="n">
        <v>8129</v>
      </c>
      <c r="D49" s="35" t="n">
        <v>7085</v>
      </c>
      <c r="E49" s="35" t="n">
        <v>6634</v>
      </c>
      <c r="F49" s="35" t="n">
        <v>4307</v>
      </c>
      <c r="G49" s="35" t="n">
        <f aca="false">(3800.7+4427)/2</f>
        <v>4113.85</v>
      </c>
      <c r="H49" s="35" t="n">
        <f aca="false">(4239.2+11191)/2</f>
        <v>7715.1</v>
      </c>
      <c r="I49" s="35" t="n">
        <f aca="false">(3985.4+9775)/2</f>
        <v>6880.2</v>
      </c>
      <c r="J49" s="35" t="n">
        <v>3206</v>
      </c>
      <c r="K49" s="35" t="n">
        <v>4910</v>
      </c>
      <c r="L49" s="35" t="n">
        <v>6322</v>
      </c>
      <c r="M49" s="35" t="n">
        <v>8003</v>
      </c>
      <c r="N49" s="35" t="n">
        <f aca="false">SUM(B49:M49)</f>
        <v>77109.15</v>
      </c>
      <c r="P49" s="33" t="s">
        <v>72</v>
      </c>
      <c r="Q49" s="35" t="n">
        <v>9804</v>
      </c>
      <c r="R49" s="35" t="n">
        <v>8129</v>
      </c>
      <c r="S49" s="35" t="n">
        <v>7085</v>
      </c>
      <c r="T49" s="35" t="n">
        <v>6634</v>
      </c>
      <c r="U49" s="35" t="n">
        <v>4307</v>
      </c>
      <c r="V49" s="35" t="n">
        <f aca="false">(3800.7+4427)/2</f>
        <v>4113.85</v>
      </c>
      <c r="W49" s="35" t="n">
        <f aca="false">(4239.2+11191)/2</f>
        <v>7715.1</v>
      </c>
      <c r="X49" s="35" t="n">
        <f aca="false">(3985.4+9775)/2</f>
        <v>6880.2</v>
      </c>
      <c r="Y49" s="35" t="n">
        <v>3206</v>
      </c>
      <c r="Z49" s="35" t="n">
        <v>4910</v>
      </c>
      <c r="AA49" s="35" t="n">
        <v>6322</v>
      </c>
      <c r="AB49" s="35" t="n">
        <v>8003</v>
      </c>
      <c r="AC49" s="35" t="n">
        <f aca="false">SUM(Q49:AB49)</f>
        <v>77109.15</v>
      </c>
      <c r="AE49" s="33" t="s">
        <v>72</v>
      </c>
      <c r="AF49" s="35" t="n">
        <v>9804</v>
      </c>
      <c r="AG49" s="35" t="n">
        <v>8129</v>
      </c>
      <c r="AH49" s="35" t="n">
        <v>7085</v>
      </c>
      <c r="AI49" s="35" t="n">
        <v>6634</v>
      </c>
      <c r="AJ49" s="35" t="n">
        <v>4307</v>
      </c>
      <c r="AK49" s="35" t="n">
        <f aca="false">(3800.7+4427)/2</f>
        <v>4113.85</v>
      </c>
      <c r="AL49" s="35" t="n">
        <f aca="false">(4239.2+11191)/2</f>
        <v>7715.1</v>
      </c>
      <c r="AM49" s="35" t="n">
        <f aca="false">(3985.4+9775)/2</f>
        <v>6880.2</v>
      </c>
      <c r="AN49" s="35" t="n">
        <v>3206</v>
      </c>
      <c r="AO49" s="35" t="n">
        <v>4910</v>
      </c>
      <c r="AP49" s="35" t="n">
        <v>6322</v>
      </c>
      <c r="AQ49" s="35" t="n">
        <v>8003</v>
      </c>
      <c r="AR49" s="35" t="n">
        <f aca="false">SUM(AF49:AQ49)</f>
        <v>77109.15</v>
      </c>
    </row>
    <row r="50" customFormat="false" ht="13.2" hidden="false" customHeight="false" outlineLevel="0" collapsed="false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</row>
    <row r="51" customFormat="false" ht="13.2" hidden="false" customHeight="false" outlineLevel="0" collapsed="false">
      <c r="A51" s="33" t="s">
        <v>121</v>
      </c>
      <c r="B51" s="35" t="n">
        <v>184621.46</v>
      </c>
      <c r="C51" s="35" t="n">
        <f aca="false">B51</f>
        <v>184621.46</v>
      </c>
      <c r="D51" s="35" t="n">
        <f aca="false">C51</f>
        <v>184621.46</v>
      </c>
      <c r="E51" s="35" t="n">
        <f aca="false">D51</f>
        <v>184621.46</v>
      </c>
      <c r="F51" s="35" t="n">
        <f aca="false">E51</f>
        <v>184621.46</v>
      </c>
      <c r="G51" s="35" t="n">
        <f aca="false">F51</f>
        <v>184621.46</v>
      </c>
      <c r="H51" s="35" t="n">
        <v>187408.15</v>
      </c>
      <c r="I51" s="35" t="n">
        <f aca="false">H51</f>
        <v>187408.15</v>
      </c>
      <c r="J51" s="35" t="n">
        <f aca="false">I51</f>
        <v>187408.15</v>
      </c>
      <c r="K51" s="35" t="n">
        <f aca="false">J51</f>
        <v>187408.15</v>
      </c>
      <c r="L51" s="35" t="n">
        <f aca="false">K51</f>
        <v>187408.15</v>
      </c>
      <c r="M51" s="35" t="n">
        <f aca="false">L51</f>
        <v>187408.15</v>
      </c>
      <c r="N51" s="35" t="n">
        <f aca="false">SUM(B51:M51)</f>
        <v>2232177.66</v>
      </c>
      <c r="P51" s="33" t="s">
        <v>121</v>
      </c>
      <c r="Q51" s="35" t="n">
        <v>187294</v>
      </c>
      <c r="R51" s="35" t="n">
        <v>187294</v>
      </c>
      <c r="S51" s="35" t="n">
        <v>187294</v>
      </c>
      <c r="T51" s="35" t="n">
        <v>187294</v>
      </c>
      <c r="U51" s="35" t="n">
        <v>187294</v>
      </c>
      <c r="V51" s="35" t="n">
        <v>187294</v>
      </c>
      <c r="W51" s="35" t="n">
        <v>191033</v>
      </c>
      <c r="X51" s="35" t="n">
        <v>191033</v>
      </c>
      <c r="Y51" s="35" t="n">
        <v>191033</v>
      </c>
      <c r="Z51" s="35" t="n">
        <v>191033</v>
      </c>
      <c r="AA51" s="35" t="n">
        <v>191033</v>
      </c>
      <c r="AB51" s="35" t="n">
        <v>191033</v>
      </c>
      <c r="AC51" s="35" t="n">
        <f aca="false">SUM(Q51:AB51)</f>
        <v>2269962</v>
      </c>
      <c r="AE51" s="33" t="s">
        <v>121</v>
      </c>
      <c r="AF51" s="35" t="n">
        <v>187294</v>
      </c>
      <c r="AG51" s="35" t="n">
        <v>187294</v>
      </c>
      <c r="AH51" s="35" t="n">
        <v>187294</v>
      </c>
      <c r="AI51" s="35" t="n">
        <v>187294</v>
      </c>
      <c r="AJ51" s="35" t="n">
        <v>187294</v>
      </c>
      <c r="AK51" s="35" t="n">
        <v>187294</v>
      </c>
      <c r="AL51" s="35" t="n">
        <v>191033</v>
      </c>
      <c r="AM51" s="35" t="n">
        <v>191033</v>
      </c>
      <c r="AN51" s="35" t="n">
        <v>191033</v>
      </c>
      <c r="AO51" s="35" t="n">
        <v>191033</v>
      </c>
      <c r="AP51" s="35" t="n">
        <v>191033</v>
      </c>
      <c r="AQ51" s="35" t="n">
        <v>191033</v>
      </c>
      <c r="AR51" s="35" t="n">
        <f aca="false">SUM(AF51:AQ51)</f>
        <v>2269962</v>
      </c>
    </row>
    <row r="52" customFormat="false" ht="13.2" hidden="false" customHeight="false" outlineLevel="0" collapsed="false">
      <c r="A52" s="71" t="s">
        <v>122</v>
      </c>
      <c r="B52" s="71" t="n">
        <v>3.93</v>
      </c>
      <c r="C52" s="71" t="n">
        <f aca="false">B52</f>
        <v>3.93</v>
      </c>
      <c r="D52" s="71" t="n">
        <f aca="false">C52</f>
        <v>3.93</v>
      </c>
      <c r="E52" s="71" t="n">
        <v>3.97</v>
      </c>
      <c r="F52" s="71" t="n">
        <f aca="false">E52</f>
        <v>3.97</v>
      </c>
      <c r="G52" s="71" t="n">
        <f aca="false">F52</f>
        <v>3.97</v>
      </c>
      <c r="H52" s="71" t="n">
        <v>4.05</v>
      </c>
      <c r="I52" s="71" t="n">
        <f aca="false">H52</f>
        <v>4.05</v>
      </c>
      <c r="J52" s="71" t="n">
        <f aca="false">I52</f>
        <v>4.05</v>
      </c>
      <c r="K52" s="71" t="n">
        <f aca="false">J52</f>
        <v>4.05</v>
      </c>
      <c r="L52" s="71" t="n">
        <f aca="false">K52</f>
        <v>4.05</v>
      </c>
      <c r="M52" s="71" t="n">
        <f aca="false">L52</f>
        <v>4.05</v>
      </c>
      <c r="N52" s="35"/>
      <c r="O52" s="71"/>
      <c r="P52" s="71" t="s">
        <v>122</v>
      </c>
      <c r="Q52" s="71" t="n">
        <v>4</v>
      </c>
      <c r="R52" s="71" t="n">
        <v>4</v>
      </c>
      <c r="S52" s="71" t="n">
        <v>4</v>
      </c>
      <c r="T52" s="71" t="n">
        <v>4</v>
      </c>
      <c r="U52" s="71" t="n">
        <v>4</v>
      </c>
      <c r="V52" s="71" t="n">
        <v>4</v>
      </c>
      <c r="W52" s="71" t="n">
        <v>4.07</v>
      </c>
      <c r="X52" s="71" t="n">
        <v>4.07</v>
      </c>
      <c r="Y52" s="71" t="n">
        <v>4.07</v>
      </c>
      <c r="Z52" s="71" t="n">
        <v>4.07</v>
      </c>
      <c r="AA52" s="71" t="n">
        <v>4.07</v>
      </c>
      <c r="AB52" s="71" t="n">
        <v>4.07</v>
      </c>
      <c r="AC52" s="35"/>
      <c r="AD52" s="71"/>
      <c r="AE52" s="71" t="s">
        <v>122</v>
      </c>
      <c r="AF52" s="71" t="n">
        <v>4</v>
      </c>
      <c r="AG52" s="71" t="n">
        <v>4</v>
      </c>
      <c r="AH52" s="71" t="n">
        <v>4</v>
      </c>
      <c r="AI52" s="71" t="n">
        <v>4</v>
      </c>
      <c r="AJ52" s="71" t="n">
        <v>4</v>
      </c>
      <c r="AK52" s="71" t="n">
        <v>4</v>
      </c>
      <c r="AL52" s="71" t="n">
        <v>4.07</v>
      </c>
      <c r="AM52" s="71" t="n">
        <v>4.07</v>
      </c>
      <c r="AN52" s="71" t="n">
        <v>4.07</v>
      </c>
      <c r="AO52" s="71" t="n">
        <v>4.07</v>
      </c>
      <c r="AP52" s="71" t="n">
        <v>4.07</v>
      </c>
      <c r="AQ52" s="71" t="n">
        <v>4.07</v>
      </c>
      <c r="AR52" s="35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</row>
    <row r="53" customFormat="false" ht="13.2" hidden="false" customHeight="false" outlineLevel="0" collapsed="false">
      <c r="A53" s="71" t="s">
        <v>123</v>
      </c>
      <c r="B53" s="71" t="n">
        <v>4.93</v>
      </c>
      <c r="C53" s="71" t="n">
        <f aca="false">B53</f>
        <v>4.93</v>
      </c>
      <c r="D53" s="71" t="n">
        <f aca="false">C53</f>
        <v>4.93</v>
      </c>
      <c r="E53" s="71" t="n">
        <v>4.98</v>
      </c>
      <c r="F53" s="71" t="n">
        <f aca="false">E53</f>
        <v>4.98</v>
      </c>
      <c r="G53" s="71" t="n">
        <f aca="false">F53</f>
        <v>4.98</v>
      </c>
      <c r="H53" s="71" t="n">
        <v>5.08</v>
      </c>
      <c r="I53" s="71" t="n">
        <v>5.08</v>
      </c>
      <c r="J53" s="71" t="n">
        <v>5.08</v>
      </c>
      <c r="K53" s="71" t="n">
        <v>5.08</v>
      </c>
      <c r="L53" s="71" t="n">
        <v>5.08</v>
      </c>
      <c r="M53" s="71" t="n">
        <v>5.08</v>
      </c>
      <c r="N53" s="35"/>
      <c r="O53" s="71"/>
      <c r="P53" s="71" t="s">
        <v>123</v>
      </c>
      <c r="Q53" s="71" t="n">
        <v>5.01</v>
      </c>
      <c r="R53" s="71" t="n">
        <v>5.01</v>
      </c>
      <c r="S53" s="71" t="n">
        <v>5.01</v>
      </c>
      <c r="T53" s="71" t="n">
        <v>5.01</v>
      </c>
      <c r="U53" s="71" t="n">
        <v>5.01</v>
      </c>
      <c r="V53" s="71" t="n">
        <v>5.01</v>
      </c>
      <c r="W53" s="71" t="n">
        <v>5.11</v>
      </c>
      <c r="X53" s="71" t="n">
        <v>5.11</v>
      </c>
      <c r="Y53" s="71" t="n">
        <v>5.11</v>
      </c>
      <c r="Z53" s="71" t="n">
        <v>5.11</v>
      </c>
      <c r="AA53" s="71" t="n">
        <v>5.11</v>
      </c>
      <c r="AB53" s="71" t="n">
        <v>5.11</v>
      </c>
      <c r="AC53" s="35"/>
      <c r="AD53" s="71"/>
      <c r="AE53" s="71" t="s">
        <v>123</v>
      </c>
      <c r="AF53" s="71" t="n">
        <v>5.01</v>
      </c>
      <c r="AG53" s="71" t="n">
        <v>5.01</v>
      </c>
      <c r="AH53" s="71" t="n">
        <v>5.01</v>
      </c>
      <c r="AI53" s="71" t="n">
        <v>5.01</v>
      </c>
      <c r="AJ53" s="71" t="n">
        <v>5.01</v>
      </c>
      <c r="AK53" s="71" t="n">
        <v>5.01</v>
      </c>
      <c r="AL53" s="71" t="n">
        <v>5.11</v>
      </c>
      <c r="AM53" s="71" t="n">
        <v>5.11</v>
      </c>
      <c r="AN53" s="71" t="n">
        <v>5.11</v>
      </c>
      <c r="AO53" s="71" t="n">
        <v>5.11</v>
      </c>
      <c r="AP53" s="71" t="n">
        <v>5.11</v>
      </c>
      <c r="AQ53" s="71" t="n">
        <v>5.11</v>
      </c>
      <c r="AR53" s="35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</row>
    <row r="54" customFormat="false" ht="13.2" hidden="false" customHeight="false" outlineLevel="0" collapsed="false">
      <c r="N54" s="35"/>
      <c r="AC54" s="35"/>
      <c r="AR54" s="35"/>
    </row>
    <row r="55" customFormat="false" ht="13.2" hidden="false" customHeight="false" outlineLevel="0" collapsed="false">
      <c r="A55" s="33" t="s">
        <v>124</v>
      </c>
      <c r="B55" s="35" t="n">
        <f aca="false">B51</f>
        <v>184621.46</v>
      </c>
      <c r="C55" s="35" t="n">
        <f aca="false">C51</f>
        <v>184621.46</v>
      </c>
      <c r="D55" s="35" t="n">
        <f aca="false">D51</f>
        <v>184621.46</v>
      </c>
      <c r="E55" s="35" t="n">
        <f aca="false">E51</f>
        <v>184621.46</v>
      </c>
      <c r="F55" s="35" t="n">
        <f aca="false">F51</f>
        <v>184621.46</v>
      </c>
      <c r="G55" s="35" t="n">
        <f aca="false">G51</f>
        <v>184621.46</v>
      </c>
      <c r="H55" s="35" t="n">
        <f aca="false">H51</f>
        <v>187408.15</v>
      </c>
      <c r="I55" s="35" t="n">
        <f aca="false">I51</f>
        <v>187408.15</v>
      </c>
      <c r="J55" s="35" t="n">
        <f aca="false">J51</f>
        <v>187408.15</v>
      </c>
      <c r="K55" s="35" t="n">
        <f aca="false">K51</f>
        <v>187408.15</v>
      </c>
      <c r="L55" s="35" t="n">
        <f aca="false">L51</f>
        <v>187408.15</v>
      </c>
      <c r="M55" s="35" t="n">
        <f aca="false">M51</f>
        <v>187408.15</v>
      </c>
      <c r="N55" s="35" t="n">
        <f aca="false">SUM(B55:M55)</f>
        <v>2232177.66</v>
      </c>
      <c r="P55" s="33" t="s">
        <v>124</v>
      </c>
      <c r="Q55" s="35" t="n">
        <f aca="false">Q51</f>
        <v>187294</v>
      </c>
      <c r="R55" s="35" t="n">
        <f aca="false">R51</f>
        <v>187294</v>
      </c>
      <c r="S55" s="35" t="n">
        <f aca="false">S51</f>
        <v>187294</v>
      </c>
      <c r="T55" s="35" t="n">
        <f aca="false">T51</f>
        <v>187294</v>
      </c>
      <c r="U55" s="35" t="n">
        <f aca="false">U51</f>
        <v>187294</v>
      </c>
      <c r="V55" s="35" t="n">
        <f aca="false">V51</f>
        <v>187294</v>
      </c>
      <c r="W55" s="35" t="n">
        <f aca="false">W51</f>
        <v>191033</v>
      </c>
      <c r="X55" s="35" t="n">
        <f aca="false">X51</f>
        <v>191033</v>
      </c>
      <c r="Y55" s="35" t="n">
        <f aca="false">Y51</f>
        <v>191033</v>
      </c>
      <c r="Z55" s="35" t="n">
        <f aca="false">Z51</f>
        <v>191033</v>
      </c>
      <c r="AA55" s="35" t="n">
        <f aca="false">AA51</f>
        <v>191033</v>
      </c>
      <c r="AB55" s="35" t="n">
        <f aca="false">AB51</f>
        <v>191033</v>
      </c>
      <c r="AC55" s="35" t="n">
        <f aca="false">SUM(Q55:AB55)</f>
        <v>2269962</v>
      </c>
      <c r="AE55" s="33" t="s">
        <v>124</v>
      </c>
      <c r="AF55" s="35" t="n">
        <f aca="false">AF51</f>
        <v>187294</v>
      </c>
      <c r="AG55" s="35" t="n">
        <f aca="false">AG51</f>
        <v>187294</v>
      </c>
      <c r="AH55" s="35" t="n">
        <f aca="false">AH51</f>
        <v>187294</v>
      </c>
      <c r="AI55" s="35" t="n">
        <f aca="false">AI51</f>
        <v>187294</v>
      </c>
      <c r="AJ55" s="35" t="n">
        <f aca="false">AJ51</f>
        <v>187294</v>
      </c>
      <c r="AK55" s="35" t="n">
        <f aca="false">AK51</f>
        <v>187294</v>
      </c>
      <c r="AL55" s="35" t="n">
        <f aca="false">AL51</f>
        <v>191033</v>
      </c>
      <c r="AM55" s="35" t="n">
        <f aca="false">AM51</f>
        <v>191033</v>
      </c>
      <c r="AN55" s="35" t="n">
        <f aca="false">AN51</f>
        <v>191033</v>
      </c>
      <c r="AO55" s="35" t="n">
        <f aca="false">AO51</f>
        <v>191033</v>
      </c>
      <c r="AP55" s="35" t="n">
        <f aca="false">AP51</f>
        <v>191033</v>
      </c>
      <c r="AQ55" s="35" t="n">
        <f aca="false">AQ51</f>
        <v>191033</v>
      </c>
      <c r="AR55" s="35" t="n">
        <f aca="false">SUM(AF55:AQ55)</f>
        <v>2269962</v>
      </c>
    </row>
    <row r="56" customFormat="false" ht="13.2" hidden="false" customHeight="false" outlineLevel="0" collapsed="false">
      <c r="A56" s="33" t="s">
        <v>125</v>
      </c>
      <c r="B56" s="35" t="n">
        <f aca="false">B52*B48</f>
        <v>230604.54</v>
      </c>
      <c r="C56" s="35" t="n">
        <f aca="false">C52*C48</f>
        <v>201133.47</v>
      </c>
      <c r="D56" s="35" t="n">
        <f aca="false">D52*D48</f>
        <v>191815.44</v>
      </c>
      <c r="E56" s="35" t="n">
        <f aca="false">E52*E48</f>
        <v>146762.96</v>
      </c>
      <c r="F56" s="35" t="n">
        <f aca="false">F52*F48</f>
        <v>59653.22</v>
      </c>
      <c r="G56" s="35" t="n">
        <f aca="false">G52*G48</f>
        <v>52691.2295</v>
      </c>
      <c r="H56" s="35" t="n">
        <f aca="false">H52*H48</f>
        <v>40899.9375</v>
      </c>
      <c r="I56" s="35" t="n">
        <f aca="false">I52*I48</f>
        <v>45651.195</v>
      </c>
      <c r="J56" s="35" t="n">
        <f aca="false">J52*J48</f>
        <v>93502.35</v>
      </c>
      <c r="K56" s="35" t="n">
        <f aca="false">K52*K48</f>
        <v>155771.1</v>
      </c>
      <c r="L56" s="35" t="n">
        <f aca="false">L52*L48</f>
        <v>183288.825</v>
      </c>
      <c r="M56" s="35" t="n">
        <f aca="false">M52*M48</f>
        <v>214820.1</v>
      </c>
      <c r="N56" s="35" t="n">
        <f aca="false">SUM(B56:M56)</f>
        <v>1616594.367</v>
      </c>
      <c r="P56" s="33" t="s">
        <v>125</v>
      </c>
      <c r="Q56" s="35" t="n">
        <f aca="false">Q52*Q48</f>
        <v>234712</v>
      </c>
      <c r="R56" s="35" t="n">
        <f aca="false">R52*R48</f>
        <v>204716</v>
      </c>
      <c r="S56" s="35" t="n">
        <f aca="false">S52*S48</f>
        <v>195232</v>
      </c>
      <c r="T56" s="35" t="n">
        <f aca="false">T52*T48</f>
        <v>147872</v>
      </c>
      <c r="U56" s="35" t="n">
        <f aca="false">U52*U48</f>
        <v>60104</v>
      </c>
      <c r="V56" s="35" t="n">
        <f aca="false">V52*V48</f>
        <v>53089.4</v>
      </c>
      <c r="W56" s="35" t="n">
        <f aca="false">W52*W48</f>
        <v>41101.9125</v>
      </c>
      <c r="X56" s="35" t="n">
        <f aca="false">X52*X48</f>
        <v>45876.633</v>
      </c>
      <c r="Y56" s="35" t="n">
        <f aca="false">Y52*Y48</f>
        <v>93964.09</v>
      </c>
      <c r="Z56" s="35" t="n">
        <f aca="false">Z52*Z48</f>
        <v>156540.34</v>
      </c>
      <c r="AA56" s="35" t="n">
        <f aca="false">AA52*AA48</f>
        <v>184193.955</v>
      </c>
      <c r="AB56" s="35" t="n">
        <f aca="false">AB52*AB48</f>
        <v>215880.94</v>
      </c>
      <c r="AC56" s="35" t="n">
        <f aca="false">SUM(Q56:AB56)</f>
        <v>1633283.2705</v>
      </c>
      <c r="AE56" s="33" t="s">
        <v>125</v>
      </c>
      <c r="AF56" s="35" t="n">
        <f aca="false">AF52*AF48</f>
        <v>234712</v>
      </c>
      <c r="AG56" s="35" t="n">
        <f aca="false">AG52*AG48</f>
        <v>204716</v>
      </c>
      <c r="AH56" s="35" t="n">
        <f aca="false">AH52*AH48</f>
        <v>195232</v>
      </c>
      <c r="AI56" s="35" t="n">
        <f aca="false">AI52*AI48</f>
        <v>147872</v>
      </c>
      <c r="AJ56" s="35" t="n">
        <f aca="false">AJ52*AJ48</f>
        <v>60104</v>
      </c>
      <c r="AK56" s="35" t="n">
        <f aca="false">AK52*AK48</f>
        <v>53089.4</v>
      </c>
      <c r="AL56" s="35" t="n">
        <f aca="false">AL52*AL48</f>
        <v>41101.9125</v>
      </c>
      <c r="AM56" s="35" t="n">
        <f aca="false">AM52*AM48</f>
        <v>45876.633</v>
      </c>
      <c r="AN56" s="35" t="n">
        <f aca="false">AN52*AN48</f>
        <v>93964.09</v>
      </c>
      <c r="AO56" s="35" t="n">
        <f aca="false">AO52*AO48</f>
        <v>156540.34</v>
      </c>
      <c r="AP56" s="35" t="n">
        <f aca="false">AP52*AP48</f>
        <v>184193.955</v>
      </c>
      <c r="AQ56" s="35" t="n">
        <f aca="false">AQ52*AQ48</f>
        <v>215880.94</v>
      </c>
      <c r="AR56" s="35" t="n">
        <f aca="false">SUM(AF56:AQ56)</f>
        <v>1633283.2705</v>
      </c>
    </row>
    <row r="57" customFormat="false" ht="13.2" hidden="false" customHeight="false" outlineLevel="0" collapsed="false">
      <c r="A57" s="33" t="s">
        <v>126</v>
      </c>
      <c r="B57" s="35" t="n">
        <f aca="false">B53*B49</f>
        <v>48333.72</v>
      </c>
      <c r="C57" s="35" t="n">
        <f aca="false">C53*C49</f>
        <v>40075.97</v>
      </c>
      <c r="D57" s="35" t="n">
        <f aca="false">D53*D49</f>
        <v>34929.05</v>
      </c>
      <c r="E57" s="35" t="n">
        <f aca="false">E53*E49</f>
        <v>33037.32</v>
      </c>
      <c r="F57" s="35" t="n">
        <f aca="false">F53*F49</f>
        <v>21448.86</v>
      </c>
      <c r="G57" s="35" t="n">
        <f aca="false">G53*G49</f>
        <v>20486.973</v>
      </c>
      <c r="H57" s="35" t="n">
        <f aca="false">H53*H49</f>
        <v>39192.708</v>
      </c>
      <c r="I57" s="35" t="n">
        <f aca="false">I53*I49</f>
        <v>34951.416</v>
      </c>
      <c r="J57" s="35" t="n">
        <f aca="false">J53*J49</f>
        <v>16286.48</v>
      </c>
      <c r="K57" s="35" t="n">
        <f aca="false">K53*K49</f>
        <v>24942.8</v>
      </c>
      <c r="L57" s="35" t="n">
        <f aca="false">L53*L49</f>
        <v>32115.76</v>
      </c>
      <c r="M57" s="35" t="n">
        <f aca="false">M53*M49</f>
        <v>40655.24</v>
      </c>
      <c r="N57" s="35" t="n">
        <f aca="false">SUM(B57:M57)</f>
        <v>386456.297</v>
      </c>
      <c r="P57" s="33" t="s">
        <v>126</v>
      </c>
      <c r="Q57" s="35" t="n">
        <f aca="false">Q53*Q49</f>
        <v>49118.04</v>
      </c>
      <c r="R57" s="35" t="n">
        <f aca="false">R53*R49</f>
        <v>40726.29</v>
      </c>
      <c r="S57" s="35" t="n">
        <f aca="false">S53*S49</f>
        <v>35495.85</v>
      </c>
      <c r="T57" s="35" t="n">
        <f aca="false">T53*T49</f>
        <v>33236.34</v>
      </c>
      <c r="U57" s="35" t="n">
        <f aca="false">U53*U49</f>
        <v>21578.07</v>
      </c>
      <c r="V57" s="35" t="n">
        <f aca="false">V53*V49</f>
        <v>20610.3885</v>
      </c>
      <c r="W57" s="35" t="n">
        <f aca="false">W53*W49</f>
        <v>39424.161</v>
      </c>
      <c r="X57" s="35" t="n">
        <f aca="false">X53*X49</f>
        <v>35157.822</v>
      </c>
      <c r="Y57" s="35" t="n">
        <f aca="false">Y53*Y49</f>
        <v>16382.66</v>
      </c>
      <c r="Z57" s="35" t="n">
        <f aca="false">Z53*Z49</f>
        <v>25090.1</v>
      </c>
      <c r="AA57" s="35" t="n">
        <f aca="false">AA53*AA49</f>
        <v>32305.42</v>
      </c>
      <c r="AB57" s="35" t="n">
        <f aca="false">AB53*AB49</f>
        <v>40895.33</v>
      </c>
      <c r="AC57" s="35" t="n">
        <f aca="false">SUM(Q57:AB57)</f>
        <v>390020.4715</v>
      </c>
      <c r="AE57" s="33" t="s">
        <v>126</v>
      </c>
      <c r="AF57" s="35" t="n">
        <f aca="false">AF53*AF49</f>
        <v>49118.04</v>
      </c>
      <c r="AG57" s="35" t="n">
        <f aca="false">AG53*AG49</f>
        <v>40726.29</v>
      </c>
      <c r="AH57" s="35" t="n">
        <f aca="false">AH53*AH49</f>
        <v>35495.85</v>
      </c>
      <c r="AI57" s="35" t="n">
        <f aca="false">AI53*AI49</f>
        <v>33236.34</v>
      </c>
      <c r="AJ57" s="35" t="n">
        <f aca="false">AJ53*AJ49</f>
        <v>21578.07</v>
      </c>
      <c r="AK57" s="35" t="n">
        <f aca="false">AK53*AK49</f>
        <v>20610.3885</v>
      </c>
      <c r="AL57" s="35" t="n">
        <f aca="false">AL53*AL49</f>
        <v>39424.161</v>
      </c>
      <c r="AM57" s="35" t="n">
        <f aca="false">AM53*AM49</f>
        <v>35157.822</v>
      </c>
      <c r="AN57" s="35" t="n">
        <f aca="false">AN53*AN49</f>
        <v>16382.66</v>
      </c>
      <c r="AO57" s="35" t="n">
        <f aca="false">AO53*AO49</f>
        <v>25090.1</v>
      </c>
      <c r="AP57" s="35" t="n">
        <f aca="false">AP53*AP49</f>
        <v>32305.42</v>
      </c>
      <c r="AQ57" s="35" t="n">
        <f aca="false">AQ53*AQ49</f>
        <v>40895.33</v>
      </c>
      <c r="AR57" s="35" t="n">
        <f aca="false">SUM(AF57:AQ57)</f>
        <v>390020.4715</v>
      </c>
    </row>
    <row r="58" customFormat="false" ht="13.2" hidden="false" customHeight="false" outlineLevel="0" collapsed="false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customFormat="false" ht="13.8" hidden="false" customHeight="false" outlineLevel="0" collapsed="false">
      <c r="A59" s="80" t="s">
        <v>106</v>
      </c>
      <c r="B59" s="81" t="n">
        <f aca="false">B60*Factors!C11</f>
        <v>1994890.48288502</v>
      </c>
      <c r="C59" s="81" t="n">
        <f aca="false">C60*Factors!D11</f>
        <v>1835089.61364705</v>
      </c>
      <c r="D59" s="81" t="n">
        <f aca="false">D60*Factors!E11</f>
        <v>1775228.81047083</v>
      </c>
      <c r="E59" s="81" t="n">
        <f aca="false">E60*Factors!F11</f>
        <v>1574835.95499467</v>
      </c>
      <c r="F59" s="81" t="n">
        <f aca="false">F60*Factors!G11</f>
        <v>1149913.78318157</v>
      </c>
      <c r="G59" s="81" t="n">
        <f aca="false">G60*Factors!H11</f>
        <v>1117174.36309237</v>
      </c>
      <c r="H59" s="81" t="n">
        <f aca="false">H60*Factors!I11</f>
        <v>1160823.5861838</v>
      </c>
      <c r="I59" s="81" t="n">
        <f aca="false">I60*Factors!J11</f>
        <v>1164649.0380978</v>
      </c>
      <c r="J59" s="81" t="n">
        <f aca="false">J60*Factors!K11</f>
        <v>1293266.69805534</v>
      </c>
      <c r="K59" s="81" t="n">
        <f aca="false">K60*Factors!L11</f>
        <v>1604115.24543738</v>
      </c>
      <c r="L59" s="81" t="n">
        <f aca="false">L60*Factors!M11</f>
        <v>1757705.57807879</v>
      </c>
      <c r="M59" s="81" t="n">
        <f aca="false">M60*Factors!N11</f>
        <v>1935222.06809276</v>
      </c>
      <c r="N59" s="81" t="n">
        <f aca="false">SUM(B59:M59)</f>
        <v>18362915.2222174</v>
      </c>
      <c r="O59" s="80"/>
      <c r="P59" s="80" t="s">
        <v>106</v>
      </c>
      <c r="Q59" s="81" t="n">
        <f aca="false">Q60*Factors!R11</f>
        <v>2067199.46257857</v>
      </c>
      <c r="R59" s="81" t="n">
        <f aca="false">R60*Factors!S11</f>
        <v>1906640.25781707</v>
      </c>
      <c r="S59" s="81" t="n">
        <f aca="false">S60*Factors!T11</f>
        <v>1849419.07165759</v>
      </c>
      <c r="T59" s="81" t="n">
        <f aca="false">T60*Factors!U11</f>
        <v>1636599.00096245</v>
      </c>
      <c r="U59" s="81" t="n">
        <f aca="false">U60*Factors!V11</f>
        <v>1199802.61325756</v>
      </c>
      <c r="V59" s="81" t="n">
        <f aca="false">V60*Factors!W11</f>
        <v>1168948.43521677</v>
      </c>
      <c r="W59" s="81" t="n">
        <f aca="false">W60*Factors!X11</f>
        <v>1221212.79780153</v>
      </c>
      <c r="X59" s="81" t="n">
        <f aca="false">X60*Factors!Y11</f>
        <v>1228452.44849843</v>
      </c>
      <c r="Y59" s="81" t="n">
        <f aca="false">Y60*Factors!Z11</f>
        <v>1366291.89076712</v>
      </c>
      <c r="Z59" s="81" t="n">
        <f aca="false">Z60*Factors!AA11</f>
        <v>1696238.32919015</v>
      </c>
      <c r="AA59" s="81" t="n">
        <f aca="false">AA60*Factors!AB11</f>
        <v>1862369.76452623</v>
      </c>
      <c r="AB59" s="81" t="n">
        <f aca="false">AB60*Factors!AC11</f>
        <v>2054583.02516658</v>
      </c>
      <c r="AC59" s="81" t="n">
        <f aca="false">SUM(Q59:AB59)</f>
        <v>19257757.09744</v>
      </c>
      <c r="AD59" s="80"/>
      <c r="AE59" s="80" t="s">
        <v>106</v>
      </c>
      <c r="AF59" s="81" t="n">
        <f aca="false">AF60*Factors!AG11</f>
        <v>2170559.43570749</v>
      </c>
      <c r="AG59" s="81" t="n">
        <f aca="false">AG60*Factors!AH11</f>
        <v>2001972.27070793</v>
      </c>
      <c r="AH59" s="81" t="n">
        <f aca="false">AH60*Factors!AI11</f>
        <v>1941890.02524047</v>
      </c>
      <c r="AI59" s="81" t="n">
        <f aca="false">AI60*Factors!AJ11</f>
        <v>1718428.95101057</v>
      </c>
      <c r="AJ59" s="81" t="n">
        <f aca="false">AJ60*Factors!AK11</f>
        <v>1259792.74392044</v>
      </c>
      <c r="AK59" s="81" t="n">
        <f aca="false">AK60*Factors!AL11</f>
        <v>1227395.85697761</v>
      </c>
      <c r="AL59" s="81" t="n">
        <f aca="false">AL60*Factors!AM11</f>
        <v>1282273.43769161</v>
      </c>
      <c r="AM59" s="81" t="n">
        <f aca="false">AM60*Factors!AN11</f>
        <v>1289875.07092335</v>
      </c>
      <c r="AN59" s="81" t="n">
        <f aca="false">AN60*Factors!AO11</f>
        <v>1434606.48530547</v>
      </c>
      <c r="AO59" s="81" t="n">
        <f aca="false">AO60*Factors!AP11</f>
        <v>1781050.24564965</v>
      </c>
      <c r="AP59" s="81" t="n">
        <f aca="false">AP60*Factors!AQ11</f>
        <v>1955488.25275255</v>
      </c>
      <c r="AQ59" s="81" t="n">
        <f aca="false">AQ60*Factors!AR11</f>
        <v>2157312.17642491</v>
      </c>
      <c r="AR59" s="81" t="n">
        <f aca="false">SUM(AF59:AQ59)</f>
        <v>20220644.952312</v>
      </c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  <c r="GT59" s="80"/>
      <c r="GU59" s="80"/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</row>
    <row r="60" customFormat="false" ht="14.4" hidden="false" customHeight="false" outlineLevel="0" collapsed="false">
      <c r="A60" s="82" t="s">
        <v>107</v>
      </c>
      <c r="B60" s="83" t="n">
        <f aca="false">B55+B56+B57</f>
        <v>463559.72</v>
      </c>
      <c r="C60" s="83" t="n">
        <f aca="false">C55+C56+C57</f>
        <v>425830.9</v>
      </c>
      <c r="D60" s="83" t="n">
        <f aca="false">D55+D56+D57</f>
        <v>411365.95</v>
      </c>
      <c r="E60" s="83" t="n">
        <f aca="false">E55+E56+E57</f>
        <v>364421.74</v>
      </c>
      <c r="F60" s="83" t="n">
        <f aca="false">F55+F56+F57</f>
        <v>265723.54</v>
      </c>
      <c r="G60" s="83" t="n">
        <f aca="false">G55+G56+G57</f>
        <v>257799.6625</v>
      </c>
      <c r="H60" s="83" t="n">
        <f aca="false">H55+H56+H57</f>
        <v>267500.7955</v>
      </c>
      <c r="I60" s="83" t="n">
        <f aca="false">I55+I56+I57</f>
        <v>268010.761</v>
      </c>
      <c r="J60" s="83" t="n">
        <f aca="false">J55+J56+J57</f>
        <v>297196.98</v>
      </c>
      <c r="K60" s="83" t="n">
        <f aca="false">K55+K56+K57</f>
        <v>368122.05</v>
      </c>
      <c r="L60" s="83" t="n">
        <f aca="false">L55+L56+L57</f>
        <v>402812.735</v>
      </c>
      <c r="M60" s="83" t="n">
        <f aca="false">M55+M56+M57</f>
        <v>442883.49</v>
      </c>
      <c r="N60" s="83" t="n">
        <f aca="false">SUM(B60:M60)</f>
        <v>4235228.324</v>
      </c>
      <c r="O60" s="82"/>
      <c r="P60" s="82" t="s">
        <v>107</v>
      </c>
      <c r="Q60" s="83" t="n">
        <f aca="false">Q55+Q56+Q57</f>
        <v>471124.04</v>
      </c>
      <c r="R60" s="83" t="n">
        <f aca="false">R55+R56+R57</f>
        <v>432736.29</v>
      </c>
      <c r="S60" s="83" t="n">
        <f aca="false">S55+S56+S57</f>
        <v>418021.85</v>
      </c>
      <c r="T60" s="83" t="n">
        <f aca="false">T55+T56+T57</f>
        <v>368402.34</v>
      </c>
      <c r="U60" s="83" t="n">
        <f aca="false">U55+U56+U57</f>
        <v>268976.07</v>
      </c>
      <c r="V60" s="83" t="n">
        <f aca="false">V55+V56+V57</f>
        <v>260993.7885</v>
      </c>
      <c r="W60" s="83" t="n">
        <f aca="false">W55+W56+W57</f>
        <v>271559.0735</v>
      </c>
      <c r="X60" s="83" t="n">
        <f aca="false">X55+X56+X57</f>
        <v>272067.455</v>
      </c>
      <c r="Y60" s="83" t="n">
        <f aca="false">Y55+Y56+Y57</f>
        <v>301379.75</v>
      </c>
      <c r="Z60" s="83" t="n">
        <f aca="false">Z55+Z56+Z57</f>
        <v>372663.44</v>
      </c>
      <c r="AA60" s="83" t="n">
        <f aca="false">AA55+AA56+AA57</f>
        <v>407532.375</v>
      </c>
      <c r="AB60" s="83" t="n">
        <f aca="false">AB55+AB56+AB57</f>
        <v>447809.27</v>
      </c>
      <c r="AC60" s="83" t="n">
        <f aca="false">SUM(Q60:AB60)</f>
        <v>4293265.742</v>
      </c>
      <c r="AD60" s="82"/>
      <c r="AE60" s="82" t="s">
        <v>107</v>
      </c>
      <c r="AF60" s="83" t="n">
        <f aca="false">AF55+AF56+AF57</f>
        <v>471124.04</v>
      </c>
      <c r="AG60" s="83" t="n">
        <f aca="false">AG55+AG56+AG57</f>
        <v>432736.29</v>
      </c>
      <c r="AH60" s="83" t="n">
        <f aca="false">AH55+AH56+AH57</f>
        <v>418021.85</v>
      </c>
      <c r="AI60" s="83" t="n">
        <f aca="false">AI55+AI56+AI57</f>
        <v>368402.34</v>
      </c>
      <c r="AJ60" s="83" t="n">
        <f aca="false">AJ55+AJ56+AJ57</f>
        <v>268976.07</v>
      </c>
      <c r="AK60" s="83" t="n">
        <f aca="false">AK55+AK56+AK57</f>
        <v>260993.7885</v>
      </c>
      <c r="AL60" s="83" t="n">
        <f aca="false">AL55+AL56+AL57</f>
        <v>271559.0735</v>
      </c>
      <c r="AM60" s="83" t="n">
        <f aca="false">AM55+AM56+AM57</f>
        <v>272067.455</v>
      </c>
      <c r="AN60" s="83" t="n">
        <f aca="false">AN55+AN56+AN57</f>
        <v>301379.75</v>
      </c>
      <c r="AO60" s="83" t="n">
        <f aca="false">AO55+AO56+AO57</f>
        <v>372663.44</v>
      </c>
      <c r="AP60" s="83" t="n">
        <f aca="false">AP55+AP56+AP57</f>
        <v>407532.375</v>
      </c>
      <c r="AQ60" s="83" t="n">
        <f aca="false">AQ55+AQ56+AQ57</f>
        <v>447809.27</v>
      </c>
      <c r="AR60" s="83" t="n">
        <f aca="false">SUM(AF60:AQ60)</f>
        <v>4293265.742</v>
      </c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7.2" hidden="false" customHeight="true" outlineLevel="0" collapsed="false">
      <c r="A61" s="84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4"/>
      <c r="P61" s="84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4"/>
      <c r="AE61" s="84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3.8" hidden="false" customHeight="false" outlineLevel="0" collapsed="false">
      <c r="A62" s="33" t="s">
        <v>127</v>
      </c>
      <c r="B62" s="86" t="n">
        <f aca="false">B59/SUM(B48:B49)</f>
        <v>29.1301434374729</v>
      </c>
      <c r="C62" s="86" t="n">
        <f aca="false">C59/SUM(C48:C49)</f>
        <v>30.9416876921671</v>
      </c>
      <c r="D62" s="86" t="n">
        <f aca="false">D59/SUM(D48:D49)</f>
        <v>31.7612010532773</v>
      </c>
      <c r="E62" s="86" t="n">
        <f aca="false">E59/SUM(E48:E49)</f>
        <v>36.1184339019923</v>
      </c>
      <c r="F62" s="86" t="n">
        <f aca="false">F59/SUM(F48:F49)</f>
        <v>59.4793246356785</v>
      </c>
      <c r="G62" s="86" t="n">
        <f aca="false">G59/SUM(G48:G49)</f>
        <v>64.2563851268461</v>
      </c>
      <c r="H62" s="86" t="n">
        <f aca="false">H59/SUM(H48:H49)</f>
        <v>65.1641046816831</v>
      </c>
      <c r="I62" s="86" t="n">
        <f aca="false">I59/SUM(I48:I49)</f>
        <v>64.1605675430281</v>
      </c>
      <c r="J62" s="86" t="n">
        <f aca="false">J59/SUM(J48:J49)</f>
        <v>49.1867302344858</v>
      </c>
      <c r="K62" s="86" t="n">
        <f aca="false">K59/SUM(K48:K49)</f>
        <v>36.9850420879226</v>
      </c>
      <c r="L62" s="86" t="n">
        <f aca="false">L59/SUM(L48:L49)</f>
        <v>34.0782608660351</v>
      </c>
      <c r="M62" s="86" t="n">
        <f aca="false">M59/SUM(M48:M49)</f>
        <v>31.7015655351422</v>
      </c>
      <c r="N62" s="86" t="n">
        <f aca="false">AVERAGE(B62:M62)</f>
        <v>44.4136205663109</v>
      </c>
      <c r="O62" s="87"/>
      <c r="P62" s="87"/>
      <c r="Q62" s="86" t="n">
        <f aca="false">Q59/Q16</f>
        <v>28.9426448053675</v>
      </c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7"/>
      <c r="AE62" s="87"/>
      <c r="AF62" s="86" t="n">
        <f aca="false">AF59/AF16</f>
        <v>32.439015956891</v>
      </c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7"/>
      <c r="HD62" s="87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7"/>
      <c r="HZ62" s="87"/>
      <c r="IA62" s="87"/>
      <c r="IB62" s="87"/>
      <c r="IC62" s="87"/>
      <c r="ID62" s="87"/>
      <c r="IE62" s="87"/>
      <c r="IF62" s="87"/>
      <c r="IG62" s="87"/>
      <c r="IH62" s="87"/>
      <c r="II62" s="87"/>
      <c r="IJ62" s="87"/>
      <c r="IK62" s="87"/>
      <c r="IL62" s="87"/>
      <c r="IM62" s="87"/>
      <c r="IN62" s="87"/>
      <c r="IO62" s="87"/>
      <c r="IP62" s="87"/>
      <c r="IQ62" s="87"/>
      <c r="IR62" s="87"/>
      <c r="IS62" s="87"/>
      <c r="IT62" s="87"/>
      <c r="IU62" s="87"/>
      <c r="IV62" s="87"/>
      <c r="IW62" s="87"/>
    </row>
    <row r="63" customFormat="false" ht="13.2" hidden="false" customHeight="true" outlineLevel="0" collapsed="false"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7"/>
      <c r="P63" s="87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7"/>
      <c r="AE63" s="87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87"/>
      <c r="GL63" s="87"/>
      <c r="GM63" s="87"/>
      <c r="GN63" s="87"/>
      <c r="GO63" s="87"/>
      <c r="GP63" s="87"/>
      <c r="GQ63" s="87"/>
      <c r="GR63" s="87"/>
      <c r="GS63" s="87"/>
      <c r="GT63" s="87"/>
      <c r="GU63" s="87"/>
      <c r="GV63" s="87"/>
      <c r="GW63" s="87"/>
      <c r="GX63" s="87"/>
      <c r="GY63" s="87"/>
      <c r="GZ63" s="87"/>
      <c r="HA63" s="87"/>
      <c r="HB63" s="87"/>
      <c r="HC63" s="87"/>
      <c r="HD63" s="87"/>
      <c r="HE63" s="87"/>
      <c r="HF63" s="87"/>
      <c r="HG63" s="87"/>
      <c r="HH63" s="87"/>
      <c r="HI63" s="87"/>
      <c r="HJ63" s="87"/>
      <c r="HK63" s="87"/>
      <c r="HL63" s="87"/>
      <c r="HM63" s="87"/>
      <c r="HN63" s="87"/>
      <c r="HO63" s="87"/>
      <c r="HP63" s="87"/>
      <c r="HQ63" s="87"/>
      <c r="HR63" s="87"/>
      <c r="HS63" s="87"/>
      <c r="HT63" s="87"/>
      <c r="HU63" s="87"/>
      <c r="HV63" s="87"/>
      <c r="HW63" s="87"/>
      <c r="HX63" s="87"/>
      <c r="HY63" s="87"/>
      <c r="HZ63" s="87"/>
      <c r="IA63" s="87"/>
      <c r="IB63" s="87"/>
      <c r="IC63" s="87"/>
      <c r="ID63" s="87"/>
      <c r="IE63" s="87"/>
      <c r="IF63" s="87"/>
      <c r="IG63" s="87"/>
      <c r="IH63" s="87"/>
      <c r="II63" s="87"/>
      <c r="IJ63" s="87"/>
      <c r="IK63" s="87"/>
      <c r="IL63" s="87"/>
      <c r="IM63" s="87"/>
      <c r="IN63" s="87"/>
      <c r="IO63" s="87"/>
      <c r="IP63" s="87"/>
      <c r="IQ63" s="87"/>
      <c r="IR63" s="87"/>
      <c r="IS63" s="87"/>
      <c r="IT63" s="87"/>
      <c r="IU63" s="87"/>
      <c r="IV63" s="87"/>
      <c r="IW63" s="87"/>
    </row>
    <row r="64" customFormat="false" ht="65.4" hidden="false" customHeight="true" outlineLevel="0" collapsed="false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customFormat="false" ht="17.4" hidden="false" customHeight="false" outlineLevel="0" collapsed="false">
      <c r="A65" s="59" t="s">
        <v>128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P65" s="59" t="s">
        <v>129</v>
      </c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E65" s="59" t="s">
        <v>129</v>
      </c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</row>
    <row r="66" customFormat="false" ht="21" hidden="false" customHeight="true" outlineLevel="0" collapsed="false">
      <c r="B66" s="36" t="s">
        <v>41</v>
      </c>
      <c r="C66" s="36" t="s">
        <v>42</v>
      </c>
      <c r="D66" s="36" t="s">
        <v>43</v>
      </c>
      <c r="E66" s="36" t="s">
        <v>44</v>
      </c>
      <c r="F66" s="36" t="s">
        <v>45</v>
      </c>
      <c r="G66" s="36" t="s">
        <v>46</v>
      </c>
      <c r="H66" s="36" t="s">
        <v>47</v>
      </c>
      <c r="I66" s="36" t="s">
        <v>48</v>
      </c>
      <c r="J66" s="36" t="s">
        <v>49</v>
      </c>
      <c r="K66" s="36" t="s">
        <v>50</v>
      </c>
      <c r="L66" s="36" t="s">
        <v>51</v>
      </c>
      <c r="M66" s="36" t="s">
        <v>52</v>
      </c>
      <c r="N66" s="88" t="s">
        <v>66</v>
      </c>
      <c r="Q66" s="36" t="s">
        <v>41</v>
      </c>
      <c r="R66" s="36" t="s">
        <v>42</v>
      </c>
      <c r="S66" s="36" t="s">
        <v>43</v>
      </c>
      <c r="T66" s="36" t="s">
        <v>44</v>
      </c>
      <c r="U66" s="36" t="s">
        <v>45</v>
      </c>
      <c r="V66" s="36" t="s">
        <v>46</v>
      </c>
      <c r="W66" s="36" t="s">
        <v>47</v>
      </c>
      <c r="X66" s="36" t="s">
        <v>48</v>
      </c>
      <c r="Y66" s="36" t="s">
        <v>49</v>
      </c>
      <c r="Z66" s="36" t="s">
        <v>50</v>
      </c>
      <c r="AA66" s="36" t="s">
        <v>51</v>
      </c>
      <c r="AB66" s="36" t="s">
        <v>52</v>
      </c>
      <c r="AC66" s="88" t="s">
        <v>66</v>
      </c>
      <c r="AF66" s="36" t="s">
        <v>41</v>
      </c>
      <c r="AG66" s="36" t="s">
        <v>42</v>
      </c>
      <c r="AH66" s="36" t="s">
        <v>43</v>
      </c>
      <c r="AI66" s="36" t="s">
        <v>44</v>
      </c>
      <c r="AJ66" s="36" t="s">
        <v>45</v>
      </c>
      <c r="AK66" s="36" t="s">
        <v>46</v>
      </c>
      <c r="AL66" s="36" t="s">
        <v>47</v>
      </c>
      <c r="AM66" s="36" t="s">
        <v>48</v>
      </c>
      <c r="AN66" s="36" t="s">
        <v>49</v>
      </c>
      <c r="AO66" s="36" t="s">
        <v>50</v>
      </c>
      <c r="AP66" s="36" t="s">
        <v>51</v>
      </c>
      <c r="AQ66" s="36" t="s">
        <v>52</v>
      </c>
      <c r="AR66" s="88" t="s">
        <v>66</v>
      </c>
    </row>
    <row r="67" customFormat="false" ht="13.2" hidden="false" customHeight="false" outlineLevel="0" collapsed="false">
      <c r="A67" s="33" t="s">
        <v>75</v>
      </c>
      <c r="B67" s="35" t="n">
        <v>12342</v>
      </c>
      <c r="C67" s="35" t="n">
        <v>11005</v>
      </c>
      <c r="D67" s="35" t="n">
        <v>10085</v>
      </c>
      <c r="E67" s="35" t="n">
        <v>6437</v>
      </c>
      <c r="F67" s="35" t="n">
        <v>1288</v>
      </c>
      <c r="G67" s="35" t="n">
        <v>1211</v>
      </c>
      <c r="H67" s="35" t="n">
        <v>1128</v>
      </c>
      <c r="I67" s="35" t="n">
        <v>1133</v>
      </c>
      <c r="J67" s="35" t="n">
        <v>2000</v>
      </c>
      <c r="K67" s="35" t="n">
        <v>6000</v>
      </c>
      <c r="L67" s="35" t="n">
        <v>7500</v>
      </c>
      <c r="M67" s="35" t="n">
        <v>9000</v>
      </c>
      <c r="N67" s="35" t="n">
        <f aca="false">SUM(B67:M67)</f>
        <v>69129</v>
      </c>
      <c r="P67" s="33" t="s">
        <v>75</v>
      </c>
      <c r="Q67" s="35" t="n">
        <v>12342</v>
      </c>
      <c r="R67" s="35" t="n">
        <v>11005</v>
      </c>
      <c r="S67" s="35" t="n">
        <v>10085</v>
      </c>
      <c r="T67" s="35" t="n">
        <v>6437</v>
      </c>
      <c r="U67" s="35" t="n">
        <v>1288</v>
      </c>
      <c r="V67" s="35" t="n">
        <v>1211</v>
      </c>
      <c r="W67" s="35" t="n">
        <v>1128</v>
      </c>
      <c r="X67" s="35" t="n">
        <v>1133</v>
      </c>
      <c r="Y67" s="35" t="n">
        <v>5000</v>
      </c>
      <c r="Z67" s="35" t="n">
        <f aca="false">S67</f>
        <v>10085</v>
      </c>
      <c r="AA67" s="35" t="n">
        <f aca="false">R67</f>
        <v>11005</v>
      </c>
      <c r="AB67" s="35" t="n">
        <f aca="false">Q67</f>
        <v>12342</v>
      </c>
      <c r="AC67" s="35" t="n">
        <f aca="false">SUM(Q67:AB67)</f>
        <v>83061</v>
      </c>
      <c r="AE67" s="33" t="s">
        <v>75</v>
      </c>
      <c r="AF67" s="35" t="n">
        <v>12342</v>
      </c>
      <c r="AG67" s="35" t="n">
        <v>11005</v>
      </c>
      <c r="AH67" s="35" t="n">
        <v>10085</v>
      </c>
      <c r="AI67" s="35" t="n">
        <v>6437</v>
      </c>
      <c r="AJ67" s="35" t="n">
        <v>1288</v>
      </c>
      <c r="AK67" s="35" t="n">
        <v>1211</v>
      </c>
      <c r="AL67" s="35" t="n">
        <v>1128</v>
      </c>
      <c r="AM67" s="35" t="n">
        <v>1133</v>
      </c>
      <c r="AN67" s="35" t="n">
        <v>5000</v>
      </c>
      <c r="AO67" s="35" t="n">
        <f aca="false">AH67</f>
        <v>10085</v>
      </c>
      <c r="AP67" s="35" t="n">
        <f aca="false">AG67</f>
        <v>11005</v>
      </c>
      <c r="AQ67" s="35" t="n">
        <f aca="false">AF67</f>
        <v>12342</v>
      </c>
      <c r="AR67" s="35" t="n">
        <f aca="false">SUM(AF67:AQ67)</f>
        <v>83061</v>
      </c>
    </row>
    <row r="68" customFormat="false" ht="13.2" hidden="false" customHeight="false" outlineLevel="0" collapsed="false">
      <c r="A68" s="71" t="s">
        <v>130</v>
      </c>
      <c r="B68" s="71" t="n">
        <v>18.96</v>
      </c>
      <c r="C68" s="71" t="n">
        <v>18.96</v>
      </c>
      <c r="D68" s="71" t="n">
        <v>18.96</v>
      </c>
      <c r="E68" s="71" t="n">
        <v>18.96</v>
      </c>
      <c r="F68" s="71" t="n">
        <v>18.96</v>
      </c>
      <c r="G68" s="71" t="n">
        <v>18.96</v>
      </c>
      <c r="H68" s="71" t="n">
        <v>18.96</v>
      </c>
      <c r="I68" s="71" t="n">
        <v>18.96</v>
      </c>
      <c r="J68" s="71" t="n">
        <v>18.96</v>
      </c>
      <c r="K68" s="71" t="n">
        <v>18.96</v>
      </c>
      <c r="L68" s="71" t="n">
        <v>18.96</v>
      </c>
      <c r="M68" s="71" t="n">
        <v>18.96</v>
      </c>
      <c r="N68" s="71"/>
      <c r="O68" s="71"/>
      <c r="P68" s="71" t="s">
        <v>130</v>
      </c>
      <c r="Q68" s="71" t="n">
        <v>18.96</v>
      </c>
      <c r="R68" s="71" t="n">
        <v>18.96</v>
      </c>
      <c r="S68" s="71" t="n">
        <v>18.96</v>
      </c>
      <c r="T68" s="71" t="n">
        <v>18.96</v>
      </c>
      <c r="U68" s="71" t="n">
        <v>18.96</v>
      </c>
      <c r="V68" s="71" t="n">
        <v>18.96</v>
      </c>
      <c r="W68" s="71" t="n">
        <v>18.96</v>
      </c>
      <c r="X68" s="71" t="n">
        <v>18.96</v>
      </c>
      <c r="Y68" s="71" t="n">
        <v>18.96</v>
      </c>
      <c r="Z68" s="71" t="n">
        <v>18.96</v>
      </c>
      <c r="AA68" s="71" t="n">
        <v>18.96</v>
      </c>
      <c r="AB68" s="71" t="n">
        <v>18.96</v>
      </c>
      <c r="AC68" s="71"/>
      <c r="AD68" s="71"/>
      <c r="AE68" s="71" t="s">
        <v>130</v>
      </c>
      <c r="AF68" s="71" t="n">
        <v>18.96</v>
      </c>
      <c r="AG68" s="71" t="n">
        <v>18.96</v>
      </c>
      <c r="AH68" s="71" t="n">
        <v>18.96</v>
      </c>
      <c r="AI68" s="71" t="n">
        <v>18.96</v>
      </c>
      <c r="AJ68" s="71" t="n">
        <v>18.96</v>
      </c>
      <c r="AK68" s="71" t="n">
        <v>18.96</v>
      </c>
      <c r="AL68" s="71" t="n">
        <v>18.96</v>
      </c>
      <c r="AM68" s="71" t="n">
        <v>18.96</v>
      </c>
      <c r="AN68" s="71" t="n">
        <v>18.96</v>
      </c>
      <c r="AO68" s="71" t="n">
        <v>18.96</v>
      </c>
      <c r="AP68" s="71" t="n">
        <v>18.96</v>
      </c>
      <c r="AQ68" s="71" t="n">
        <v>18.96</v>
      </c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  <c r="IV68" s="71"/>
      <c r="IW68" s="71"/>
    </row>
    <row r="69" customFormat="false" ht="13.2" hidden="false" customHeight="false" outlineLevel="0" collapsed="false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</row>
    <row r="70" customFormat="false" ht="13.2" hidden="false" customHeight="false" outlineLevel="0" collapsed="false">
      <c r="A70" s="33" t="s">
        <v>113</v>
      </c>
      <c r="B70" s="35" t="n">
        <f aca="false">5613.02*10</f>
        <v>56130.2</v>
      </c>
      <c r="C70" s="35" t="n">
        <f aca="false">5613.02*10</f>
        <v>56130.2</v>
      </c>
      <c r="D70" s="35" t="n">
        <f aca="false">5613.02*10</f>
        <v>56130.2</v>
      </c>
      <c r="E70" s="35" t="n">
        <f aca="false">5613.02*10</f>
        <v>56130.2</v>
      </c>
      <c r="F70" s="35" t="n">
        <f aca="false">5613.02*10</f>
        <v>56130.2</v>
      </c>
      <c r="G70" s="35" t="n">
        <f aca="false">5613.02*10</f>
        <v>56130.2</v>
      </c>
      <c r="H70" s="35" t="n">
        <f aca="false">5613.02*10</f>
        <v>56130.2</v>
      </c>
      <c r="I70" s="35" t="n">
        <f aca="false">5613.02*10</f>
        <v>56130.2</v>
      </c>
      <c r="J70" s="35" t="n">
        <f aca="false">5613.02*10</f>
        <v>56130.2</v>
      </c>
      <c r="K70" s="35" t="n">
        <f aca="false">5613.02*10</f>
        <v>56130.2</v>
      </c>
      <c r="L70" s="35" t="n">
        <f aca="false">5613.02*10</f>
        <v>56130.2</v>
      </c>
      <c r="M70" s="35" t="n">
        <f aca="false">5613.02*10</f>
        <v>56130.2</v>
      </c>
      <c r="N70" s="35" t="n">
        <f aca="false">SUM(B70:M70)</f>
        <v>673562.4</v>
      </c>
      <c r="P70" s="33" t="s">
        <v>113</v>
      </c>
      <c r="Q70" s="35" t="n">
        <f aca="false">5613.02*10</f>
        <v>56130.2</v>
      </c>
      <c r="R70" s="35" t="n">
        <f aca="false">5613.02*10</f>
        <v>56130.2</v>
      </c>
      <c r="S70" s="35" t="n">
        <f aca="false">5613.02*10</f>
        <v>56130.2</v>
      </c>
      <c r="T70" s="35" t="n">
        <f aca="false">5613.02*10</f>
        <v>56130.2</v>
      </c>
      <c r="U70" s="35" t="n">
        <f aca="false">5613.02*10</f>
        <v>56130.2</v>
      </c>
      <c r="V70" s="35" t="n">
        <f aca="false">5613.02*10</f>
        <v>56130.2</v>
      </c>
      <c r="W70" s="35" t="n">
        <f aca="false">5613.02*10</f>
        <v>56130.2</v>
      </c>
      <c r="X70" s="35" t="n">
        <f aca="false">5613.02*10</f>
        <v>56130.2</v>
      </c>
      <c r="Y70" s="35" t="n">
        <f aca="false">5613.02*10</f>
        <v>56130.2</v>
      </c>
      <c r="Z70" s="35" t="n">
        <f aca="false">5613.02*10</f>
        <v>56130.2</v>
      </c>
      <c r="AA70" s="35" t="n">
        <f aca="false">5613.02*10</f>
        <v>56130.2</v>
      </c>
      <c r="AB70" s="35" t="n">
        <f aca="false">5613.02*10</f>
        <v>56130.2</v>
      </c>
      <c r="AC70" s="35" t="n">
        <f aca="false">SUM(Q70:AB70)</f>
        <v>673562.4</v>
      </c>
      <c r="AE70" s="33" t="s">
        <v>113</v>
      </c>
      <c r="AF70" s="35" t="n">
        <f aca="false">5613.02*10</f>
        <v>56130.2</v>
      </c>
      <c r="AG70" s="35" t="n">
        <f aca="false">5613.02*10</f>
        <v>56130.2</v>
      </c>
      <c r="AH70" s="35" t="n">
        <f aca="false">5613.02*10</f>
        <v>56130.2</v>
      </c>
      <c r="AI70" s="35" t="n">
        <f aca="false">5613.02*10</f>
        <v>56130.2</v>
      </c>
      <c r="AJ70" s="35" t="n">
        <f aca="false">5613.02*10</f>
        <v>56130.2</v>
      </c>
      <c r="AK70" s="35" t="n">
        <f aca="false">5613.02*10</f>
        <v>56130.2</v>
      </c>
      <c r="AL70" s="35" t="n">
        <f aca="false">5613.02*10</f>
        <v>56130.2</v>
      </c>
      <c r="AM70" s="35" t="n">
        <f aca="false">5613.02*10</f>
        <v>56130.2</v>
      </c>
      <c r="AN70" s="35" t="n">
        <f aca="false">5613.02*10</f>
        <v>56130.2</v>
      </c>
      <c r="AO70" s="35" t="n">
        <f aca="false">5613.02*10</f>
        <v>56130.2</v>
      </c>
      <c r="AP70" s="35" t="n">
        <f aca="false">5613.02*10</f>
        <v>56130.2</v>
      </c>
      <c r="AQ70" s="35" t="n">
        <f aca="false">5613.02*10</f>
        <v>56130.2</v>
      </c>
      <c r="AR70" s="35" t="n">
        <f aca="false">SUM(AF70:AQ70)</f>
        <v>673562.4</v>
      </c>
    </row>
    <row r="71" customFormat="false" ht="13.2" hidden="false" customHeight="false" outlineLevel="0" collapsed="false">
      <c r="A71" s="33" t="s">
        <v>112</v>
      </c>
      <c r="B71" s="35" t="n">
        <f aca="false">B68*B67</f>
        <v>234004.32</v>
      </c>
      <c r="C71" s="35" t="n">
        <f aca="false">C68*C67</f>
        <v>208654.8</v>
      </c>
      <c r="D71" s="35" t="n">
        <f aca="false">D68*D67</f>
        <v>191211.6</v>
      </c>
      <c r="E71" s="35" t="n">
        <f aca="false">E68*E67</f>
        <v>122045.52</v>
      </c>
      <c r="F71" s="35" t="n">
        <f aca="false">F68*F67</f>
        <v>24420.48</v>
      </c>
      <c r="G71" s="35" t="n">
        <f aca="false">G68*G67</f>
        <v>22960.56</v>
      </c>
      <c r="H71" s="35" t="n">
        <f aca="false">H68*H67</f>
        <v>21386.88</v>
      </c>
      <c r="I71" s="35" t="n">
        <f aca="false">I68*I67</f>
        <v>21481.68</v>
      </c>
      <c r="J71" s="35" t="n">
        <f aca="false">J68*J67</f>
        <v>37920</v>
      </c>
      <c r="K71" s="35" t="n">
        <f aca="false">K68*K67</f>
        <v>113760</v>
      </c>
      <c r="L71" s="35" t="n">
        <f aca="false">L68*L67</f>
        <v>142200</v>
      </c>
      <c r="M71" s="35" t="n">
        <f aca="false">M68*M67</f>
        <v>170640</v>
      </c>
      <c r="N71" s="35" t="n">
        <f aca="false">SUM(B71:M71)</f>
        <v>1310685.84</v>
      </c>
      <c r="P71" s="33" t="s">
        <v>112</v>
      </c>
      <c r="Q71" s="35" t="n">
        <f aca="false">Q68*Q67</f>
        <v>234004.32</v>
      </c>
      <c r="R71" s="35" t="n">
        <f aca="false">R68*R67</f>
        <v>208654.8</v>
      </c>
      <c r="S71" s="35" t="n">
        <f aca="false">S68*S67</f>
        <v>191211.6</v>
      </c>
      <c r="T71" s="35" t="n">
        <f aca="false">T68*T67</f>
        <v>122045.52</v>
      </c>
      <c r="U71" s="35" t="n">
        <f aca="false">U68*U67</f>
        <v>24420.48</v>
      </c>
      <c r="V71" s="35" t="n">
        <f aca="false">V68*V67</f>
        <v>22960.56</v>
      </c>
      <c r="W71" s="35" t="n">
        <f aca="false">W68*W67</f>
        <v>21386.88</v>
      </c>
      <c r="X71" s="35" t="n">
        <f aca="false">X68*X67</f>
        <v>21481.68</v>
      </c>
      <c r="Y71" s="35" t="n">
        <f aca="false">Y68*Y67</f>
        <v>94800</v>
      </c>
      <c r="Z71" s="35" t="n">
        <f aca="false">Z68*Z67</f>
        <v>191211.6</v>
      </c>
      <c r="AA71" s="35" t="n">
        <f aca="false">AA68*AA67</f>
        <v>208654.8</v>
      </c>
      <c r="AB71" s="35" t="n">
        <f aca="false">AB68*AB67</f>
        <v>234004.32</v>
      </c>
      <c r="AC71" s="35" t="n">
        <f aca="false">SUM(Q71:AB71)</f>
        <v>1574836.56</v>
      </c>
      <c r="AE71" s="33" t="s">
        <v>112</v>
      </c>
      <c r="AF71" s="35" t="n">
        <f aca="false">AF68*AF67</f>
        <v>234004.32</v>
      </c>
      <c r="AG71" s="35" t="n">
        <f aca="false">AG68*AG67</f>
        <v>208654.8</v>
      </c>
      <c r="AH71" s="35" t="n">
        <f aca="false">AH68*AH67</f>
        <v>191211.6</v>
      </c>
      <c r="AI71" s="35" t="n">
        <f aca="false">AI68*AI67</f>
        <v>122045.52</v>
      </c>
      <c r="AJ71" s="35" t="n">
        <f aca="false">AJ68*AJ67</f>
        <v>24420.48</v>
      </c>
      <c r="AK71" s="35" t="n">
        <f aca="false">AK68*AK67</f>
        <v>22960.56</v>
      </c>
      <c r="AL71" s="35" t="n">
        <f aca="false">AL68*AL67</f>
        <v>21386.88</v>
      </c>
      <c r="AM71" s="35" t="n">
        <f aca="false">AM68*AM67</f>
        <v>21481.68</v>
      </c>
      <c r="AN71" s="35" t="n">
        <f aca="false">AN68*AN67</f>
        <v>94800</v>
      </c>
      <c r="AO71" s="35" t="n">
        <f aca="false">AO68*AO67</f>
        <v>191211.6</v>
      </c>
      <c r="AP71" s="35" t="n">
        <f aca="false">AP68*AP67</f>
        <v>208654.8</v>
      </c>
      <c r="AQ71" s="35" t="n">
        <f aca="false">AQ68*AQ67</f>
        <v>234004.32</v>
      </c>
      <c r="AR71" s="35" t="n">
        <f aca="false">SUM(AF71:AQ71)</f>
        <v>1574836.56</v>
      </c>
    </row>
    <row r="72" customFormat="false" ht="13.2" hidden="false" customHeight="false" outlineLevel="0" collapsed="false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</row>
    <row r="73" customFormat="false" ht="13.8" hidden="false" customHeight="false" outlineLevel="0" collapsed="false">
      <c r="A73" s="80" t="s">
        <v>106</v>
      </c>
      <c r="B73" s="81" t="n">
        <f aca="false">B70+B71</f>
        <v>290134.52</v>
      </c>
      <c r="C73" s="81" t="n">
        <f aca="false">C70+C71</f>
        <v>264785</v>
      </c>
      <c r="D73" s="81" t="n">
        <f aca="false">D70+D71</f>
        <v>247341.8</v>
      </c>
      <c r="E73" s="81" t="n">
        <f aca="false">E70+E71</f>
        <v>178175.72</v>
      </c>
      <c r="F73" s="81" t="n">
        <f aca="false">F70+F71</f>
        <v>80550.68</v>
      </c>
      <c r="G73" s="81" t="n">
        <f aca="false">G70+G71</f>
        <v>79090.76</v>
      </c>
      <c r="H73" s="81" t="n">
        <f aca="false">H70+H71</f>
        <v>77517.08</v>
      </c>
      <c r="I73" s="81" t="n">
        <f aca="false">I70+I71</f>
        <v>77611.88</v>
      </c>
      <c r="J73" s="81" t="n">
        <f aca="false">J70+J71</f>
        <v>94050.2</v>
      </c>
      <c r="K73" s="81" t="n">
        <f aca="false">K70+K71</f>
        <v>169890.2</v>
      </c>
      <c r="L73" s="81" t="n">
        <f aca="false">L70+L71</f>
        <v>198330.2</v>
      </c>
      <c r="M73" s="81" t="n">
        <f aca="false">M70+M71</f>
        <v>226770.2</v>
      </c>
      <c r="N73" s="81" t="n">
        <f aca="false">SUM(B73:M73)</f>
        <v>1984248.24</v>
      </c>
      <c r="O73" s="80"/>
      <c r="P73" s="80" t="s">
        <v>106</v>
      </c>
      <c r="Q73" s="81" t="n">
        <f aca="false">Q70+Q71</f>
        <v>290134.52</v>
      </c>
      <c r="R73" s="81" t="n">
        <f aca="false">R70+R71</f>
        <v>264785</v>
      </c>
      <c r="S73" s="81" t="n">
        <f aca="false">S70+S71</f>
        <v>247341.8</v>
      </c>
      <c r="T73" s="81" t="n">
        <f aca="false">T70+T71</f>
        <v>178175.72</v>
      </c>
      <c r="U73" s="81" t="n">
        <f aca="false">U70+U71</f>
        <v>80550.68</v>
      </c>
      <c r="V73" s="81" t="n">
        <f aca="false">V70+V71</f>
        <v>79090.76</v>
      </c>
      <c r="W73" s="81" t="n">
        <f aca="false">W70+W71</f>
        <v>77517.08</v>
      </c>
      <c r="X73" s="81" t="n">
        <f aca="false">X70+X71</f>
        <v>77611.88</v>
      </c>
      <c r="Y73" s="81" t="n">
        <f aca="false">Y70+Y71</f>
        <v>150930.2</v>
      </c>
      <c r="Z73" s="81" t="n">
        <f aca="false">Z70+Z71</f>
        <v>247341.8</v>
      </c>
      <c r="AA73" s="81" t="n">
        <f aca="false">AA70+AA71</f>
        <v>264785</v>
      </c>
      <c r="AB73" s="81" t="n">
        <f aca="false">AB70+AB71</f>
        <v>290134.52</v>
      </c>
      <c r="AC73" s="81" t="n">
        <f aca="false">SUM(Q73:AB73)</f>
        <v>2248398.96</v>
      </c>
      <c r="AD73" s="80"/>
      <c r="AE73" s="80" t="s">
        <v>106</v>
      </c>
      <c r="AF73" s="81" t="n">
        <f aca="false">AF70+AF71</f>
        <v>290134.52</v>
      </c>
      <c r="AG73" s="81" t="n">
        <f aca="false">AG70+AG71</f>
        <v>264785</v>
      </c>
      <c r="AH73" s="81" t="n">
        <f aca="false">AH70+AH71</f>
        <v>247341.8</v>
      </c>
      <c r="AI73" s="81" t="n">
        <f aca="false">AI70+AI71</f>
        <v>178175.72</v>
      </c>
      <c r="AJ73" s="81" t="n">
        <f aca="false">AJ70+AJ71</f>
        <v>80550.68</v>
      </c>
      <c r="AK73" s="81" t="n">
        <f aca="false">AK70+AK71</f>
        <v>79090.76</v>
      </c>
      <c r="AL73" s="81" t="n">
        <f aca="false">AL70+AL71</f>
        <v>77517.08</v>
      </c>
      <c r="AM73" s="81" t="n">
        <f aca="false">AM70+AM71</f>
        <v>77611.88</v>
      </c>
      <c r="AN73" s="81" t="n">
        <f aca="false">AN70+AN71</f>
        <v>150930.2</v>
      </c>
      <c r="AO73" s="81" t="n">
        <f aca="false">AO70+AO71</f>
        <v>247341.8</v>
      </c>
      <c r="AP73" s="81" t="n">
        <f aca="false">AP70+AP71</f>
        <v>264785</v>
      </c>
      <c r="AQ73" s="81" t="n">
        <f aca="false">AQ70+AQ71</f>
        <v>290134.52</v>
      </c>
      <c r="AR73" s="81" t="n">
        <f aca="false">SUM(AF73:AQ73)</f>
        <v>2248398.96</v>
      </c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80"/>
      <c r="GS73" s="80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0"/>
      <c r="HH73" s="80"/>
      <c r="HI73" s="80"/>
      <c r="HJ73" s="8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  <c r="IL73" s="80"/>
      <c r="IM73" s="80"/>
      <c r="IN73" s="80"/>
      <c r="IO73" s="80"/>
      <c r="IP73" s="80"/>
      <c r="IQ73" s="80"/>
      <c r="IR73" s="80"/>
      <c r="IS73" s="80"/>
      <c r="IT73" s="80"/>
      <c r="IU73" s="80"/>
      <c r="IV73" s="80"/>
      <c r="IW73" s="80"/>
    </row>
    <row r="74" customFormat="false" ht="14.4" hidden="false" customHeight="false" outlineLevel="0" collapsed="false">
      <c r="A74" s="82" t="s">
        <v>107</v>
      </c>
      <c r="B74" s="83" t="n">
        <f aca="false">B73/Factors!C11</f>
        <v>67419.5791736034</v>
      </c>
      <c r="C74" s="83" t="n">
        <f aca="false">C73/Factors!D11</f>
        <v>61443.1219151276</v>
      </c>
      <c r="D74" s="83" t="n">
        <f aca="false">D73/Factors!E11</f>
        <v>57315.4254435091</v>
      </c>
      <c r="E74" s="83" t="n">
        <f aca="false">E73/Factors!F11</f>
        <v>41230.3933639696</v>
      </c>
      <c r="F74" s="83" t="n">
        <f aca="false">F73/Factors!G11</f>
        <v>18613.7536153243</v>
      </c>
      <c r="G74" s="83" t="n">
        <f aca="false">G73/Factors!H11</f>
        <v>18251.019633524</v>
      </c>
      <c r="H74" s="83" t="n">
        <f aca="false">H73/Factors!I11</f>
        <v>17863.0765360361</v>
      </c>
      <c r="I74" s="83" t="n">
        <f aca="false">I73/Factors!J11</f>
        <v>17860.1607359881</v>
      </c>
      <c r="J74" s="83" t="n">
        <f aca="false">J73/Factors!K11</f>
        <v>21613.0481442274</v>
      </c>
      <c r="K74" s="83" t="n">
        <f aca="false">K73/Factors!L11</f>
        <v>38987.4286631181</v>
      </c>
      <c r="L74" s="83" t="n">
        <f aca="false">L73/Factors!M11</f>
        <v>45451.2583287233</v>
      </c>
      <c r="M74" s="83" t="n">
        <f aca="false">M73/Factors!N11</f>
        <v>51897.2883060282</v>
      </c>
      <c r="N74" s="83" t="n">
        <f aca="false">SUM(B74:M74)</f>
        <v>457945.553859179</v>
      </c>
      <c r="O74" s="82"/>
      <c r="P74" s="82" t="s">
        <v>107</v>
      </c>
      <c r="Q74" s="83" t="n">
        <f aca="false">Q73/Factors!R11</f>
        <v>66122.9599176455</v>
      </c>
      <c r="R74" s="83" t="n">
        <f aca="false">R73/Factors!S11</f>
        <v>60096.32812371</v>
      </c>
      <c r="S74" s="83" t="n">
        <f aca="false">S73/Factors!T11</f>
        <v>55906.3537317479</v>
      </c>
      <c r="T74" s="83" t="n">
        <f aca="false">T73/Factors!U11</f>
        <v>40107.7796947103</v>
      </c>
      <c r="U74" s="83" t="n">
        <f aca="false">U73/Factors!V11</f>
        <v>18058.1414832912</v>
      </c>
      <c r="V74" s="83" t="n">
        <f aca="false">V73/Factors!W11</f>
        <v>17658.7747293715</v>
      </c>
      <c r="W74" s="83" t="n">
        <f aca="false">W73/Factors!X11</f>
        <v>17237.3450909793</v>
      </c>
      <c r="X74" s="83" t="n">
        <f aca="false">X73/Factors!Y11</f>
        <v>17188.8351846062</v>
      </c>
      <c r="Y74" s="83" t="n">
        <f aca="false">Y73/Factors!Z11</f>
        <v>33292.524277452</v>
      </c>
      <c r="Z74" s="83" t="n">
        <f aca="false">Z73/Factors!AA11</f>
        <v>54340.975827259</v>
      </c>
      <c r="AA74" s="83" t="n">
        <f aca="false">AA73/Factors!AB11</f>
        <v>57941.4797049316</v>
      </c>
      <c r="AB74" s="83" t="n">
        <f aca="false">AB73/Factors!AC11</f>
        <v>63236.6402387007</v>
      </c>
      <c r="AC74" s="83" t="n">
        <f aca="false">SUM(Q74:AB74)</f>
        <v>501188.138004405</v>
      </c>
      <c r="AD74" s="82"/>
      <c r="AE74" s="82" t="s">
        <v>107</v>
      </c>
      <c r="AF74" s="83" t="n">
        <f aca="false">AF73/Factors!AG11</f>
        <v>62974.2475406148</v>
      </c>
      <c r="AG74" s="83" t="n">
        <f aca="false">AG73/Factors!AH11</f>
        <v>57234.5982130572</v>
      </c>
      <c r="AH74" s="83" t="n">
        <f aca="false">AH73/Factors!AI11</f>
        <v>53244.1464111885</v>
      </c>
      <c r="AI74" s="83" t="n">
        <f aca="false">AI73/Factors!AJ11</f>
        <v>38197.8854235337</v>
      </c>
      <c r="AJ74" s="83" t="n">
        <f aca="false">AJ73/Factors!AK11</f>
        <v>17198.2299840869</v>
      </c>
      <c r="AK74" s="83" t="n">
        <f aca="false">AK73/Factors!AL11</f>
        <v>16817.8806946395</v>
      </c>
      <c r="AL74" s="83" t="n">
        <f aca="false">AL73/Factors!AM11</f>
        <v>16416.519134266</v>
      </c>
      <c r="AM74" s="83" t="n">
        <f aca="false">AM73/Factors!AN11</f>
        <v>16370.3192234345</v>
      </c>
      <c r="AN74" s="83" t="n">
        <f aca="false">AN73/Factors!AO11</f>
        <v>31707.1659785257</v>
      </c>
      <c r="AO74" s="83" t="n">
        <f aca="false">AO73/Factors!AP11</f>
        <v>51753.3103116752</v>
      </c>
      <c r="AP74" s="83" t="n">
        <f aca="false">AP73/Factors!AQ11</f>
        <v>55182.3616237444</v>
      </c>
      <c r="AQ74" s="83" t="n">
        <f aca="false">AQ73/Factors!AR11</f>
        <v>60225.3716559054</v>
      </c>
      <c r="AR74" s="83" t="n">
        <f aca="false">SUM(AF74:AQ74)</f>
        <v>477322.036194672</v>
      </c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3.8" hidden="false" customHeight="false" outlineLevel="0" collapsed="false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customFormat="false" ht="13.8" hidden="false" customHeight="false" outlineLevel="0" collapsed="false">
      <c r="A76" s="33" t="str">
        <f aca="false">A62</f>
        <v>Single-component price PLN/GJ</v>
      </c>
      <c r="B76" s="35" t="n">
        <f aca="false">B73/B67</f>
        <v>23.5079014746394</v>
      </c>
      <c r="C76" s="35" t="n">
        <f aca="false">C73/C67</f>
        <v>24.0604270786006</v>
      </c>
      <c r="D76" s="35" t="n">
        <f aca="false">D73/D67</f>
        <v>24.5257114526525</v>
      </c>
      <c r="E76" s="35" t="n">
        <f aca="false">E73/E67</f>
        <v>27.6799316451763</v>
      </c>
      <c r="F76" s="35" t="n">
        <f aca="false">F73/F67</f>
        <v>62.539347826087</v>
      </c>
      <c r="G76" s="35" t="n">
        <f aca="false">G73/G67</f>
        <v>65.3102890173411</v>
      </c>
      <c r="H76" s="35" t="n">
        <f aca="false">H73/H67</f>
        <v>68.7208156028369</v>
      </c>
      <c r="I76" s="35" t="n">
        <f aca="false">I73/I67</f>
        <v>68.5012180052957</v>
      </c>
      <c r="J76" s="35" t="n">
        <f aca="false">J73/J67</f>
        <v>47.0251</v>
      </c>
      <c r="K76" s="35" t="n">
        <f aca="false">K73/K67</f>
        <v>28.3150333333333</v>
      </c>
      <c r="L76" s="35" t="n">
        <f aca="false">L73/L67</f>
        <v>26.4440266666667</v>
      </c>
      <c r="M76" s="35" t="n">
        <f aca="false">M73/M67</f>
        <v>25.1966888888889</v>
      </c>
      <c r="N76" s="86" t="n">
        <f aca="false">AVERAGE(B76:M76)</f>
        <v>40.9855409159599</v>
      </c>
    </row>
    <row r="77" customFormat="false" ht="13.2" hidden="false" customHeight="false" outlineLevel="0" collapsed="false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customFormat="false" ht="13.2" hidden="false" customHeight="false" outlineLevel="0" collapsed="false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customFormat="false" ht="13.2" hidden="false" customHeight="false" outlineLevel="0" collapsed="false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</row>
    <row r="80" customFormat="false" ht="13.2" hidden="false" customHeight="false" outlineLevel="0" collapsed="false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</row>
    <row r="81" customFormat="false" ht="13.2" hidden="false" customHeight="false" outlineLevel="0" collapsed="false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customFormat="false" ht="13.2" hidden="false" customHeight="false" outlineLevel="0" collapsed="false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customFormat="false" ht="13.2" hidden="false" customHeight="false" outlineLevel="0" collapsed="false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</row>
    <row r="84" customFormat="false" ht="13.2" hidden="false" customHeight="false" outlineLevel="0" collapsed="false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customFormat="false" ht="13.2" hidden="false" customHeight="false" outlineLevel="0" collapsed="false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customFormat="false" ht="13.2" hidden="false" customHeight="false" outlineLevel="0" collapsed="false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</row>
    <row r="87" customFormat="false" ht="13.2" hidden="false" customHeight="false" outlineLevel="0" collapsed="false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customFormat="false" ht="13.2" hidden="false" customHeight="false" outlineLevel="0" collapsed="false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</sheetData>
  <mergeCells count="2">
    <mergeCell ref="D7:D9"/>
    <mergeCell ref="A9:C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A22" activeCellId="0" sqref="A22"/>
    </sheetView>
  </sheetViews>
  <sheetFormatPr defaultColWidth="8.875" defaultRowHeight="13.2" customHeight="true" zeroHeight="false" outlineLevelRow="0" outlineLevelCol="0"/>
  <cols>
    <col collapsed="false" customWidth="true" hidden="false" outlineLevel="0" max="1" min="1" style="2" width="55.1"/>
    <col collapsed="false" customWidth="true" hidden="false" outlineLevel="0" max="2" min="2" style="2" width="13.55"/>
    <col collapsed="false" customWidth="true" hidden="false" outlineLevel="0" max="3" min="3" style="2" width="12.43"/>
    <col collapsed="false" customWidth="true" hidden="false" outlineLevel="0" max="4" min="4" style="2" width="13.55"/>
    <col collapsed="false" customWidth="true" hidden="false" outlineLevel="0" max="5" min="5" style="2" width="12.32"/>
    <col collapsed="false" customWidth="true" hidden="false" outlineLevel="0" max="10" min="6" style="2" width="12.43"/>
    <col collapsed="false" customWidth="true" hidden="false" outlineLevel="0" max="11" min="11" style="2" width="13.55"/>
    <col collapsed="false" customWidth="true" hidden="false" outlineLevel="0" max="13" min="12" style="2" width="12.43"/>
    <col collapsed="false" customWidth="true" hidden="false" outlineLevel="0" max="14" min="14" style="2" width="13.33"/>
    <col collapsed="false" customWidth="true" hidden="false" outlineLevel="0" max="15" min="15" style="2" width="54.87"/>
    <col collapsed="false" customWidth="true" hidden="false" outlineLevel="0" max="16" min="16" style="2" width="21.88"/>
    <col collapsed="false" customWidth="true" hidden="false" outlineLevel="0" max="28" min="17" style="2" width="11.55"/>
    <col collapsed="false" customWidth="true" hidden="false" outlineLevel="0" max="29" min="29" style="2" width="15.1"/>
    <col collapsed="false" customWidth="false" hidden="false" outlineLevel="0" max="30" min="30" style="2" width="8.87"/>
    <col collapsed="false" customWidth="true" hidden="false" outlineLevel="0" max="31" min="31" style="2" width="21.55"/>
    <col collapsed="false" customWidth="true" hidden="false" outlineLevel="0" max="36" min="32" style="2" width="11.55"/>
    <col collapsed="false" customWidth="true" hidden="false" outlineLevel="0" max="37" min="37" style="2" width="11.1"/>
    <col collapsed="false" customWidth="true" hidden="false" outlineLevel="0" max="43" min="38" style="2" width="11.55"/>
    <col collapsed="false" customWidth="true" hidden="false" outlineLevel="0" max="44" min="44" style="2" width="13.43"/>
    <col collapsed="false" customWidth="false" hidden="false" outlineLevel="0" max="257" min="45" style="2" width="8.87"/>
  </cols>
  <sheetData>
    <row r="1" customFormat="false" ht="13.2" hidden="false" customHeight="false" outlineLevel="0" collapsed="false">
      <c r="A1" s="7" t="s">
        <v>32</v>
      </c>
      <c r="P1" s="7" t="s">
        <v>131</v>
      </c>
      <c r="AE1" s="7" t="s">
        <v>132</v>
      </c>
    </row>
    <row r="2" customFormat="false" ht="27" hidden="false" customHeight="true" outlineLevel="0" collapsed="false">
      <c r="A2" s="6" t="s">
        <v>133</v>
      </c>
      <c r="P2" s="7"/>
      <c r="AE2" s="7"/>
    </row>
    <row r="3" customFormat="false" ht="17.4" hidden="false" customHeight="false" outlineLevel="0" collapsed="false">
      <c r="A3" s="90" t="s">
        <v>134</v>
      </c>
      <c r="AE3" s="7"/>
    </row>
    <row r="4" customFormat="false" ht="13.2" hidden="false" customHeight="false" outlineLevel="0" collapsed="false">
      <c r="AE4" s="7"/>
    </row>
    <row r="5" customFormat="false" ht="13.8" hidden="false" customHeight="false" outlineLevel="0" collapsed="false">
      <c r="A5" s="2" t="s">
        <v>135</v>
      </c>
      <c r="AE5" s="7"/>
    </row>
    <row r="6" customFormat="false" ht="13.2" hidden="false" customHeight="false" outlineLevel="0" collapsed="false">
      <c r="A6" s="2" t="s">
        <v>136</v>
      </c>
      <c r="B6" s="91" t="n">
        <v>1</v>
      </c>
      <c r="AE6" s="7"/>
    </row>
    <row r="7" customFormat="false" ht="13.8" hidden="false" customHeight="false" outlineLevel="0" collapsed="false">
      <c r="A7" s="2" t="s">
        <v>137</v>
      </c>
      <c r="B7" s="91"/>
      <c r="AE7" s="7"/>
    </row>
    <row r="8" customFormat="false" ht="13.2" hidden="false" customHeight="false" outlineLevel="0" collapsed="false">
      <c r="AE8" s="7"/>
    </row>
    <row r="9" customFormat="false" ht="24.6" hidden="false" customHeight="true" outlineLevel="0" collapsed="false">
      <c r="AE9" s="7"/>
    </row>
    <row r="10" customFormat="false" ht="13.2" hidden="false" customHeight="false" outlineLevel="0" collapsed="false">
      <c r="B10" s="27" t="str">
        <f aca="false">B17</f>
        <v>Jan</v>
      </c>
      <c r="C10" s="27" t="str">
        <f aca="false">C17</f>
        <v>Feb</v>
      </c>
      <c r="D10" s="27" t="str">
        <f aca="false">D17</f>
        <v>Mar</v>
      </c>
      <c r="E10" s="27" t="str">
        <f aca="false">E17</f>
        <v>Apr</v>
      </c>
      <c r="F10" s="27" t="str">
        <f aca="false">F17</f>
        <v>May</v>
      </c>
      <c r="G10" s="27" t="str">
        <f aca="false">G17</f>
        <v>June</v>
      </c>
      <c r="H10" s="27" t="str">
        <f aca="false">H17</f>
        <v>July</v>
      </c>
      <c r="I10" s="27" t="str">
        <f aca="false">I17</f>
        <v>Aug</v>
      </c>
      <c r="J10" s="27" t="str">
        <f aca="false">J17</f>
        <v>Sept</v>
      </c>
      <c r="K10" s="27" t="str">
        <f aca="false">K17</f>
        <v>Oct</v>
      </c>
      <c r="L10" s="27" t="str">
        <f aca="false">L17</f>
        <v>Nov</v>
      </c>
      <c r="M10" s="27" t="str">
        <f aca="false">M17</f>
        <v>Dec</v>
      </c>
      <c r="N10" s="27" t="s">
        <v>138</v>
      </c>
      <c r="AE10" s="7"/>
    </row>
    <row r="11" customFormat="false" ht="6" hidden="false" customHeight="true" outlineLevel="0" collapsed="false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AE11" s="7"/>
    </row>
    <row r="12" customFormat="false" ht="13.8" hidden="false" customHeight="false" outlineLevel="0" collapsed="false">
      <c r="A12" s="92" t="s">
        <v>139</v>
      </c>
      <c r="B12" s="93" t="n">
        <f aca="false">IF($B$6=1,B32,B55)</f>
        <v>2494851.4658202</v>
      </c>
      <c r="C12" s="93" t="n">
        <f aca="false">IF($B$6=1,C32,C55)</f>
        <v>2259088.0037953</v>
      </c>
      <c r="D12" s="93" t="n">
        <f aca="false">IF($B$6=1,D32,D55)</f>
        <v>2450879.3781635</v>
      </c>
      <c r="E12" s="93" t="n">
        <f aca="false">IF($B$6=1,E32,E55)</f>
        <v>2235546.3389333</v>
      </c>
      <c r="F12" s="93" t="n">
        <f aca="false">IF($B$6=1,F32,F55)</f>
        <v>2247544.2591057</v>
      </c>
      <c r="G12" s="93" t="n">
        <f aca="false">IF($B$6=1,G32,G55)</f>
        <v>2198769.6915352</v>
      </c>
      <c r="H12" s="93" t="n">
        <f aca="false">IF($B$6=1,H32,H55)</f>
        <v>2424694.25205</v>
      </c>
      <c r="I12" s="93" t="n">
        <f aca="false">IF($B$6=1,I32,I55)</f>
        <v>2348705.2364483</v>
      </c>
      <c r="J12" s="93" t="n">
        <f aca="false">IF($B$6=1,J32,J55)</f>
        <v>2298678.75691405</v>
      </c>
      <c r="K12" s="93" t="n">
        <f aca="false">IF($B$6=1,K32,K55)</f>
        <v>2610856.13838665</v>
      </c>
      <c r="L12" s="93" t="n">
        <f aca="false">IF($B$6=1,L32,L55)</f>
        <v>2378626.8692486</v>
      </c>
      <c r="M12" s="93" t="n">
        <f aca="false">IF($B$6=1,M32,M55)</f>
        <v>2429143.23678285</v>
      </c>
      <c r="N12" s="94" t="n">
        <f aca="false">SUM(B12:M12)</f>
        <v>28377383.6271836</v>
      </c>
      <c r="O12" s="95"/>
      <c r="P12" s="95" t="s">
        <v>139</v>
      </c>
      <c r="Q12" s="96" t="n">
        <f aca="false">Q29+Q30</f>
        <v>2565994.294</v>
      </c>
      <c r="R12" s="96" t="n">
        <f aca="false">R29+R30</f>
        <v>2323803.6635</v>
      </c>
      <c r="S12" s="96" t="n">
        <f aca="false">S29+S30</f>
        <v>2519564.166</v>
      </c>
      <c r="T12" s="96" t="n">
        <f aca="false">T29+T30</f>
        <v>2320478.656</v>
      </c>
      <c r="U12" s="96" t="n">
        <f aca="false">U29+U30</f>
        <v>2333590.992</v>
      </c>
      <c r="V12" s="96" t="n">
        <f aca="false">V29+V30</f>
        <v>2283532.556</v>
      </c>
      <c r="W12" s="96" t="n">
        <f aca="false">W29+W30</f>
        <v>2444994.024</v>
      </c>
      <c r="X12" s="96" t="n">
        <f aca="false">X29+X30</f>
        <v>2368146.136</v>
      </c>
      <c r="Y12" s="96" t="n">
        <f aca="false">Y29+Y30</f>
        <v>2316734.656</v>
      </c>
      <c r="Z12" s="96" t="n">
        <f aca="false">Z29+Z30</f>
        <v>2650822.428</v>
      </c>
      <c r="AA12" s="96" t="n">
        <f aca="false">AA29+AA30</f>
        <v>2460003.724</v>
      </c>
      <c r="AB12" s="96" t="n">
        <f aca="false">AB29+AB30</f>
        <v>2511905.092</v>
      </c>
      <c r="AC12" s="97" t="n">
        <f aca="false">SUM(Q12:AB12)</f>
        <v>29099570.3875</v>
      </c>
      <c r="AD12" s="95"/>
      <c r="AE12" s="95" t="s">
        <v>139</v>
      </c>
      <c r="AF12" s="96" t="n">
        <f aca="false">AF29+AF30</f>
        <v>2565994.294</v>
      </c>
      <c r="AG12" s="96" t="n">
        <f aca="false">AG29+AG30</f>
        <v>2323803.6635</v>
      </c>
      <c r="AH12" s="96" t="n">
        <f aca="false">AH29+AH30</f>
        <v>2519564.166</v>
      </c>
      <c r="AI12" s="96" t="n">
        <f aca="false">AI29+AI30</f>
        <v>2320478.656</v>
      </c>
      <c r="AJ12" s="96" t="n">
        <f aca="false">AJ29+AJ30</f>
        <v>2333590.992</v>
      </c>
      <c r="AK12" s="96" t="n">
        <f aca="false">AK29+AK30</f>
        <v>2283532.556</v>
      </c>
      <c r="AL12" s="96" t="n">
        <f aca="false">AL29+AL30</f>
        <v>2444994.024</v>
      </c>
      <c r="AM12" s="96" t="n">
        <f aca="false">AM29+AM30</f>
        <v>2368146.136</v>
      </c>
      <c r="AN12" s="96" t="n">
        <f aca="false">AN29+AN30</f>
        <v>2316734.656</v>
      </c>
      <c r="AO12" s="96" t="n">
        <f aca="false">AO29+AO30</f>
        <v>2650822.428</v>
      </c>
      <c r="AP12" s="96" t="n">
        <f aca="false">AP29+AP30</f>
        <v>2460003.724</v>
      </c>
      <c r="AQ12" s="96" t="n">
        <f aca="false">AQ29+AQ30</f>
        <v>2511905.092</v>
      </c>
      <c r="AR12" s="97" t="n">
        <f aca="false">SUM(AF12:AQ12)</f>
        <v>29099570.3875</v>
      </c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customFormat="false" ht="14.4" hidden="false" customHeight="false" outlineLevel="0" collapsed="false">
      <c r="A13" s="98" t="s">
        <v>140</v>
      </c>
      <c r="B13" s="99" t="n">
        <f aca="false">B12*Factors!C11</f>
        <v>10736384.6137806</v>
      </c>
      <c r="C13" s="99" t="n">
        <f aca="false">C12*Factors!D11</f>
        <v>9735387.76091495</v>
      </c>
      <c r="D13" s="99" t="n">
        <f aca="false">D12*Factors!E11</f>
        <v>10576645.1576866</v>
      </c>
      <c r="E13" s="99" t="n">
        <f aca="false">E12*Factors!F11</f>
        <v>9660836.24321878</v>
      </c>
      <c r="F13" s="99" t="n">
        <f aca="false">F12*Factors!G11</f>
        <v>9726206.8759744</v>
      </c>
      <c r="G13" s="99" t="n">
        <f aca="false">G12*Factors!H11</f>
        <v>9528364.41253156</v>
      </c>
      <c r="H13" s="99" t="n">
        <f aca="false">H12*Factors!I11</f>
        <v>10521995.9133315</v>
      </c>
      <c r="I13" s="99" t="n">
        <f aca="false">I12*Factors!J11</f>
        <v>10206371.1330038</v>
      </c>
      <c r="J13" s="99" t="n">
        <f aca="false">J12*Factors!K11</f>
        <v>10002809.200296</v>
      </c>
      <c r="K13" s="99" t="n">
        <f aca="false">K12*Factors!L11</f>
        <v>11376971.6734702</v>
      </c>
      <c r="L13" s="99" t="n">
        <f aca="false">L12*Factors!M11</f>
        <v>10379328.5389707</v>
      </c>
      <c r="M13" s="99" t="n">
        <f aca="false">M12*Factors!N11</f>
        <v>10614375.3481992</v>
      </c>
      <c r="N13" s="100" t="n">
        <f aca="false">SUM(B13:M13)</f>
        <v>123065676.871378</v>
      </c>
      <c r="O13" s="95"/>
      <c r="P13" s="95" t="s">
        <v>140</v>
      </c>
      <c r="Q13" s="96" t="n">
        <f aca="false">Q12*Factors!R11</f>
        <v>11259077.3876376</v>
      </c>
      <c r="R13" s="96" t="n">
        <f aca="false">R12*Factors!S11</f>
        <v>10238701.3025691</v>
      </c>
      <c r="S13" s="96" t="n">
        <f aca="false">S12*Factors!T11</f>
        <v>11147096.7866044</v>
      </c>
      <c r="T13" s="96" t="n">
        <f aca="false">T12*Factors!U11</f>
        <v>10308547.5791611</v>
      </c>
      <c r="U13" s="96" t="n">
        <f aca="false">U12*Factors!V11</f>
        <v>10409284.9987581</v>
      </c>
      <c r="V13" s="96" t="n">
        <f aca="false">V12*Factors!W11</f>
        <v>10227568.3396302</v>
      </c>
      <c r="W13" s="96" t="n">
        <f aca="false">W12*Factors!X11</f>
        <v>10995242.9656418</v>
      </c>
      <c r="X13" s="96" t="n">
        <f aca="false">X12*Factors!Y11</f>
        <v>10692770.7291241</v>
      </c>
      <c r="Y13" s="96" t="n">
        <f aca="false">Y12*Factors!Z11</f>
        <v>10502815.0482968</v>
      </c>
      <c r="Z13" s="96" t="n">
        <f aca="false">Z12*Factors!AA11</f>
        <v>12065649.923294</v>
      </c>
      <c r="AA13" s="96" t="n">
        <f aca="false">AA12*Factors!AB11</f>
        <v>11241895.950474</v>
      </c>
      <c r="AB13" s="96" t="n">
        <f aca="false">AB12*Factors!AC11</f>
        <v>11524811.8085021</v>
      </c>
      <c r="AC13" s="97" t="n">
        <f aca="false">SUM(Q13:AB13)</f>
        <v>130613462.819693</v>
      </c>
      <c r="AD13" s="95"/>
      <c r="AE13" s="95" t="s">
        <v>140</v>
      </c>
      <c r="AF13" s="96" t="n">
        <f aca="false">AF12*Factors!AG11</f>
        <v>11822031.2570195</v>
      </c>
      <c r="AG13" s="96" t="n">
        <f aca="false">AG12*Factors!AH11</f>
        <v>10750636.3676975</v>
      </c>
      <c r="AH13" s="96" t="n">
        <f aca="false">AH12*Factors!AI11</f>
        <v>11704451.6259347</v>
      </c>
      <c r="AI13" s="96" t="n">
        <f aca="false">AI12*Factors!AJ11</f>
        <v>10823974.9581191</v>
      </c>
      <c r="AJ13" s="96" t="n">
        <f aca="false">AJ12*Factors!AK11</f>
        <v>10929749.248696</v>
      </c>
      <c r="AK13" s="96" t="n">
        <f aca="false">AK12*Factors!AL11</f>
        <v>10738946.7566118</v>
      </c>
      <c r="AL13" s="96" t="n">
        <f aca="false">AL12*Factors!AM11</f>
        <v>11545005.1139238</v>
      </c>
      <c r="AM13" s="96" t="n">
        <f aca="false">AM12*Factors!AN11</f>
        <v>11227409.2655803</v>
      </c>
      <c r="AN13" s="96" t="n">
        <f aca="false">AN12*Factors!AO11</f>
        <v>11027955.8007117</v>
      </c>
      <c r="AO13" s="96" t="n">
        <f aca="false">AO12*Factors!AP11</f>
        <v>12668932.4194587</v>
      </c>
      <c r="AP13" s="96" t="n">
        <f aca="false">AP12*Factors!AQ11</f>
        <v>11803990.7479977</v>
      </c>
      <c r="AQ13" s="96" t="n">
        <f aca="false">AQ12*Factors!AR11</f>
        <v>12101052.3989272</v>
      </c>
      <c r="AR13" s="97" t="n">
        <f aca="false">SUM(AF13:AQ13)</f>
        <v>137144135.960678</v>
      </c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customFormat="false" ht="13.8" hidden="false" customHeight="false" outlineLevel="0" collapsed="false"/>
    <row r="16" customFormat="false" ht="17.4" hidden="false" customHeight="false" outlineLevel="0" collapsed="false">
      <c r="A16" s="101" t="s">
        <v>141</v>
      </c>
    </row>
    <row r="17" customFormat="false" ht="13.2" hidden="false" customHeight="false" outlineLevel="0" collapsed="false">
      <c r="B17" s="27" t="s">
        <v>41</v>
      </c>
      <c r="C17" s="27" t="s">
        <v>42</v>
      </c>
      <c r="D17" s="27" t="s">
        <v>43</v>
      </c>
      <c r="E17" s="27" t="s">
        <v>44</v>
      </c>
      <c r="F17" s="27" t="s">
        <v>45</v>
      </c>
      <c r="G17" s="27" t="s">
        <v>46</v>
      </c>
      <c r="H17" s="27" t="s">
        <v>47</v>
      </c>
      <c r="I17" s="27" t="s">
        <v>48</v>
      </c>
      <c r="J17" s="27" t="s">
        <v>49</v>
      </c>
      <c r="K17" s="27" t="s">
        <v>50</v>
      </c>
      <c r="L17" s="27" t="s">
        <v>51</v>
      </c>
      <c r="M17" s="27" t="s">
        <v>52</v>
      </c>
      <c r="N17" s="27" t="s">
        <v>138</v>
      </c>
      <c r="Q17" s="27" t="s">
        <v>41</v>
      </c>
      <c r="R17" s="27" t="s">
        <v>42</v>
      </c>
      <c r="S17" s="27" t="s">
        <v>43</v>
      </c>
      <c r="T17" s="27" t="s">
        <v>44</v>
      </c>
      <c r="U17" s="27" t="s">
        <v>45</v>
      </c>
      <c r="V17" s="27" t="s">
        <v>46</v>
      </c>
      <c r="W17" s="27" t="s">
        <v>47</v>
      </c>
      <c r="X17" s="27" t="s">
        <v>48</v>
      </c>
      <c r="Y17" s="27" t="s">
        <v>49</v>
      </c>
      <c r="Z17" s="27" t="s">
        <v>50</v>
      </c>
      <c r="AA17" s="27" t="s">
        <v>51</v>
      </c>
      <c r="AB17" s="27" t="s">
        <v>52</v>
      </c>
      <c r="AF17" s="27" t="s">
        <v>41</v>
      </c>
      <c r="AG17" s="27" t="s">
        <v>42</v>
      </c>
      <c r="AH17" s="27" t="s">
        <v>43</v>
      </c>
      <c r="AI17" s="27" t="s">
        <v>44</v>
      </c>
      <c r="AJ17" s="27" t="s">
        <v>45</v>
      </c>
      <c r="AK17" s="27" t="s">
        <v>46</v>
      </c>
      <c r="AL17" s="27" t="s">
        <v>47</v>
      </c>
      <c r="AM17" s="27" t="s">
        <v>48</v>
      </c>
      <c r="AN17" s="27" t="s">
        <v>49</v>
      </c>
      <c r="AO17" s="27" t="s">
        <v>50</v>
      </c>
      <c r="AP17" s="27" t="s">
        <v>51</v>
      </c>
      <c r="AQ17" s="27" t="s">
        <v>52</v>
      </c>
    </row>
    <row r="18" customFormat="false" ht="13.2" hidden="false" customHeight="false" outlineLevel="0" collapsed="false">
      <c r="A18" s="2" t="s">
        <v>142</v>
      </c>
      <c r="B18" s="2" t="n">
        <v>31</v>
      </c>
      <c r="C18" s="2" t="n">
        <v>28</v>
      </c>
      <c r="D18" s="2" t="n">
        <v>31</v>
      </c>
      <c r="E18" s="2" t="n">
        <v>30</v>
      </c>
      <c r="F18" s="2" t="n">
        <v>31</v>
      </c>
      <c r="G18" s="2" t="n">
        <v>30</v>
      </c>
      <c r="H18" s="2" t="n">
        <v>31</v>
      </c>
      <c r="I18" s="2" t="n">
        <v>31</v>
      </c>
      <c r="J18" s="2" t="n">
        <v>30</v>
      </c>
      <c r="K18" s="2" t="n">
        <v>31</v>
      </c>
      <c r="L18" s="2" t="n">
        <v>30</v>
      </c>
      <c r="M18" s="2" t="n">
        <v>31</v>
      </c>
      <c r="N18" s="2" t="n">
        <f aca="false">SUM(B18:M18)</f>
        <v>365</v>
      </c>
      <c r="Q18" s="2" t="n">
        <v>31</v>
      </c>
      <c r="R18" s="2" t="n">
        <v>28</v>
      </c>
      <c r="S18" s="2" t="n">
        <v>31</v>
      </c>
      <c r="T18" s="2" t="n">
        <v>30</v>
      </c>
      <c r="U18" s="2" t="n">
        <v>31</v>
      </c>
      <c r="V18" s="2" t="n">
        <v>30</v>
      </c>
      <c r="W18" s="2" t="n">
        <v>31</v>
      </c>
      <c r="X18" s="2" t="n">
        <v>31</v>
      </c>
      <c r="Y18" s="2" t="n">
        <v>30</v>
      </c>
      <c r="Z18" s="2" t="n">
        <v>31</v>
      </c>
      <c r="AA18" s="2" t="n">
        <v>30</v>
      </c>
      <c r="AB18" s="2" t="n">
        <v>31</v>
      </c>
      <c r="AC18" s="2" t="n">
        <f aca="false">SUM(Q18:AB18)</f>
        <v>365</v>
      </c>
      <c r="AF18" s="2" t="n">
        <v>31</v>
      </c>
      <c r="AG18" s="2" t="n">
        <v>28</v>
      </c>
      <c r="AH18" s="2" t="n">
        <v>31</v>
      </c>
      <c r="AI18" s="2" t="n">
        <v>30</v>
      </c>
      <c r="AJ18" s="2" t="n">
        <v>31</v>
      </c>
      <c r="AK18" s="2" t="n">
        <v>30</v>
      </c>
      <c r="AL18" s="2" t="n">
        <v>31</v>
      </c>
      <c r="AM18" s="2" t="n">
        <v>31</v>
      </c>
      <c r="AN18" s="2" t="n">
        <v>30</v>
      </c>
      <c r="AO18" s="2" t="n">
        <v>31</v>
      </c>
      <c r="AP18" s="2" t="n">
        <v>30</v>
      </c>
      <c r="AQ18" s="2" t="n">
        <v>31</v>
      </c>
      <c r="AR18" s="2" t="n">
        <f aca="false">SUM(AF18:AQ18)</f>
        <v>365</v>
      </c>
    </row>
    <row r="19" customFormat="false" ht="13.2" hidden="false" customHeight="false" outlineLevel="0" collapsed="false">
      <c r="A19" s="2" t="s">
        <v>143</v>
      </c>
      <c r="B19" s="102" t="n">
        <v>27800</v>
      </c>
      <c r="C19" s="102" t="n">
        <v>27800</v>
      </c>
      <c r="D19" s="102" t="n">
        <v>27800</v>
      </c>
      <c r="E19" s="102" t="n">
        <v>26000</v>
      </c>
      <c r="F19" s="102" t="n">
        <v>26000</v>
      </c>
      <c r="G19" s="102" t="n">
        <v>26000</v>
      </c>
      <c r="H19" s="102" t="n">
        <v>26000</v>
      </c>
      <c r="I19" s="102" t="n">
        <v>26000</v>
      </c>
      <c r="J19" s="102" t="n">
        <v>26000</v>
      </c>
      <c r="K19" s="102" t="n">
        <v>27800</v>
      </c>
      <c r="L19" s="102" t="n">
        <v>27800</v>
      </c>
      <c r="M19" s="102" t="n">
        <v>27800</v>
      </c>
      <c r="N19" s="102"/>
      <c r="O19" s="102"/>
      <c r="P19" s="2" t="s">
        <v>143</v>
      </c>
      <c r="Q19" s="102" t="n">
        <v>27800</v>
      </c>
      <c r="R19" s="102" t="n">
        <v>27800</v>
      </c>
      <c r="S19" s="102" t="n">
        <v>27800</v>
      </c>
      <c r="T19" s="102" t="n">
        <v>26000</v>
      </c>
      <c r="U19" s="102" t="n">
        <v>26000</v>
      </c>
      <c r="V19" s="102" t="n">
        <v>26000</v>
      </c>
      <c r="W19" s="102" t="n">
        <v>26000</v>
      </c>
      <c r="X19" s="102" t="n">
        <v>26000</v>
      </c>
      <c r="Y19" s="102" t="n">
        <v>26000</v>
      </c>
      <c r="Z19" s="102" t="n">
        <v>27800</v>
      </c>
      <c r="AA19" s="102" t="n">
        <v>27800</v>
      </c>
      <c r="AB19" s="102" t="n">
        <v>27800</v>
      </c>
      <c r="AC19" s="102"/>
      <c r="AD19" s="102"/>
      <c r="AE19" s="2" t="s">
        <v>143</v>
      </c>
      <c r="AF19" s="102" t="n">
        <v>27800</v>
      </c>
      <c r="AG19" s="102" t="n">
        <v>27800</v>
      </c>
      <c r="AH19" s="102" t="n">
        <v>27800</v>
      </c>
      <c r="AI19" s="102" t="n">
        <v>26000</v>
      </c>
      <c r="AJ19" s="102" t="n">
        <v>26000</v>
      </c>
      <c r="AK19" s="102" t="n">
        <v>26000</v>
      </c>
      <c r="AL19" s="102" t="n">
        <v>26000</v>
      </c>
      <c r="AM19" s="102" t="n">
        <v>26000</v>
      </c>
      <c r="AN19" s="102" t="n">
        <v>26000</v>
      </c>
      <c r="AO19" s="102" t="n">
        <v>27800</v>
      </c>
      <c r="AP19" s="102" t="n">
        <v>27800</v>
      </c>
      <c r="AQ19" s="102" t="n">
        <v>27800</v>
      </c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  <c r="IT19" s="102"/>
      <c r="IU19" s="102"/>
      <c r="IV19" s="102"/>
      <c r="IW19" s="102"/>
    </row>
    <row r="20" customFormat="false" ht="13.2" hidden="false" customHeight="false" outlineLevel="0" collapsed="false">
      <c r="A20" s="2" t="s">
        <v>144</v>
      </c>
      <c r="B20" s="2" t="n">
        <f aca="false">B18*24</f>
        <v>744</v>
      </c>
      <c r="C20" s="2" t="n">
        <f aca="false">C18*24</f>
        <v>672</v>
      </c>
      <c r="D20" s="2" t="n">
        <f aca="false">D18*24</f>
        <v>744</v>
      </c>
      <c r="E20" s="2" t="n">
        <f aca="false">E18*24</f>
        <v>720</v>
      </c>
      <c r="F20" s="2" t="n">
        <f aca="false">F18*24</f>
        <v>744</v>
      </c>
      <c r="G20" s="2" t="n">
        <f aca="false">G18*24</f>
        <v>720</v>
      </c>
      <c r="H20" s="2" t="n">
        <f aca="false">H18*24</f>
        <v>744</v>
      </c>
      <c r="I20" s="2" t="n">
        <f aca="false">I18*24</f>
        <v>744</v>
      </c>
      <c r="J20" s="2" t="n">
        <f aca="false">J18*24</f>
        <v>720</v>
      </c>
      <c r="K20" s="2" t="n">
        <f aca="false">K18*24</f>
        <v>744</v>
      </c>
      <c r="L20" s="2" t="n">
        <f aca="false">L18*24</f>
        <v>720</v>
      </c>
      <c r="M20" s="2" t="n">
        <f aca="false">M18*24</f>
        <v>744</v>
      </c>
      <c r="N20" s="2" t="n">
        <f aca="false">SUM(B20:M20)</f>
        <v>8760</v>
      </c>
      <c r="P20" s="2" t="s">
        <v>144</v>
      </c>
      <c r="Q20" s="2" t="n">
        <f aca="false">Q18*24</f>
        <v>744</v>
      </c>
      <c r="R20" s="2" t="n">
        <f aca="false">R18*24</f>
        <v>672</v>
      </c>
      <c r="S20" s="2" t="n">
        <f aca="false">S18*24</f>
        <v>744</v>
      </c>
      <c r="T20" s="2" t="n">
        <f aca="false">T18*24</f>
        <v>720</v>
      </c>
      <c r="U20" s="2" t="n">
        <f aca="false">U18*24</f>
        <v>744</v>
      </c>
      <c r="V20" s="2" t="n">
        <f aca="false">V18*24</f>
        <v>720</v>
      </c>
      <c r="W20" s="2" t="n">
        <f aca="false">W18*24</f>
        <v>744</v>
      </c>
      <c r="X20" s="2" t="n">
        <f aca="false">X18*24</f>
        <v>744</v>
      </c>
      <c r="Y20" s="2" t="n">
        <f aca="false">Y18*24</f>
        <v>720</v>
      </c>
      <c r="Z20" s="2" t="n">
        <f aca="false">Z18*24</f>
        <v>744</v>
      </c>
      <c r="AA20" s="2" t="n">
        <f aca="false">AA18*24</f>
        <v>720</v>
      </c>
      <c r="AB20" s="2" t="n">
        <f aca="false">AB18*24</f>
        <v>744</v>
      </c>
      <c r="AC20" s="2" t="n">
        <f aca="false">SUM(Q20:AB20)</f>
        <v>8760</v>
      </c>
      <c r="AE20" s="2" t="s">
        <v>144</v>
      </c>
      <c r="AF20" s="2" t="n">
        <f aca="false">AF18*24</f>
        <v>744</v>
      </c>
      <c r="AG20" s="2" t="n">
        <f aca="false">AG18*24</f>
        <v>672</v>
      </c>
      <c r="AH20" s="2" t="n">
        <f aca="false">AH18*24</f>
        <v>744</v>
      </c>
      <c r="AI20" s="2" t="n">
        <f aca="false">AI18*24</f>
        <v>720</v>
      </c>
      <c r="AJ20" s="2" t="n">
        <f aca="false">AJ18*24</f>
        <v>744</v>
      </c>
      <c r="AK20" s="2" t="n">
        <f aca="false">AK18*24</f>
        <v>720</v>
      </c>
      <c r="AL20" s="2" t="n">
        <f aca="false">AL18*24</f>
        <v>744</v>
      </c>
      <c r="AM20" s="2" t="n">
        <f aca="false">AM18*24</f>
        <v>744</v>
      </c>
      <c r="AN20" s="2" t="n">
        <f aca="false">AN18*24</f>
        <v>720</v>
      </c>
      <c r="AO20" s="2" t="n">
        <f aca="false">AO18*24</f>
        <v>744</v>
      </c>
      <c r="AP20" s="2" t="n">
        <f aca="false">AP18*24</f>
        <v>720</v>
      </c>
      <c r="AQ20" s="2" t="n">
        <f aca="false">AQ18*24</f>
        <v>744</v>
      </c>
      <c r="AR20" s="2" t="n">
        <f aca="false">SUM(AF20:AQ20)</f>
        <v>8760</v>
      </c>
    </row>
    <row r="21" customFormat="false" ht="6.6" hidden="false" customHeight="true" outlineLevel="0" collapsed="false"/>
    <row r="22" customFormat="false" ht="13.2" hidden="false" customHeight="false" outlineLevel="0" collapsed="false">
      <c r="A22" s="2" t="s">
        <v>145</v>
      </c>
      <c r="B22" s="102" t="n">
        <v>15914178</v>
      </c>
      <c r="C22" s="102" t="n">
        <v>14414117</v>
      </c>
      <c r="D22" s="102" t="n">
        <v>15604015</v>
      </c>
      <c r="E22" s="102" t="n">
        <v>14244937</v>
      </c>
      <c r="F22" s="102" t="n">
        <v>14278773</v>
      </c>
      <c r="G22" s="102" t="n">
        <v>13985528</v>
      </c>
      <c r="H22" s="102" t="n">
        <v>15057000</v>
      </c>
      <c r="I22" s="102" t="n">
        <v>14538182</v>
      </c>
      <c r="J22" s="102" t="n">
        <v>14244937</v>
      </c>
      <c r="K22" s="102" t="n">
        <v>16224341</v>
      </c>
      <c r="L22" s="102" t="n">
        <v>14690444</v>
      </c>
      <c r="M22" s="102" t="n">
        <v>14983689</v>
      </c>
      <c r="N22" s="102" t="n">
        <f aca="false">SUM(B22:M22)</f>
        <v>178180141</v>
      </c>
      <c r="P22" s="2" t="s">
        <v>145</v>
      </c>
      <c r="Q22" s="102" t="n">
        <v>16040000</v>
      </c>
      <c r="R22" s="102" t="n">
        <v>14530000</v>
      </c>
      <c r="S22" s="102" t="n">
        <v>15720000</v>
      </c>
      <c r="T22" s="102" t="n">
        <v>14240000</v>
      </c>
      <c r="U22" s="102" t="n">
        <v>14280000</v>
      </c>
      <c r="V22" s="102" t="n">
        <v>13990000</v>
      </c>
      <c r="W22" s="102" t="n">
        <v>15060000</v>
      </c>
      <c r="X22" s="102" t="n">
        <v>14540000</v>
      </c>
      <c r="Y22" s="102" t="n">
        <v>14240000</v>
      </c>
      <c r="Z22" s="102" t="n">
        <v>16350000</v>
      </c>
      <c r="AA22" s="102" t="n">
        <v>15110000</v>
      </c>
      <c r="AB22" s="102" t="n">
        <v>15410000</v>
      </c>
      <c r="AC22" s="102" t="n">
        <f aca="false">SUM(Q22:AB22)</f>
        <v>179510000</v>
      </c>
      <c r="AE22" s="2" t="s">
        <v>145</v>
      </c>
      <c r="AF22" s="102" t="n">
        <v>16040000</v>
      </c>
      <c r="AG22" s="102" t="n">
        <v>14530000</v>
      </c>
      <c r="AH22" s="102" t="n">
        <v>15720000</v>
      </c>
      <c r="AI22" s="102" t="n">
        <v>14240000</v>
      </c>
      <c r="AJ22" s="102" t="n">
        <v>14280000</v>
      </c>
      <c r="AK22" s="102" t="n">
        <v>13990000</v>
      </c>
      <c r="AL22" s="102" t="n">
        <v>15060000</v>
      </c>
      <c r="AM22" s="102" t="n">
        <v>14540000</v>
      </c>
      <c r="AN22" s="102" t="n">
        <v>14240000</v>
      </c>
      <c r="AO22" s="102" t="n">
        <v>16350000</v>
      </c>
      <c r="AP22" s="102" t="n">
        <v>15110000</v>
      </c>
      <c r="AQ22" s="102" t="n">
        <v>15410000</v>
      </c>
      <c r="AR22" s="102" t="n">
        <f aca="false">SUM(AF22:AQ22)</f>
        <v>179510000</v>
      </c>
    </row>
    <row r="23" customFormat="false" ht="5.4" hidden="false" customHeight="true" outlineLevel="0" collapsed="false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</row>
    <row r="24" customFormat="false" ht="13.2" hidden="false" customHeight="false" outlineLevel="0" collapsed="false">
      <c r="A24" s="2" t="s">
        <v>146</v>
      </c>
      <c r="B24" s="71" t="n">
        <v>11.54</v>
      </c>
      <c r="C24" s="71" t="n">
        <v>11.54</v>
      </c>
      <c r="D24" s="71" t="n">
        <v>11.54</v>
      </c>
      <c r="E24" s="71" t="n">
        <v>11.54</v>
      </c>
      <c r="F24" s="71" t="n">
        <v>11.54</v>
      </c>
      <c r="G24" s="71" t="n">
        <v>11.54</v>
      </c>
      <c r="H24" s="103" t="n">
        <v>11.34</v>
      </c>
      <c r="I24" s="103" t="n">
        <v>11.34</v>
      </c>
      <c r="J24" s="103" t="n">
        <v>11.34</v>
      </c>
      <c r="K24" s="103" t="n">
        <v>11.34</v>
      </c>
      <c r="L24" s="103" t="n">
        <v>11.34</v>
      </c>
      <c r="M24" s="103" t="n">
        <v>11.34</v>
      </c>
      <c r="P24" s="2" t="s">
        <v>146</v>
      </c>
      <c r="Q24" s="71" t="n">
        <v>11.54</v>
      </c>
      <c r="R24" s="71" t="n">
        <v>11.54</v>
      </c>
      <c r="S24" s="71" t="n">
        <v>11.54</v>
      </c>
      <c r="T24" s="71" t="n">
        <v>11.54</v>
      </c>
      <c r="U24" s="71" t="n">
        <v>11.54</v>
      </c>
      <c r="V24" s="71" t="n">
        <v>11.54</v>
      </c>
      <c r="W24" s="103" t="n">
        <v>11.34</v>
      </c>
      <c r="X24" s="103" t="n">
        <v>11.34</v>
      </c>
      <c r="Y24" s="103" t="n">
        <v>11.34</v>
      </c>
      <c r="Z24" s="103" t="n">
        <v>11.34</v>
      </c>
      <c r="AA24" s="103" t="n">
        <v>11.34</v>
      </c>
      <c r="AB24" s="103" t="n">
        <v>11.34</v>
      </c>
      <c r="AE24" s="2" t="s">
        <v>146</v>
      </c>
      <c r="AF24" s="71" t="n">
        <v>11.54</v>
      </c>
      <c r="AG24" s="71" t="n">
        <v>11.54</v>
      </c>
      <c r="AH24" s="71" t="n">
        <v>11.54</v>
      </c>
      <c r="AI24" s="71" t="n">
        <v>11.54</v>
      </c>
      <c r="AJ24" s="71" t="n">
        <v>11.54</v>
      </c>
      <c r="AK24" s="71" t="n">
        <v>11.54</v>
      </c>
      <c r="AL24" s="103" t="n">
        <v>11.34</v>
      </c>
      <c r="AM24" s="103" t="n">
        <v>11.34</v>
      </c>
      <c r="AN24" s="103" t="n">
        <v>11.34</v>
      </c>
      <c r="AO24" s="103" t="n">
        <v>11.34</v>
      </c>
      <c r="AP24" s="103" t="n">
        <v>11.34</v>
      </c>
      <c r="AQ24" s="103" t="n">
        <v>11.34</v>
      </c>
    </row>
    <row r="25" customFormat="false" ht="13.2" hidden="false" customHeight="false" outlineLevel="0" collapsed="false">
      <c r="A25" s="2" t="s">
        <v>147</v>
      </c>
      <c r="B25" s="71" t="n">
        <v>134.38</v>
      </c>
      <c r="C25" s="71" t="n">
        <f aca="false">B25</f>
        <v>134.38</v>
      </c>
      <c r="D25" s="71" t="n">
        <f aca="false">C25</f>
        <v>134.38</v>
      </c>
      <c r="E25" s="71" t="n">
        <f aca="false">D25</f>
        <v>134.38</v>
      </c>
      <c r="F25" s="71" t="n">
        <f aca="false">E25</f>
        <v>134.38</v>
      </c>
      <c r="G25" s="71" t="n">
        <f aca="false">F25</f>
        <v>134.38</v>
      </c>
      <c r="H25" s="71" t="n">
        <v>138.83</v>
      </c>
      <c r="I25" s="71" t="n">
        <f aca="false">H25</f>
        <v>138.83</v>
      </c>
      <c r="J25" s="71" t="n">
        <f aca="false">I25</f>
        <v>138.83</v>
      </c>
      <c r="K25" s="71" t="n">
        <f aca="false">J25</f>
        <v>138.83</v>
      </c>
      <c r="L25" s="71" t="n">
        <f aca="false">K25</f>
        <v>138.83</v>
      </c>
      <c r="M25" s="71" t="n">
        <f aca="false">L25</f>
        <v>138.83</v>
      </c>
      <c r="P25" s="2" t="s">
        <v>147</v>
      </c>
      <c r="Q25" s="71" t="n">
        <v>137.53</v>
      </c>
      <c r="R25" s="71" t="n">
        <v>137.53</v>
      </c>
      <c r="S25" s="71" t="n">
        <v>137.53</v>
      </c>
      <c r="T25" s="103" t="n">
        <v>140.08</v>
      </c>
      <c r="U25" s="103" t="n">
        <v>140.08</v>
      </c>
      <c r="V25" s="103" t="n">
        <v>140.08</v>
      </c>
      <c r="W25" s="103" t="n">
        <v>140.08</v>
      </c>
      <c r="X25" s="103" t="n">
        <v>140.08</v>
      </c>
      <c r="Y25" s="103" t="n">
        <v>140.08</v>
      </c>
      <c r="Z25" s="103" t="n">
        <v>140.08</v>
      </c>
      <c r="AA25" s="103" t="n">
        <v>140.08</v>
      </c>
      <c r="AB25" s="103" t="n">
        <v>140.08</v>
      </c>
      <c r="AE25" s="2" t="s">
        <v>147</v>
      </c>
      <c r="AF25" s="71" t="n">
        <v>137.53</v>
      </c>
      <c r="AG25" s="71" t="n">
        <v>137.53</v>
      </c>
      <c r="AH25" s="71" t="n">
        <v>137.53</v>
      </c>
      <c r="AI25" s="103" t="n">
        <v>140.08</v>
      </c>
      <c r="AJ25" s="103" t="n">
        <v>140.08</v>
      </c>
      <c r="AK25" s="103" t="n">
        <v>140.08</v>
      </c>
      <c r="AL25" s="103" t="n">
        <v>140.08</v>
      </c>
      <c r="AM25" s="103" t="n">
        <v>140.08</v>
      </c>
      <c r="AN25" s="103" t="n">
        <v>140.08</v>
      </c>
      <c r="AO25" s="103" t="n">
        <v>140.08</v>
      </c>
      <c r="AP25" s="103" t="n">
        <v>140.08</v>
      </c>
      <c r="AQ25" s="103" t="n">
        <v>140.08</v>
      </c>
    </row>
    <row r="26" customFormat="false" ht="13.2" hidden="false" customHeight="false" outlineLevel="0" collapsed="false">
      <c r="A26" s="2" t="s">
        <v>148</v>
      </c>
      <c r="B26" s="2" t="n">
        <v>1.055</v>
      </c>
      <c r="C26" s="2" t="n">
        <v>1.055</v>
      </c>
      <c r="D26" s="2" t="n">
        <v>1.055</v>
      </c>
      <c r="E26" s="2" t="n">
        <v>1.055</v>
      </c>
      <c r="F26" s="2" t="n">
        <v>1.055</v>
      </c>
      <c r="G26" s="2" t="n">
        <v>1.055</v>
      </c>
      <c r="H26" s="2" t="n">
        <v>1.055</v>
      </c>
      <c r="I26" s="2" t="n">
        <v>1.055</v>
      </c>
      <c r="J26" s="2" t="n">
        <v>1.055</v>
      </c>
      <c r="K26" s="2" t="n">
        <v>1.055</v>
      </c>
      <c r="L26" s="2" t="n">
        <v>1.055</v>
      </c>
      <c r="M26" s="2" t="n">
        <v>1.055</v>
      </c>
      <c r="P26" s="2" t="s">
        <v>148</v>
      </c>
      <c r="Q26" s="2" t="n">
        <v>1.055</v>
      </c>
      <c r="R26" s="2" t="n">
        <v>1.055</v>
      </c>
      <c r="S26" s="2" t="n">
        <v>1.055</v>
      </c>
      <c r="T26" s="2" t="n">
        <v>1.055</v>
      </c>
      <c r="U26" s="2" t="n">
        <v>1.055</v>
      </c>
      <c r="V26" s="2" t="n">
        <v>1.055</v>
      </c>
      <c r="W26" s="2" t="n">
        <v>1.055</v>
      </c>
      <c r="X26" s="2" t="n">
        <v>1.055</v>
      </c>
      <c r="Y26" s="2" t="n">
        <v>1.055</v>
      </c>
      <c r="Z26" s="2" t="n">
        <v>1.055</v>
      </c>
      <c r="AA26" s="2" t="n">
        <v>1.055</v>
      </c>
      <c r="AB26" s="2" t="n">
        <v>1.055</v>
      </c>
      <c r="AE26" s="2" t="s">
        <v>148</v>
      </c>
      <c r="AF26" s="2" t="n">
        <v>1.055</v>
      </c>
      <c r="AG26" s="2" t="n">
        <v>1.055</v>
      </c>
      <c r="AH26" s="2" t="n">
        <v>1.055</v>
      </c>
      <c r="AI26" s="2" t="n">
        <v>1.055</v>
      </c>
      <c r="AJ26" s="2" t="n">
        <v>1.055</v>
      </c>
      <c r="AK26" s="2" t="n">
        <v>1.055</v>
      </c>
      <c r="AL26" s="2" t="n">
        <v>1.055</v>
      </c>
      <c r="AM26" s="2" t="n">
        <v>1.055</v>
      </c>
      <c r="AN26" s="2" t="n">
        <v>1.055</v>
      </c>
      <c r="AO26" s="2" t="n">
        <v>1.055</v>
      </c>
      <c r="AP26" s="2" t="n">
        <v>1.055</v>
      </c>
      <c r="AQ26" s="2" t="n">
        <v>1.055</v>
      </c>
    </row>
    <row r="27" customFormat="false" ht="13.2" hidden="false" customHeight="false" outlineLevel="0" collapsed="false">
      <c r="A27" s="2" t="s">
        <v>149</v>
      </c>
      <c r="B27" s="103" t="n">
        <f aca="false">B25*B26</f>
        <v>141.7709</v>
      </c>
      <c r="C27" s="103" t="n">
        <f aca="false">C25*C26</f>
        <v>141.7709</v>
      </c>
      <c r="D27" s="103" t="n">
        <f aca="false">D25*D26</f>
        <v>141.7709</v>
      </c>
      <c r="E27" s="103" t="n">
        <f aca="false">E25*E26</f>
        <v>141.7709</v>
      </c>
      <c r="F27" s="103" t="n">
        <f aca="false">F25*F26</f>
        <v>141.7709</v>
      </c>
      <c r="G27" s="103" t="n">
        <f aca="false">G25*G26</f>
        <v>141.7709</v>
      </c>
      <c r="H27" s="103" t="n">
        <f aca="false">H25*H26</f>
        <v>146.46565</v>
      </c>
      <c r="I27" s="103" t="n">
        <f aca="false">I25*I26</f>
        <v>146.46565</v>
      </c>
      <c r="J27" s="103" t="n">
        <f aca="false">J25*J26</f>
        <v>146.46565</v>
      </c>
      <c r="K27" s="103" t="n">
        <f aca="false">K25*K26</f>
        <v>146.46565</v>
      </c>
      <c r="L27" s="103" t="n">
        <f aca="false">L25*L26</f>
        <v>146.46565</v>
      </c>
      <c r="M27" s="103" t="n">
        <f aca="false">M25*M26</f>
        <v>146.46565</v>
      </c>
      <c r="P27" s="2" t="s">
        <v>149</v>
      </c>
      <c r="Q27" s="103" t="n">
        <f aca="false">Q25*Q26</f>
        <v>145.09415</v>
      </c>
      <c r="R27" s="103" t="n">
        <f aca="false">R25*R26</f>
        <v>145.09415</v>
      </c>
      <c r="S27" s="103" t="n">
        <f aca="false">S25*S26</f>
        <v>145.09415</v>
      </c>
      <c r="T27" s="103" t="n">
        <f aca="false">T25*T26</f>
        <v>147.7844</v>
      </c>
      <c r="U27" s="103" t="n">
        <f aca="false">U25*U26</f>
        <v>147.7844</v>
      </c>
      <c r="V27" s="103" t="n">
        <f aca="false">V25*V26</f>
        <v>147.7844</v>
      </c>
      <c r="W27" s="103" t="n">
        <f aca="false">W25*W26</f>
        <v>147.7844</v>
      </c>
      <c r="X27" s="103" t="n">
        <f aca="false">X25*X26</f>
        <v>147.7844</v>
      </c>
      <c r="Y27" s="103" t="n">
        <f aca="false">Y25*Y26</f>
        <v>147.7844</v>
      </c>
      <c r="Z27" s="103" t="n">
        <f aca="false">Z25*Z26</f>
        <v>147.7844</v>
      </c>
      <c r="AA27" s="103" t="n">
        <f aca="false">AA25*AA26</f>
        <v>147.7844</v>
      </c>
      <c r="AB27" s="103" t="n">
        <f aca="false">AB25*AB26</f>
        <v>147.7844</v>
      </c>
      <c r="AE27" s="2" t="s">
        <v>149</v>
      </c>
      <c r="AF27" s="103" t="n">
        <f aca="false">AF25*AF26</f>
        <v>145.09415</v>
      </c>
      <c r="AG27" s="103" t="n">
        <f aca="false">AG25*AG26</f>
        <v>145.09415</v>
      </c>
      <c r="AH27" s="103" t="n">
        <f aca="false">AH25*AH26</f>
        <v>145.09415</v>
      </c>
      <c r="AI27" s="103" t="n">
        <f aca="false">AI25*AI26</f>
        <v>147.7844</v>
      </c>
      <c r="AJ27" s="103" t="n">
        <f aca="false">AJ25*AJ26</f>
        <v>147.7844</v>
      </c>
      <c r="AK27" s="103" t="n">
        <f aca="false">AK25*AK26</f>
        <v>147.7844</v>
      </c>
      <c r="AL27" s="103" t="n">
        <f aca="false">AL25*AL26</f>
        <v>147.7844</v>
      </c>
      <c r="AM27" s="103" t="n">
        <f aca="false">AM25*AM26</f>
        <v>147.7844</v>
      </c>
      <c r="AN27" s="103" t="n">
        <f aca="false">AN25*AN26</f>
        <v>147.7844</v>
      </c>
      <c r="AO27" s="103" t="n">
        <f aca="false">AO25*AO26</f>
        <v>147.7844</v>
      </c>
      <c r="AP27" s="103" t="n">
        <f aca="false">AP25*AP26</f>
        <v>147.7844</v>
      </c>
      <c r="AQ27" s="103" t="n">
        <f aca="false">AQ25*AQ26</f>
        <v>147.7844</v>
      </c>
    </row>
    <row r="28" customFormat="false" ht="5.4" hidden="false" customHeight="true" outlineLevel="0" collapsed="false"/>
    <row r="29" customFormat="false" ht="13.2" hidden="false" customHeight="false" outlineLevel="0" collapsed="false">
      <c r="A29" s="48" t="s">
        <v>150</v>
      </c>
      <c r="B29" s="50" t="n">
        <f aca="false">B20*B19*B24/1000</f>
        <v>238684.128</v>
      </c>
      <c r="C29" s="50" t="n">
        <f aca="false">C20*C19*C24/1000</f>
        <v>215585.664</v>
      </c>
      <c r="D29" s="50" t="n">
        <f aca="false">D20*D19*D24/1000</f>
        <v>238684.128</v>
      </c>
      <c r="E29" s="50" t="n">
        <f aca="false">E20*E19*E24/1000</f>
        <v>216028.8</v>
      </c>
      <c r="F29" s="50" t="n">
        <f aca="false">F20*F19*F24/1000</f>
        <v>223229.76</v>
      </c>
      <c r="G29" s="50" t="n">
        <f aca="false">G20*G19*G24/1000</f>
        <v>216028.8</v>
      </c>
      <c r="H29" s="50" t="n">
        <f aca="false">H20*H19*H24/1000</f>
        <v>219360.96</v>
      </c>
      <c r="I29" s="50" t="n">
        <f aca="false">I20*I19*I24/1000</f>
        <v>219360.96</v>
      </c>
      <c r="J29" s="50" t="n">
        <f aca="false">J20*J19*J24/1000</f>
        <v>212284.8</v>
      </c>
      <c r="K29" s="50" t="n">
        <f aca="false">K20*K19*K24/1000</f>
        <v>234547.488</v>
      </c>
      <c r="L29" s="50" t="n">
        <f aca="false">L20*L19*L24/1000</f>
        <v>226981.44</v>
      </c>
      <c r="M29" s="50" t="n">
        <f aca="false">M20*M19*M24/1000</f>
        <v>234547.488</v>
      </c>
      <c r="N29" s="104" t="n">
        <f aca="false">SUM(B29:M29)</f>
        <v>2695324.416</v>
      </c>
      <c r="O29" s="48"/>
      <c r="P29" s="48" t="s">
        <v>151</v>
      </c>
      <c r="Q29" s="50" t="n">
        <f aca="false">Q20*Q19*Q24/1000</f>
        <v>238684.128</v>
      </c>
      <c r="R29" s="50" t="n">
        <f aca="false">R20*R19*R24/1000</f>
        <v>215585.664</v>
      </c>
      <c r="S29" s="50" t="n">
        <f aca="false">S20*S19*S24/1000</f>
        <v>238684.128</v>
      </c>
      <c r="T29" s="50" t="n">
        <f aca="false">T20*T19*T24/1000</f>
        <v>216028.8</v>
      </c>
      <c r="U29" s="50" t="n">
        <f aca="false">U20*U19*U24/1000</f>
        <v>223229.76</v>
      </c>
      <c r="V29" s="50" t="n">
        <f aca="false">V20*V19*V24/1000</f>
        <v>216028.8</v>
      </c>
      <c r="W29" s="50" t="n">
        <f aca="false">W20*W19*W24/1000</f>
        <v>219360.96</v>
      </c>
      <c r="X29" s="50" t="n">
        <f aca="false">X20*X19*X24/1000</f>
        <v>219360.96</v>
      </c>
      <c r="Y29" s="50" t="n">
        <f aca="false">Y20*Y19*Y24/1000</f>
        <v>212284.8</v>
      </c>
      <c r="Z29" s="50" t="n">
        <f aca="false">Z20*Z19*Z24/1000</f>
        <v>234547.488</v>
      </c>
      <c r="AA29" s="50" t="n">
        <f aca="false">AA20*AA19*AA24/1000</f>
        <v>226981.44</v>
      </c>
      <c r="AB29" s="50" t="n">
        <f aca="false">AB20*AB19*AB24/1000</f>
        <v>234547.488</v>
      </c>
      <c r="AC29" s="104" t="n">
        <f aca="false">SUM(Q29:AB29)</f>
        <v>2695324.416</v>
      </c>
      <c r="AD29" s="48"/>
      <c r="AE29" s="48" t="s">
        <v>151</v>
      </c>
      <c r="AF29" s="50" t="n">
        <f aca="false">AF20*AF19*AF24/1000</f>
        <v>238684.128</v>
      </c>
      <c r="AG29" s="50" t="n">
        <f aca="false">AG20*AG19*AG24/1000</f>
        <v>215585.664</v>
      </c>
      <c r="AH29" s="50" t="n">
        <f aca="false">AH20*AH19*AH24/1000</f>
        <v>238684.128</v>
      </c>
      <c r="AI29" s="50" t="n">
        <f aca="false">AI20*AI19*AI24/1000</f>
        <v>216028.8</v>
      </c>
      <c r="AJ29" s="50" t="n">
        <f aca="false">AJ20*AJ19*AJ24/1000</f>
        <v>223229.76</v>
      </c>
      <c r="AK29" s="50" t="n">
        <f aca="false">AK20*AK19*AK24/1000</f>
        <v>216028.8</v>
      </c>
      <c r="AL29" s="50" t="n">
        <f aca="false">AL20*AL19*AL24/1000</f>
        <v>219360.96</v>
      </c>
      <c r="AM29" s="50" t="n">
        <f aca="false">AM20*AM19*AM24/1000</f>
        <v>219360.96</v>
      </c>
      <c r="AN29" s="50" t="n">
        <f aca="false">AN20*AN19*AN24/1000</f>
        <v>212284.8</v>
      </c>
      <c r="AO29" s="50" t="n">
        <f aca="false">AO20*AO19*AO24/1000</f>
        <v>234547.488</v>
      </c>
      <c r="AP29" s="50" t="n">
        <f aca="false">AP20*AP19*AP24/1000</f>
        <v>226981.44</v>
      </c>
      <c r="AQ29" s="50" t="n">
        <f aca="false">AQ20*AQ19*AQ24/1000</f>
        <v>234547.488</v>
      </c>
      <c r="AR29" s="104" t="n">
        <f aca="false">SUM(AF29:AQ29)</f>
        <v>2695324.416</v>
      </c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3.2" hidden="false" customHeight="false" outlineLevel="0" collapsed="false">
      <c r="A30" s="48" t="s">
        <v>152</v>
      </c>
      <c r="B30" s="50" t="n">
        <f aca="false">B22*B27/1000</f>
        <v>2256167.3378202</v>
      </c>
      <c r="C30" s="50" t="n">
        <f aca="false">C22*C27/1000</f>
        <v>2043502.3397953</v>
      </c>
      <c r="D30" s="50" t="n">
        <f aca="false">D22*D27/1000</f>
        <v>2212195.2501635</v>
      </c>
      <c r="E30" s="50" t="n">
        <f aca="false">E22*E27/1000</f>
        <v>2019517.5389333</v>
      </c>
      <c r="F30" s="50" t="n">
        <f aca="false">F22*F27/1000</f>
        <v>2024314.4991057</v>
      </c>
      <c r="G30" s="50" t="n">
        <f aca="false">G22*G27/1000</f>
        <v>1982740.8915352</v>
      </c>
      <c r="H30" s="50" t="n">
        <f aca="false">H22*H27/1000</f>
        <v>2205333.29205</v>
      </c>
      <c r="I30" s="50" t="n">
        <f aca="false">I22*I27/1000</f>
        <v>2129344.2764483</v>
      </c>
      <c r="J30" s="50" t="n">
        <f aca="false">J22*J27/1000</f>
        <v>2086393.95691405</v>
      </c>
      <c r="K30" s="50" t="n">
        <f aca="false">K22*K27/1000</f>
        <v>2376308.65038665</v>
      </c>
      <c r="L30" s="50" t="n">
        <f aca="false">L22*L27/1000</f>
        <v>2151645.4292486</v>
      </c>
      <c r="M30" s="50" t="n">
        <f aca="false">M22*M27/1000</f>
        <v>2194595.74878285</v>
      </c>
      <c r="N30" s="104" t="n">
        <f aca="false">SUM(B30:M30)</f>
        <v>25682059.2111837</v>
      </c>
      <c r="O30" s="48"/>
      <c r="P30" s="48" t="s">
        <v>153</v>
      </c>
      <c r="Q30" s="50" t="n">
        <f aca="false">Q22*Q27/1000</f>
        <v>2327310.166</v>
      </c>
      <c r="R30" s="50" t="n">
        <f aca="false">R22*R27/1000</f>
        <v>2108217.9995</v>
      </c>
      <c r="S30" s="50" t="n">
        <f aca="false">S22*S27/1000</f>
        <v>2280880.038</v>
      </c>
      <c r="T30" s="50" t="n">
        <f aca="false">T22*T27/1000</f>
        <v>2104449.856</v>
      </c>
      <c r="U30" s="50" t="n">
        <f aca="false">U22*U27/1000</f>
        <v>2110361.232</v>
      </c>
      <c r="V30" s="50" t="n">
        <f aca="false">V22*V27/1000</f>
        <v>2067503.756</v>
      </c>
      <c r="W30" s="50" t="n">
        <f aca="false">W22*W27/1000</f>
        <v>2225633.064</v>
      </c>
      <c r="X30" s="50" t="n">
        <f aca="false">X22*X27/1000</f>
        <v>2148785.176</v>
      </c>
      <c r="Y30" s="50" t="n">
        <f aca="false">Y22*Y27/1000</f>
        <v>2104449.856</v>
      </c>
      <c r="Z30" s="50" t="n">
        <f aca="false">Z22*Z27/1000</f>
        <v>2416274.94</v>
      </c>
      <c r="AA30" s="50" t="n">
        <f aca="false">AA22*AA27/1000</f>
        <v>2233022.284</v>
      </c>
      <c r="AB30" s="50" t="n">
        <f aca="false">AB22*AB27/1000</f>
        <v>2277357.604</v>
      </c>
      <c r="AC30" s="104" t="n">
        <f aca="false">SUM(Q30:AB30)</f>
        <v>26404245.9715</v>
      </c>
      <c r="AD30" s="48"/>
      <c r="AE30" s="48" t="s">
        <v>153</v>
      </c>
      <c r="AF30" s="50" t="n">
        <f aca="false">AF22*AF27/1000</f>
        <v>2327310.166</v>
      </c>
      <c r="AG30" s="50" t="n">
        <f aca="false">AG22*AG27/1000</f>
        <v>2108217.9995</v>
      </c>
      <c r="AH30" s="50" t="n">
        <f aca="false">AH22*AH27/1000</f>
        <v>2280880.038</v>
      </c>
      <c r="AI30" s="50" t="n">
        <f aca="false">AI22*AI27/1000</f>
        <v>2104449.856</v>
      </c>
      <c r="AJ30" s="50" t="n">
        <f aca="false">AJ22*AJ27/1000</f>
        <v>2110361.232</v>
      </c>
      <c r="AK30" s="50" t="n">
        <f aca="false">AK22*AK27/1000</f>
        <v>2067503.756</v>
      </c>
      <c r="AL30" s="50" t="n">
        <f aca="false">AL22*AL27/1000</f>
        <v>2225633.064</v>
      </c>
      <c r="AM30" s="50" t="n">
        <f aca="false">AM22*AM27/1000</f>
        <v>2148785.176</v>
      </c>
      <c r="AN30" s="50" t="n">
        <f aca="false">AN22*AN27/1000</f>
        <v>2104449.856</v>
      </c>
      <c r="AO30" s="50" t="n">
        <f aca="false">AO22*AO27/1000</f>
        <v>2416274.94</v>
      </c>
      <c r="AP30" s="50" t="n">
        <f aca="false">AP22*AP27/1000</f>
        <v>2233022.284</v>
      </c>
      <c r="AQ30" s="50" t="n">
        <f aca="false">AQ22*AQ27/1000</f>
        <v>2277357.604</v>
      </c>
      <c r="AR30" s="104" t="n">
        <f aca="false">SUM(AF30:AQ30)</f>
        <v>26404245.9715</v>
      </c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6.6" hidden="false" customHeight="true" outlineLevel="0" collapsed="false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</row>
    <row r="32" customFormat="false" ht="14.4" hidden="false" customHeight="false" outlineLevel="0" collapsed="false">
      <c r="A32" s="105" t="s">
        <v>154</v>
      </c>
      <c r="B32" s="106" t="n">
        <f aca="false">B29+B30</f>
        <v>2494851.4658202</v>
      </c>
      <c r="C32" s="106" t="n">
        <f aca="false">C29+C30</f>
        <v>2259088.0037953</v>
      </c>
      <c r="D32" s="106" t="n">
        <f aca="false">D29+D30</f>
        <v>2450879.3781635</v>
      </c>
      <c r="E32" s="106" t="n">
        <f aca="false">E29+E30</f>
        <v>2235546.3389333</v>
      </c>
      <c r="F32" s="106" t="n">
        <f aca="false">F29+F30</f>
        <v>2247544.2591057</v>
      </c>
      <c r="G32" s="106" t="n">
        <f aca="false">G29+G30</f>
        <v>2198769.6915352</v>
      </c>
      <c r="H32" s="106" t="n">
        <f aca="false">H29+H30</f>
        <v>2424694.25205</v>
      </c>
      <c r="I32" s="106" t="n">
        <f aca="false">I29+I30</f>
        <v>2348705.2364483</v>
      </c>
      <c r="J32" s="106" t="n">
        <f aca="false">J29+J30</f>
        <v>2298678.75691405</v>
      </c>
      <c r="K32" s="106" t="n">
        <f aca="false">K29+K30</f>
        <v>2610856.13838665</v>
      </c>
      <c r="L32" s="106" t="n">
        <f aca="false">L29+L30</f>
        <v>2378626.8692486</v>
      </c>
      <c r="M32" s="106" t="n">
        <f aca="false">M29+M30</f>
        <v>2429143.23678285</v>
      </c>
      <c r="N32" s="107" t="n">
        <f aca="false">SUM(B32:M32)</f>
        <v>28377383.6271836</v>
      </c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  <c r="IW32" s="105"/>
    </row>
    <row r="33" customFormat="false" ht="13.8" hidden="false" customHeight="false" outlineLevel="0" collapsed="false"/>
    <row r="34" customFormat="false" ht="49.2" hidden="false" customHeight="true" outlineLevel="0" collapsed="false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customFormat="false" ht="17.4" hidden="false" customHeight="false" outlineLevel="0" collapsed="false">
      <c r="A35" s="101" t="s">
        <v>155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</row>
    <row r="36" customFormat="false" ht="13.2" hidden="false" customHeight="false" outlineLevel="0" collapsed="false">
      <c r="A36" s="111"/>
      <c r="B36" s="27" t="str">
        <f aca="false">B17</f>
        <v>Jan</v>
      </c>
      <c r="C36" s="27" t="str">
        <f aca="false">C17</f>
        <v>Feb</v>
      </c>
      <c r="D36" s="27" t="str">
        <f aca="false">D17</f>
        <v>Mar</v>
      </c>
      <c r="E36" s="27" t="str">
        <f aca="false">E17</f>
        <v>Apr</v>
      </c>
      <c r="F36" s="27" t="str">
        <f aca="false">F17</f>
        <v>May</v>
      </c>
      <c r="G36" s="27" t="str">
        <f aca="false">G17</f>
        <v>June</v>
      </c>
      <c r="H36" s="27" t="str">
        <f aca="false">H17</f>
        <v>July</v>
      </c>
      <c r="I36" s="27" t="str">
        <f aca="false">I17</f>
        <v>Aug</v>
      </c>
      <c r="J36" s="27" t="str">
        <f aca="false">J17</f>
        <v>Sept</v>
      </c>
      <c r="K36" s="27" t="str">
        <f aca="false">K17</f>
        <v>Oct</v>
      </c>
      <c r="L36" s="27" t="str">
        <f aca="false">L17</f>
        <v>Nov</v>
      </c>
      <c r="M36" s="27" t="str">
        <f aca="false">M17</f>
        <v>Dec</v>
      </c>
      <c r="N36" s="27" t="s">
        <v>138</v>
      </c>
    </row>
    <row r="37" customFormat="false" ht="13.2" hidden="false" customHeight="false" outlineLevel="0" collapsed="false">
      <c r="A37" s="2" t="s">
        <v>142</v>
      </c>
      <c r="B37" s="112" t="n">
        <f aca="false">B18</f>
        <v>31</v>
      </c>
      <c r="C37" s="112" t="n">
        <f aca="false">C18</f>
        <v>28</v>
      </c>
      <c r="D37" s="112" t="n">
        <f aca="false">D18</f>
        <v>31</v>
      </c>
      <c r="E37" s="112" t="n">
        <f aca="false">E18</f>
        <v>30</v>
      </c>
      <c r="F37" s="112" t="n">
        <f aca="false">F18</f>
        <v>31</v>
      </c>
      <c r="G37" s="112" t="n">
        <f aca="false">G18</f>
        <v>30</v>
      </c>
      <c r="H37" s="112" t="n">
        <f aca="false">H18</f>
        <v>31</v>
      </c>
      <c r="I37" s="112" t="n">
        <f aca="false">I18</f>
        <v>31</v>
      </c>
      <c r="J37" s="112" t="n">
        <f aca="false">J18</f>
        <v>30</v>
      </c>
      <c r="K37" s="112" t="n">
        <f aca="false">K18</f>
        <v>31</v>
      </c>
      <c r="L37" s="112" t="n">
        <f aca="false">L18</f>
        <v>30</v>
      </c>
      <c r="M37" s="112" t="n">
        <f aca="false">M18</f>
        <v>31</v>
      </c>
      <c r="N37" s="112" t="n">
        <f aca="false">N18</f>
        <v>365</v>
      </c>
      <c r="O37" s="113"/>
    </row>
    <row r="38" customFormat="false" ht="13.2" hidden="false" customHeight="false" outlineLevel="0" collapsed="false">
      <c r="A38" s="2" t="s">
        <v>143</v>
      </c>
      <c r="B38" s="112" t="n">
        <f aca="false">B19</f>
        <v>27800</v>
      </c>
      <c r="C38" s="112" t="n">
        <f aca="false">C19</f>
        <v>27800</v>
      </c>
      <c r="D38" s="112" t="n">
        <f aca="false">D19</f>
        <v>27800</v>
      </c>
      <c r="E38" s="112" t="n">
        <f aca="false">E19</f>
        <v>26000</v>
      </c>
      <c r="F38" s="112" t="n">
        <f aca="false">F19</f>
        <v>26000</v>
      </c>
      <c r="G38" s="112" t="n">
        <f aca="false">G19</f>
        <v>26000</v>
      </c>
      <c r="H38" s="112" t="n">
        <f aca="false">H19</f>
        <v>26000</v>
      </c>
      <c r="I38" s="112" t="n">
        <f aca="false">I19</f>
        <v>26000</v>
      </c>
      <c r="J38" s="112" t="n">
        <f aca="false">J19</f>
        <v>26000</v>
      </c>
      <c r="K38" s="112" t="n">
        <f aca="false">K19</f>
        <v>27800</v>
      </c>
      <c r="L38" s="112" t="n">
        <f aca="false">L19</f>
        <v>27800</v>
      </c>
      <c r="M38" s="112" t="n">
        <f aca="false">M19</f>
        <v>27800</v>
      </c>
      <c r="N38" s="112"/>
      <c r="O38" s="113"/>
    </row>
    <row r="39" customFormat="false" ht="13.2" hidden="false" customHeight="false" outlineLevel="0" collapsed="false">
      <c r="A39" s="2" t="s">
        <v>144</v>
      </c>
      <c r="B39" s="112" t="n">
        <f aca="false">B20</f>
        <v>744</v>
      </c>
      <c r="C39" s="112" t="n">
        <f aca="false">C20</f>
        <v>672</v>
      </c>
      <c r="D39" s="112" t="n">
        <f aca="false">D20</f>
        <v>744</v>
      </c>
      <c r="E39" s="112" t="n">
        <f aca="false">E20</f>
        <v>720</v>
      </c>
      <c r="F39" s="112" t="n">
        <f aca="false">F20</f>
        <v>744</v>
      </c>
      <c r="G39" s="112" t="n">
        <f aca="false">G20</f>
        <v>720</v>
      </c>
      <c r="H39" s="112" t="n">
        <f aca="false">H20</f>
        <v>744</v>
      </c>
      <c r="I39" s="112" t="n">
        <f aca="false">I20</f>
        <v>744</v>
      </c>
      <c r="J39" s="112" t="n">
        <f aca="false">J20</f>
        <v>720</v>
      </c>
      <c r="K39" s="112" t="n">
        <f aca="false">K20</f>
        <v>744</v>
      </c>
      <c r="L39" s="112" t="n">
        <f aca="false">L20</f>
        <v>720</v>
      </c>
      <c r="M39" s="112" t="n">
        <f aca="false">M20</f>
        <v>744</v>
      </c>
      <c r="N39" s="112" t="n">
        <f aca="false">N20</f>
        <v>8760</v>
      </c>
      <c r="O39" s="113"/>
    </row>
    <row r="40" customFormat="false" ht="7.2" hidden="false" customHeight="true" outlineLevel="0" collapsed="false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3"/>
    </row>
    <row r="41" customFormat="false" ht="13.2" hidden="false" customHeight="false" outlineLevel="0" collapsed="false">
      <c r="A41" s="2" t="s">
        <v>145</v>
      </c>
      <c r="B41" s="112" t="n">
        <f aca="false">B22</f>
        <v>15914178</v>
      </c>
      <c r="C41" s="112" t="n">
        <f aca="false">C22</f>
        <v>14414117</v>
      </c>
      <c r="D41" s="112" t="n">
        <f aca="false">D22</f>
        <v>15604015</v>
      </c>
      <c r="E41" s="112" t="n">
        <f aca="false">E22</f>
        <v>14244937</v>
      </c>
      <c r="F41" s="112" t="n">
        <f aca="false">F22</f>
        <v>14278773</v>
      </c>
      <c r="G41" s="112" t="n">
        <f aca="false">G22</f>
        <v>13985528</v>
      </c>
      <c r="H41" s="112" t="n">
        <f aca="false">H22</f>
        <v>15057000</v>
      </c>
      <c r="I41" s="112" t="n">
        <f aca="false">I22</f>
        <v>14538182</v>
      </c>
      <c r="J41" s="112" t="n">
        <f aca="false">J22</f>
        <v>14244937</v>
      </c>
      <c r="K41" s="112" t="n">
        <f aca="false">K22</f>
        <v>16224341</v>
      </c>
      <c r="L41" s="112" t="n">
        <f aca="false">L22</f>
        <v>14690444</v>
      </c>
      <c r="M41" s="112" t="n">
        <f aca="false">M22</f>
        <v>14983689</v>
      </c>
      <c r="N41" s="112" t="n">
        <f aca="false">N22</f>
        <v>178180141</v>
      </c>
      <c r="O41" s="113"/>
    </row>
    <row r="42" customFormat="false" ht="5.4" hidden="false" customHeight="true" outlineLevel="0" collapsed="false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3"/>
    </row>
    <row r="43" customFormat="false" ht="13.2" hidden="false" customHeight="false" outlineLevel="0" collapsed="false">
      <c r="A43" s="2" t="s">
        <v>156</v>
      </c>
      <c r="B43" s="114" t="n">
        <v>0.0299</v>
      </c>
      <c r="C43" s="114" t="n">
        <f aca="false">B43</f>
        <v>0.0299</v>
      </c>
      <c r="D43" s="114" t="n">
        <f aca="false">C43</f>
        <v>0.0299</v>
      </c>
      <c r="E43" s="114" t="n">
        <f aca="false">D43</f>
        <v>0.0299</v>
      </c>
      <c r="F43" s="114" t="n">
        <f aca="false">E43</f>
        <v>0.0299</v>
      </c>
      <c r="G43" s="114" t="n">
        <f aca="false">F43</f>
        <v>0.0299</v>
      </c>
      <c r="H43" s="114" t="n">
        <f aca="false">G43</f>
        <v>0.0299</v>
      </c>
      <c r="I43" s="114" t="n">
        <f aca="false">H43</f>
        <v>0.0299</v>
      </c>
      <c r="J43" s="114" t="n">
        <f aca="false">I43</f>
        <v>0.0299</v>
      </c>
      <c r="K43" s="114" t="n">
        <f aca="false">J43</f>
        <v>0.0299</v>
      </c>
      <c r="L43" s="114" t="n">
        <f aca="false">K43</f>
        <v>0.0299</v>
      </c>
      <c r="M43" s="114" t="n">
        <f aca="false">L43</f>
        <v>0.0299</v>
      </c>
      <c r="N43" s="112"/>
      <c r="O43" s="113"/>
    </row>
    <row r="44" customFormat="false" ht="15" hidden="false" customHeight="true" outlineLevel="0" collapsed="false">
      <c r="A44" s="115" t="s">
        <v>157</v>
      </c>
      <c r="B44" s="116" t="n">
        <v>0.0613</v>
      </c>
      <c r="C44" s="116" t="n">
        <f aca="false">B44</f>
        <v>0.0613</v>
      </c>
      <c r="D44" s="116" t="n">
        <f aca="false">C44</f>
        <v>0.0613</v>
      </c>
      <c r="E44" s="116" t="n">
        <f aca="false">D44</f>
        <v>0.0613</v>
      </c>
      <c r="F44" s="116" t="n">
        <f aca="false">E44</f>
        <v>0.0613</v>
      </c>
      <c r="G44" s="116" t="n">
        <f aca="false">F44</f>
        <v>0.0613</v>
      </c>
      <c r="H44" s="116" t="n">
        <f aca="false">G44</f>
        <v>0.0613</v>
      </c>
      <c r="I44" s="116" t="n">
        <f aca="false">H44</f>
        <v>0.0613</v>
      </c>
      <c r="J44" s="116" t="n">
        <f aca="false">I44</f>
        <v>0.0613</v>
      </c>
      <c r="K44" s="116" t="n">
        <f aca="false">J44</f>
        <v>0.0613</v>
      </c>
      <c r="L44" s="116" t="n">
        <f aca="false">K44</f>
        <v>0.0613</v>
      </c>
      <c r="M44" s="116" t="n">
        <f aca="false">L44</f>
        <v>0.0613</v>
      </c>
      <c r="N44" s="117"/>
      <c r="O44" s="118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  <c r="IW44" s="115"/>
    </row>
    <row r="45" customFormat="false" ht="15" hidden="false" customHeight="true" outlineLevel="0" collapsed="false">
      <c r="A45" s="115" t="s">
        <v>158</v>
      </c>
      <c r="B45" s="116" t="n">
        <v>0.505</v>
      </c>
      <c r="C45" s="116" t="n">
        <f aca="false">B45</f>
        <v>0.505</v>
      </c>
      <c r="D45" s="116" t="n">
        <f aca="false">C45</f>
        <v>0.505</v>
      </c>
      <c r="E45" s="116" t="n">
        <f aca="false">D45</f>
        <v>0.505</v>
      </c>
      <c r="F45" s="116" t="n">
        <f aca="false">E45</f>
        <v>0.505</v>
      </c>
      <c r="G45" s="116" t="n">
        <f aca="false">F45</f>
        <v>0.505</v>
      </c>
      <c r="H45" s="116" t="n">
        <f aca="false">G45</f>
        <v>0.505</v>
      </c>
      <c r="I45" s="116" t="n">
        <f aca="false">H45</f>
        <v>0.505</v>
      </c>
      <c r="J45" s="116" t="n">
        <f aca="false">I45</f>
        <v>0.505</v>
      </c>
      <c r="K45" s="116" t="n">
        <f aca="false">J45</f>
        <v>0.505</v>
      </c>
      <c r="L45" s="116" t="n">
        <f aca="false">K45</f>
        <v>0.505</v>
      </c>
      <c r="M45" s="116" t="n">
        <f aca="false">L45</f>
        <v>0.505</v>
      </c>
      <c r="N45" s="117"/>
      <c r="O45" s="118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  <c r="IW45" s="115"/>
    </row>
    <row r="46" customFormat="false" ht="15" hidden="false" customHeight="true" outlineLevel="0" collapsed="false">
      <c r="A46" s="115" t="str">
        <f aca="false">A26</f>
        <v>Calorific value factor</v>
      </c>
      <c r="B46" s="115" t="n">
        <f aca="false">B26</f>
        <v>1.055</v>
      </c>
      <c r="C46" s="115" t="n">
        <f aca="false">B46</f>
        <v>1.055</v>
      </c>
      <c r="D46" s="115" t="n">
        <f aca="false">C46</f>
        <v>1.055</v>
      </c>
      <c r="E46" s="115" t="n">
        <f aca="false">D46</f>
        <v>1.055</v>
      </c>
      <c r="F46" s="115" t="n">
        <f aca="false">E46</f>
        <v>1.055</v>
      </c>
      <c r="G46" s="115" t="n">
        <f aca="false">F46</f>
        <v>1.055</v>
      </c>
      <c r="H46" s="115" t="n">
        <f aca="false">G46</f>
        <v>1.055</v>
      </c>
      <c r="I46" s="115" t="n">
        <f aca="false">H46</f>
        <v>1.055</v>
      </c>
      <c r="J46" s="115" t="n">
        <f aca="false">I46</f>
        <v>1.055</v>
      </c>
      <c r="K46" s="115" t="n">
        <f aca="false">J46</f>
        <v>1.055</v>
      </c>
      <c r="L46" s="115" t="n">
        <f aca="false">K46</f>
        <v>1.055</v>
      </c>
      <c r="M46" s="115" t="n">
        <f aca="false">L46</f>
        <v>1.055</v>
      </c>
      <c r="N46" s="117"/>
      <c r="O46" s="118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115"/>
      <c r="ID46" s="115"/>
      <c r="IE46" s="115"/>
      <c r="IF46" s="115"/>
      <c r="IG46" s="115"/>
      <c r="IH46" s="115"/>
      <c r="II46" s="115"/>
      <c r="IJ46" s="115"/>
      <c r="IK46" s="115"/>
      <c r="IL46" s="115"/>
      <c r="IM46" s="115"/>
      <c r="IN46" s="115"/>
      <c r="IO46" s="115"/>
      <c r="IP46" s="115"/>
      <c r="IQ46" s="115"/>
      <c r="IR46" s="115"/>
      <c r="IS46" s="115"/>
      <c r="IT46" s="115"/>
      <c r="IU46" s="115"/>
      <c r="IV46" s="115"/>
      <c r="IW46" s="115"/>
    </row>
    <row r="47" customFormat="false" ht="13.2" hidden="false" customHeight="false" outlineLevel="0" collapsed="false">
      <c r="A47" s="2" t="s">
        <v>159</v>
      </c>
      <c r="B47" s="114" t="n">
        <f aca="false">B44*B46</f>
        <v>0.0646715</v>
      </c>
      <c r="C47" s="114" t="n">
        <f aca="false">B47</f>
        <v>0.0646715</v>
      </c>
      <c r="D47" s="114" t="n">
        <f aca="false">C47</f>
        <v>0.0646715</v>
      </c>
      <c r="E47" s="114" t="n">
        <f aca="false">D47</f>
        <v>0.0646715</v>
      </c>
      <c r="F47" s="114" t="n">
        <f aca="false">E47</f>
        <v>0.0646715</v>
      </c>
      <c r="G47" s="114" t="n">
        <f aca="false">F47</f>
        <v>0.0646715</v>
      </c>
      <c r="H47" s="114" t="n">
        <f aca="false">G47</f>
        <v>0.0646715</v>
      </c>
      <c r="I47" s="114" t="n">
        <f aca="false">H47</f>
        <v>0.0646715</v>
      </c>
      <c r="J47" s="114" t="n">
        <f aca="false">I47</f>
        <v>0.0646715</v>
      </c>
      <c r="K47" s="114" t="n">
        <f aca="false">J47</f>
        <v>0.0646715</v>
      </c>
      <c r="L47" s="114" t="n">
        <f aca="false">K47</f>
        <v>0.0646715</v>
      </c>
      <c r="M47" s="114" t="n">
        <f aca="false">L47</f>
        <v>0.0646715</v>
      </c>
      <c r="N47" s="112"/>
      <c r="O47" s="113"/>
    </row>
    <row r="48" customFormat="false" ht="13.2" hidden="false" customHeight="false" outlineLevel="0" collapsed="false">
      <c r="A48" s="2" t="s">
        <v>160</v>
      </c>
      <c r="B48" s="114" t="n">
        <f aca="false">B45*B46</f>
        <v>0.532775</v>
      </c>
      <c r="C48" s="114" t="n">
        <f aca="false">B48</f>
        <v>0.532775</v>
      </c>
      <c r="D48" s="114" t="n">
        <f aca="false">C48</f>
        <v>0.532775</v>
      </c>
      <c r="E48" s="114" t="n">
        <f aca="false">D48</f>
        <v>0.532775</v>
      </c>
      <c r="F48" s="114" t="n">
        <f aca="false">E48</f>
        <v>0.532775</v>
      </c>
      <c r="G48" s="114" t="n">
        <f aca="false">F48</f>
        <v>0.532775</v>
      </c>
      <c r="H48" s="114" t="n">
        <f aca="false">G48</f>
        <v>0.532775</v>
      </c>
      <c r="I48" s="114" t="n">
        <f aca="false">H48</f>
        <v>0.532775</v>
      </c>
      <c r="J48" s="114" t="n">
        <f aca="false">I48</f>
        <v>0.532775</v>
      </c>
      <c r="K48" s="114" t="n">
        <f aca="false">J48</f>
        <v>0.532775</v>
      </c>
      <c r="L48" s="114" t="n">
        <f aca="false">K48</f>
        <v>0.532775</v>
      </c>
      <c r="M48" s="114" t="n">
        <f aca="false">L48</f>
        <v>0.532775</v>
      </c>
      <c r="N48" s="27"/>
    </row>
    <row r="49" customFormat="false" ht="13.2" hidden="false" customHeight="false" outlineLevel="0" collapsed="false">
      <c r="A49" s="103" t="s">
        <v>161</v>
      </c>
      <c r="B49" s="119" t="n">
        <v>245.8</v>
      </c>
      <c r="C49" s="119" t="n">
        <f aca="false">B49</f>
        <v>245.8</v>
      </c>
      <c r="D49" s="119" t="n">
        <f aca="false">C49</f>
        <v>245.8</v>
      </c>
      <c r="E49" s="119" t="n">
        <f aca="false">D49</f>
        <v>245.8</v>
      </c>
      <c r="F49" s="119" t="n">
        <f aca="false">E49</f>
        <v>245.8</v>
      </c>
      <c r="G49" s="119" t="n">
        <f aca="false">F49</f>
        <v>245.8</v>
      </c>
      <c r="H49" s="119" t="n">
        <f aca="false">G49</f>
        <v>245.8</v>
      </c>
      <c r="I49" s="119" t="n">
        <f aca="false">H49</f>
        <v>245.8</v>
      </c>
      <c r="J49" s="119" t="n">
        <f aca="false">I49</f>
        <v>245.8</v>
      </c>
      <c r="K49" s="119" t="n">
        <f aca="false">J49</f>
        <v>245.8</v>
      </c>
      <c r="L49" s="119" t="n">
        <f aca="false">K49</f>
        <v>245.8</v>
      </c>
      <c r="M49" s="119" t="n">
        <f aca="false">L49</f>
        <v>245.8</v>
      </c>
      <c r="N49" s="120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3"/>
      <c r="EO49" s="103"/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/>
      <c r="FO49" s="103"/>
      <c r="FP49" s="103"/>
      <c r="FQ49" s="103"/>
      <c r="FR49" s="103"/>
      <c r="FS49" s="103"/>
      <c r="FT49" s="103"/>
      <c r="FU49" s="103"/>
      <c r="FV49" s="103"/>
      <c r="FW49" s="103"/>
      <c r="FX49" s="103"/>
      <c r="FY49" s="103"/>
      <c r="FZ49" s="103"/>
      <c r="GA49" s="103"/>
      <c r="GB49" s="103"/>
      <c r="GC49" s="103"/>
      <c r="GD49" s="103"/>
      <c r="GE49" s="103"/>
      <c r="GF49" s="103"/>
      <c r="GG49" s="103"/>
      <c r="GH49" s="103"/>
      <c r="GI49" s="103"/>
      <c r="GJ49" s="103"/>
      <c r="GK49" s="103"/>
      <c r="GL49" s="103"/>
      <c r="GM49" s="103"/>
      <c r="GN49" s="103"/>
      <c r="GO49" s="103"/>
      <c r="GP49" s="103"/>
      <c r="GQ49" s="103"/>
      <c r="GR49" s="103"/>
      <c r="GS49" s="103"/>
      <c r="GT49" s="103"/>
      <c r="GU49" s="103"/>
      <c r="GV49" s="103"/>
      <c r="GW49" s="103"/>
      <c r="GX49" s="103"/>
      <c r="GY49" s="103"/>
      <c r="GZ49" s="103"/>
      <c r="HA49" s="103"/>
      <c r="HB49" s="103"/>
      <c r="HC49" s="103"/>
      <c r="HD49" s="103"/>
      <c r="HE49" s="103"/>
      <c r="HF49" s="103"/>
      <c r="HG49" s="103"/>
      <c r="HH49" s="103"/>
      <c r="HI49" s="103"/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3"/>
      <c r="HU49" s="103"/>
      <c r="HV49" s="103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  <c r="IG49" s="103"/>
      <c r="IH49" s="103"/>
      <c r="II49" s="103"/>
      <c r="IJ49" s="103"/>
      <c r="IK49" s="103"/>
      <c r="IL49" s="103"/>
      <c r="IM49" s="103"/>
      <c r="IN49" s="103"/>
      <c r="IO49" s="103"/>
      <c r="IP49" s="103"/>
      <c r="IQ49" s="103"/>
      <c r="IR49" s="103"/>
      <c r="IS49" s="103"/>
      <c r="IT49" s="103"/>
      <c r="IU49" s="103"/>
      <c r="IV49" s="103"/>
      <c r="IW49" s="103"/>
    </row>
    <row r="50" customFormat="false" ht="13.2" hidden="false" customHeight="false" outlineLevel="0" collapsed="false">
      <c r="A50" s="103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20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3"/>
      <c r="EO50" s="103"/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  <c r="FP50" s="103"/>
      <c r="FQ50" s="103"/>
      <c r="FR50" s="103"/>
      <c r="FS50" s="103"/>
      <c r="FT50" s="103"/>
      <c r="FU50" s="103"/>
      <c r="FV50" s="103"/>
      <c r="FW50" s="103"/>
      <c r="FX50" s="103"/>
      <c r="FY50" s="103"/>
      <c r="FZ50" s="103"/>
      <c r="GA50" s="103"/>
      <c r="GB50" s="103"/>
      <c r="GC50" s="103"/>
      <c r="GD50" s="103"/>
      <c r="GE50" s="103"/>
      <c r="GF50" s="103"/>
      <c r="GG50" s="103"/>
      <c r="GH50" s="103"/>
      <c r="GI50" s="103"/>
      <c r="GJ50" s="103"/>
      <c r="GK50" s="103"/>
      <c r="GL50" s="103"/>
      <c r="GM50" s="103"/>
      <c r="GN50" s="103"/>
      <c r="GO50" s="103"/>
      <c r="GP50" s="103"/>
      <c r="GQ50" s="103"/>
      <c r="GR50" s="103"/>
      <c r="GS50" s="103"/>
      <c r="GT50" s="103"/>
      <c r="GU50" s="103"/>
      <c r="GV50" s="103"/>
      <c r="GW50" s="103"/>
      <c r="GX50" s="103"/>
      <c r="GY50" s="103"/>
      <c r="GZ50" s="103"/>
      <c r="HA50" s="103"/>
      <c r="HB50" s="103"/>
      <c r="HC50" s="103"/>
      <c r="HD50" s="103"/>
      <c r="HE50" s="103"/>
      <c r="HF50" s="103"/>
      <c r="HG50" s="103"/>
      <c r="HH50" s="103"/>
      <c r="HI50" s="103"/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3"/>
      <c r="HU50" s="103"/>
      <c r="HV50" s="103"/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  <c r="IG50" s="103"/>
      <c r="IH50" s="103"/>
      <c r="II50" s="103"/>
      <c r="IJ50" s="103"/>
      <c r="IK50" s="103"/>
      <c r="IL50" s="103"/>
      <c r="IM50" s="103"/>
      <c r="IN50" s="103"/>
      <c r="IO50" s="103"/>
      <c r="IP50" s="103"/>
      <c r="IQ50" s="103"/>
      <c r="IR50" s="103"/>
      <c r="IS50" s="103"/>
      <c r="IT50" s="103"/>
      <c r="IU50" s="103"/>
      <c r="IV50" s="103"/>
      <c r="IW50" s="103"/>
    </row>
    <row r="51" customFormat="false" ht="13.2" hidden="false" customHeight="false" outlineLevel="0" collapsed="false">
      <c r="A51" s="103" t="s">
        <v>162</v>
      </c>
      <c r="B51" s="119" t="n">
        <f aca="false">B39*B38*B43+B49</f>
        <v>618673.48</v>
      </c>
      <c r="C51" s="119" t="n">
        <f aca="false">C39*C38*C43+C49</f>
        <v>558825.64</v>
      </c>
      <c r="D51" s="119" t="n">
        <f aca="false">D39*D38*D43+D49</f>
        <v>618673.48</v>
      </c>
      <c r="E51" s="119" t="n">
        <f aca="false">E39*E38*E43+E49</f>
        <v>559973.8</v>
      </c>
      <c r="F51" s="119" t="n">
        <f aca="false">F39*F38*F43+F49</f>
        <v>578631.4</v>
      </c>
      <c r="G51" s="119" t="n">
        <f aca="false">G39*G38*G43+G49</f>
        <v>559973.8</v>
      </c>
      <c r="H51" s="119" t="n">
        <f aca="false">H39*H38*H43+H49</f>
        <v>578631.4</v>
      </c>
      <c r="I51" s="119" t="n">
        <f aca="false">I39*I38*I43+I49</f>
        <v>578631.4</v>
      </c>
      <c r="J51" s="119" t="n">
        <f aca="false">J39*J38*J43+J49</f>
        <v>559973.8</v>
      </c>
      <c r="K51" s="119" t="n">
        <f aca="false">K39*K38*K43+K49</f>
        <v>618673.48</v>
      </c>
      <c r="L51" s="119" t="n">
        <f aca="false">L39*L38*L43+L49</f>
        <v>598724.2</v>
      </c>
      <c r="M51" s="119" t="n">
        <f aca="false">M39*M38*M43+M49</f>
        <v>618673.48</v>
      </c>
      <c r="N51" s="120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03"/>
      <c r="IL51" s="103"/>
      <c r="IM51" s="103"/>
      <c r="IN51" s="103"/>
      <c r="IO51" s="103"/>
      <c r="IP51" s="103"/>
      <c r="IQ51" s="103"/>
      <c r="IR51" s="103"/>
      <c r="IS51" s="103"/>
      <c r="IT51" s="103"/>
      <c r="IU51" s="103"/>
      <c r="IV51" s="103"/>
      <c r="IW51" s="103"/>
    </row>
    <row r="52" customFormat="false" ht="13.2" hidden="false" customHeight="false" outlineLevel="0" collapsed="false">
      <c r="A52" s="103" t="s">
        <v>163</v>
      </c>
      <c r="B52" s="119" t="n">
        <f aca="false">B41*B48+B47*B41</f>
        <v>9507869.946477</v>
      </c>
      <c r="C52" s="119" t="n">
        <f aca="false">C41*C48+C47*C41</f>
        <v>8611663.7522405</v>
      </c>
      <c r="D52" s="119" t="n">
        <f aca="false">D41*D48+D47*D41</f>
        <v>9322564.1476975</v>
      </c>
      <c r="E52" s="119" t="n">
        <f aca="false">E41*E48+E47*E41</f>
        <v>8510587.7533705</v>
      </c>
      <c r="F52" s="119" t="n">
        <f aca="false">F41*F48+F47*F41</f>
        <v>8530802.9531445</v>
      </c>
      <c r="G52" s="119" t="n">
        <f aca="false">G41*G48+G47*G41</f>
        <v>8355604.754252</v>
      </c>
      <c r="H52" s="119" t="n">
        <f aca="false">H41*H48+H47*H41</f>
        <v>8995751.9505</v>
      </c>
      <c r="I52" s="119" t="n">
        <f aca="false">I41*I48+I47*I41</f>
        <v>8685785.952263</v>
      </c>
      <c r="J52" s="119" t="n">
        <f aca="false">J41*J48+J47*J41</f>
        <v>8510587.7533705</v>
      </c>
      <c r="K52" s="119" t="n">
        <f aca="false">K41*K48+K47*K41</f>
        <v>9693175.7452565</v>
      </c>
      <c r="L52" s="119" t="n">
        <f aca="false">L41*L48+L47*L41</f>
        <v>8776754.351246</v>
      </c>
      <c r="M52" s="119" t="n">
        <f aca="false">M41*M48+M47*M41</f>
        <v>8951952.5501385</v>
      </c>
      <c r="N52" s="120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  <c r="FP52" s="103"/>
      <c r="FQ52" s="103"/>
      <c r="FR52" s="103"/>
      <c r="FS52" s="103"/>
      <c r="FT52" s="103"/>
      <c r="FU52" s="103"/>
      <c r="FV52" s="103"/>
      <c r="FW52" s="103"/>
      <c r="FX52" s="103"/>
      <c r="FY52" s="103"/>
      <c r="FZ52" s="103"/>
      <c r="GA52" s="103"/>
      <c r="GB52" s="103"/>
      <c r="GC52" s="103"/>
      <c r="GD52" s="103"/>
      <c r="GE52" s="103"/>
      <c r="GF52" s="103"/>
      <c r="GG52" s="103"/>
      <c r="GH52" s="103"/>
      <c r="GI52" s="103"/>
      <c r="GJ52" s="103"/>
      <c r="GK52" s="103"/>
      <c r="GL52" s="103"/>
      <c r="GM52" s="103"/>
      <c r="GN52" s="103"/>
      <c r="GO52" s="103"/>
      <c r="GP52" s="103"/>
      <c r="GQ52" s="103"/>
      <c r="GR52" s="103"/>
      <c r="GS52" s="103"/>
      <c r="GT52" s="103"/>
      <c r="GU52" s="103"/>
      <c r="GV52" s="103"/>
      <c r="GW52" s="103"/>
      <c r="GX52" s="103"/>
      <c r="GY52" s="103"/>
      <c r="GZ52" s="103"/>
      <c r="HA52" s="103"/>
      <c r="HB52" s="103"/>
      <c r="HC52" s="103"/>
      <c r="HD52" s="103"/>
      <c r="HE52" s="103"/>
      <c r="HF52" s="103"/>
      <c r="HG52" s="103"/>
      <c r="HH52" s="103"/>
      <c r="HI52" s="103"/>
      <c r="HJ52" s="103"/>
      <c r="HK52" s="103"/>
      <c r="HL52" s="103"/>
      <c r="HM52" s="103"/>
      <c r="HN52" s="103"/>
      <c r="HO52" s="103"/>
      <c r="HP52" s="103"/>
      <c r="HQ52" s="103"/>
      <c r="HR52" s="103"/>
      <c r="HS52" s="103"/>
      <c r="HT52" s="103"/>
      <c r="HU52" s="103"/>
      <c r="HV52" s="103"/>
      <c r="HW52" s="103"/>
      <c r="HX52" s="103"/>
      <c r="HY52" s="103"/>
      <c r="HZ52" s="103"/>
      <c r="IA52" s="103"/>
      <c r="IB52" s="103"/>
      <c r="IC52" s="103"/>
      <c r="ID52" s="103"/>
      <c r="IE52" s="103"/>
      <c r="IF52" s="103"/>
      <c r="IG52" s="103"/>
      <c r="IH52" s="103"/>
      <c r="II52" s="103"/>
      <c r="IJ52" s="103"/>
      <c r="IK52" s="103"/>
      <c r="IL52" s="103"/>
      <c r="IM52" s="103"/>
      <c r="IN52" s="103"/>
      <c r="IO52" s="103"/>
      <c r="IP52" s="103"/>
      <c r="IQ52" s="103"/>
      <c r="IR52" s="103"/>
      <c r="IS52" s="103"/>
      <c r="IT52" s="103"/>
      <c r="IU52" s="103"/>
      <c r="IV52" s="103"/>
      <c r="IW52" s="103"/>
    </row>
    <row r="53" customFormat="false" ht="13.2" hidden="false" customHeight="false" outlineLevel="0" collapsed="false"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27"/>
    </row>
    <row r="54" customFormat="false" ht="13.8" hidden="false" customHeight="false" outlineLevel="0" collapsed="false">
      <c r="A54" s="121" t="s">
        <v>164</v>
      </c>
      <c r="B54" s="122" t="n">
        <f aca="false">B51+B52</f>
        <v>10126543.426477</v>
      </c>
      <c r="C54" s="122" t="n">
        <f aca="false">C51+C52</f>
        <v>9170489.3922405</v>
      </c>
      <c r="D54" s="122" t="n">
        <f aca="false">D51+D52</f>
        <v>9941237.6276975</v>
      </c>
      <c r="E54" s="122" t="n">
        <f aca="false">E51+E52</f>
        <v>9070561.5533705</v>
      </c>
      <c r="F54" s="122" t="n">
        <f aca="false">F51+F52</f>
        <v>9109434.3531445</v>
      </c>
      <c r="G54" s="122" t="n">
        <f aca="false">G51+G52</f>
        <v>8915578.554252</v>
      </c>
      <c r="H54" s="122" t="n">
        <f aca="false">H51+H52</f>
        <v>9574383.3505</v>
      </c>
      <c r="I54" s="122" t="n">
        <f aca="false">I51+I52</f>
        <v>9264417.352263</v>
      </c>
      <c r="J54" s="122" t="n">
        <f aca="false">J51+J52</f>
        <v>9070561.5533705</v>
      </c>
      <c r="K54" s="122" t="n">
        <f aca="false">K51+K52</f>
        <v>10311849.2252565</v>
      </c>
      <c r="L54" s="122" t="n">
        <f aca="false">L51+L52</f>
        <v>9375478.551246</v>
      </c>
      <c r="M54" s="122" t="n">
        <f aca="false">M51+M52</f>
        <v>9570626.0301385</v>
      </c>
      <c r="N54" s="123" t="n">
        <f aca="false">SUM(B54:M54)</f>
        <v>113501160.969956</v>
      </c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4.4" hidden="false" customHeight="false" outlineLevel="0" collapsed="false">
      <c r="A55" s="125" t="s">
        <v>165</v>
      </c>
      <c r="B55" s="126" t="n">
        <f aca="false">B54/Factors!C11</f>
        <v>2353140.52356231</v>
      </c>
      <c r="C55" s="126" t="n">
        <f aca="false">C54/Factors!D11</f>
        <v>2128003.84368003</v>
      </c>
      <c r="D55" s="126" t="n">
        <f aca="false">D54/Factors!E11</f>
        <v>2303639.19105668</v>
      </c>
      <c r="E55" s="126" t="n">
        <f aca="false">E54/Factors!F11</f>
        <v>2098955.01405896</v>
      </c>
      <c r="F55" s="126" t="n">
        <f aca="false">F54/Factors!G11</f>
        <v>2105019.67983886</v>
      </c>
      <c r="G55" s="126" t="n">
        <f aca="false">G54/Factors!H11</f>
        <v>2057362.94907115</v>
      </c>
      <c r="H55" s="126" t="n">
        <f aca="false">H54/Factors!I11</f>
        <v>2206325.91649906</v>
      </c>
      <c r="I55" s="126" t="n">
        <f aca="false">I54/Factors!J11</f>
        <v>2131941.43778884</v>
      </c>
      <c r="J55" s="126" t="n">
        <f aca="false">J54/Factors!K11</f>
        <v>2084445.15320728</v>
      </c>
      <c r="K55" s="126" t="n">
        <f aca="false">K54/Factors!L11</f>
        <v>2366425.40920263</v>
      </c>
      <c r="L55" s="126" t="n">
        <f aca="false">L54/Factors!M11</f>
        <v>2148574.94011545</v>
      </c>
      <c r="M55" s="126" t="n">
        <f aca="false">M54/Factors!N11</f>
        <v>2190276.93389729</v>
      </c>
      <c r="N55" s="127" t="n">
        <f aca="false">SUM(B55:M55)</f>
        <v>26174110.9919785</v>
      </c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8"/>
      <c r="IN55" s="128"/>
      <c r="IO55" s="128"/>
      <c r="IP55" s="128"/>
      <c r="IQ55" s="128"/>
      <c r="IR55" s="128"/>
      <c r="IS55" s="128"/>
      <c r="IT55" s="128"/>
      <c r="IU55" s="128"/>
      <c r="IV55" s="128"/>
      <c r="IW55" s="128"/>
    </row>
    <row r="56" customFormat="false" ht="13.8" hidden="false" customHeight="false" outlineLevel="0" collapsed="false">
      <c r="A56" s="12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1"/>
    </row>
    <row r="57" customFormat="false" ht="13.2" hidden="false" customHeight="false" outlineLevel="0" collapsed="false">
      <c r="A57" s="12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1"/>
    </row>
    <row r="58" customFormat="false" ht="13.2" hidden="false" customHeight="false" outlineLevel="0" collapsed="false">
      <c r="A58" s="130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1"/>
    </row>
    <row r="59" customFormat="false" ht="13.8" hidden="false" customHeight="false" outlineLevel="0" collapsed="false">
      <c r="A59" s="131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1"/>
    </row>
    <row r="60" customFormat="false" ht="13.2" hidden="false" customHeight="false" outlineLevel="0" collapsed="false">
      <c r="A60" s="10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</row>
    <row r="61" customFormat="false" ht="13.2" hidden="false" customHeight="false" outlineLevel="0" collapsed="false">
      <c r="A61" s="10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</row>
    <row r="62" customFormat="false" ht="13.2" hidden="false" customHeight="false" outlineLevel="0" collapsed="false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</row>
    <row r="63" customFormat="false" ht="13.2" hidden="false" customHeight="false" outlineLevel="0" collapsed="false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</row>
    <row r="64" customFormat="false" ht="13.2" hidden="false" customHeight="false" outlineLevel="0" collapsed="false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</row>
    <row r="65" customFormat="false" ht="13.2" hidden="false" customHeight="false" outlineLevel="0" collapsed="false">
      <c r="A65" s="133"/>
      <c r="B65" s="133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</row>
    <row r="66" customFormat="false" ht="13.2" hidden="false" customHeight="false" outlineLevel="0" collapsed="false">
      <c r="A66" s="133"/>
      <c r="B66" s="133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customFormat="false" ht="13.2" hidden="false" customHeight="false" outlineLevel="0" collapsed="false">
      <c r="A67" s="133"/>
      <c r="B67" s="133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</row>
    <row r="68" customFormat="false" ht="13.2" hidden="false" customHeight="false" outlineLevel="0" collapsed="false">
      <c r="A68" s="133"/>
      <c r="B68" s="133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</row>
    <row r="69" customFormat="false" ht="13.2" hidden="false" customHeight="false" outlineLevel="0" collapsed="false">
      <c r="A69" s="133"/>
      <c r="B69" s="133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3.2" hidden="false" customHeight="false" outlineLevel="0" collapsed="false">
      <c r="A70" s="133"/>
      <c r="B70" s="133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3.2" hidden="false" customHeight="false" outlineLevel="0" collapsed="false">
      <c r="A71" s="133"/>
      <c r="B71" s="133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3.2" hidden="false" customHeight="false" outlineLevel="0" collapsed="false">
      <c r="A72" s="133"/>
      <c r="B72" s="133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</row>
    <row r="73" customFormat="false" ht="13.2" hidden="false" customHeight="false" outlineLevel="0" collapsed="false">
      <c r="A73" s="130"/>
      <c r="B73" s="13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</row>
    <row r="74" customFormat="false" ht="13.2" hidden="false" customHeight="false" outlineLevel="0" collapsed="false">
      <c r="A74" s="134"/>
      <c r="B74" s="134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</row>
    <row r="75" customFormat="false" ht="13.2" hidden="false" customHeight="false" outlineLevel="0" collapsed="false">
      <c r="A75" s="134"/>
      <c r="B75" s="134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</row>
    <row r="76" customFormat="false" ht="13.8" hidden="false" customHeight="false" outlineLevel="0" collapsed="false">
      <c r="A76" s="135"/>
      <c r="B76" s="135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</row>
    <row r="77" customFormat="false" ht="13.8" hidden="false" customHeight="false" outlineLevel="0" collapsed="false">
      <c r="A77" s="135"/>
      <c r="B77" s="135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</row>
    <row r="78" customFormat="false" ht="13.8" hidden="false" customHeight="false" outlineLevel="0" collapsed="false">
      <c r="A78" s="135"/>
      <c r="B78" s="135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</row>
    <row r="79" customFormat="false" ht="13.2" hidden="false" customHeight="false" outlineLevel="0" collapsed="false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</row>
    <row r="80" customFormat="false" ht="13.8" hidden="false" customHeight="false" outlineLevel="0" collapsed="false">
      <c r="A80" s="135"/>
      <c r="B80" s="135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</row>
    <row r="81" customFormat="false" ht="13.8" hidden="false" customHeight="false" outlineLevel="0" collapsed="false">
      <c r="A81" s="135"/>
      <c r="B81" s="135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</row>
  </sheetData>
  <mergeCells count="1">
    <mergeCell ref="B6:B7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63"/>
  <sheetViews>
    <sheetView showFormulas="false" showGridLines="true" showRowColHeaders="true" showZeros="true" rightToLeft="false" tabSelected="false" showOutlineSymbols="true" defaultGridColor="true" view="pageBreakPreview" topLeftCell="B1" colorId="64" zoomScale="75" zoomScaleNormal="75" zoomScalePageLayoutView="75" workbookViewId="0">
      <selection pane="topLeft" activeCell="C7" activeCellId="0" sqref="C7:C13"/>
    </sheetView>
  </sheetViews>
  <sheetFormatPr defaultColWidth="9.0546875" defaultRowHeight="13.2" customHeight="true" zeroHeight="false" outlineLevelRow="0" outlineLevelCol="0"/>
  <cols>
    <col collapsed="false" customWidth="false" hidden="true" outlineLevel="0" max="1" min="1" style="2" width="9.06"/>
    <col collapsed="false" customWidth="true" hidden="false" outlineLevel="0" max="2" min="2" style="2" width="34.66"/>
    <col collapsed="false" customWidth="true" hidden="false" outlineLevel="0" max="14" min="3" style="2" width="10.43"/>
    <col collapsed="false" customWidth="true" hidden="false" outlineLevel="0" max="15" min="15" style="2" width="19.55"/>
    <col collapsed="false" customWidth="true" hidden="false" outlineLevel="0" max="17" min="17" style="2" width="24.33"/>
    <col collapsed="false" customWidth="true" hidden="false" outlineLevel="0" max="30" min="30" style="2" width="10.43"/>
    <col collapsed="false" customWidth="true" hidden="false" outlineLevel="0" max="32" min="32" style="2" width="24.55"/>
    <col collapsed="false" customWidth="true" hidden="false" outlineLevel="0" max="45" min="45" style="2" width="10.87"/>
  </cols>
  <sheetData>
    <row r="1" customFormat="false" ht="13.2" hidden="false" customHeight="false" outlineLevel="0" collapsed="false">
      <c r="B1" s="7" t="s">
        <v>166</v>
      </c>
      <c r="Q1" s="7" t="s">
        <v>167</v>
      </c>
      <c r="AF1" s="7" t="s">
        <v>167</v>
      </c>
    </row>
    <row r="2" customFormat="false" ht="21" hidden="false" customHeight="false" outlineLevel="0" collapsed="false">
      <c r="B2" s="6" t="s">
        <v>168</v>
      </c>
      <c r="Q2" s="7"/>
      <c r="AF2" s="7"/>
    </row>
    <row r="3" customFormat="false" ht="17.4" hidden="false" customHeight="false" outlineLevel="0" collapsed="false">
      <c r="B3" s="136" t="s">
        <v>169</v>
      </c>
    </row>
    <row r="4" customFormat="false" ht="30" hidden="false" customHeight="true" outlineLevel="0" collapsed="false">
      <c r="Q4" s="2" t="s">
        <v>170</v>
      </c>
      <c r="AF4" s="2" t="s">
        <v>170</v>
      </c>
    </row>
    <row r="5" customFormat="false" ht="13.2" hidden="false" customHeight="false" outlineLevel="0" collapsed="false">
      <c r="C5" s="27" t="s">
        <v>41</v>
      </c>
      <c r="D5" s="27" t="s">
        <v>42</v>
      </c>
      <c r="E5" s="27" t="s">
        <v>43</v>
      </c>
      <c r="F5" s="27" t="s">
        <v>44</v>
      </c>
      <c r="G5" s="27" t="s">
        <v>45</v>
      </c>
      <c r="H5" s="27" t="s">
        <v>46</v>
      </c>
      <c r="I5" s="27" t="s">
        <v>47</v>
      </c>
      <c r="J5" s="27" t="s">
        <v>48</v>
      </c>
      <c r="K5" s="27" t="s">
        <v>49</v>
      </c>
      <c r="L5" s="27" t="s">
        <v>50</v>
      </c>
      <c r="M5" s="27" t="s">
        <v>51</v>
      </c>
      <c r="N5" s="27" t="s">
        <v>52</v>
      </c>
      <c r="O5" s="8" t="s">
        <v>66</v>
      </c>
      <c r="R5" s="27" t="s">
        <v>41</v>
      </c>
      <c r="S5" s="27" t="s">
        <v>42</v>
      </c>
      <c r="T5" s="27" t="s">
        <v>43</v>
      </c>
      <c r="U5" s="27" t="s">
        <v>44</v>
      </c>
      <c r="V5" s="27" t="s">
        <v>45</v>
      </c>
      <c r="W5" s="27" t="s">
        <v>46</v>
      </c>
      <c r="X5" s="27" t="s">
        <v>47</v>
      </c>
      <c r="Y5" s="27" t="s">
        <v>48</v>
      </c>
      <c r="Z5" s="27" t="s">
        <v>49</v>
      </c>
      <c r="AA5" s="27" t="s">
        <v>50</v>
      </c>
      <c r="AB5" s="27" t="s">
        <v>51</v>
      </c>
      <c r="AC5" s="27" t="s">
        <v>52</v>
      </c>
      <c r="AD5" s="2" t="s">
        <v>171</v>
      </c>
      <c r="AG5" s="27" t="s">
        <v>41</v>
      </c>
      <c r="AH5" s="27" t="s">
        <v>42</v>
      </c>
      <c r="AI5" s="27" t="s">
        <v>43</v>
      </c>
      <c r="AJ5" s="27" t="s">
        <v>44</v>
      </c>
      <c r="AK5" s="27" t="s">
        <v>45</v>
      </c>
      <c r="AL5" s="27" t="s">
        <v>46</v>
      </c>
      <c r="AM5" s="27" t="s">
        <v>47</v>
      </c>
      <c r="AN5" s="27" t="s">
        <v>48</v>
      </c>
      <c r="AO5" s="27" t="s">
        <v>49</v>
      </c>
      <c r="AP5" s="27" t="s">
        <v>50</v>
      </c>
      <c r="AQ5" s="27" t="s">
        <v>51</v>
      </c>
      <c r="AR5" s="27" t="s">
        <v>52</v>
      </c>
      <c r="AS5" s="2" t="s">
        <v>171</v>
      </c>
    </row>
    <row r="6" customFormat="false" ht="5.4" hidden="false" customHeight="true" outlineLevel="0" collapsed="false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</row>
    <row r="7" customFormat="false" ht="13.2" hidden="false" customHeight="false" outlineLevel="0" collapsed="false">
      <c r="A7" s="137" t="s">
        <v>172</v>
      </c>
      <c r="B7" s="45" t="s">
        <v>173</v>
      </c>
      <c r="C7" s="138" t="n">
        <v>29358</v>
      </c>
      <c r="D7" s="138" t="n">
        <f aca="false">C7</f>
        <v>29358</v>
      </c>
      <c r="E7" s="138" t="n">
        <f aca="false">D7</f>
        <v>29358</v>
      </c>
      <c r="F7" s="138" t="n">
        <f aca="false">E7</f>
        <v>29358</v>
      </c>
      <c r="G7" s="138" t="n">
        <f aca="false">F7</f>
        <v>29358</v>
      </c>
      <c r="H7" s="138" t="n">
        <f aca="false">G7</f>
        <v>29358</v>
      </c>
      <c r="I7" s="138" t="n">
        <f aca="false">H7</f>
        <v>29358</v>
      </c>
      <c r="J7" s="138" t="n">
        <f aca="false">I7</f>
        <v>29358</v>
      </c>
      <c r="K7" s="138" t="n">
        <f aca="false">J7</f>
        <v>29358</v>
      </c>
      <c r="L7" s="138" t="n">
        <f aca="false">K7</f>
        <v>29358</v>
      </c>
      <c r="M7" s="138" t="n">
        <f aca="false">L7</f>
        <v>29358</v>
      </c>
      <c r="N7" s="138" t="n">
        <f aca="false">M7</f>
        <v>29358</v>
      </c>
      <c r="O7" s="139" t="n">
        <f aca="false">SUM(C7:N7)</f>
        <v>352296</v>
      </c>
      <c r="P7" s="139"/>
      <c r="Q7" s="45" t="s">
        <v>174</v>
      </c>
      <c r="R7" s="138" t="n">
        <v>36442</v>
      </c>
      <c r="S7" s="138" t="n">
        <v>36442</v>
      </c>
      <c r="T7" s="138" t="n">
        <v>36442</v>
      </c>
      <c r="U7" s="138" t="n">
        <v>36442</v>
      </c>
      <c r="V7" s="138" t="n">
        <v>36442</v>
      </c>
      <c r="W7" s="138" t="n">
        <v>36442</v>
      </c>
      <c r="X7" s="138" t="n">
        <v>36442</v>
      </c>
      <c r="Y7" s="138" t="n">
        <v>36442</v>
      </c>
      <c r="Z7" s="138" t="n">
        <v>36442</v>
      </c>
      <c r="AA7" s="138" t="n">
        <v>36442</v>
      </c>
      <c r="AB7" s="138" t="n">
        <v>36442</v>
      </c>
      <c r="AC7" s="138" t="n">
        <v>36442</v>
      </c>
      <c r="AD7" s="139" t="n">
        <f aca="false">SUM(R7:AC7)</f>
        <v>437304</v>
      </c>
      <c r="AF7" s="45" t="s">
        <v>174</v>
      </c>
      <c r="AG7" s="138" t="n">
        <v>36442</v>
      </c>
      <c r="AH7" s="138" t="n">
        <v>36442</v>
      </c>
      <c r="AI7" s="138" t="n">
        <v>36442</v>
      </c>
      <c r="AJ7" s="138" t="n">
        <v>36442</v>
      </c>
      <c r="AK7" s="138" t="n">
        <v>36442</v>
      </c>
      <c r="AL7" s="138" t="n">
        <v>36442</v>
      </c>
      <c r="AM7" s="138" t="n">
        <v>36442</v>
      </c>
      <c r="AN7" s="138" t="n">
        <v>36442</v>
      </c>
      <c r="AO7" s="138" t="n">
        <v>36442</v>
      </c>
      <c r="AP7" s="138" t="n">
        <v>36442</v>
      </c>
      <c r="AQ7" s="138" t="n">
        <v>36442</v>
      </c>
      <c r="AR7" s="138" t="n">
        <v>36442</v>
      </c>
      <c r="AS7" s="139" t="n">
        <f aca="false">SUM(AG7:AR7)</f>
        <v>437304</v>
      </c>
    </row>
    <row r="8" customFormat="false" ht="13.2" hidden="false" customHeight="false" outlineLevel="0" collapsed="false">
      <c r="A8" s="137" t="s">
        <v>175</v>
      </c>
      <c r="B8" s="45" t="s">
        <v>176</v>
      </c>
      <c r="C8" s="138" t="n">
        <v>125000</v>
      </c>
      <c r="D8" s="139" t="n">
        <v>115000</v>
      </c>
      <c r="E8" s="139" t="n">
        <f aca="false">D8</f>
        <v>115000</v>
      </c>
      <c r="F8" s="139" t="n">
        <v>120000</v>
      </c>
      <c r="G8" s="139" t="n">
        <f aca="false">F8</f>
        <v>120000</v>
      </c>
      <c r="H8" s="139" t="n">
        <v>130000</v>
      </c>
      <c r="I8" s="139" t="n">
        <f aca="false">H8</f>
        <v>130000</v>
      </c>
      <c r="J8" s="139" t="n">
        <f aca="false">I8</f>
        <v>130000</v>
      </c>
      <c r="K8" s="139" t="n">
        <f aca="false">J8</f>
        <v>130000</v>
      </c>
      <c r="L8" s="139" t="n">
        <v>125000</v>
      </c>
      <c r="M8" s="139" t="n">
        <f aca="false">L8</f>
        <v>125000</v>
      </c>
      <c r="N8" s="139" t="n">
        <v>120000</v>
      </c>
      <c r="O8" s="139" t="n">
        <f aca="false">SUM(C8:N8)</f>
        <v>1485000</v>
      </c>
      <c r="P8" s="139"/>
      <c r="Q8" s="45" t="s">
        <v>177</v>
      </c>
      <c r="R8" s="138" t="n">
        <f aca="false">C8*Factors!$R$16</f>
        <v>130000</v>
      </c>
      <c r="S8" s="138" t="n">
        <f aca="false">D8*Factors!$R$16</f>
        <v>119600</v>
      </c>
      <c r="T8" s="138" t="n">
        <f aca="false">E8*Factors!$R$16</f>
        <v>119600</v>
      </c>
      <c r="U8" s="138" t="n">
        <f aca="false">F8*Factors!$R$16</f>
        <v>124800</v>
      </c>
      <c r="V8" s="138" t="n">
        <f aca="false">G8*Factors!$R$16</f>
        <v>124800</v>
      </c>
      <c r="W8" s="138" t="n">
        <f aca="false">H8*Factors!$R$16</f>
        <v>135200</v>
      </c>
      <c r="X8" s="138" t="n">
        <f aca="false">I8*Factors!$R$16</f>
        <v>135200</v>
      </c>
      <c r="Y8" s="138" t="n">
        <f aca="false">J8*Factors!$R$16</f>
        <v>135200</v>
      </c>
      <c r="Z8" s="138" t="n">
        <f aca="false">K8*Factors!$R$16</f>
        <v>135200</v>
      </c>
      <c r="AA8" s="138" t="n">
        <f aca="false">L8*Factors!$R$16</f>
        <v>130000</v>
      </c>
      <c r="AB8" s="138" t="n">
        <f aca="false">M8*Factors!$R$16</f>
        <v>130000</v>
      </c>
      <c r="AC8" s="138" t="n">
        <f aca="false">N8*Factors!$R$16</f>
        <v>124800</v>
      </c>
      <c r="AD8" s="139" t="n">
        <f aca="false">SUM(R8:AC8)</f>
        <v>1544400</v>
      </c>
      <c r="AF8" s="45" t="s">
        <v>177</v>
      </c>
      <c r="AG8" s="138" t="n">
        <f aca="false">R8*Factors!$AG$16</f>
        <v>137800</v>
      </c>
      <c r="AH8" s="138" t="n">
        <f aca="false">S8*Factors!$AG$16</f>
        <v>126776</v>
      </c>
      <c r="AI8" s="138" t="n">
        <f aca="false">T8*Factors!$AG$16</f>
        <v>126776</v>
      </c>
      <c r="AJ8" s="138" t="n">
        <f aca="false">U8*Factors!$AG$16</f>
        <v>132288</v>
      </c>
      <c r="AK8" s="138" t="n">
        <f aca="false">V8*Factors!$AG$16</f>
        <v>132288</v>
      </c>
      <c r="AL8" s="138" t="n">
        <f aca="false">W8*Factors!$AG$16</f>
        <v>143312</v>
      </c>
      <c r="AM8" s="138" t="n">
        <f aca="false">X8*Factors!$AG$16</f>
        <v>143312</v>
      </c>
      <c r="AN8" s="138" t="n">
        <f aca="false">Y8*Factors!$AG$16</f>
        <v>143312</v>
      </c>
      <c r="AO8" s="138" t="n">
        <f aca="false">Z8*Factors!$AG$16</f>
        <v>143312</v>
      </c>
      <c r="AP8" s="138" t="n">
        <f aca="false">AA8*Factors!$AG$16</f>
        <v>137800</v>
      </c>
      <c r="AQ8" s="138" t="n">
        <f aca="false">AB8*Factors!$AG$16</f>
        <v>137800</v>
      </c>
      <c r="AR8" s="138" t="n">
        <f aca="false">AC8*Factors!$AG$16</f>
        <v>132288</v>
      </c>
      <c r="AS8" s="139" t="n">
        <f aca="false">SUM(AG8:AR8)</f>
        <v>1637064</v>
      </c>
    </row>
    <row r="9" customFormat="false" ht="13.2" hidden="false" customHeight="false" outlineLevel="0" collapsed="false">
      <c r="A9" s="137" t="s">
        <v>178</v>
      </c>
      <c r="B9" s="45" t="s">
        <v>179</v>
      </c>
      <c r="C9" s="138" t="n">
        <v>20000</v>
      </c>
      <c r="D9" s="139" t="n">
        <f aca="false">C9</f>
        <v>20000</v>
      </c>
      <c r="E9" s="139" t="n">
        <f aca="false">D9</f>
        <v>20000</v>
      </c>
      <c r="F9" s="139" t="n">
        <f aca="false">E9</f>
        <v>20000</v>
      </c>
      <c r="G9" s="139" t="n">
        <f aca="false">F9</f>
        <v>20000</v>
      </c>
      <c r="H9" s="139" t="n">
        <f aca="false">G9</f>
        <v>20000</v>
      </c>
      <c r="I9" s="139" t="n">
        <f aca="false">H9</f>
        <v>20000</v>
      </c>
      <c r="J9" s="139" t="n">
        <f aca="false">I9</f>
        <v>20000</v>
      </c>
      <c r="K9" s="139" t="n">
        <f aca="false">J9</f>
        <v>20000</v>
      </c>
      <c r="L9" s="139" t="n">
        <f aca="false">K9</f>
        <v>20000</v>
      </c>
      <c r="M9" s="139" t="n">
        <f aca="false">L9</f>
        <v>20000</v>
      </c>
      <c r="N9" s="139" t="n">
        <f aca="false">M9</f>
        <v>20000</v>
      </c>
      <c r="O9" s="139" t="n">
        <f aca="false">SUM(C9:N9)</f>
        <v>240000</v>
      </c>
      <c r="P9" s="139"/>
      <c r="Q9" s="45" t="s">
        <v>180</v>
      </c>
      <c r="R9" s="138" t="n">
        <f aca="false">C9*Factors!$R$16</f>
        <v>20800</v>
      </c>
      <c r="S9" s="138" t="n">
        <f aca="false">D9*Factors!$R$16</f>
        <v>20800</v>
      </c>
      <c r="T9" s="138" t="n">
        <f aca="false">E9*Factors!$R$16</f>
        <v>20800</v>
      </c>
      <c r="U9" s="138" t="n">
        <f aca="false">F9*Factors!$R$16</f>
        <v>20800</v>
      </c>
      <c r="V9" s="138" t="n">
        <f aca="false">G9*Factors!$R$16</f>
        <v>20800</v>
      </c>
      <c r="W9" s="138" t="n">
        <f aca="false">H9*Factors!$R$16</f>
        <v>20800</v>
      </c>
      <c r="X9" s="138" t="n">
        <f aca="false">I9*Factors!$R$16</f>
        <v>20800</v>
      </c>
      <c r="Y9" s="138" t="n">
        <f aca="false">J9*Factors!$R$16</f>
        <v>20800</v>
      </c>
      <c r="Z9" s="138" t="n">
        <f aca="false">K9*Factors!$R$16</f>
        <v>20800</v>
      </c>
      <c r="AA9" s="138" t="n">
        <f aca="false">L9*Factors!$R$16</f>
        <v>20800</v>
      </c>
      <c r="AB9" s="138" t="n">
        <f aca="false">M9*Factors!$R$16</f>
        <v>20800</v>
      </c>
      <c r="AC9" s="138" t="n">
        <f aca="false">N9*Factors!$R$16</f>
        <v>20800</v>
      </c>
      <c r="AD9" s="139" t="n">
        <f aca="false">SUM(R9:AC9)</f>
        <v>249600</v>
      </c>
      <c r="AF9" s="45" t="s">
        <v>180</v>
      </c>
      <c r="AG9" s="138" t="n">
        <f aca="false">R9*Factors!$AG$16</f>
        <v>22048</v>
      </c>
      <c r="AH9" s="138" t="n">
        <f aca="false">S9*Factors!$AG$16</f>
        <v>22048</v>
      </c>
      <c r="AI9" s="138" t="n">
        <f aca="false">T9*Factors!$AG$16</f>
        <v>22048</v>
      </c>
      <c r="AJ9" s="138" t="n">
        <f aca="false">U9*Factors!$AG$16</f>
        <v>22048</v>
      </c>
      <c r="AK9" s="138" t="n">
        <f aca="false">V9*Factors!$AG$16</f>
        <v>22048</v>
      </c>
      <c r="AL9" s="138" t="n">
        <f aca="false">W9*Factors!$AG$16</f>
        <v>22048</v>
      </c>
      <c r="AM9" s="138" t="n">
        <f aca="false">X9*Factors!$AG$16</f>
        <v>22048</v>
      </c>
      <c r="AN9" s="138" t="n">
        <f aca="false">Y9*Factors!$AG$16</f>
        <v>22048</v>
      </c>
      <c r="AO9" s="138" t="n">
        <f aca="false">Z9*Factors!$AG$16</f>
        <v>22048</v>
      </c>
      <c r="AP9" s="138" t="n">
        <f aca="false">AA9*Factors!$AG$16</f>
        <v>22048</v>
      </c>
      <c r="AQ9" s="138" t="n">
        <f aca="false">AB9*Factors!$AG$16</f>
        <v>22048</v>
      </c>
      <c r="AR9" s="138" t="n">
        <f aca="false">AC9*Factors!$AG$16</f>
        <v>22048</v>
      </c>
      <c r="AS9" s="139" t="n">
        <f aca="false">SUM(AG9:AR9)</f>
        <v>264576</v>
      </c>
    </row>
    <row r="10" customFormat="false" ht="13.2" hidden="false" customHeight="false" outlineLevel="0" collapsed="false">
      <c r="A10" s="137" t="s">
        <v>181</v>
      </c>
      <c r="B10" s="45" t="s">
        <v>182</v>
      </c>
      <c r="C10" s="138" t="n">
        <v>10000</v>
      </c>
      <c r="D10" s="139" t="n">
        <f aca="false">C10</f>
        <v>10000</v>
      </c>
      <c r="E10" s="139" t="n">
        <f aca="false">D10</f>
        <v>10000</v>
      </c>
      <c r="F10" s="139" t="n">
        <f aca="false">E10</f>
        <v>10000</v>
      </c>
      <c r="G10" s="139" t="n">
        <f aca="false">F10</f>
        <v>10000</v>
      </c>
      <c r="H10" s="139" t="n">
        <f aca="false">G10</f>
        <v>10000</v>
      </c>
      <c r="I10" s="139" t="n">
        <f aca="false">H10</f>
        <v>10000</v>
      </c>
      <c r="J10" s="139" t="n">
        <f aca="false">I10</f>
        <v>10000</v>
      </c>
      <c r="K10" s="139" t="n">
        <f aca="false">J10</f>
        <v>10000</v>
      </c>
      <c r="L10" s="139" t="n">
        <f aca="false">K10</f>
        <v>10000</v>
      </c>
      <c r="M10" s="139" t="n">
        <f aca="false">L10</f>
        <v>10000</v>
      </c>
      <c r="N10" s="139" t="n">
        <f aca="false">M10</f>
        <v>10000</v>
      </c>
      <c r="O10" s="139" t="n">
        <f aca="false">SUM(C10:N10)</f>
        <v>120000</v>
      </c>
      <c r="P10" s="139"/>
      <c r="Q10" s="45" t="s">
        <v>183</v>
      </c>
      <c r="R10" s="138" t="n">
        <f aca="false">C10*Factors!$R$16</f>
        <v>10400</v>
      </c>
      <c r="S10" s="138" t="n">
        <f aca="false">D10*Factors!$R$16</f>
        <v>10400</v>
      </c>
      <c r="T10" s="138" t="n">
        <f aca="false">E10*Factors!$R$16</f>
        <v>10400</v>
      </c>
      <c r="U10" s="138" t="n">
        <f aca="false">F10*Factors!$R$16</f>
        <v>10400</v>
      </c>
      <c r="V10" s="138" t="n">
        <f aca="false">G10*Factors!$R$16</f>
        <v>10400</v>
      </c>
      <c r="W10" s="138" t="n">
        <f aca="false">H10*Factors!$R$16</f>
        <v>10400</v>
      </c>
      <c r="X10" s="138" t="n">
        <f aca="false">I10*Factors!$R$16</f>
        <v>10400</v>
      </c>
      <c r="Y10" s="138" t="n">
        <f aca="false">J10*Factors!$R$16</f>
        <v>10400</v>
      </c>
      <c r="Z10" s="138" t="n">
        <f aca="false">K10*Factors!$R$16</f>
        <v>10400</v>
      </c>
      <c r="AA10" s="138" t="n">
        <f aca="false">L10*Factors!$R$16</f>
        <v>10400</v>
      </c>
      <c r="AB10" s="138" t="n">
        <f aca="false">M10*Factors!$R$16</f>
        <v>10400</v>
      </c>
      <c r="AC10" s="138" t="n">
        <f aca="false">N10*Factors!$R$16</f>
        <v>10400</v>
      </c>
      <c r="AD10" s="139" t="n">
        <f aca="false">SUM(R10:AC10)</f>
        <v>124800</v>
      </c>
      <c r="AF10" s="45" t="s">
        <v>183</v>
      </c>
      <c r="AG10" s="138" t="n">
        <f aca="false">R10*Factors!$AG$16</f>
        <v>11024</v>
      </c>
      <c r="AH10" s="138" t="n">
        <f aca="false">S10*Factors!$AG$16</f>
        <v>11024</v>
      </c>
      <c r="AI10" s="138" t="n">
        <f aca="false">T10*Factors!$AG$16</f>
        <v>11024</v>
      </c>
      <c r="AJ10" s="138" t="n">
        <f aca="false">U10*Factors!$AG$16</f>
        <v>11024</v>
      </c>
      <c r="AK10" s="138" t="n">
        <f aca="false">V10*Factors!$AG$16</f>
        <v>11024</v>
      </c>
      <c r="AL10" s="138" t="n">
        <f aca="false">W10*Factors!$AG$16</f>
        <v>11024</v>
      </c>
      <c r="AM10" s="138" t="n">
        <f aca="false">X10*Factors!$AG$16</f>
        <v>11024</v>
      </c>
      <c r="AN10" s="138" t="n">
        <f aca="false">Y10*Factors!$AG$16</f>
        <v>11024</v>
      </c>
      <c r="AO10" s="138" t="n">
        <f aca="false">Z10*Factors!$AG$16</f>
        <v>11024</v>
      </c>
      <c r="AP10" s="138" t="n">
        <f aca="false">AA10*Factors!$AG$16</f>
        <v>11024</v>
      </c>
      <c r="AQ10" s="138" t="n">
        <f aca="false">AB10*Factors!$AG$16</f>
        <v>11024</v>
      </c>
      <c r="AR10" s="138" t="n">
        <f aca="false">AC10*Factors!$AG$16</f>
        <v>11024</v>
      </c>
      <c r="AS10" s="139" t="n">
        <f aca="false">SUM(AG10:AR10)</f>
        <v>132288</v>
      </c>
    </row>
    <row r="11" customFormat="false" ht="13.2" hidden="false" customHeight="false" outlineLevel="0" collapsed="false">
      <c r="A11" s="137" t="s">
        <v>184</v>
      </c>
      <c r="B11" s="45" t="s">
        <v>185</v>
      </c>
      <c r="C11" s="138" t="n">
        <v>4500</v>
      </c>
      <c r="D11" s="139" t="n">
        <f aca="false">C11</f>
        <v>4500</v>
      </c>
      <c r="E11" s="139" t="n">
        <f aca="false">D11</f>
        <v>4500</v>
      </c>
      <c r="F11" s="139" t="n">
        <f aca="false">E11</f>
        <v>4500</v>
      </c>
      <c r="G11" s="139" t="n">
        <f aca="false">F11</f>
        <v>4500</v>
      </c>
      <c r="H11" s="139" t="n">
        <f aca="false">G11</f>
        <v>4500</v>
      </c>
      <c r="I11" s="139" t="n">
        <f aca="false">H11</f>
        <v>4500</v>
      </c>
      <c r="J11" s="139" t="n">
        <f aca="false">I11</f>
        <v>4500</v>
      </c>
      <c r="K11" s="139" t="n">
        <f aca="false">J11</f>
        <v>4500</v>
      </c>
      <c r="L11" s="139" t="n">
        <f aca="false">K11</f>
        <v>4500</v>
      </c>
      <c r="M11" s="139" t="n">
        <f aca="false">L11</f>
        <v>4500</v>
      </c>
      <c r="N11" s="139" t="n">
        <f aca="false">M11</f>
        <v>4500</v>
      </c>
      <c r="O11" s="139" t="n">
        <f aca="false">SUM(C11:N11)</f>
        <v>54000</v>
      </c>
      <c r="P11" s="139"/>
      <c r="Q11" s="45" t="s">
        <v>186</v>
      </c>
      <c r="R11" s="138" t="n">
        <f aca="false">C11*Factors!$R$16</f>
        <v>4680</v>
      </c>
      <c r="S11" s="138" t="n">
        <f aca="false">D11*Factors!$R$16</f>
        <v>4680</v>
      </c>
      <c r="T11" s="138" t="n">
        <f aca="false">E11*Factors!$R$16</f>
        <v>4680</v>
      </c>
      <c r="U11" s="138" t="n">
        <f aca="false">F11*Factors!$R$16</f>
        <v>4680</v>
      </c>
      <c r="V11" s="138" t="n">
        <f aca="false">G11*Factors!$R$16</f>
        <v>4680</v>
      </c>
      <c r="W11" s="138" t="n">
        <f aca="false">H11*Factors!$R$16</f>
        <v>4680</v>
      </c>
      <c r="X11" s="138" t="n">
        <f aca="false">I11*Factors!$R$16</f>
        <v>4680</v>
      </c>
      <c r="Y11" s="138" t="n">
        <f aca="false">J11*Factors!$R$16</f>
        <v>4680</v>
      </c>
      <c r="Z11" s="138" t="n">
        <f aca="false">K11*Factors!$R$16</f>
        <v>4680</v>
      </c>
      <c r="AA11" s="138" t="n">
        <f aca="false">L11*Factors!$R$16</f>
        <v>4680</v>
      </c>
      <c r="AB11" s="138" t="n">
        <f aca="false">M11*Factors!$R$16</f>
        <v>4680</v>
      </c>
      <c r="AC11" s="138" t="n">
        <f aca="false">N11*Factors!$R$16</f>
        <v>4680</v>
      </c>
      <c r="AD11" s="139" t="n">
        <f aca="false">SUM(R11:AC11)</f>
        <v>56160</v>
      </c>
      <c r="AF11" s="45" t="s">
        <v>186</v>
      </c>
      <c r="AG11" s="138" t="n">
        <f aca="false">R11*Factors!$AG$16</f>
        <v>4960.8</v>
      </c>
      <c r="AH11" s="138" t="n">
        <f aca="false">S11*Factors!$AG$16</f>
        <v>4960.8</v>
      </c>
      <c r="AI11" s="138" t="n">
        <f aca="false">T11*Factors!$AG$16</f>
        <v>4960.8</v>
      </c>
      <c r="AJ11" s="138" t="n">
        <f aca="false">U11*Factors!$AG$16</f>
        <v>4960.8</v>
      </c>
      <c r="AK11" s="138" t="n">
        <f aca="false">V11*Factors!$AG$16</f>
        <v>4960.8</v>
      </c>
      <c r="AL11" s="138" t="n">
        <f aca="false">W11*Factors!$AG$16</f>
        <v>4960.8</v>
      </c>
      <c r="AM11" s="138" t="n">
        <f aca="false">X11*Factors!$AG$16</f>
        <v>4960.8</v>
      </c>
      <c r="AN11" s="138" t="n">
        <f aca="false">Y11*Factors!$AG$16</f>
        <v>4960.8</v>
      </c>
      <c r="AO11" s="138" t="n">
        <f aca="false">Z11*Factors!$AG$16</f>
        <v>4960.8</v>
      </c>
      <c r="AP11" s="138" t="n">
        <f aca="false">AA11*Factors!$AG$16</f>
        <v>4960.8</v>
      </c>
      <c r="AQ11" s="138" t="n">
        <f aca="false">AB11*Factors!$AG$16</f>
        <v>4960.8</v>
      </c>
      <c r="AR11" s="138" t="n">
        <f aca="false">AC11*Factors!$AG$16</f>
        <v>4960.8</v>
      </c>
      <c r="AS11" s="139" t="n">
        <f aca="false">SUM(AG11:AR11)</f>
        <v>59529.6</v>
      </c>
    </row>
    <row r="12" customFormat="false" ht="13.2" hidden="false" customHeight="false" outlineLevel="0" collapsed="false">
      <c r="A12" s="137" t="s">
        <v>187</v>
      </c>
      <c r="B12" s="45" t="s">
        <v>188</v>
      </c>
      <c r="C12" s="138" t="n">
        <v>3200</v>
      </c>
      <c r="D12" s="139" t="n">
        <f aca="false">C12</f>
        <v>3200</v>
      </c>
      <c r="E12" s="139" t="n">
        <f aca="false">D12</f>
        <v>3200</v>
      </c>
      <c r="F12" s="139" t="n">
        <f aca="false">E12</f>
        <v>3200</v>
      </c>
      <c r="G12" s="139" t="n">
        <f aca="false">F12</f>
        <v>3200</v>
      </c>
      <c r="H12" s="139" t="n">
        <f aca="false">G12</f>
        <v>3200</v>
      </c>
      <c r="I12" s="139" t="n">
        <f aca="false">H12</f>
        <v>3200</v>
      </c>
      <c r="J12" s="139" t="n">
        <f aca="false">I12</f>
        <v>3200</v>
      </c>
      <c r="K12" s="139" t="n">
        <f aca="false">J12</f>
        <v>3200</v>
      </c>
      <c r="L12" s="139" t="n">
        <f aca="false">K12</f>
        <v>3200</v>
      </c>
      <c r="M12" s="139" t="n">
        <f aca="false">L12</f>
        <v>3200</v>
      </c>
      <c r="N12" s="139" t="n">
        <f aca="false">M12</f>
        <v>3200</v>
      </c>
      <c r="O12" s="139" t="n">
        <f aca="false">SUM(C12:N12)</f>
        <v>38400</v>
      </c>
      <c r="P12" s="139"/>
      <c r="Q12" s="45" t="s">
        <v>189</v>
      </c>
      <c r="R12" s="138" t="n">
        <f aca="false">C12*Factors!$R$16</f>
        <v>3328</v>
      </c>
      <c r="S12" s="138" t="n">
        <f aca="false">D12*Factors!$R$16</f>
        <v>3328</v>
      </c>
      <c r="T12" s="138" t="n">
        <f aca="false">E12*Factors!$R$16</f>
        <v>3328</v>
      </c>
      <c r="U12" s="138" t="n">
        <f aca="false">F12*Factors!$R$16</f>
        <v>3328</v>
      </c>
      <c r="V12" s="138" t="n">
        <f aca="false">G12*Factors!$R$16</f>
        <v>3328</v>
      </c>
      <c r="W12" s="138" t="n">
        <f aca="false">H12*Factors!$R$16</f>
        <v>3328</v>
      </c>
      <c r="X12" s="138" t="n">
        <f aca="false">I12*Factors!$R$16</f>
        <v>3328</v>
      </c>
      <c r="Y12" s="138" t="n">
        <f aca="false">J12*Factors!$R$16</f>
        <v>3328</v>
      </c>
      <c r="Z12" s="138" t="n">
        <f aca="false">K12*Factors!$R$16</f>
        <v>3328</v>
      </c>
      <c r="AA12" s="138" t="n">
        <f aca="false">L12*Factors!$R$16</f>
        <v>3328</v>
      </c>
      <c r="AB12" s="138" t="n">
        <f aca="false">M12*Factors!$R$16</f>
        <v>3328</v>
      </c>
      <c r="AC12" s="138" t="n">
        <f aca="false">N12*Factors!$R$16</f>
        <v>3328</v>
      </c>
      <c r="AD12" s="139" t="n">
        <f aca="false">SUM(R12:AC12)</f>
        <v>39936</v>
      </c>
      <c r="AF12" s="45" t="s">
        <v>189</v>
      </c>
      <c r="AG12" s="138" t="n">
        <f aca="false">R12*Factors!$AG$16</f>
        <v>3527.68</v>
      </c>
      <c r="AH12" s="138" t="n">
        <f aca="false">S12*Factors!$AG$16</f>
        <v>3527.68</v>
      </c>
      <c r="AI12" s="138" t="n">
        <f aca="false">T12*Factors!$AG$16</f>
        <v>3527.68</v>
      </c>
      <c r="AJ12" s="138" t="n">
        <f aca="false">U12*Factors!$AG$16</f>
        <v>3527.68</v>
      </c>
      <c r="AK12" s="138" t="n">
        <f aca="false">V12*Factors!$AG$16</f>
        <v>3527.68</v>
      </c>
      <c r="AL12" s="138" t="n">
        <f aca="false">W12*Factors!$AG$16</f>
        <v>3527.68</v>
      </c>
      <c r="AM12" s="138" t="n">
        <f aca="false">X12*Factors!$AG$16</f>
        <v>3527.68</v>
      </c>
      <c r="AN12" s="138" t="n">
        <f aca="false">Y12*Factors!$AG$16</f>
        <v>3527.68</v>
      </c>
      <c r="AO12" s="138" t="n">
        <f aca="false">Z12*Factors!$AG$16</f>
        <v>3527.68</v>
      </c>
      <c r="AP12" s="138" t="n">
        <f aca="false">AA12*Factors!$AG$16</f>
        <v>3527.68</v>
      </c>
      <c r="AQ12" s="138" t="n">
        <f aca="false">AB12*Factors!$AG$16</f>
        <v>3527.68</v>
      </c>
      <c r="AR12" s="138" t="n">
        <f aca="false">AC12*Factors!$AG$16</f>
        <v>3527.68</v>
      </c>
      <c r="AS12" s="139" t="n">
        <f aca="false">SUM(AG12:AR12)</f>
        <v>42332.16</v>
      </c>
    </row>
    <row r="13" customFormat="false" ht="13.2" hidden="false" customHeight="false" outlineLevel="0" collapsed="false">
      <c r="A13" s="48" t="s">
        <v>190</v>
      </c>
      <c r="B13" s="48" t="s">
        <v>191</v>
      </c>
      <c r="C13" s="49" t="n">
        <v>36443.45</v>
      </c>
      <c r="D13" s="50" t="n">
        <f aca="false">C13</f>
        <v>36443.45</v>
      </c>
      <c r="E13" s="50" t="n">
        <f aca="false">D13</f>
        <v>36443.45</v>
      </c>
      <c r="F13" s="50" t="n">
        <f aca="false">E13</f>
        <v>36443.45</v>
      </c>
      <c r="G13" s="50" t="n">
        <f aca="false">F13</f>
        <v>36443.45</v>
      </c>
      <c r="H13" s="50" t="n">
        <f aca="false">G13</f>
        <v>36443.45</v>
      </c>
      <c r="I13" s="50" t="n">
        <f aca="false">H13</f>
        <v>36443.45</v>
      </c>
      <c r="J13" s="50" t="n">
        <f aca="false">I13</f>
        <v>36443.45</v>
      </c>
      <c r="K13" s="50" t="n">
        <f aca="false">J13</f>
        <v>36443.45</v>
      </c>
      <c r="L13" s="50" t="n">
        <f aca="false">K13</f>
        <v>36443.45</v>
      </c>
      <c r="M13" s="50" t="n">
        <f aca="false">L13</f>
        <v>36443.45</v>
      </c>
      <c r="N13" s="50" t="n">
        <f aca="false">M13</f>
        <v>36443.45</v>
      </c>
      <c r="O13" s="139" t="n">
        <f aca="false">SUM(C13:N13)</f>
        <v>437321.4</v>
      </c>
      <c r="P13" s="48"/>
      <c r="Q13" s="48"/>
      <c r="R13" s="49" t="n">
        <v>36443.45</v>
      </c>
      <c r="S13" s="50" t="n">
        <f aca="false">R13</f>
        <v>36443.45</v>
      </c>
      <c r="T13" s="50" t="n">
        <f aca="false">S13</f>
        <v>36443.45</v>
      </c>
      <c r="U13" s="50" t="n">
        <f aca="false">T13</f>
        <v>36443.45</v>
      </c>
      <c r="V13" s="50" t="n">
        <f aca="false">U13</f>
        <v>36443.45</v>
      </c>
      <c r="W13" s="50" t="n">
        <f aca="false">V13</f>
        <v>36443.45</v>
      </c>
      <c r="X13" s="50" t="n">
        <f aca="false">W13</f>
        <v>36443.45</v>
      </c>
      <c r="Y13" s="50" t="n">
        <f aca="false">X13</f>
        <v>36443.45</v>
      </c>
      <c r="Z13" s="50" t="n">
        <f aca="false">Y13</f>
        <v>36443.45</v>
      </c>
      <c r="AA13" s="50" t="n">
        <f aca="false">Z13</f>
        <v>36443.45</v>
      </c>
      <c r="AB13" s="50" t="n">
        <f aca="false">AA13</f>
        <v>36443.45</v>
      </c>
      <c r="AC13" s="50" t="n">
        <f aca="false">AB13</f>
        <v>36443.45</v>
      </c>
      <c r="AD13" s="139" t="n">
        <f aca="false">SUM(R13:AC13)</f>
        <v>437321.4</v>
      </c>
      <c r="AE13" s="48"/>
      <c r="AF13" s="48"/>
      <c r="AG13" s="49" t="n">
        <v>36443.45</v>
      </c>
      <c r="AH13" s="50" t="n">
        <f aca="false">AG13</f>
        <v>36443.45</v>
      </c>
      <c r="AI13" s="50" t="n">
        <f aca="false">AH13</f>
        <v>36443.45</v>
      </c>
      <c r="AJ13" s="50" t="n">
        <f aca="false">AI13</f>
        <v>36443.45</v>
      </c>
      <c r="AK13" s="50" t="n">
        <f aca="false">AJ13</f>
        <v>36443.45</v>
      </c>
      <c r="AL13" s="50" t="n">
        <f aca="false">AK13</f>
        <v>36443.45</v>
      </c>
      <c r="AM13" s="50" t="n">
        <f aca="false">AL13</f>
        <v>36443.45</v>
      </c>
      <c r="AN13" s="50" t="n">
        <f aca="false">AM13</f>
        <v>36443.45</v>
      </c>
      <c r="AO13" s="50" t="n">
        <f aca="false">AN13</f>
        <v>36443.45</v>
      </c>
      <c r="AP13" s="50" t="n">
        <f aca="false">AO13</f>
        <v>36443.45</v>
      </c>
      <c r="AQ13" s="50" t="n">
        <f aca="false">AP13</f>
        <v>36443.45</v>
      </c>
      <c r="AR13" s="50" t="n">
        <f aca="false">AQ13</f>
        <v>36443.45</v>
      </c>
      <c r="AS13" s="139" t="n">
        <f aca="false">SUM(AG13:AR13)</f>
        <v>437321.4</v>
      </c>
    </row>
    <row r="14" customFormat="false" ht="13.8" hidden="false" customHeight="false" outlineLevel="0" collapsed="false">
      <c r="A14" s="48"/>
      <c r="B14" s="140" t="s">
        <v>66</v>
      </c>
      <c r="C14" s="39" t="n">
        <f aca="false">SUM(C7:C13)</f>
        <v>228501.45</v>
      </c>
      <c r="D14" s="39" t="n">
        <f aca="false">SUM(D7:D13)</f>
        <v>218501.45</v>
      </c>
      <c r="E14" s="39" t="n">
        <f aca="false">SUM(E7:E13)</f>
        <v>218501.45</v>
      </c>
      <c r="F14" s="39" t="n">
        <f aca="false">SUM(F7:F13)</f>
        <v>223501.45</v>
      </c>
      <c r="G14" s="39" t="n">
        <f aca="false">SUM(G7:G13)</f>
        <v>223501.45</v>
      </c>
      <c r="H14" s="39" t="n">
        <f aca="false">SUM(H7:H13)</f>
        <v>233501.45</v>
      </c>
      <c r="I14" s="39" t="n">
        <f aca="false">SUM(I7:I13)</f>
        <v>233501.45</v>
      </c>
      <c r="J14" s="39" t="n">
        <f aca="false">SUM(J7:J13)</f>
        <v>233501.45</v>
      </c>
      <c r="K14" s="39" t="n">
        <f aca="false">SUM(K7:K13)</f>
        <v>233501.45</v>
      </c>
      <c r="L14" s="39" t="n">
        <f aca="false">SUM(L7:L13)</f>
        <v>228501.45</v>
      </c>
      <c r="M14" s="39" t="n">
        <f aca="false">SUM(M7:M13)</f>
        <v>228501.45</v>
      </c>
      <c r="N14" s="39" t="n">
        <f aca="false">SUM(N7:N13)</f>
        <v>223501.45</v>
      </c>
      <c r="O14" s="39" t="n">
        <f aca="false">SUM(O7:O13)</f>
        <v>2727017.4</v>
      </c>
      <c r="P14" s="48"/>
      <c r="Q14" s="48"/>
      <c r="R14" s="49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139"/>
      <c r="AE14" s="48"/>
      <c r="AF14" s="48"/>
      <c r="AG14" s="49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139"/>
    </row>
    <row r="15" customFormat="false" ht="44.4" hidden="false" customHeight="true" outlineLevel="0" collapsed="false">
      <c r="A15" s="48"/>
      <c r="B15" s="48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48"/>
      <c r="P15" s="48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48"/>
      <c r="AD15" s="48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48"/>
      <c r="AR15" s="48"/>
      <c r="AS15" s="48"/>
    </row>
    <row r="16" customFormat="false" ht="13.2" hidden="false" customHeight="false" outlineLevel="0" collapsed="false">
      <c r="A16" s="48"/>
      <c r="B16" s="45" t="s">
        <v>192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48"/>
      <c r="P16" s="48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48"/>
      <c r="AD16" s="48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48"/>
      <c r="AR16" s="48"/>
      <c r="AS16" s="48"/>
    </row>
    <row r="17" customFormat="false" ht="13.8" hidden="false" customHeight="false" outlineLevel="0" collapsed="false">
      <c r="A17" s="141" t="s">
        <v>193</v>
      </c>
      <c r="B17" s="140" t="s">
        <v>66</v>
      </c>
      <c r="C17" s="142" t="n">
        <v>6800</v>
      </c>
      <c r="D17" s="143" t="n">
        <f aca="false">C17</f>
        <v>6800</v>
      </c>
      <c r="E17" s="143" t="n">
        <f aca="false">D17</f>
        <v>6800</v>
      </c>
      <c r="F17" s="143" t="n">
        <f aca="false">E17</f>
        <v>6800</v>
      </c>
      <c r="G17" s="143" t="n">
        <f aca="false">F17</f>
        <v>6800</v>
      </c>
      <c r="H17" s="143" t="n">
        <f aca="false">G17</f>
        <v>6800</v>
      </c>
      <c r="I17" s="143" t="n">
        <f aca="false">H17</f>
        <v>6800</v>
      </c>
      <c r="J17" s="143" t="n">
        <f aca="false">I17</f>
        <v>6800</v>
      </c>
      <c r="K17" s="143" t="n">
        <f aca="false">J17</f>
        <v>6800</v>
      </c>
      <c r="L17" s="143" t="n">
        <f aca="false">K17</f>
        <v>6800</v>
      </c>
      <c r="M17" s="143" t="n">
        <f aca="false">L17</f>
        <v>6800</v>
      </c>
      <c r="N17" s="143" t="n">
        <f aca="false">M17</f>
        <v>6800</v>
      </c>
      <c r="O17" s="143" t="n">
        <f aca="false">SUM(C17:N17)</f>
        <v>81600</v>
      </c>
      <c r="P17" s="139"/>
      <c r="Q17" s="144" t="s">
        <v>194</v>
      </c>
      <c r="R17" s="138" t="n">
        <f aca="false">C17*Factors!$R$16</f>
        <v>7072</v>
      </c>
      <c r="S17" s="138" t="n">
        <f aca="false">D17*Factors!$R$16</f>
        <v>7072</v>
      </c>
      <c r="T17" s="138" t="n">
        <f aca="false">E17*Factors!$R$16</f>
        <v>7072</v>
      </c>
      <c r="U17" s="138" t="n">
        <f aca="false">F17*Factors!$R$16</f>
        <v>7072</v>
      </c>
      <c r="V17" s="138" t="n">
        <f aca="false">G17*Factors!$R$16</f>
        <v>7072</v>
      </c>
      <c r="W17" s="138" t="n">
        <f aca="false">H17*Factors!$R$16</f>
        <v>7072</v>
      </c>
      <c r="X17" s="138" t="n">
        <f aca="false">I17*Factors!$R$16</f>
        <v>7072</v>
      </c>
      <c r="Y17" s="138" t="n">
        <f aca="false">J17*Factors!$R$16</f>
        <v>7072</v>
      </c>
      <c r="Z17" s="138" t="n">
        <f aca="false">K17*Factors!$R$16</f>
        <v>7072</v>
      </c>
      <c r="AA17" s="138" t="n">
        <f aca="false">L17*Factors!$R$16</f>
        <v>7072</v>
      </c>
      <c r="AB17" s="138" t="n">
        <f aca="false">M17*Factors!$R$16</f>
        <v>7072</v>
      </c>
      <c r="AC17" s="138" t="n">
        <f aca="false">N17*Factors!$R$16</f>
        <v>7072</v>
      </c>
      <c r="AD17" s="139" t="n">
        <f aca="false">SUM(R17:AC17)</f>
        <v>84864</v>
      </c>
      <c r="AF17" s="144" t="s">
        <v>194</v>
      </c>
      <c r="AG17" s="138" t="n">
        <f aca="false">R17*Factors!$AG$16</f>
        <v>7496.32</v>
      </c>
      <c r="AH17" s="138" t="n">
        <f aca="false">S17*Factors!$AG$16</f>
        <v>7496.32</v>
      </c>
      <c r="AI17" s="138" t="n">
        <f aca="false">T17*Factors!$AG$16</f>
        <v>7496.32</v>
      </c>
      <c r="AJ17" s="138" t="n">
        <f aca="false">U17*Factors!$AG$16</f>
        <v>7496.32</v>
      </c>
      <c r="AK17" s="138" t="n">
        <f aca="false">V17*Factors!$AG$16</f>
        <v>7496.32</v>
      </c>
      <c r="AL17" s="138" t="n">
        <f aca="false">W17*Factors!$AG$16</f>
        <v>7496.32</v>
      </c>
      <c r="AM17" s="138" t="n">
        <f aca="false">X17*Factors!$AG$16</f>
        <v>7496.32</v>
      </c>
      <c r="AN17" s="138" t="n">
        <f aca="false">Y17*Factors!$AG$16</f>
        <v>7496.32</v>
      </c>
      <c r="AO17" s="138" t="n">
        <f aca="false">Z17*Factors!$AG$16</f>
        <v>7496.32</v>
      </c>
      <c r="AP17" s="138" t="n">
        <f aca="false">AA17*Factors!$AG$16</f>
        <v>7496.32</v>
      </c>
      <c r="AQ17" s="138" t="n">
        <f aca="false">AB17*Factors!$AG$16</f>
        <v>7496.32</v>
      </c>
      <c r="AR17" s="138" t="n">
        <f aca="false">AC17*Factors!$AG$16</f>
        <v>7496.32</v>
      </c>
      <c r="AS17" s="139" t="n">
        <f aca="false">SUM(AG17:AR17)</f>
        <v>89955.84</v>
      </c>
    </row>
    <row r="18" customFormat="false" ht="13.8" hidden="false" customHeight="false" outlineLevel="0" collapsed="false"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</row>
    <row r="19" customFormat="false" ht="13.2" hidden="false" customHeight="false" outlineLevel="0" collapsed="false"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</row>
    <row r="20" customFormat="false" ht="13.2" hidden="false" customHeight="false" outlineLevel="0" collapsed="false"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</row>
    <row r="21" customFormat="false" ht="13.2" hidden="false" customHeight="false" outlineLevel="0" collapsed="false"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</row>
    <row r="22" customFormat="false" ht="13.2" hidden="false" customHeight="false" outlineLevel="0" collapsed="false"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customFormat="false" ht="13.2" hidden="false" customHeight="false" outlineLevel="0" collapsed="false"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</row>
    <row r="24" customFormat="false" ht="13.2" hidden="false" customHeight="false" outlineLevel="0" collapsed="false"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</row>
    <row r="25" customFormat="false" ht="13.2" hidden="false" customHeight="false" outlineLevel="0" collapsed="false"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</row>
    <row r="26" customFormat="false" ht="13.2" hidden="false" customHeight="false" outlineLevel="0" collapsed="false"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  <c r="P26" s="139"/>
      <c r="Q26" s="139"/>
      <c r="R26" s="139"/>
      <c r="S26" s="139"/>
    </row>
    <row r="27" customFormat="false" ht="13.2" hidden="false" customHeight="false" outlineLevel="0" collapsed="false"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</row>
    <row r="28" customFormat="false" ht="13.2" hidden="false" customHeight="false" outlineLevel="0" collapsed="false"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</row>
    <row r="29" customFormat="false" ht="13.2" hidden="false" customHeight="false" outlineLevel="0" collapsed="false"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</row>
    <row r="30" customFormat="false" ht="13.2" hidden="false" customHeight="false" outlineLevel="0" collapsed="false">
      <c r="O30" s="139"/>
      <c r="P30" s="139"/>
      <c r="Q30" s="139"/>
      <c r="R30" s="139"/>
      <c r="S30" s="139"/>
    </row>
    <row r="31" customFormat="false" ht="13.2" hidden="false" customHeight="false" outlineLevel="0" collapsed="false">
      <c r="O31" s="139"/>
      <c r="P31" s="139"/>
      <c r="Q31" s="139"/>
      <c r="R31" s="139"/>
      <c r="S31" s="139"/>
    </row>
    <row r="32" customFormat="false" ht="13.2" hidden="false" customHeight="false" outlineLevel="0" collapsed="false">
      <c r="O32" s="139"/>
      <c r="P32" s="139"/>
      <c r="Q32" s="139"/>
      <c r="R32" s="139"/>
      <c r="S32" s="139"/>
    </row>
    <row r="33" customFormat="false" ht="13.2" hidden="false" customHeight="false" outlineLevel="0" collapsed="false"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</row>
    <row r="34" customFormat="false" ht="13.2" hidden="false" customHeight="false" outlineLevel="0" collapsed="false"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</row>
    <row r="35" customFormat="false" ht="13.2" hidden="false" customHeight="false" outlineLevel="0" collapsed="false"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</row>
    <row r="36" customFormat="false" ht="13.2" hidden="false" customHeight="false" outlineLevel="0" collapsed="false"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</row>
    <row r="37" customFormat="false" ht="13.2" hidden="false" customHeight="false" outlineLevel="0" collapsed="false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</row>
    <row r="38" customFormat="false" ht="13.2" hidden="false" customHeight="false" outlineLevel="0" collapsed="false"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</row>
    <row r="39" customFormat="false" ht="13.2" hidden="false" customHeight="false" outlineLevel="0" collapsed="false"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</row>
    <row r="40" customFormat="false" ht="13.2" hidden="false" customHeight="false" outlineLevel="0" collapsed="false"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</row>
    <row r="41" customFormat="false" ht="13.2" hidden="false" customHeight="false" outlineLevel="0" collapsed="false"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</row>
    <row r="42" customFormat="false" ht="13.2" hidden="false" customHeight="false" outlineLevel="0" collapsed="false"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</row>
    <row r="43" customFormat="false" ht="13.2" hidden="false" customHeight="false" outlineLevel="0" collapsed="false"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</row>
    <row r="44" customFormat="false" ht="13.2" hidden="false" customHeight="false" outlineLevel="0" collapsed="false"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</row>
    <row r="45" customFormat="false" ht="13.2" hidden="false" customHeight="false" outlineLevel="0" collapsed="false"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customFormat="false" ht="13.2" hidden="false" customHeight="false" outlineLevel="0" collapsed="false"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customFormat="false" ht="13.2" hidden="false" customHeight="false" outlineLevel="0" collapsed="false"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</row>
    <row r="48" customFormat="false" ht="13.2" hidden="false" customHeight="false" outlineLevel="0" collapsed="false"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</row>
    <row r="49" customFormat="false" ht="13.2" hidden="false" customHeight="false" outlineLevel="0" collapsed="false"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</row>
    <row r="50" customFormat="false" ht="13.2" hidden="false" customHeight="false" outlineLevel="0" collapsed="false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</row>
    <row r="51" customFormat="false" ht="13.2" hidden="false" customHeight="false" outlineLevel="0" collapsed="false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</row>
    <row r="52" customFormat="false" ht="13.2" hidden="false" customHeight="false" outlineLevel="0" collapsed="false"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</row>
    <row r="53" customFormat="false" ht="13.2" hidden="false" customHeight="false" outlineLevel="0" collapsed="false"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</row>
    <row r="54" customFormat="false" ht="13.2" hidden="false" customHeight="false" outlineLevel="0" collapsed="false"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</row>
    <row r="55" customFormat="false" ht="13.2" hidden="false" customHeight="false" outlineLevel="0" collapsed="false"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</row>
    <row r="56" customFormat="false" ht="13.2" hidden="false" customHeight="false" outlineLevel="0" collapsed="false"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</row>
    <row r="57" customFormat="false" ht="13.2" hidden="false" customHeight="false" outlineLevel="0" collapsed="false"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</row>
    <row r="58" customFormat="false" ht="13.2" hidden="false" customHeight="false" outlineLevel="0" collapsed="false"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</row>
    <row r="59" customFormat="false" ht="13.2" hidden="false" customHeight="false" outlineLevel="0" collapsed="false"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</row>
    <row r="60" customFormat="false" ht="13.2" hidden="false" customHeight="false" outlineLevel="0" collapsed="false"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</row>
    <row r="61" customFormat="false" ht="13.2" hidden="false" customHeight="false" outlineLevel="0" collapsed="false"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</row>
    <row r="62" customFormat="false" ht="13.2" hidden="false" customHeight="false" outlineLevel="0" collapsed="false"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</row>
    <row r="63" customFormat="false" ht="13.2" hidden="false" customHeight="false" outlineLevel="0" collapsed="false"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</row>
    <row r="64" customFormat="false" ht="13.2" hidden="false" customHeight="false" outlineLevel="0" collapsed="false"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</row>
    <row r="65" customFormat="false" ht="13.2" hidden="false" customHeight="false" outlineLevel="0" collapsed="false"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</row>
    <row r="66" customFormat="false" ht="13.2" hidden="false" customHeight="false" outlineLevel="0" collapsed="false"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</row>
    <row r="67" customFormat="false" ht="13.2" hidden="false" customHeight="false" outlineLevel="0" collapsed="false"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</row>
    <row r="68" customFormat="false" ht="13.2" hidden="false" customHeight="false" outlineLevel="0" collapsed="false"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</row>
    <row r="69" customFormat="false" ht="13.2" hidden="false" customHeight="false" outlineLevel="0" collapsed="false"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</row>
    <row r="70" customFormat="false" ht="13.2" hidden="false" customHeight="false" outlineLevel="0" collapsed="false"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</row>
    <row r="71" customFormat="false" ht="13.2" hidden="false" customHeight="false" outlineLevel="0" collapsed="false"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</row>
    <row r="72" customFormat="false" ht="13.2" hidden="false" customHeight="false" outlineLevel="0" collapsed="false"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</row>
    <row r="73" customFormat="false" ht="13.2" hidden="false" customHeight="false" outlineLevel="0" collapsed="false"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</row>
    <row r="74" customFormat="false" ht="13.2" hidden="false" customHeight="false" outlineLevel="0" collapsed="false"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</row>
    <row r="75" customFormat="false" ht="13.2" hidden="false" customHeight="false" outlineLevel="0" collapsed="false"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</row>
    <row r="76" customFormat="false" ht="13.2" hidden="false" customHeight="false" outlineLevel="0" collapsed="false"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</row>
    <row r="77" customFormat="false" ht="13.2" hidden="false" customHeight="false" outlineLevel="0" collapsed="false"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</row>
    <row r="78" customFormat="false" ht="13.2" hidden="false" customHeight="false" outlineLevel="0" collapsed="false"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</row>
    <row r="79" customFormat="false" ht="13.2" hidden="false" customHeight="false" outlineLevel="0" collapsed="false"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</row>
    <row r="80" customFormat="false" ht="13.2" hidden="false" customHeight="false" outlineLevel="0" collapsed="false"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</row>
    <row r="81" customFormat="false" ht="13.2" hidden="false" customHeight="false" outlineLevel="0" collapsed="false"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</row>
    <row r="82" customFormat="false" ht="13.2" hidden="false" customHeight="false" outlineLevel="0" collapsed="false"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</row>
    <row r="83" customFormat="false" ht="13.2" hidden="false" customHeight="false" outlineLevel="0" collapsed="false"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</row>
    <row r="84" customFormat="false" ht="13.2" hidden="false" customHeight="false" outlineLevel="0" collapsed="false"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</row>
    <row r="85" customFormat="false" ht="13.2" hidden="false" customHeight="false" outlineLevel="0" collapsed="false"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</row>
    <row r="86" customFormat="false" ht="13.2" hidden="false" customHeight="false" outlineLevel="0" collapsed="false"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</row>
    <row r="87" customFormat="false" ht="13.2" hidden="false" customHeight="false" outlineLevel="0" collapsed="false"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</row>
    <row r="88" customFormat="false" ht="13.2" hidden="false" customHeight="false" outlineLevel="0" collapsed="false"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</row>
    <row r="89" customFormat="false" ht="13.2" hidden="false" customHeight="false" outlineLevel="0" collapsed="false"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</row>
    <row r="90" customFormat="false" ht="13.2" hidden="false" customHeight="false" outlineLevel="0" collapsed="false"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</row>
    <row r="91" customFormat="false" ht="13.2" hidden="false" customHeight="false" outlineLevel="0" collapsed="false"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</row>
    <row r="92" customFormat="false" ht="13.2" hidden="false" customHeight="false" outlineLevel="0" collapsed="false"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</row>
    <row r="93" customFormat="false" ht="13.2" hidden="false" customHeight="false" outlineLevel="0" collapsed="false"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</row>
    <row r="94" customFormat="false" ht="13.2" hidden="false" customHeight="false" outlineLevel="0" collapsed="false"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</row>
    <row r="95" customFormat="false" ht="13.2" hidden="false" customHeight="false" outlineLevel="0" collapsed="false"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</row>
    <row r="96" customFormat="false" ht="13.2" hidden="false" customHeight="false" outlineLevel="0" collapsed="false"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</row>
    <row r="97" customFormat="false" ht="13.2" hidden="false" customHeight="false" outlineLevel="0" collapsed="false"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</row>
    <row r="98" customFormat="false" ht="13.2" hidden="false" customHeight="false" outlineLevel="0" collapsed="false"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</row>
    <row r="99" customFormat="false" ht="13.2" hidden="false" customHeight="false" outlineLevel="0" collapsed="false"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</row>
    <row r="100" customFormat="false" ht="13.2" hidden="false" customHeight="false" outlineLevel="0" collapsed="false"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</row>
    <row r="101" customFormat="false" ht="13.2" hidden="false" customHeight="false" outlineLevel="0" collapsed="false"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</row>
    <row r="102" customFormat="false" ht="13.2" hidden="false" customHeight="false" outlineLevel="0" collapsed="false"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</row>
    <row r="103" customFormat="false" ht="13.2" hidden="false" customHeight="false" outlineLevel="0" collapsed="false"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</row>
    <row r="104" customFormat="false" ht="13.2" hidden="false" customHeight="false" outlineLevel="0" collapsed="false"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</row>
    <row r="105" customFormat="false" ht="13.2" hidden="false" customHeight="false" outlineLevel="0" collapsed="false"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</row>
    <row r="106" customFormat="false" ht="13.2" hidden="false" customHeight="false" outlineLevel="0" collapsed="false"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</row>
    <row r="107" customFormat="false" ht="13.2" hidden="false" customHeight="false" outlineLevel="0" collapsed="false"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</row>
    <row r="108" customFormat="false" ht="13.2" hidden="false" customHeight="false" outlineLevel="0" collapsed="false"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</row>
    <row r="109" customFormat="false" ht="13.2" hidden="false" customHeight="false" outlineLevel="0" collapsed="false"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</row>
    <row r="110" customFormat="false" ht="13.2" hidden="false" customHeight="false" outlineLevel="0" collapsed="false"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</row>
    <row r="111" customFormat="false" ht="13.2" hidden="false" customHeight="false" outlineLevel="0" collapsed="false"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</row>
    <row r="112" customFormat="false" ht="13.2" hidden="false" customHeight="false" outlineLevel="0" collapsed="false"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</row>
    <row r="113" customFormat="false" ht="13.2" hidden="false" customHeight="false" outlineLevel="0" collapsed="false"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</row>
    <row r="114" customFormat="false" ht="13.2" hidden="false" customHeight="false" outlineLevel="0" collapsed="false"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</row>
    <row r="115" customFormat="false" ht="13.2" hidden="false" customHeight="false" outlineLevel="0" collapsed="false"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</row>
    <row r="116" customFormat="false" ht="13.2" hidden="false" customHeight="false" outlineLevel="0" collapsed="false"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</row>
    <row r="117" customFormat="false" ht="13.2" hidden="false" customHeight="false" outlineLevel="0" collapsed="false"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</row>
    <row r="118" customFormat="false" ht="13.2" hidden="false" customHeight="false" outlineLevel="0" collapsed="false"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</row>
    <row r="119" customFormat="false" ht="13.2" hidden="false" customHeight="false" outlineLevel="0" collapsed="false"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</row>
    <row r="120" customFormat="false" ht="13.2" hidden="false" customHeight="false" outlineLevel="0" collapsed="false"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</row>
    <row r="121" customFormat="false" ht="13.2" hidden="false" customHeight="false" outlineLevel="0" collapsed="false"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</row>
    <row r="122" customFormat="false" ht="13.2" hidden="false" customHeight="false" outlineLevel="0" collapsed="false"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</row>
    <row r="123" customFormat="false" ht="13.2" hidden="false" customHeight="false" outlineLevel="0" collapsed="false"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</row>
    <row r="124" customFormat="false" ht="13.2" hidden="false" customHeight="false" outlineLevel="0" collapsed="false"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</row>
    <row r="125" customFormat="false" ht="13.2" hidden="false" customHeight="false" outlineLevel="0" collapsed="false"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</row>
    <row r="126" customFormat="false" ht="13.2" hidden="false" customHeight="false" outlineLevel="0" collapsed="false"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</row>
    <row r="127" customFormat="false" ht="13.2" hidden="false" customHeight="false" outlineLevel="0" collapsed="false"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</row>
    <row r="128" customFormat="false" ht="13.2" hidden="false" customHeight="false" outlineLevel="0" collapsed="false"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</row>
    <row r="129" customFormat="false" ht="13.2" hidden="false" customHeight="false" outlineLevel="0" collapsed="false"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</row>
    <row r="130" customFormat="false" ht="13.2" hidden="false" customHeight="false" outlineLevel="0" collapsed="false"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</row>
    <row r="131" customFormat="false" ht="13.2" hidden="false" customHeight="false" outlineLevel="0" collapsed="false"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</row>
    <row r="132" customFormat="false" ht="13.2" hidden="false" customHeight="false" outlineLevel="0" collapsed="false"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</row>
    <row r="133" customFormat="false" ht="13.2" hidden="false" customHeight="false" outlineLevel="0" collapsed="false"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</row>
    <row r="134" customFormat="false" ht="13.2" hidden="false" customHeight="false" outlineLevel="0" collapsed="false"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</row>
    <row r="135" customFormat="false" ht="13.2" hidden="false" customHeight="false" outlineLevel="0" collapsed="false"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</row>
    <row r="136" customFormat="false" ht="13.2" hidden="false" customHeight="false" outlineLevel="0" collapsed="false"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</row>
    <row r="137" customFormat="false" ht="13.2" hidden="false" customHeight="false" outlineLevel="0" collapsed="false"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</row>
    <row r="138" customFormat="false" ht="13.2" hidden="false" customHeight="false" outlineLevel="0" collapsed="false"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</row>
    <row r="139" customFormat="false" ht="13.2" hidden="false" customHeight="false" outlineLevel="0" collapsed="false"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</row>
    <row r="140" customFormat="false" ht="13.2" hidden="false" customHeight="false" outlineLevel="0" collapsed="false"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</row>
    <row r="141" customFormat="false" ht="13.2" hidden="false" customHeight="false" outlineLevel="0" collapsed="false"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</row>
    <row r="142" customFormat="false" ht="13.2" hidden="false" customHeight="false" outlineLevel="0" collapsed="false"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</row>
    <row r="143" customFormat="false" ht="13.2" hidden="false" customHeight="false" outlineLevel="0" collapsed="false"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</row>
    <row r="144" customFormat="false" ht="13.2" hidden="false" customHeight="false" outlineLevel="0" collapsed="false"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</row>
    <row r="145" customFormat="false" ht="13.2" hidden="false" customHeight="false" outlineLevel="0" collapsed="false"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</row>
    <row r="146" customFormat="false" ht="13.2" hidden="false" customHeight="false" outlineLevel="0" collapsed="false"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</row>
    <row r="147" customFormat="false" ht="13.2" hidden="false" customHeight="false" outlineLevel="0" collapsed="false"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</row>
    <row r="148" customFormat="false" ht="13.2" hidden="false" customHeight="false" outlineLevel="0" collapsed="false"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</row>
    <row r="149" customFormat="false" ht="13.2" hidden="false" customHeight="false" outlineLevel="0" collapsed="false"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</row>
    <row r="150" customFormat="false" ht="13.2" hidden="false" customHeight="false" outlineLevel="0" collapsed="false"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</row>
    <row r="151" customFormat="false" ht="13.2" hidden="false" customHeight="false" outlineLevel="0" collapsed="false"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</row>
    <row r="152" customFormat="false" ht="13.2" hidden="false" customHeight="false" outlineLevel="0" collapsed="false"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</row>
    <row r="153" customFormat="false" ht="13.2" hidden="false" customHeight="false" outlineLevel="0" collapsed="false"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</row>
    <row r="154" customFormat="false" ht="13.2" hidden="false" customHeight="false" outlineLevel="0" collapsed="false"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</row>
    <row r="155" customFormat="false" ht="13.2" hidden="false" customHeight="false" outlineLevel="0" collapsed="false"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</row>
    <row r="156" customFormat="false" ht="13.2" hidden="false" customHeight="false" outlineLevel="0" collapsed="false"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</row>
    <row r="157" customFormat="false" ht="13.2" hidden="false" customHeight="false" outlineLevel="0" collapsed="false"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</row>
    <row r="158" customFormat="false" ht="13.2" hidden="false" customHeight="false" outlineLevel="0" collapsed="false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</row>
    <row r="159" customFormat="false" ht="13.2" hidden="false" customHeight="false" outlineLevel="0" collapsed="false"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</row>
    <row r="160" customFormat="false" ht="13.2" hidden="false" customHeight="false" outlineLevel="0" collapsed="false"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</row>
    <row r="161" customFormat="false" ht="13.2" hidden="false" customHeight="false" outlineLevel="0" collapsed="false"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</row>
    <row r="162" customFormat="false" ht="13.2" hidden="false" customHeight="false" outlineLevel="0" collapsed="false"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</row>
    <row r="163" customFormat="false" ht="13.2" hidden="false" customHeight="false" outlineLevel="0" collapsed="false"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62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2" ySplit="5" topLeftCell="F29" activePane="bottomRight" state="frozen"/>
      <selection pane="topLeft" activeCell="A1" activeCellId="0" sqref="A1"/>
      <selection pane="topRight" activeCell="F1" activeCellId="0" sqref="F1"/>
      <selection pane="bottomLeft" activeCell="A29" activeCellId="0" sqref="A29"/>
      <selection pane="bottomRight" activeCell="A1" activeCellId="0" sqref="A1:IV16384"/>
    </sheetView>
  </sheetViews>
  <sheetFormatPr defaultColWidth="9.0546875" defaultRowHeight="13.2" customHeight="true" zeroHeight="false" outlineLevelRow="0" outlineLevelCol="0"/>
  <cols>
    <col collapsed="false" customWidth="false" hidden="true" outlineLevel="0" max="1" min="1" style="2" width="9.06"/>
    <col collapsed="false" customWidth="true" hidden="false" outlineLevel="0" max="2" min="2" style="145" width="31.55"/>
    <col collapsed="false" customWidth="true" hidden="false" outlineLevel="0" max="14" min="3" style="2" width="8.66"/>
    <col collapsed="false" customWidth="true" hidden="false" outlineLevel="0" max="15" min="15" style="2" width="20.66"/>
    <col collapsed="false" customWidth="true" hidden="false" outlineLevel="0" max="29" min="29" style="2" width="10.87"/>
    <col collapsed="false" customWidth="true" hidden="false" outlineLevel="0" max="31" min="31" style="2" width="11.32"/>
    <col collapsed="false" customWidth="true" hidden="false" outlineLevel="0" max="43" min="43" style="2" width="10.55"/>
  </cols>
  <sheetData>
    <row r="1" customFormat="false" ht="13.2" hidden="false" customHeight="false" outlineLevel="0" collapsed="false">
      <c r="B1" s="26" t="s">
        <v>32</v>
      </c>
      <c r="L1" s="146"/>
      <c r="Q1" s="2" t="s">
        <v>195</v>
      </c>
      <c r="AE1" s="2" t="s">
        <v>196</v>
      </c>
    </row>
    <row r="2" customFormat="false" ht="21" hidden="false" customHeight="false" outlineLevel="0" collapsed="false">
      <c r="B2" s="147" t="s">
        <v>197</v>
      </c>
      <c r="L2" s="146"/>
    </row>
    <row r="3" customFormat="false" ht="17.4" hidden="false" customHeight="false" outlineLevel="0" collapsed="false">
      <c r="B3" s="148" t="s">
        <v>198</v>
      </c>
    </row>
    <row r="4" customFormat="false" ht="16.95" hidden="false" customHeight="true" outlineLevel="0" collapsed="false"/>
    <row r="5" customFormat="false" ht="13.2" hidden="false" customHeight="false" outlineLevel="0" collapsed="false">
      <c r="C5" s="27" t="s">
        <v>41</v>
      </c>
      <c r="D5" s="27" t="s">
        <v>42</v>
      </c>
      <c r="E5" s="27" t="s">
        <v>43</v>
      </c>
      <c r="F5" s="27" t="s">
        <v>44</v>
      </c>
      <c r="G5" s="27" t="s">
        <v>45</v>
      </c>
      <c r="H5" s="27" t="s">
        <v>46</v>
      </c>
      <c r="I5" s="27" t="s">
        <v>47</v>
      </c>
      <c r="J5" s="27" t="s">
        <v>48</v>
      </c>
      <c r="K5" s="27" t="s">
        <v>49</v>
      </c>
      <c r="L5" s="27" t="s">
        <v>50</v>
      </c>
      <c r="M5" s="27" t="s">
        <v>51</v>
      </c>
      <c r="N5" s="27" t="s">
        <v>52</v>
      </c>
      <c r="O5" s="29" t="s">
        <v>66</v>
      </c>
      <c r="Q5" s="27" t="s">
        <v>41</v>
      </c>
      <c r="R5" s="27" t="s">
        <v>42</v>
      </c>
      <c r="S5" s="27" t="s">
        <v>43</v>
      </c>
      <c r="T5" s="27" t="s">
        <v>44</v>
      </c>
      <c r="U5" s="27" t="s">
        <v>45</v>
      </c>
      <c r="V5" s="27" t="s">
        <v>46</v>
      </c>
      <c r="W5" s="27" t="s">
        <v>47</v>
      </c>
      <c r="X5" s="27" t="s">
        <v>48</v>
      </c>
      <c r="Y5" s="27" t="s">
        <v>49</v>
      </c>
      <c r="Z5" s="27" t="s">
        <v>50</v>
      </c>
      <c r="AA5" s="27" t="s">
        <v>51</v>
      </c>
      <c r="AB5" s="27" t="s">
        <v>52</v>
      </c>
      <c r="AC5" s="149" t="s">
        <v>66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149" t="s">
        <v>66</v>
      </c>
    </row>
    <row r="6" customFormat="false" ht="13.8" hidden="false" customHeight="false" outlineLevel="0" collapsed="false">
      <c r="B6" s="150" t="s">
        <v>199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45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151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151"/>
    </row>
    <row r="7" customFormat="false" ht="13.2" hidden="false" customHeight="false" outlineLevel="0" collapsed="false">
      <c r="O7" s="145"/>
      <c r="AC7" s="151"/>
      <c r="AQ7" s="151"/>
    </row>
    <row r="8" customFormat="false" ht="13.2" hidden="false" customHeight="false" outlineLevel="0" collapsed="false">
      <c r="B8" s="26" t="s">
        <v>88</v>
      </c>
      <c r="O8" s="145"/>
      <c r="AC8" s="151"/>
      <c r="AQ8" s="151"/>
    </row>
    <row r="9" customFormat="false" ht="13.2" hidden="false" customHeight="false" outlineLevel="0" collapsed="false">
      <c r="A9" s="19"/>
      <c r="B9" s="152" t="s">
        <v>89</v>
      </c>
      <c r="C9" s="138" t="n">
        <v>90000</v>
      </c>
      <c r="D9" s="138" t="n">
        <v>90000</v>
      </c>
      <c r="E9" s="138" t="n">
        <v>95000</v>
      </c>
      <c r="F9" s="138" t="n">
        <v>100000</v>
      </c>
      <c r="G9" s="138" t="n">
        <v>100000</v>
      </c>
      <c r="H9" s="138" t="n">
        <v>110000</v>
      </c>
      <c r="I9" s="138" t="n">
        <v>110000</v>
      </c>
      <c r="J9" s="138" t="n">
        <v>115000</v>
      </c>
      <c r="K9" s="138" t="n">
        <v>110000</v>
      </c>
      <c r="L9" s="138" t="n">
        <v>110000</v>
      </c>
      <c r="M9" s="138" t="n">
        <v>100000</v>
      </c>
      <c r="N9" s="138" t="n">
        <v>90000</v>
      </c>
      <c r="O9" s="153" t="n">
        <f aca="false">SUM(C9:N9)</f>
        <v>1220000</v>
      </c>
      <c r="P9" s="19"/>
      <c r="Q9" s="138" t="n">
        <v>90000</v>
      </c>
      <c r="R9" s="138" t="n">
        <v>90000</v>
      </c>
      <c r="S9" s="138" t="n">
        <v>95000</v>
      </c>
      <c r="T9" s="138" t="n">
        <v>100000</v>
      </c>
      <c r="U9" s="138" t="n">
        <v>100000</v>
      </c>
      <c r="V9" s="138" t="n">
        <v>110000</v>
      </c>
      <c r="W9" s="138" t="n">
        <v>110000</v>
      </c>
      <c r="X9" s="138" t="n">
        <v>115000</v>
      </c>
      <c r="Y9" s="138" t="n">
        <v>110000</v>
      </c>
      <c r="Z9" s="138" t="n">
        <v>110000</v>
      </c>
      <c r="AA9" s="138" t="n">
        <v>100000</v>
      </c>
      <c r="AB9" s="138" t="n">
        <v>90000</v>
      </c>
      <c r="AC9" s="154" t="n">
        <f aca="false">SUM(Q9:AB9)</f>
        <v>1220000</v>
      </c>
      <c r="AD9" s="19"/>
      <c r="AE9" s="138" t="n">
        <v>90000</v>
      </c>
      <c r="AF9" s="138" t="n">
        <v>90000</v>
      </c>
      <c r="AG9" s="138" t="n">
        <v>95000</v>
      </c>
      <c r="AH9" s="138" t="n">
        <v>100000</v>
      </c>
      <c r="AI9" s="138" t="n">
        <v>100000</v>
      </c>
      <c r="AJ9" s="138" t="n">
        <v>110000</v>
      </c>
      <c r="AK9" s="138" t="n">
        <v>110000</v>
      </c>
      <c r="AL9" s="138" t="n">
        <v>115000</v>
      </c>
      <c r="AM9" s="138" t="n">
        <v>110000</v>
      </c>
      <c r="AN9" s="138" t="n">
        <v>110000</v>
      </c>
      <c r="AO9" s="138" t="n">
        <v>100000</v>
      </c>
      <c r="AP9" s="138" t="n">
        <v>90000</v>
      </c>
      <c r="AQ9" s="154" t="n">
        <f aca="false">SUM(AE9:AP9)</f>
        <v>1220000</v>
      </c>
    </row>
    <row r="10" customFormat="false" ht="13.2" hidden="false" customHeight="false" outlineLevel="0" collapsed="false">
      <c r="A10" s="19"/>
      <c r="B10" s="152" t="s">
        <v>200</v>
      </c>
      <c r="C10" s="19" t="n">
        <v>0.1884</v>
      </c>
      <c r="D10" s="19" t="n">
        <v>0.1884</v>
      </c>
      <c r="E10" s="19" t="n">
        <v>0.1884</v>
      </c>
      <c r="F10" s="19" t="n">
        <v>0.1884</v>
      </c>
      <c r="G10" s="19" t="n">
        <v>0.1884</v>
      </c>
      <c r="H10" s="19" t="n">
        <v>0.1884</v>
      </c>
      <c r="I10" s="19" t="n">
        <v>0.1927</v>
      </c>
      <c r="J10" s="19" t="n">
        <v>0.1927</v>
      </c>
      <c r="K10" s="19" t="n">
        <v>0.1927</v>
      </c>
      <c r="L10" s="19" t="n">
        <v>0.1927</v>
      </c>
      <c r="M10" s="19" t="n">
        <v>0.1927</v>
      </c>
      <c r="N10" s="19" t="n">
        <v>0.1927</v>
      </c>
      <c r="O10" s="153"/>
      <c r="P10" s="19"/>
      <c r="Q10" s="19" t="n">
        <v>0.1884</v>
      </c>
      <c r="R10" s="19" t="n">
        <v>0.1884</v>
      </c>
      <c r="S10" s="19" t="n">
        <v>0.1884</v>
      </c>
      <c r="T10" s="19" t="n">
        <v>0.1884</v>
      </c>
      <c r="U10" s="19" t="n">
        <v>0.1884</v>
      </c>
      <c r="V10" s="19" t="n">
        <v>0.1884</v>
      </c>
      <c r="W10" s="19" t="n">
        <v>0.1927</v>
      </c>
      <c r="X10" s="19" t="n">
        <v>0.1927</v>
      </c>
      <c r="Y10" s="19" t="n">
        <v>0.1927</v>
      </c>
      <c r="Z10" s="19" t="n">
        <v>0.1927</v>
      </c>
      <c r="AA10" s="19" t="n">
        <v>0.1927</v>
      </c>
      <c r="AB10" s="19" t="n">
        <v>0.1927</v>
      </c>
      <c r="AC10" s="154"/>
      <c r="AD10" s="19"/>
      <c r="AE10" s="19" t="n">
        <v>0.1884</v>
      </c>
      <c r="AF10" s="19" t="n">
        <v>0.1884</v>
      </c>
      <c r="AG10" s="19" t="n">
        <v>0.1884</v>
      </c>
      <c r="AH10" s="19" t="n">
        <v>0.1884</v>
      </c>
      <c r="AI10" s="19" t="n">
        <v>0.1884</v>
      </c>
      <c r="AJ10" s="19" t="n">
        <v>0.1884</v>
      </c>
      <c r="AK10" s="19" t="n">
        <v>0.1927</v>
      </c>
      <c r="AL10" s="19" t="n">
        <v>0.1927</v>
      </c>
      <c r="AM10" s="19" t="n">
        <v>0.1927</v>
      </c>
      <c r="AN10" s="19" t="n">
        <v>0.1927</v>
      </c>
      <c r="AO10" s="19" t="n">
        <v>0.1927</v>
      </c>
      <c r="AP10" s="19" t="n">
        <v>0.1927</v>
      </c>
      <c r="AQ10" s="154"/>
    </row>
    <row r="11" customFormat="false" ht="13.2" hidden="false" customHeight="false" outlineLevel="0" collapsed="false">
      <c r="A11" s="19"/>
      <c r="B11" s="54" t="s">
        <v>201</v>
      </c>
      <c r="C11" s="73" t="n">
        <f aca="false">C9*C10</f>
        <v>16956</v>
      </c>
      <c r="D11" s="73" t="n">
        <f aca="false">D9*D10</f>
        <v>16956</v>
      </c>
      <c r="E11" s="73" t="n">
        <f aca="false">E9*E10</f>
        <v>17898</v>
      </c>
      <c r="F11" s="73" t="n">
        <f aca="false">F9*F10</f>
        <v>18840</v>
      </c>
      <c r="G11" s="73" t="n">
        <f aca="false">G9*G10</f>
        <v>18840</v>
      </c>
      <c r="H11" s="73" t="n">
        <f aca="false">H9*H10</f>
        <v>20724</v>
      </c>
      <c r="I11" s="73" t="n">
        <f aca="false">I9*I10</f>
        <v>21197</v>
      </c>
      <c r="J11" s="73" t="n">
        <f aca="false">J9*J10</f>
        <v>22160.5</v>
      </c>
      <c r="K11" s="73" t="n">
        <f aca="false">K9*K10</f>
        <v>21197</v>
      </c>
      <c r="L11" s="73" t="n">
        <f aca="false">L9*L10</f>
        <v>21197</v>
      </c>
      <c r="M11" s="73" t="n">
        <f aca="false">M9*M10</f>
        <v>19270</v>
      </c>
      <c r="N11" s="73" t="n">
        <f aca="false">N9*N10</f>
        <v>17343</v>
      </c>
      <c r="O11" s="73" t="n">
        <f aca="false">SUM(C11:N11)</f>
        <v>232578.5</v>
      </c>
      <c r="P11" s="19"/>
      <c r="Q11" s="38" t="n">
        <f aca="false">Q9*Q10</f>
        <v>16956</v>
      </c>
      <c r="R11" s="38" t="n">
        <f aca="false">R9*R10</f>
        <v>16956</v>
      </c>
      <c r="S11" s="38" t="n">
        <f aca="false">S9*S10</f>
        <v>17898</v>
      </c>
      <c r="T11" s="38" t="n">
        <f aca="false">T9*T10</f>
        <v>18840</v>
      </c>
      <c r="U11" s="38" t="n">
        <f aca="false">U9*U10</f>
        <v>18840</v>
      </c>
      <c r="V11" s="38" t="n">
        <f aca="false">V9*V10</f>
        <v>20724</v>
      </c>
      <c r="W11" s="38" t="n">
        <f aca="false">W9*W10</f>
        <v>21197</v>
      </c>
      <c r="X11" s="38" t="n">
        <f aca="false">X9*X10</f>
        <v>22160.5</v>
      </c>
      <c r="Y11" s="38" t="n">
        <f aca="false">Y9*Y10</f>
        <v>21197</v>
      </c>
      <c r="Z11" s="38" t="n">
        <f aca="false">Z9*Z10</f>
        <v>21197</v>
      </c>
      <c r="AA11" s="38" t="n">
        <f aca="false">AA9*AA10</f>
        <v>19270</v>
      </c>
      <c r="AB11" s="38" t="n">
        <f aca="false">AB9*AB10</f>
        <v>17343</v>
      </c>
      <c r="AC11" s="155" t="n">
        <f aca="false">SUM(Q11:AB11)</f>
        <v>232578.5</v>
      </c>
      <c r="AD11" s="19"/>
      <c r="AE11" s="38" t="n">
        <f aca="false">AE9*AE10</f>
        <v>16956</v>
      </c>
      <c r="AF11" s="38" t="n">
        <f aca="false">AF9*AF10</f>
        <v>16956</v>
      </c>
      <c r="AG11" s="38" t="n">
        <f aca="false">AG9*AG10</f>
        <v>17898</v>
      </c>
      <c r="AH11" s="38" t="n">
        <f aca="false">AH9*AH10</f>
        <v>18840</v>
      </c>
      <c r="AI11" s="38" t="n">
        <f aca="false">AI9*AI10</f>
        <v>18840</v>
      </c>
      <c r="AJ11" s="38" t="n">
        <f aca="false">AJ9*AJ10</f>
        <v>20724</v>
      </c>
      <c r="AK11" s="38" t="n">
        <f aca="false">AK9*AK10</f>
        <v>21197</v>
      </c>
      <c r="AL11" s="38" t="n">
        <f aca="false">AL9*AL10</f>
        <v>22160.5</v>
      </c>
      <c r="AM11" s="38" t="n">
        <f aca="false">AM9*AM10</f>
        <v>21197</v>
      </c>
      <c r="AN11" s="38" t="n">
        <f aca="false">AN9*AN10</f>
        <v>21197</v>
      </c>
      <c r="AO11" s="38" t="n">
        <f aca="false">AO9*AO10</f>
        <v>19270</v>
      </c>
      <c r="AP11" s="38" t="n">
        <f aca="false">AP9*AP10</f>
        <v>17343</v>
      </c>
      <c r="AQ11" s="155" t="n">
        <f aca="false">SUM(AE11:AP11)</f>
        <v>232578.5</v>
      </c>
    </row>
    <row r="12" customFormat="false" ht="13.8" hidden="false" customHeight="false" outlineLevel="0" collapsed="false">
      <c r="A12" s="141" t="s">
        <v>202</v>
      </c>
      <c r="B12" s="156" t="s">
        <v>203</v>
      </c>
      <c r="C12" s="157" t="n">
        <f aca="false">C11*Factors!C11</f>
        <v>72968.72780016</v>
      </c>
      <c r="D12" s="157" t="n">
        <f aca="false">D11*Factors!D11</f>
        <v>73070.74120032</v>
      </c>
      <c r="E12" s="157" t="n">
        <f aca="false">E11*Factors!E11</f>
        <v>77237.90763384</v>
      </c>
      <c r="F12" s="157" t="n">
        <f aca="false">F11*Factors!F11</f>
        <v>81416.4088896</v>
      </c>
      <c r="G12" s="157" t="n">
        <f aca="false">G11*Factors!G11</f>
        <v>81529.757112</v>
      </c>
      <c r="H12" s="157" t="n">
        <f aca="false">H11*Factors!H11</f>
        <v>89807.41586784</v>
      </c>
      <c r="I12" s="157" t="n">
        <f aca="false">I11*Factors!I11</f>
        <v>91984.68928044</v>
      </c>
      <c r="J12" s="157" t="n">
        <f aca="false">J11*Factors!J11</f>
        <v>96299.13706624</v>
      </c>
      <c r="K12" s="157" t="n">
        <f aca="false">K11*Factors!K11</f>
        <v>92239.7468462801</v>
      </c>
      <c r="L12" s="157" t="n">
        <f aca="false">L11*Factors!L11</f>
        <v>92367.2756292001</v>
      </c>
      <c r="M12" s="157" t="n">
        <f aca="false">M11*Factors!M11</f>
        <v>84086.1858292001</v>
      </c>
      <c r="N12" s="157" t="n">
        <f aca="false">N11*Factors!N11</f>
        <v>75781.9089777601</v>
      </c>
      <c r="O12" s="157" t="n">
        <f aca="false">SUM(C12:N12)</f>
        <v>1008789.90213288</v>
      </c>
      <c r="P12" s="158"/>
      <c r="Q12" s="159" t="n">
        <f aca="false">Q11*Factors!Q11</f>
        <v>74090.8752019201</v>
      </c>
      <c r="R12" s="159" t="n">
        <f aca="false">R11*Factors!R11</f>
        <v>74399.587181928</v>
      </c>
      <c r="S12" s="159" t="n">
        <f aca="false">S11*Factors!S11</f>
        <v>78858.7602264881</v>
      </c>
      <c r="T12" s="159" t="n">
        <f aca="false">T11*Factors!T11</f>
        <v>83352.2346021601</v>
      </c>
      <c r="U12" s="159" t="n">
        <f aca="false">U11*Factors!U11</f>
        <v>83695.2479132801</v>
      </c>
      <c r="V12" s="159" t="n">
        <f aca="false">V11*Factors!V11</f>
        <v>92442.0873468401</v>
      </c>
      <c r="W12" s="159" t="n">
        <f aca="false">W11*Factors!W11</f>
        <v>94937.8915249161</v>
      </c>
      <c r="X12" s="159" t="n">
        <f aca="false">X11*Factors!X11</f>
        <v>99656.7187274664</v>
      </c>
      <c r="Y12" s="159" t="n">
        <f aca="false">Y11*Factors!Y11</f>
        <v>95709.7443015414</v>
      </c>
      <c r="Z12" s="159" t="n">
        <f aca="false">Z11*Factors!Z11</f>
        <v>96095.670689854</v>
      </c>
      <c r="AA12" s="159" t="n">
        <f aca="false">AA11*Factors!AA11</f>
        <v>87710.5427983334</v>
      </c>
      <c r="AB12" s="159" t="n">
        <f aca="false">AB11*Factors!AB11</f>
        <v>79255.246472574</v>
      </c>
      <c r="AC12" s="160" t="n">
        <f aca="false">SUM(Q12:AB12)</f>
        <v>1040204.6069873</v>
      </c>
      <c r="AD12" s="158"/>
      <c r="AE12" s="159" t="n">
        <f aca="false">AE11*Factors!AG11</f>
        <v>78119.5665410244</v>
      </c>
      <c r="AF12" s="159" t="n">
        <f aca="false">AF11*Factors!AH11</f>
        <v>78443.7141200328</v>
      </c>
      <c r="AG12" s="159" t="n">
        <f aca="false">AG11*Factors!AI11</f>
        <v>83143.8540156546</v>
      </c>
      <c r="AH12" s="159" t="n">
        <f aca="false">AH11*Factors!AJ11</f>
        <v>87880.010308944</v>
      </c>
      <c r="AI12" s="159" t="n">
        <f aca="false">AI11*Factors!AK11</f>
        <v>88240.17428562</v>
      </c>
      <c r="AJ12" s="159" t="n">
        <f aca="false">AJ11*Factors!AL11</f>
        <v>97460.3720885256</v>
      </c>
      <c r="AK12" s="159" t="n">
        <f aca="false">AK11*Factors!AM11</f>
        <v>100090.00880889</v>
      </c>
      <c r="AL12" s="159" t="n">
        <f aca="false">AL11*Factors!AN11</f>
        <v>105063.196585556</v>
      </c>
      <c r="AM12" s="159" t="n">
        <f aca="false">AM11*Factors!AO11</f>
        <v>100900.454224347</v>
      </c>
      <c r="AN12" s="159" t="n">
        <f aca="false">AN11*Factors!AP11</f>
        <v>101305.676932075</v>
      </c>
      <c r="AO12" s="159" t="n">
        <f aca="false">AO11*Factors!AQ11</f>
        <v>92464.454218003</v>
      </c>
      <c r="AP12" s="159" t="n">
        <f aca="false">AP11*Factors!AR11</f>
        <v>83549.5546479804</v>
      </c>
      <c r="AQ12" s="160" t="n">
        <f aca="false">SUM(AE12:AP12)</f>
        <v>1096661.03677665</v>
      </c>
    </row>
    <row r="13" customFormat="false" ht="13.8" hidden="false" customHeight="false" outlineLevel="0" collapsed="false">
      <c r="A13" s="19"/>
      <c r="B13" s="152"/>
      <c r="C13" s="19"/>
      <c r="D13" s="19"/>
      <c r="E13" s="19"/>
      <c r="F13" s="19"/>
      <c r="G13" s="19"/>
      <c r="H13" s="19"/>
      <c r="J13" s="19"/>
      <c r="K13" s="19"/>
      <c r="L13" s="19"/>
      <c r="M13" s="19"/>
      <c r="N13" s="19"/>
      <c r="O13" s="152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61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61"/>
    </row>
    <row r="14" customFormat="false" ht="13.2" hidden="false" customHeight="false" outlineLevel="0" collapsed="false">
      <c r="A14" s="19"/>
      <c r="B14" s="54" t="s">
        <v>90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52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61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61"/>
    </row>
    <row r="15" customFormat="false" ht="13.2" hidden="false" customHeight="false" outlineLevel="0" collapsed="false">
      <c r="A15" s="19"/>
      <c r="B15" s="152" t="s">
        <v>91</v>
      </c>
      <c r="C15" s="162" t="n">
        <v>78.3571428571429</v>
      </c>
      <c r="D15" s="162" t="n">
        <v>78.3571428571429</v>
      </c>
      <c r="E15" s="162" t="n">
        <v>78.3571428571429</v>
      </c>
      <c r="F15" s="162" t="n">
        <v>78.3571428571429</v>
      </c>
      <c r="G15" s="162" t="n">
        <v>78.3571428571429</v>
      </c>
      <c r="H15" s="162" t="n">
        <v>78.3571428571429</v>
      </c>
      <c r="I15" s="162" t="n">
        <v>78.3571428571429</v>
      </c>
      <c r="J15" s="162" t="n">
        <v>78.3571428571429</v>
      </c>
      <c r="K15" s="162" t="n">
        <v>78.3571428571429</v>
      </c>
      <c r="L15" s="162" t="n">
        <v>78.3571428571429</v>
      </c>
      <c r="M15" s="162" t="n">
        <v>78.3571428571429</v>
      </c>
      <c r="N15" s="162" t="n">
        <v>78.3571428571429</v>
      </c>
      <c r="O15" s="153" t="n">
        <f aca="false">SUM(C15:N15)</f>
        <v>940.285714285714</v>
      </c>
      <c r="P15" s="19"/>
      <c r="Q15" s="162" t="n">
        <v>78.3571428571429</v>
      </c>
      <c r="R15" s="162" t="n">
        <v>78.3571428571429</v>
      </c>
      <c r="S15" s="162" t="n">
        <v>78.3571428571429</v>
      </c>
      <c r="T15" s="162" t="n">
        <v>78.3571428571429</v>
      </c>
      <c r="U15" s="162" t="n">
        <v>78.3571428571429</v>
      </c>
      <c r="V15" s="162" t="n">
        <v>78.3571428571429</v>
      </c>
      <c r="W15" s="162" t="n">
        <v>78.3571428571429</v>
      </c>
      <c r="X15" s="162" t="n">
        <v>78.3571428571429</v>
      </c>
      <c r="Y15" s="162" t="n">
        <v>78.3571428571429</v>
      </c>
      <c r="Z15" s="162" t="n">
        <v>78.3571428571429</v>
      </c>
      <c r="AA15" s="162" t="n">
        <v>78.3571428571429</v>
      </c>
      <c r="AB15" s="162" t="n">
        <v>78.3571428571429</v>
      </c>
      <c r="AC15" s="154" t="n">
        <f aca="false">SUM(Q15:AB15)</f>
        <v>940.285714285714</v>
      </c>
      <c r="AD15" s="19"/>
      <c r="AE15" s="162" t="n">
        <v>78.3571428571429</v>
      </c>
      <c r="AF15" s="162" t="n">
        <v>78.3571428571429</v>
      </c>
      <c r="AG15" s="162" t="n">
        <v>78.3571428571429</v>
      </c>
      <c r="AH15" s="162" t="n">
        <v>78.3571428571429</v>
      </c>
      <c r="AI15" s="162" t="n">
        <v>78.3571428571429</v>
      </c>
      <c r="AJ15" s="162" t="n">
        <v>78.3571428571429</v>
      </c>
      <c r="AK15" s="162" t="n">
        <v>78.3571428571429</v>
      </c>
      <c r="AL15" s="162" t="n">
        <v>78.3571428571429</v>
      </c>
      <c r="AM15" s="162" t="n">
        <v>78.3571428571429</v>
      </c>
      <c r="AN15" s="162" t="n">
        <v>78.3571428571429</v>
      </c>
      <c r="AO15" s="162" t="n">
        <v>78.3571428571429</v>
      </c>
      <c r="AP15" s="162" t="n">
        <v>78.3571428571429</v>
      </c>
      <c r="AQ15" s="154" t="n">
        <f aca="false">SUM(AE15:AP15)</f>
        <v>940.285714285714</v>
      </c>
    </row>
    <row r="16" customFormat="false" ht="13.2" hidden="false" customHeight="false" outlineLevel="0" collapsed="false">
      <c r="A16" s="19"/>
      <c r="B16" s="152" t="s">
        <v>200</v>
      </c>
      <c r="C16" s="19" t="n">
        <v>0.5886</v>
      </c>
      <c r="D16" s="19" t="n">
        <v>0.5886</v>
      </c>
      <c r="E16" s="19" t="n">
        <v>0.5886</v>
      </c>
      <c r="F16" s="19" t="n">
        <v>0.5886</v>
      </c>
      <c r="G16" s="19" t="n">
        <v>0.5886</v>
      </c>
      <c r="H16" s="19" t="n">
        <v>0.5886</v>
      </c>
      <c r="I16" s="19" t="n">
        <v>0.6021</v>
      </c>
      <c r="J16" s="19" t="n">
        <v>0.6021</v>
      </c>
      <c r="K16" s="19" t="n">
        <v>0.6021</v>
      </c>
      <c r="L16" s="19" t="n">
        <v>0.6021</v>
      </c>
      <c r="M16" s="19" t="n">
        <v>0.6021</v>
      </c>
      <c r="N16" s="19" t="n">
        <v>0.6021</v>
      </c>
      <c r="O16" s="153"/>
      <c r="P16" s="19"/>
      <c r="Q16" s="19" t="n">
        <v>0.5886</v>
      </c>
      <c r="R16" s="19" t="n">
        <v>0.5886</v>
      </c>
      <c r="S16" s="19" t="n">
        <v>0.5886</v>
      </c>
      <c r="T16" s="19" t="n">
        <v>0.5886</v>
      </c>
      <c r="U16" s="19" t="n">
        <v>0.5886</v>
      </c>
      <c r="V16" s="19" t="n">
        <v>0.5886</v>
      </c>
      <c r="W16" s="19" t="n">
        <v>0.6021</v>
      </c>
      <c r="X16" s="19" t="n">
        <v>0.6021</v>
      </c>
      <c r="Y16" s="19" t="n">
        <v>0.6021</v>
      </c>
      <c r="Z16" s="19" t="n">
        <v>0.6021</v>
      </c>
      <c r="AA16" s="19" t="n">
        <v>0.6021</v>
      </c>
      <c r="AB16" s="19" t="n">
        <v>0.6021</v>
      </c>
      <c r="AC16" s="154"/>
      <c r="AD16" s="19"/>
      <c r="AE16" s="19" t="n">
        <v>0.5886</v>
      </c>
      <c r="AF16" s="19" t="n">
        <v>0.5886</v>
      </c>
      <c r="AG16" s="19" t="n">
        <v>0.5886</v>
      </c>
      <c r="AH16" s="19" t="n">
        <v>0.5886</v>
      </c>
      <c r="AI16" s="19" t="n">
        <v>0.5886</v>
      </c>
      <c r="AJ16" s="19" t="n">
        <v>0.5886</v>
      </c>
      <c r="AK16" s="19" t="n">
        <v>0.6021</v>
      </c>
      <c r="AL16" s="19" t="n">
        <v>0.6021</v>
      </c>
      <c r="AM16" s="19" t="n">
        <v>0.6021</v>
      </c>
      <c r="AN16" s="19" t="n">
        <v>0.6021</v>
      </c>
      <c r="AO16" s="19" t="n">
        <v>0.6021</v>
      </c>
      <c r="AP16" s="19" t="n">
        <v>0.6021</v>
      </c>
      <c r="AQ16" s="154"/>
    </row>
    <row r="17" customFormat="false" ht="13.2" hidden="false" customHeight="false" outlineLevel="0" collapsed="false">
      <c r="A17" s="19"/>
      <c r="B17" s="54" t="s">
        <v>201</v>
      </c>
      <c r="C17" s="73" t="n">
        <f aca="false">C15*C16</f>
        <v>46.1210142857143</v>
      </c>
      <c r="D17" s="73" t="n">
        <f aca="false">D15*D16</f>
        <v>46.1210142857143</v>
      </c>
      <c r="E17" s="73" t="n">
        <f aca="false">E15*E16</f>
        <v>46.1210142857143</v>
      </c>
      <c r="F17" s="73" t="n">
        <f aca="false">F15*F16</f>
        <v>46.1210142857143</v>
      </c>
      <c r="G17" s="73" t="n">
        <f aca="false">G15*G16</f>
        <v>46.1210142857143</v>
      </c>
      <c r="H17" s="73" t="n">
        <f aca="false">H15*H16</f>
        <v>46.1210142857143</v>
      </c>
      <c r="I17" s="73" t="n">
        <f aca="false">I15*I16</f>
        <v>47.1788357142857</v>
      </c>
      <c r="J17" s="73" t="n">
        <f aca="false">J15*J16</f>
        <v>47.1788357142857</v>
      </c>
      <c r="K17" s="73" t="n">
        <f aca="false">K15*K16</f>
        <v>47.1788357142857</v>
      </c>
      <c r="L17" s="73" t="n">
        <f aca="false">L15*L16</f>
        <v>47.1788357142857</v>
      </c>
      <c r="M17" s="73" t="n">
        <f aca="false">M15*M16</f>
        <v>47.1788357142857</v>
      </c>
      <c r="N17" s="73" t="n">
        <f aca="false">N15*N16</f>
        <v>47.1788357142857</v>
      </c>
      <c r="O17" s="73" t="n">
        <f aca="false">SUM(C17:N17)</f>
        <v>559.7991</v>
      </c>
      <c r="P17" s="19"/>
      <c r="Q17" s="38" t="n">
        <f aca="false">Q15*Q16</f>
        <v>46.1210142857143</v>
      </c>
      <c r="R17" s="38" t="n">
        <f aca="false">R15*R16</f>
        <v>46.1210142857143</v>
      </c>
      <c r="S17" s="38" t="n">
        <f aca="false">S15*S16</f>
        <v>46.1210142857143</v>
      </c>
      <c r="T17" s="38" t="n">
        <f aca="false">T15*T16</f>
        <v>46.1210142857143</v>
      </c>
      <c r="U17" s="38" t="n">
        <f aca="false">U15*U16</f>
        <v>46.1210142857143</v>
      </c>
      <c r="V17" s="38" t="n">
        <f aca="false">V15*V16</f>
        <v>46.1210142857143</v>
      </c>
      <c r="W17" s="38" t="n">
        <f aca="false">W15*W16</f>
        <v>47.1788357142857</v>
      </c>
      <c r="X17" s="38" t="n">
        <f aca="false">X15*X16</f>
        <v>47.1788357142857</v>
      </c>
      <c r="Y17" s="38" t="n">
        <f aca="false">Y15*Y16</f>
        <v>47.1788357142857</v>
      </c>
      <c r="Z17" s="38" t="n">
        <f aca="false">Z15*Z16</f>
        <v>47.1788357142857</v>
      </c>
      <c r="AA17" s="38" t="n">
        <f aca="false">AA15*AA16</f>
        <v>47.1788357142857</v>
      </c>
      <c r="AB17" s="38" t="n">
        <f aca="false">AB15*AB16</f>
        <v>47.1788357142857</v>
      </c>
      <c r="AC17" s="155" t="n">
        <f aca="false">SUM(Q17:AB17)</f>
        <v>559.7991</v>
      </c>
      <c r="AD17" s="19"/>
      <c r="AE17" s="38" t="n">
        <f aca="false">AE15*AE16</f>
        <v>46.1210142857143</v>
      </c>
      <c r="AF17" s="38" t="n">
        <f aca="false">AF15*AF16</f>
        <v>46.1210142857143</v>
      </c>
      <c r="AG17" s="38" t="n">
        <f aca="false">AG15*AG16</f>
        <v>46.1210142857143</v>
      </c>
      <c r="AH17" s="38" t="n">
        <f aca="false">AH15*AH16</f>
        <v>46.1210142857143</v>
      </c>
      <c r="AI17" s="38" t="n">
        <f aca="false">AI15*AI16</f>
        <v>46.1210142857143</v>
      </c>
      <c r="AJ17" s="38" t="n">
        <f aca="false">AJ15*AJ16</f>
        <v>46.1210142857143</v>
      </c>
      <c r="AK17" s="38" t="n">
        <f aca="false">AK15*AK16</f>
        <v>47.1788357142857</v>
      </c>
      <c r="AL17" s="38" t="n">
        <f aca="false">AL15*AL16</f>
        <v>47.1788357142857</v>
      </c>
      <c r="AM17" s="38" t="n">
        <f aca="false">AM15*AM16</f>
        <v>47.1788357142857</v>
      </c>
      <c r="AN17" s="38" t="n">
        <f aca="false">AN15*AN16</f>
        <v>47.1788357142857</v>
      </c>
      <c r="AO17" s="38" t="n">
        <f aca="false">AO15*AO16</f>
        <v>47.1788357142857</v>
      </c>
      <c r="AP17" s="38" t="n">
        <f aca="false">AP15*AP16</f>
        <v>47.1788357142857</v>
      </c>
      <c r="AQ17" s="155" t="n">
        <f aca="false">SUM(AE17:AP17)</f>
        <v>559.7991</v>
      </c>
    </row>
    <row r="18" customFormat="false" ht="13.8" hidden="false" customHeight="false" outlineLevel="0" collapsed="false">
      <c r="A18" s="163" t="s">
        <v>204</v>
      </c>
      <c r="B18" s="156" t="s">
        <v>203</v>
      </c>
      <c r="C18" s="157" t="n">
        <f aca="false">C17*Factors!C11</f>
        <v>198.477927416937</v>
      </c>
      <c r="D18" s="157" t="n">
        <f aca="false">D17*Factors!D11</f>
        <v>198.755408042445</v>
      </c>
      <c r="E18" s="157" t="n">
        <f aca="false">E17*Factors!E11</f>
        <v>199.032888667953</v>
      </c>
      <c r="F18" s="157" t="n">
        <f aca="false">F17*Factors!F11</f>
        <v>199.310369293461</v>
      </c>
      <c r="G18" s="157" t="n">
        <f aca="false">G17*Factors!G11</f>
        <v>199.587849918969</v>
      </c>
      <c r="H18" s="157" t="n">
        <f aca="false">H17*Factors!H11</f>
        <v>199.865330544477</v>
      </c>
      <c r="I18" s="157" t="n">
        <f aca="false">I17*Factors!I11</f>
        <v>204.733242618838</v>
      </c>
      <c r="J18" s="157" t="n">
        <f aca="false">J17*Factors!J11</f>
        <v>205.017087478876</v>
      </c>
      <c r="K18" s="157" t="n">
        <f aca="false">K17*Factors!K11</f>
        <v>205.300932338914</v>
      </c>
      <c r="L18" s="157" t="n">
        <f aca="false">L17*Factors!L11</f>
        <v>205.584777198952</v>
      </c>
      <c r="M18" s="157" t="n">
        <f aca="false">M17*Factors!M11</f>
        <v>205.86862205899</v>
      </c>
      <c r="N18" s="157" t="n">
        <f aca="false">N17*Factors!N11</f>
        <v>206.152466919028</v>
      </c>
      <c r="O18" s="157" t="n">
        <f aca="false">SUM(C18:N18)</f>
        <v>2427.68690249784</v>
      </c>
      <c r="P18" s="158"/>
      <c r="Q18" s="159" t="n">
        <f aca="false">Q17*Factors!Q11</f>
        <v>201.530214297525</v>
      </c>
      <c r="R18" s="159" t="n">
        <f aca="false">R17*Factors!R11</f>
        <v>202.369923523764</v>
      </c>
      <c r="S18" s="159" t="n">
        <f aca="false">S17*Factors!S11</f>
        <v>203.209632750004</v>
      </c>
      <c r="T18" s="159" t="n">
        <f aca="false">T17*Factors!T11</f>
        <v>204.049341976244</v>
      </c>
      <c r="U18" s="159" t="n">
        <f aca="false">U17*Factors!U11</f>
        <v>204.889051202483</v>
      </c>
      <c r="V18" s="159" t="n">
        <f aca="false">V17*Factors!V11</f>
        <v>205.728760428723</v>
      </c>
      <c r="W18" s="159" t="n">
        <f aca="false">W17*Factors!W11</f>
        <v>211.306278592003</v>
      </c>
      <c r="X18" s="159" t="n">
        <f aca="false">X17*Factors!X11</f>
        <v>212.165247204166</v>
      </c>
      <c r="Y18" s="159" t="n">
        <f aca="false">Y17*Factors!Y11</f>
        <v>213.024215816328</v>
      </c>
      <c r="Z18" s="159" t="n">
        <f aca="false">Z17*Factors!Z11</f>
        <v>213.883184428491</v>
      </c>
      <c r="AA18" s="159" t="n">
        <f aca="false">AA17*Factors!AA11</f>
        <v>214.742153040654</v>
      </c>
      <c r="AB18" s="159" t="n">
        <f aca="false">AB17*Factors!AB11</f>
        <v>215.601121652816</v>
      </c>
      <c r="AC18" s="160" t="n">
        <f aca="false">SUM(Q18:AB18)</f>
        <v>2502.4991249132</v>
      </c>
      <c r="AD18" s="158"/>
      <c r="AE18" s="159" t="n">
        <f aca="false">AE17*Factors!AG11</f>
        <v>212.488419699953</v>
      </c>
      <c r="AF18" s="159" t="n">
        <f aca="false">AF17*Factors!AH11</f>
        <v>213.370114387504</v>
      </c>
      <c r="AG18" s="159" t="n">
        <f aca="false">AG17*Factors!AI11</f>
        <v>214.251809075056</v>
      </c>
      <c r="AH18" s="159" t="n">
        <f aca="false">AH17*Factors!AJ11</f>
        <v>215.133503762608</v>
      </c>
      <c r="AI18" s="159" t="n">
        <f aca="false">AI17*Factors!AK11</f>
        <v>216.015198450159</v>
      </c>
      <c r="AJ18" s="159" t="n">
        <f aca="false">AJ17*Factors!AL11</f>
        <v>216.896893137711</v>
      </c>
      <c r="AK18" s="159" t="n">
        <f aca="false">AK17*Factors!AM11</f>
        <v>222.773509564374</v>
      </c>
      <c r="AL18" s="159" t="n">
        <f aca="false">AL17*Factors!AN11</f>
        <v>223.675426607145</v>
      </c>
      <c r="AM18" s="159" t="n">
        <f aca="false">AM17*Factors!AO11</f>
        <v>224.577343649916</v>
      </c>
      <c r="AN18" s="159" t="n">
        <f aca="false">AN17*Factors!AP11</f>
        <v>225.479260692686</v>
      </c>
      <c r="AO18" s="159" t="n">
        <f aca="false">AO17*Factors!AQ11</f>
        <v>226.381177735457</v>
      </c>
      <c r="AP18" s="159" t="n">
        <f aca="false">AP17*Factors!AR11</f>
        <v>227.283094778228</v>
      </c>
      <c r="AQ18" s="160" t="n">
        <f aca="false">SUM(AE18:AP18)</f>
        <v>2638.3257515408</v>
      </c>
    </row>
    <row r="19" customFormat="false" ht="13.8" hidden="false" customHeight="false" outlineLevel="0" collapsed="false">
      <c r="A19" s="19"/>
      <c r="B19" s="152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52"/>
      <c r="P19" s="19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61"/>
      <c r="AD19" s="19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61"/>
    </row>
    <row r="20" customFormat="false" ht="13.2" hidden="false" customHeight="false" outlineLevel="0" collapsed="false">
      <c r="A20" s="19"/>
      <c r="B20" s="54" t="s">
        <v>92</v>
      </c>
      <c r="C20" s="19"/>
      <c r="D20" s="19"/>
      <c r="E20" s="19"/>
      <c r="F20" s="19"/>
      <c r="G20" s="19"/>
      <c r="H20" s="19"/>
      <c r="J20" s="19"/>
      <c r="K20" s="19"/>
      <c r="L20" s="19"/>
      <c r="M20" s="19"/>
      <c r="N20" s="19"/>
      <c r="O20" s="15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61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61"/>
    </row>
    <row r="21" customFormat="false" ht="13.2" hidden="false" customHeight="false" outlineLevel="0" collapsed="false">
      <c r="A21" s="19"/>
      <c r="B21" s="152" t="s">
        <v>205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52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61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61"/>
    </row>
    <row r="22" customFormat="false" ht="13.2" hidden="false" customHeight="false" outlineLevel="0" collapsed="false">
      <c r="A22" s="19"/>
      <c r="B22" s="152" t="s">
        <v>93</v>
      </c>
      <c r="C22" s="138" t="n">
        <v>2500</v>
      </c>
      <c r="D22" s="138" t="n">
        <v>2500</v>
      </c>
      <c r="E22" s="138" t="n">
        <v>2500</v>
      </c>
      <c r="F22" s="138" t="n">
        <v>2500</v>
      </c>
      <c r="G22" s="138" t="n">
        <v>3000</v>
      </c>
      <c r="H22" s="138" t="n">
        <v>3000</v>
      </c>
      <c r="I22" s="138" t="n">
        <v>2900</v>
      </c>
      <c r="J22" s="138" t="n">
        <v>2900</v>
      </c>
      <c r="K22" s="138" t="n">
        <v>2900</v>
      </c>
      <c r="L22" s="138" t="n">
        <v>2900</v>
      </c>
      <c r="M22" s="138" t="n">
        <v>2500</v>
      </c>
      <c r="N22" s="138" t="n">
        <v>2500</v>
      </c>
      <c r="O22" s="153" t="n">
        <f aca="false">SUM(C22:N22)</f>
        <v>32600</v>
      </c>
      <c r="P22" s="152"/>
      <c r="Q22" s="138" t="n">
        <v>2500</v>
      </c>
      <c r="R22" s="138" t="n">
        <v>2500</v>
      </c>
      <c r="S22" s="138" t="n">
        <v>2500</v>
      </c>
      <c r="T22" s="138" t="n">
        <v>2500</v>
      </c>
      <c r="U22" s="138" t="n">
        <v>3000</v>
      </c>
      <c r="V22" s="138" t="n">
        <v>3000</v>
      </c>
      <c r="W22" s="138" t="n">
        <v>2900</v>
      </c>
      <c r="X22" s="138" t="n">
        <v>2900</v>
      </c>
      <c r="Y22" s="138" t="n">
        <v>2900</v>
      </c>
      <c r="Z22" s="138" t="n">
        <v>2900</v>
      </c>
      <c r="AA22" s="138" t="n">
        <v>2500</v>
      </c>
      <c r="AB22" s="138" t="n">
        <v>2500</v>
      </c>
      <c r="AC22" s="154" t="n">
        <f aca="false">SUM(Q22:AB22)</f>
        <v>32600</v>
      </c>
      <c r="AD22" s="19"/>
      <c r="AE22" s="138" t="n">
        <v>2500</v>
      </c>
      <c r="AF22" s="138" t="n">
        <v>2500</v>
      </c>
      <c r="AG22" s="138" t="n">
        <v>2500</v>
      </c>
      <c r="AH22" s="138" t="n">
        <v>2500</v>
      </c>
      <c r="AI22" s="138" t="n">
        <v>3000</v>
      </c>
      <c r="AJ22" s="138" t="n">
        <v>3000</v>
      </c>
      <c r="AK22" s="138" t="n">
        <v>2900</v>
      </c>
      <c r="AL22" s="138" t="n">
        <v>2900</v>
      </c>
      <c r="AM22" s="138" t="n">
        <v>2900</v>
      </c>
      <c r="AN22" s="138" t="n">
        <v>2900</v>
      </c>
      <c r="AO22" s="138" t="n">
        <v>2500</v>
      </c>
      <c r="AP22" s="138" t="n">
        <v>2500</v>
      </c>
      <c r="AQ22" s="154" t="n">
        <f aca="false">SUM(AE22:AP22)</f>
        <v>32600</v>
      </c>
    </row>
    <row r="23" customFormat="false" ht="13.2" hidden="false" customHeight="false" outlineLevel="0" collapsed="false">
      <c r="A23" s="19"/>
      <c r="B23" s="152" t="s">
        <v>206</v>
      </c>
      <c r="C23" s="19" t="n">
        <v>4.4029</v>
      </c>
      <c r="D23" s="19" t="n">
        <v>4.4029</v>
      </c>
      <c r="E23" s="19" t="n">
        <v>4.4029</v>
      </c>
      <c r="F23" s="19" t="n">
        <v>4.4029</v>
      </c>
      <c r="G23" s="19" t="n">
        <v>4.4029</v>
      </c>
      <c r="H23" s="19" t="n">
        <v>4.4029</v>
      </c>
      <c r="I23" s="19" t="n">
        <v>4.5035</v>
      </c>
      <c r="J23" s="19" t="n">
        <v>4.5035</v>
      </c>
      <c r="K23" s="19" t="n">
        <v>4.5035</v>
      </c>
      <c r="L23" s="19" t="n">
        <v>4.5035</v>
      </c>
      <c r="M23" s="19" t="n">
        <v>4.5035</v>
      </c>
      <c r="N23" s="19" t="n">
        <v>4.5035</v>
      </c>
      <c r="O23" s="153"/>
      <c r="P23" s="152"/>
      <c r="Q23" s="19" t="n">
        <v>4.4029</v>
      </c>
      <c r="R23" s="19" t="n">
        <v>4.4029</v>
      </c>
      <c r="S23" s="19" t="n">
        <v>4.4029</v>
      </c>
      <c r="T23" s="19" t="n">
        <v>4.4029</v>
      </c>
      <c r="U23" s="19" t="n">
        <v>4.4029</v>
      </c>
      <c r="V23" s="19" t="n">
        <v>4.4029</v>
      </c>
      <c r="W23" s="19" t="n">
        <v>4.5035</v>
      </c>
      <c r="X23" s="19" t="n">
        <v>4.5035</v>
      </c>
      <c r="Y23" s="19" t="n">
        <v>4.5035</v>
      </c>
      <c r="Z23" s="19" t="n">
        <v>4.5035</v>
      </c>
      <c r="AA23" s="19" t="n">
        <v>4.5035</v>
      </c>
      <c r="AB23" s="19" t="n">
        <v>4.5035</v>
      </c>
      <c r="AC23" s="154"/>
      <c r="AD23" s="19"/>
      <c r="AE23" s="19" t="n">
        <v>4.4029</v>
      </c>
      <c r="AF23" s="19" t="n">
        <v>4.4029</v>
      </c>
      <c r="AG23" s="19" t="n">
        <v>4.4029</v>
      </c>
      <c r="AH23" s="19" t="n">
        <v>4.4029</v>
      </c>
      <c r="AI23" s="19" t="n">
        <v>4.4029</v>
      </c>
      <c r="AJ23" s="19" t="n">
        <v>4.4029</v>
      </c>
      <c r="AK23" s="19" t="n">
        <v>4.5035</v>
      </c>
      <c r="AL23" s="19" t="n">
        <v>4.5035</v>
      </c>
      <c r="AM23" s="19" t="n">
        <v>4.5035</v>
      </c>
      <c r="AN23" s="19" t="n">
        <v>4.5035</v>
      </c>
      <c r="AO23" s="19" t="n">
        <v>4.5035</v>
      </c>
      <c r="AP23" s="19" t="n">
        <v>4.5035</v>
      </c>
      <c r="AQ23" s="154"/>
    </row>
    <row r="24" customFormat="false" ht="13.2" hidden="false" customHeight="false" outlineLevel="0" collapsed="false">
      <c r="A24" s="19"/>
      <c r="B24" s="54" t="s">
        <v>201</v>
      </c>
      <c r="C24" s="73" t="n">
        <f aca="false">C22*C23</f>
        <v>11007.25</v>
      </c>
      <c r="D24" s="73" t="n">
        <f aca="false">D22*D23</f>
        <v>11007.25</v>
      </c>
      <c r="E24" s="73" t="n">
        <f aca="false">E22*E23</f>
        <v>11007.25</v>
      </c>
      <c r="F24" s="73" t="n">
        <f aca="false">F22*F23</f>
        <v>11007.25</v>
      </c>
      <c r="G24" s="73" t="n">
        <f aca="false">G22*G23</f>
        <v>13208.7</v>
      </c>
      <c r="H24" s="73" t="n">
        <f aca="false">H22*H23</f>
        <v>13208.7</v>
      </c>
      <c r="I24" s="73" t="n">
        <f aca="false">I22*I23</f>
        <v>13060.15</v>
      </c>
      <c r="J24" s="73" t="n">
        <f aca="false">J22*J23</f>
        <v>13060.15</v>
      </c>
      <c r="K24" s="73" t="n">
        <f aca="false">K22*K23</f>
        <v>13060.15</v>
      </c>
      <c r="L24" s="73" t="n">
        <f aca="false">L22*L23</f>
        <v>13060.15</v>
      </c>
      <c r="M24" s="73" t="n">
        <f aca="false">M22*M23</f>
        <v>11258.75</v>
      </c>
      <c r="N24" s="73" t="n">
        <f aca="false">N22*N23</f>
        <v>11258.75</v>
      </c>
      <c r="O24" s="73" t="n">
        <f aca="false">SUM(C24:N24)</f>
        <v>145204.5</v>
      </c>
      <c r="P24" s="152"/>
      <c r="Q24" s="38" t="n">
        <f aca="false">Q22*Q23</f>
        <v>11007.25</v>
      </c>
      <c r="R24" s="38" t="n">
        <f aca="false">R22*R23</f>
        <v>11007.25</v>
      </c>
      <c r="S24" s="38" t="n">
        <f aca="false">S22*S23</f>
        <v>11007.25</v>
      </c>
      <c r="T24" s="38" t="n">
        <f aca="false">T22*T23</f>
        <v>11007.25</v>
      </c>
      <c r="U24" s="38" t="n">
        <f aca="false">U22*U23</f>
        <v>13208.7</v>
      </c>
      <c r="V24" s="38" t="n">
        <f aca="false">V22*V23</f>
        <v>13208.7</v>
      </c>
      <c r="W24" s="38" t="n">
        <f aca="false">W22*W23</f>
        <v>13060.15</v>
      </c>
      <c r="X24" s="38" t="n">
        <f aca="false">X22*X23</f>
        <v>13060.15</v>
      </c>
      <c r="Y24" s="38" t="n">
        <f aca="false">Y22*Y23</f>
        <v>13060.15</v>
      </c>
      <c r="Z24" s="38" t="n">
        <f aca="false">Z22*Z23</f>
        <v>13060.15</v>
      </c>
      <c r="AA24" s="38" t="n">
        <f aca="false">AA22*AA23</f>
        <v>11258.75</v>
      </c>
      <c r="AB24" s="38" t="n">
        <f aca="false">AB22*AB23</f>
        <v>11258.75</v>
      </c>
      <c r="AC24" s="155" t="n">
        <f aca="false">SUM(Q24:AB24)</f>
        <v>145204.5</v>
      </c>
      <c r="AD24" s="19"/>
      <c r="AE24" s="38" t="n">
        <f aca="false">AE22*AE23</f>
        <v>11007.25</v>
      </c>
      <c r="AF24" s="38" t="n">
        <f aca="false">AF22*AF23</f>
        <v>11007.25</v>
      </c>
      <c r="AG24" s="38" t="n">
        <f aca="false">AG22*AG23</f>
        <v>11007.25</v>
      </c>
      <c r="AH24" s="38" t="n">
        <f aca="false">AH22*AH23</f>
        <v>11007.25</v>
      </c>
      <c r="AI24" s="38" t="n">
        <f aca="false">AI22*AI23</f>
        <v>13208.7</v>
      </c>
      <c r="AJ24" s="38" t="n">
        <f aca="false">AJ22*AJ23</f>
        <v>13208.7</v>
      </c>
      <c r="AK24" s="38" t="n">
        <f aca="false">AK22*AK23</f>
        <v>13060.15</v>
      </c>
      <c r="AL24" s="38" t="n">
        <f aca="false">AL22*AL23</f>
        <v>13060.15</v>
      </c>
      <c r="AM24" s="38" t="n">
        <f aca="false">AM22*AM23</f>
        <v>13060.15</v>
      </c>
      <c r="AN24" s="38" t="n">
        <f aca="false">AN22*AN23</f>
        <v>13060.15</v>
      </c>
      <c r="AO24" s="38" t="n">
        <f aca="false">AO22*AO23</f>
        <v>11258.75</v>
      </c>
      <c r="AP24" s="38" t="n">
        <f aca="false">AP22*AP23</f>
        <v>11258.75</v>
      </c>
      <c r="AQ24" s="155" t="n">
        <f aca="false">SUM(AE24:AP24)</f>
        <v>145204.5</v>
      </c>
    </row>
    <row r="25" customFormat="false" ht="13.8" hidden="false" customHeight="false" outlineLevel="0" collapsed="false">
      <c r="A25" s="163" t="s">
        <v>207</v>
      </c>
      <c r="B25" s="156" t="s">
        <v>203</v>
      </c>
      <c r="C25" s="157" t="n">
        <f aca="false">C24*Factors!C11</f>
        <v>47368.77972861</v>
      </c>
      <c r="D25" s="157" t="n">
        <f aca="false">D24*Factors!D11</f>
        <v>47435.00330722</v>
      </c>
      <c r="E25" s="157" t="n">
        <f aca="false">E24*Factors!E11</f>
        <v>47501.22688583</v>
      </c>
      <c r="F25" s="157" t="n">
        <f aca="false">F24*Factors!F11</f>
        <v>47567.45046444</v>
      </c>
      <c r="G25" s="157" t="n">
        <f aca="false">G24*Factors!G11</f>
        <v>57160.40885166</v>
      </c>
      <c r="H25" s="157" t="n">
        <f aca="false">H24*Factors!H11</f>
        <v>57239.877145992</v>
      </c>
      <c r="I25" s="157" t="n">
        <f aca="false">I24*Factors!I11</f>
        <v>56674.710558378</v>
      </c>
      <c r="J25" s="157" t="n">
        <f aca="false">J24*Factors!J11</f>
        <v>56753.285122432</v>
      </c>
      <c r="K25" s="157" t="n">
        <f aca="false">K24*Factors!K11</f>
        <v>56831.859686486</v>
      </c>
      <c r="L25" s="157" t="n">
        <f aca="false">L24*Factors!L11</f>
        <v>56910.43425054</v>
      </c>
      <c r="M25" s="157" t="n">
        <f aca="false">M24*Factors!M11</f>
        <v>49128.45587465</v>
      </c>
      <c r="N25" s="157" t="n">
        <f aca="false">N24*Factors!N11</f>
        <v>49196.1925678</v>
      </c>
      <c r="O25" s="157" t="n">
        <f aca="false">SUM(C25:N25)</f>
        <v>629767.684444038</v>
      </c>
      <c r="P25" s="156"/>
      <c r="Q25" s="159" t="n">
        <f aca="false">Q24*Factors!R11</f>
        <v>48297.6442562089</v>
      </c>
      <c r="R25" s="159" t="n">
        <f aca="false">R24*Factors!S11</f>
        <v>48498.0494190977</v>
      </c>
      <c r="S25" s="159" t="n">
        <f aca="false">S24*Factors!T11</f>
        <v>48698.4545819865</v>
      </c>
      <c r="T25" s="159" t="n">
        <f aca="false">T24*Factors!U11</f>
        <v>48898.8597448754</v>
      </c>
      <c r="U25" s="159" t="n">
        <f aca="false">U24*Factors!V11</f>
        <v>58919.117889317</v>
      </c>
      <c r="V25" s="159" t="n">
        <f aca="false">V24*Factors!W11</f>
        <v>59159.6040847836</v>
      </c>
      <c r="W25" s="159" t="n">
        <f aca="false">W24*Factors!X11</f>
        <v>58732.0545605253</v>
      </c>
      <c r="X25" s="159" t="n">
        <f aca="false">X24*Factors!Y11</f>
        <v>58969.8361579363</v>
      </c>
      <c r="Y25" s="159" t="n">
        <f aca="false">Y24*Factors!Z11</f>
        <v>59207.6177553473</v>
      </c>
      <c r="Z25" s="159" t="n">
        <f aca="false">Z24*Factors!AA11</f>
        <v>59445.3993527584</v>
      </c>
      <c r="AA25" s="159" t="n">
        <f aca="false">AA24*Factors!AB11</f>
        <v>51451.0180604909</v>
      </c>
      <c r="AB25" s="159" t="n">
        <f aca="false">AB24*Factors!AC11</f>
        <v>51656.00219619</v>
      </c>
      <c r="AC25" s="160" t="n">
        <f aca="false">SUM(Q25:AB25)</f>
        <v>651933.658059517</v>
      </c>
      <c r="AD25" s="158"/>
      <c r="AE25" s="159" t="n">
        <f aca="false">AE24*Factors!AG11</f>
        <v>50712.5264690193</v>
      </c>
      <c r="AF25" s="159" t="n">
        <f aca="false">AF24*Factors!AH11</f>
        <v>50922.9518900526</v>
      </c>
      <c r="AG25" s="159" t="n">
        <f aca="false">AG24*Factors!AI11</f>
        <v>51133.3773110858</v>
      </c>
      <c r="AH25" s="159" t="n">
        <f aca="false">AH24*Factors!AJ11</f>
        <v>51343.8027321191</v>
      </c>
      <c r="AI25" s="159" t="n">
        <f aca="false">AI24*Factors!AK11</f>
        <v>61865.0737837829</v>
      </c>
      <c r="AJ25" s="159" t="n">
        <f aca="false">AJ24*Factors!AL11</f>
        <v>62117.5842890228</v>
      </c>
      <c r="AK25" s="159" t="n">
        <f aca="false">AK24*Factors!AM11</f>
        <v>61668.6572885515</v>
      </c>
      <c r="AL25" s="159" t="n">
        <f aca="false">AL24*Factors!AN11</f>
        <v>61918.3279658331</v>
      </c>
      <c r="AM25" s="159" t="n">
        <f aca="false">AM24*Factors!AO11</f>
        <v>62167.9986431147</v>
      </c>
      <c r="AN25" s="159" t="n">
        <f aca="false">AN24*Factors!AP11</f>
        <v>62417.6693203963</v>
      </c>
      <c r="AO25" s="159" t="n">
        <f aca="false">AO24*Factors!AQ11</f>
        <v>54023.5689635154</v>
      </c>
      <c r="AP25" s="159" t="n">
        <f aca="false">AP24*Factors!AR11</f>
        <v>54238.8023059995</v>
      </c>
      <c r="AQ25" s="160" t="n">
        <f aca="false">SUM(AE25:AP25)</f>
        <v>684530.340962493</v>
      </c>
    </row>
    <row r="26" customFormat="false" ht="13.8" hidden="false" customHeight="false" outlineLevel="0" collapsed="false">
      <c r="A26" s="19"/>
      <c r="B26" s="152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52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61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61"/>
    </row>
    <row r="27" customFormat="false" ht="13.2" hidden="false" customHeight="false" outlineLevel="0" collapsed="false">
      <c r="A27" s="19"/>
      <c r="B27" s="152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52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61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61"/>
    </row>
    <row r="28" customFormat="false" ht="13.2" hidden="false" customHeight="false" outlineLevel="0" collapsed="false">
      <c r="A28" s="19"/>
      <c r="B28" s="164" t="s">
        <v>208</v>
      </c>
      <c r="C28" s="165" t="n">
        <v>250</v>
      </c>
      <c r="D28" s="165" t="n">
        <v>250</v>
      </c>
      <c r="E28" s="165" t="n">
        <v>250</v>
      </c>
      <c r="F28" s="165" t="n">
        <v>250</v>
      </c>
      <c r="G28" s="165" t="n">
        <v>250</v>
      </c>
      <c r="H28" s="165" t="n">
        <v>250</v>
      </c>
      <c r="I28" s="165" t="n">
        <v>250</v>
      </c>
      <c r="J28" s="165" t="n">
        <v>250</v>
      </c>
      <c r="K28" s="165" t="n">
        <v>250</v>
      </c>
      <c r="L28" s="165" t="n">
        <v>250</v>
      </c>
      <c r="M28" s="165" t="n">
        <v>250</v>
      </c>
      <c r="N28" s="165" t="n">
        <v>250</v>
      </c>
      <c r="O28" s="73" t="n">
        <f aca="false">SUM(C28:N28)</f>
        <v>3000</v>
      </c>
      <c r="P28" s="19"/>
      <c r="Q28" s="158" t="n">
        <v>250</v>
      </c>
      <c r="R28" s="158" t="n">
        <v>250</v>
      </c>
      <c r="S28" s="158" t="n">
        <v>250</v>
      </c>
      <c r="T28" s="158" t="n">
        <v>250</v>
      </c>
      <c r="U28" s="158" t="n">
        <v>250</v>
      </c>
      <c r="V28" s="158" t="n">
        <v>250</v>
      </c>
      <c r="W28" s="158" t="n">
        <v>250</v>
      </c>
      <c r="X28" s="158" t="n">
        <v>250</v>
      </c>
      <c r="Y28" s="158" t="n">
        <v>250</v>
      </c>
      <c r="Z28" s="158" t="n">
        <v>250</v>
      </c>
      <c r="AA28" s="158" t="n">
        <v>250</v>
      </c>
      <c r="AB28" s="158" t="n">
        <v>250</v>
      </c>
      <c r="AC28" s="155" t="n">
        <f aca="false">SUM(Q28:AB28)</f>
        <v>3000</v>
      </c>
      <c r="AD28" s="19"/>
      <c r="AE28" s="158" t="n">
        <v>250</v>
      </c>
      <c r="AF28" s="158" t="n">
        <v>250</v>
      </c>
      <c r="AG28" s="158" t="n">
        <v>250</v>
      </c>
      <c r="AH28" s="158" t="n">
        <v>250</v>
      </c>
      <c r="AI28" s="158" t="n">
        <v>250</v>
      </c>
      <c r="AJ28" s="158" t="n">
        <v>250</v>
      </c>
      <c r="AK28" s="158" t="n">
        <v>250</v>
      </c>
      <c r="AL28" s="158" t="n">
        <v>250</v>
      </c>
      <c r="AM28" s="158" t="n">
        <v>250</v>
      </c>
      <c r="AN28" s="158" t="n">
        <v>250</v>
      </c>
      <c r="AO28" s="158" t="n">
        <v>250</v>
      </c>
      <c r="AP28" s="158" t="n">
        <v>250</v>
      </c>
      <c r="AQ28" s="155" t="n">
        <f aca="false">SUM(AE28:AP28)</f>
        <v>3000</v>
      </c>
    </row>
    <row r="29" customFormat="false" ht="13.8" hidden="false" customHeight="false" outlineLevel="0" collapsed="false">
      <c r="A29" s="163" t="s">
        <v>209</v>
      </c>
      <c r="B29" s="54" t="s">
        <v>203</v>
      </c>
      <c r="C29" s="75" t="n">
        <f aca="false">C28*Factors!C11</f>
        <v>1075.85409</v>
      </c>
      <c r="D29" s="75" t="n">
        <f aca="false">D28*Factors!D11</f>
        <v>1077.35818</v>
      </c>
      <c r="E29" s="75" t="n">
        <f aca="false">E28*Factors!E11</f>
        <v>1078.86227</v>
      </c>
      <c r="F29" s="75" t="n">
        <f aca="false">F28*Factors!F11</f>
        <v>1080.36636</v>
      </c>
      <c r="G29" s="75" t="n">
        <f aca="false">G28*Factors!G11</f>
        <v>1081.87045</v>
      </c>
      <c r="H29" s="75" t="n">
        <f aca="false">H28*Factors!H11</f>
        <v>1083.37454</v>
      </c>
      <c r="I29" s="75" t="n">
        <f aca="false">I28*Factors!I11</f>
        <v>1084.87863</v>
      </c>
      <c r="J29" s="75" t="n">
        <f aca="false">J28*Factors!J11</f>
        <v>1086.38272</v>
      </c>
      <c r="K29" s="75" t="n">
        <f aca="false">K28*Factors!K11</f>
        <v>1087.88681</v>
      </c>
      <c r="L29" s="75" t="n">
        <f aca="false">L28*Factors!L11</f>
        <v>1089.3909</v>
      </c>
      <c r="M29" s="75" t="n">
        <f aca="false">M28*Factors!M11</f>
        <v>1090.89499</v>
      </c>
      <c r="N29" s="75" t="n">
        <f aca="false">N28*Factors!N11</f>
        <v>1092.39908</v>
      </c>
      <c r="O29" s="75" t="n">
        <f aca="false">SUM(C29:N29)</f>
        <v>13009.51902</v>
      </c>
      <c r="P29" s="158"/>
      <c r="Q29" s="38" t="n">
        <f aca="false">Q28*Factors!R11</f>
        <v>1096.95074283333</v>
      </c>
      <c r="R29" s="38" t="n">
        <f aca="false">R28*Factors!S11</f>
        <v>1101.50240566667</v>
      </c>
      <c r="S29" s="38" t="n">
        <f aca="false">S28*Factors!T11</f>
        <v>1106.0540685</v>
      </c>
      <c r="T29" s="38" t="n">
        <f aca="false">T28*Factors!U11</f>
        <v>1110.60573133333</v>
      </c>
      <c r="U29" s="38" t="n">
        <f aca="false">U28*Factors!V11</f>
        <v>1115.15739416667</v>
      </c>
      <c r="V29" s="38" t="n">
        <f aca="false">V28*Factors!W11</f>
        <v>1119.709057</v>
      </c>
      <c r="W29" s="38" t="n">
        <f aca="false">W28*Factors!X11</f>
        <v>1124.26071983333</v>
      </c>
      <c r="X29" s="38" t="n">
        <f aca="false">X28*Factors!Y11</f>
        <v>1128.81238266667</v>
      </c>
      <c r="Y29" s="38" t="n">
        <f aca="false">Y28*Factors!Z11</f>
        <v>1133.3640455</v>
      </c>
      <c r="Z29" s="38" t="n">
        <f aca="false">Z28*Factors!AA11</f>
        <v>1137.91570833333</v>
      </c>
      <c r="AA29" s="38" t="n">
        <f aca="false">AA28*Factors!AB11</f>
        <v>1142.46737116667</v>
      </c>
      <c r="AB29" s="38" t="n">
        <f aca="false">AB28*Factors!AC11</f>
        <v>1147.019034</v>
      </c>
      <c r="AC29" s="155" t="n">
        <f aca="false">SUM(Q29:AB29)</f>
        <v>13463.818661</v>
      </c>
      <c r="AD29" s="158"/>
      <c r="AE29" s="38" t="n">
        <f aca="false">AE28*Factors!AG11</f>
        <v>1151.798279975</v>
      </c>
      <c r="AF29" s="38" t="n">
        <f aca="false">AF28*Factors!AH11</f>
        <v>1156.57752595</v>
      </c>
      <c r="AG29" s="38" t="n">
        <f aca="false">AG28*Factors!AI11</f>
        <v>1161.356771925</v>
      </c>
      <c r="AH29" s="38" t="n">
        <f aca="false">AH28*Factors!AJ11</f>
        <v>1166.1360179</v>
      </c>
      <c r="AI29" s="38" t="n">
        <f aca="false">AI28*Factors!AK11</f>
        <v>1170.915263875</v>
      </c>
      <c r="AJ29" s="38" t="n">
        <f aca="false">AJ28*Factors!AL11</f>
        <v>1175.69450985</v>
      </c>
      <c r="AK29" s="38" t="n">
        <f aca="false">AK28*Factors!AM11</f>
        <v>1180.473755825</v>
      </c>
      <c r="AL29" s="38" t="n">
        <f aca="false">AL28*Factors!AN11</f>
        <v>1185.2530018</v>
      </c>
      <c r="AM29" s="38" t="n">
        <f aca="false">AM28*Factors!AO11</f>
        <v>1190.032247775</v>
      </c>
      <c r="AN29" s="38" t="n">
        <f aca="false">AN28*Factors!AP11</f>
        <v>1194.81149375</v>
      </c>
      <c r="AO29" s="38" t="n">
        <f aca="false">AO28*Factors!AQ11</f>
        <v>1199.590739725</v>
      </c>
      <c r="AP29" s="38" t="n">
        <f aca="false">AP28*Factors!AR11</f>
        <v>1204.3699857</v>
      </c>
      <c r="AQ29" s="155" t="n">
        <f aca="false">SUM(AE29:AP29)</f>
        <v>14137.00959405</v>
      </c>
    </row>
    <row r="30" customFormat="false" ht="13.8" hidden="false" customHeight="false" outlineLevel="0" collapsed="false">
      <c r="A30" s="166"/>
      <c r="B30" s="167"/>
      <c r="C30" s="3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168"/>
      <c r="P30" s="33"/>
      <c r="Q30" s="33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169"/>
      <c r="AD30" s="33"/>
      <c r="AE30" s="33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169"/>
    </row>
    <row r="31" customFormat="false" ht="13.2" hidden="false" customHeight="false" outlineLevel="0" collapsed="false">
      <c r="A31" s="137"/>
      <c r="B31" s="170"/>
      <c r="O31" s="145"/>
      <c r="AC31" s="151"/>
      <c r="AQ31" s="151"/>
    </row>
    <row r="32" customFormat="false" ht="13.8" hidden="false" customHeight="false" outlineLevel="0" collapsed="false">
      <c r="B32" s="171" t="s">
        <v>210</v>
      </c>
      <c r="O32" s="145"/>
      <c r="AC32" s="151"/>
      <c r="AQ32" s="151"/>
    </row>
    <row r="33" customFormat="false" ht="13.2" hidden="false" customHeight="false" outlineLevel="0" collapsed="false">
      <c r="A33" s="137"/>
      <c r="B33" s="170"/>
      <c r="O33" s="145"/>
      <c r="AC33" s="151"/>
      <c r="AQ33" s="151"/>
    </row>
    <row r="34" customFormat="false" ht="13.2" hidden="false" customHeight="false" outlineLevel="0" collapsed="false">
      <c r="B34" s="54" t="s">
        <v>94</v>
      </c>
      <c r="O34" s="145"/>
      <c r="AC34" s="151"/>
      <c r="AQ34" s="151"/>
    </row>
    <row r="35" customFormat="false" ht="13.2" hidden="false" customHeight="false" outlineLevel="0" collapsed="false">
      <c r="A35" s="137"/>
      <c r="B35" s="145" t="s">
        <v>95</v>
      </c>
      <c r="C35" s="139" t="n">
        <v>4000</v>
      </c>
      <c r="D35" s="139" t="n">
        <v>3000</v>
      </c>
      <c r="E35" s="139" t="n">
        <v>3700</v>
      </c>
      <c r="F35" s="139" t="n">
        <v>2500</v>
      </c>
      <c r="G35" s="139" t="n">
        <v>500</v>
      </c>
      <c r="H35" s="139" t="n">
        <v>500</v>
      </c>
      <c r="I35" s="139" t="n">
        <v>500</v>
      </c>
      <c r="J35" s="139" t="n">
        <v>500</v>
      </c>
      <c r="K35" s="139" t="n">
        <v>1000</v>
      </c>
      <c r="L35" s="139" t="n">
        <v>2000</v>
      </c>
      <c r="M35" s="139" t="n">
        <v>2500</v>
      </c>
      <c r="N35" s="139" t="n">
        <v>3500</v>
      </c>
      <c r="O35" s="145"/>
      <c r="Q35" s="139" t="n">
        <v>4000</v>
      </c>
      <c r="R35" s="139" t="n">
        <v>3000</v>
      </c>
      <c r="S35" s="139" t="n">
        <v>3700</v>
      </c>
      <c r="T35" s="139" t="n">
        <v>2500</v>
      </c>
      <c r="U35" s="139" t="n">
        <v>500</v>
      </c>
      <c r="V35" s="139" t="n">
        <v>500</v>
      </c>
      <c r="W35" s="139" t="n">
        <v>500</v>
      </c>
      <c r="X35" s="139" t="n">
        <v>500</v>
      </c>
      <c r="Y35" s="139" t="n">
        <v>1000</v>
      </c>
      <c r="Z35" s="139" t="n">
        <v>2000</v>
      </c>
      <c r="AA35" s="139" t="n">
        <v>2500</v>
      </c>
      <c r="AB35" s="139" t="n">
        <v>3500</v>
      </c>
      <c r="AC35" s="151"/>
      <c r="AE35" s="139" t="n">
        <v>4000</v>
      </c>
      <c r="AF35" s="139" t="n">
        <v>3000</v>
      </c>
      <c r="AG35" s="139" t="n">
        <v>3700</v>
      </c>
      <c r="AH35" s="139" t="n">
        <v>2500</v>
      </c>
      <c r="AI35" s="139" t="n">
        <v>500</v>
      </c>
      <c r="AJ35" s="139" t="n">
        <v>500</v>
      </c>
      <c r="AK35" s="139" t="n">
        <v>500</v>
      </c>
      <c r="AL35" s="139" t="n">
        <v>500</v>
      </c>
      <c r="AM35" s="139" t="n">
        <v>1000</v>
      </c>
      <c r="AN35" s="139" t="n">
        <v>2000</v>
      </c>
      <c r="AO35" s="139" t="n">
        <v>2500</v>
      </c>
      <c r="AP35" s="139" t="n">
        <v>3500</v>
      </c>
      <c r="AQ35" s="151"/>
    </row>
    <row r="36" customFormat="false" ht="13.2" hidden="false" customHeight="false" outlineLevel="0" collapsed="false">
      <c r="A36" s="137"/>
      <c r="B36" s="172" t="s">
        <v>200</v>
      </c>
      <c r="C36" s="173" t="n">
        <v>0.412</v>
      </c>
      <c r="D36" s="173" t="n">
        <f aca="false">C36</f>
        <v>0.412</v>
      </c>
      <c r="E36" s="173" t="n">
        <f aca="false">D36</f>
        <v>0.412</v>
      </c>
      <c r="F36" s="173" t="n">
        <f aca="false">E36</f>
        <v>0.412</v>
      </c>
      <c r="G36" s="173" t="n">
        <f aca="false">F36</f>
        <v>0.412</v>
      </c>
      <c r="H36" s="173" t="n">
        <f aca="false">G36</f>
        <v>0.412</v>
      </c>
      <c r="I36" s="173" t="n">
        <v>0.421</v>
      </c>
      <c r="J36" s="173" t="n">
        <f aca="false">I36</f>
        <v>0.421</v>
      </c>
      <c r="K36" s="173" t="n">
        <f aca="false">J36</f>
        <v>0.421</v>
      </c>
      <c r="L36" s="173" t="n">
        <f aca="false">K36</f>
        <v>0.421</v>
      </c>
      <c r="M36" s="173" t="n">
        <f aca="false">L36</f>
        <v>0.421</v>
      </c>
      <c r="N36" s="173" t="n">
        <f aca="false">M36</f>
        <v>0.421</v>
      </c>
      <c r="O36" s="145"/>
      <c r="Q36" s="173" t="n">
        <v>0.412</v>
      </c>
      <c r="R36" s="173" t="n">
        <f aca="false">Q36</f>
        <v>0.412</v>
      </c>
      <c r="S36" s="173" t="n">
        <f aca="false">R36</f>
        <v>0.412</v>
      </c>
      <c r="T36" s="173" t="n">
        <f aca="false">S36</f>
        <v>0.412</v>
      </c>
      <c r="U36" s="173" t="n">
        <f aca="false">T36</f>
        <v>0.412</v>
      </c>
      <c r="V36" s="173" t="n">
        <f aca="false">U36</f>
        <v>0.412</v>
      </c>
      <c r="W36" s="173" t="n">
        <v>0.421</v>
      </c>
      <c r="X36" s="173" t="n">
        <f aca="false">W36</f>
        <v>0.421</v>
      </c>
      <c r="Y36" s="173" t="n">
        <f aca="false">X36</f>
        <v>0.421</v>
      </c>
      <c r="Z36" s="173" t="n">
        <f aca="false">Y36</f>
        <v>0.421</v>
      </c>
      <c r="AA36" s="173" t="n">
        <f aca="false">Z36</f>
        <v>0.421</v>
      </c>
      <c r="AB36" s="173" t="n">
        <f aca="false">AA36</f>
        <v>0.421</v>
      </c>
      <c r="AC36" s="151"/>
      <c r="AE36" s="173" t="n">
        <v>0.412</v>
      </c>
      <c r="AF36" s="173" t="n">
        <f aca="false">AE36</f>
        <v>0.412</v>
      </c>
      <c r="AG36" s="173" t="n">
        <f aca="false">AF36</f>
        <v>0.412</v>
      </c>
      <c r="AH36" s="173" t="n">
        <f aca="false">AG36</f>
        <v>0.412</v>
      </c>
      <c r="AI36" s="173" t="n">
        <f aca="false">AH36</f>
        <v>0.412</v>
      </c>
      <c r="AJ36" s="173" t="n">
        <f aca="false">AI36</f>
        <v>0.412</v>
      </c>
      <c r="AK36" s="173" t="n">
        <v>0.421</v>
      </c>
      <c r="AL36" s="173" t="n">
        <f aca="false">AK36</f>
        <v>0.421</v>
      </c>
      <c r="AM36" s="173" t="n">
        <f aca="false">AL36</f>
        <v>0.421</v>
      </c>
      <c r="AN36" s="173" t="n">
        <f aca="false">AM36</f>
        <v>0.421</v>
      </c>
      <c r="AO36" s="173" t="n">
        <f aca="false">AN36</f>
        <v>0.421</v>
      </c>
      <c r="AP36" s="173" t="n">
        <f aca="false">AO36</f>
        <v>0.421</v>
      </c>
      <c r="AQ36" s="151"/>
    </row>
    <row r="37" customFormat="false" ht="13.2" hidden="false" customHeight="false" outlineLevel="0" collapsed="false">
      <c r="A37" s="158"/>
      <c r="B37" s="156" t="s">
        <v>211</v>
      </c>
      <c r="C37" s="73" t="n">
        <f aca="false">C35*C36</f>
        <v>1648</v>
      </c>
      <c r="D37" s="73" t="n">
        <f aca="false">D35*D36</f>
        <v>1236</v>
      </c>
      <c r="E37" s="73" t="n">
        <f aca="false">E35*E36</f>
        <v>1524.4</v>
      </c>
      <c r="F37" s="73" t="n">
        <f aca="false">F35*F36</f>
        <v>1030</v>
      </c>
      <c r="G37" s="73" t="n">
        <f aca="false">G35*G36</f>
        <v>206</v>
      </c>
      <c r="H37" s="73" t="n">
        <f aca="false">H35*H36</f>
        <v>206</v>
      </c>
      <c r="I37" s="73" t="n">
        <f aca="false">I35*I36</f>
        <v>210.5</v>
      </c>
      <c r="J37" s="73" t="n">
        <f aca="false">J35*J36</f>
        <v>210.5</v>
      </c>
      <c r="K37" s="73" t="n">
        <f aca="false">K35*K36</f>
        <v>421</v>
      </c>
      <c r="L37" s="73" t="n">
        <f aca="false">L35*L36</f>
        <v>842</v>
      </c>
      <c r="M37" s="73" t="n">
        <f aca="false">M35*M36</f>
        <v>1052.5</v>
      </c>
      <c r="N37" s="73" t="n">
        <f aca="false">N35*N36</f>
        <v>1473.5</v>
      </c>
      <c r="O37" s="73" t="n">
        <f aca="false">SUM(C37:N37)</f>
        <v>10060.4</v>
      </c>
      <c r="P37" s="158"/>
      <c r="Q37" s="38" t="n">
        <f aca="false">Q35*Q36</f>
        <v>1648</v>
      </c>
      <c r="R37" s="38" t="n">
        <f aca="false">R35*R36</f>
        <v>1236</v>
      </c>
      <c r="S37" s="38" t="n">
        <f aca="false">S35*S36</f>
        <v>1524.4</v>
      </c>
      <c r="T37" s="38" t="n">
        <f aca="false">T35*T36</f>
        <v>1030</v>
      </c>
      <c r="U37" s="38" t="n">
        <f aca="false">U35*U36</f>
        <v>206</v>
      </c>
      <c r="V37" s="38" t="n">
        <f aca="false">V35*V36</f>
        <v>206</v>
      </c>
      <c r="W37" s="38" t="n">
        <f aca="false">W35*W36</f>
        <v>210.5</v>
      </c>
      <c r="X37" s="38" t="n">
        <f aca="false">X35*X36</f>
        <v>210.5</v>
      </c>
      <c r="Y37" s="38" t="n">
        <f aca="false">Y35*Y36</f>
        <v>421</v>
      </c>
      <c r="Z37" s="38" t="n">
        <f aca="false">Z35*Z36</f>
        <v>842</v>
      </c>
      <c r="AA37" s="38" t="n">
        <f aca="false">AA35*AA36</f>
        <v>1052.5</v>
      </c>
      <c r="AB37" s="38" t="n">
        <f aca="false">AB35*AB36</f>
        <v>1473.5</v>
      </c>
      <c r="AC37" s="155" t="n">
        <f aca="false">SUM(Q37:AB37)</f>
        <v>10060.4</v>
      </c>
      <c r="AD37" s="158"/>
      <c r="AE37" s="38" t="n">
        <f aca="false">AE35*AE36</f>
        <v>1648</v>
      </c>
      <c r="AF37" s="38" t="n">
        <f aca="false">AF35*AF36</f>
        <v>1236</v>
      </c>
      <c r="AG37" s="38" t="n">
        <f aca="false">AG35*AG36</f>
        <v>1524.4</v>
      </c>
      <c r="AH37" s="38" t="n">
        <f aca="false">AH35*AH36</f>
        <v>1030</v>
      </c>
      <c r="AI37" s="38" t="n">
        <f aca="false">AI35*AI36</f>
        <v>206</v>
      </c>
      <c r="AJ37" s="38" t="n">
        <f aca="false">AJ35*AJ36</f>
        <v>206</v>
      </c>
      <c r="AK37" s="38" t="n">
        <f aca="false">AK35*AK36</f>
        <v>210.5</v>
      </c>
      <c r="AL37" s="38" t="n">
        <f aca="false">AL35*AL36</f>
        <v>210.5</v>
      </c>
      <c r="AM37" s="38" t="n">
        <f aca="false">AM35*AM36</f>
        <v>421</v>
      </c>
      <c r="AN37" s="38" t="n">
        <f aca="false">AN35*AN36</f>
        <v>842</v>
      </c>
      <c r="AO37" s="38" t="n">
        <f aca="false">AO35*AO36</f>
        <v>1052.5</v>
      </c>
      <c r="AP37" s="38" t="n">
        <f aca="false">AP35*AP36</f>
        <v>1473.5</v>
      </c>
      <c r="AQ37" s="155" t="n">
        <f aca="false">SUM(AE37:AP37)</f>
        <v>10060.4</v>
      </c>
    </row>
    <row r="38" customFormat="false" ht="13.8" hidden="false" customHeight="false" outlineLevel="0" collapsed="false">
      <c r="A38" s="141" t="s">
        <v>212</v>
      </c>
      <c r="B38" s="54" t="s">
        <v>203</v>
      </c>
      <c r="C38" s="75" t="n">
        <f aca="false">C37*Factors!C11</f>
        <v>7092.03016128</v>
      </c>
      <c r="D38" s="75" t="n">
        <f aca="false">D37*Factors!D11</f>
        <v>5326.45884192</v>
      </c>
      <c r="E38" s="75" t="n">
        <f aca="false">E37*Factors!E11</f>
        <v>6578.470577552</v>
      </c>
      <c r="F38" s="75" t="n">
        <f aca="false">F37*Factors!F11</f>
        <v>4451.1094032</v>
      </c>
      <c r="G38" s="75" t="n">
        <f aca="false">G37*Factors!G11</f>
        <v>891.4612508</v>
      </c>
      <c r="H38" s="75" t="n">
        <f aca="false">H37*Factors!H11</f>
        <v>892.70062096</v>
      </c>
      <c r="I38" s="75" t="n">
        <f aca="false">I37*Factors!I11</f>
        <v>913.46780646</v>
      </c>
      <c r="J38" s="75" t="n">
        <f aca="false">J37*Factors!J11</f>
        <v>914.73425024</v>
      </c>
      <c r="K38" s="75" t="n">
        <f aca="false">K37*Factors!K11</f>
        <v>1832.00138804</v>
      </c>
      <c r="L38" s="75" t="n">
        <f aca="false">L37*Factors!L11</f>
        <v>3669.0685512</v>
      </c>
      <c r="M38" s="75" t="n">
        <f aca="false">M37*Factors!M11</f>
        <v>4592.6679079</v>
      </c>
      <c r="N38" s="75" t="n">
        <f aca="false">N37*Factors!N11</f>
        <v>6438.60017752001</v>
      </c>
      <c r="O38" s="75" t="n">
        <f aca="false">SUM(C38:N38)</f>
        <v>43592.770937072</v>
      </c>
      <c r="P38" s="158"/>
      <c r="Q38" s="38" t="n">
        <f aca="false">Q37*Factors!R11</f>
        <v>7231.09929675734</v>
      </c>
      <c r="R38" s="38" t="n">
        <f aca="false">R37*Factors!S11</f>
        <v>5445.827893616</v>
      </c>
      <c r="S38" s="38" t="n">
        <f aca="false">S37*Factors!T11</f>
        <v>6744.2752880856</v>
      </c>
      <c r="T38" s="38" t="n">
        <f aca="false">T37*Factors!U11</f>
        <v>4575.69561309334</v>
      </c>
      <c r="U38" s="38" t="n">
        <f aca="false">U37*Factors!V11</f>
        <v>918.889692793334</v>
      </c>
      <c r="V38" s="38" t="n">
        <f aca="false">V37*Factors!W11</f>
        <v>922.640262968001</v>
      </c>
      <c r="W38" s="38" t="n">
        <f aca="false">W37*Factors!X11</f>
        <v>946.627526099667</v>
      </c>
      <c r="X38" s="38" t="n">
        <f aca="false">X37*Factors!Y11</f>
        <v>950.460026205334</v>
      </c>
      <c r="Y38" s="38" t="n">
        <f aca="false">Y37*Factors!Z11</f>
        <v>1908.585052622</v>
      </c>
      <c r="Z38" s="38" t="n">
        <f aca="false">Z37*Factors!AA11</f>
        <v>3832.50010566667</v>
      </c>
      <c r="AA38" s="38" t="n">
        <f aca="false">AA37*Factors!AB11</f>
        <v>4809.78763261167</v>
      </c>
      <c r="AB38" s="38" t="n">
        <f aca="false">AB37*Factors!AC11</f>
        <v>6760.530186396</v>
      </c>
      <c r="AC38" s="155" t="n">
        <f aca="false">SUM(Q38:AB38)</f>
        <v>45046.918576915</v>
      </c>
      <c r="AD38" s="158"/>
      <c r="AE38" s="38" t="n">
        <f aca="false">AE37*Factors!AG11</f>
        <v>7592.6542615952</v>
      </c>
      <c r="AF38" s="38" t="n">
        <f aca="false">AF37*Factors!AH11</f>
        <v>5718.1192882968</v>
      </c>
      <c r="AG38" s="38" t="n">
        <f aca="false">AG37*Factors!AI11</f>
        <v>7081.48905248988</v>
      </c>
      <c r="AH38" s="38" t="n">
        <f aca="false">AH37*Factors!AJ11</f>
        <v>4804.480393748</v>
      </c>
      <c r="AI38" s="38" t="n">
        <f aca="false">AI37*Factors!AK11</f>
        <v>964.834177433</v>
      </c>
      <c r="AJ38" s="38" t="n">
        <f aca="false">AJ37*Factors!AL11</f>
        <v>968.7722761164</v>
      </c>
      <c r="AK38" s="38" t="n">
        <f aca="false">AK37*Factors!AM11</f>
        <v>993.95890240465</v>
      </c>
      <c r="AL38" s="38" t="n">
        <f aca="false">AL37*Factors!AN11</f>
        <v>997.9830275156</v>
      </c>
      <c r="AM38" s="38" t="n">
        <f aca="false">AM37*Factors!AO11</f>
        <v>2004.0143052531</v>
      </c>
      <c r="AN38" s="38" t="n">
        <f aca="false">AN37*Factors!AP11</f>
        <v>4024.12511095</v>
      </c>
      <c r="AO38" s="38" t="n">
        <f aca="false">AO37*Factors!AQ11</f>
        <v>5050.27701424225</v>
      </c>
      <c r="AP38" s="38" t="n">
        <f aca="false">AP37*Factors!AR11</f>
        <v>7098.5566957158</v>
      </c>
      <c r="AQ38" s="155" t="n">
        <f aca="false">SUM(AE38:AP38)</f>
        <v>47299.2645057607</v>
      </c>
    </row>
    <row r="39" customFormat="false" ht="13.8" hidden="false" customHeight="false" outlineLevel="0" collapsed="false">
      <c r="A39" s="141"/>
      <c r="B39" s="152"/>
      <c r="O39" s="145"/>
      <c r="AC39" s="151"/>
      <c r="AQ39" s="151"/>
    </row>
    <row r="40" customFormat="false" ht="13.2" hidden="false" customHeight="false" outlineLevel="0" collapsed="false">
      <c r="A40" s="141" t="s">
        <v>213</v>
      </c>
      <c r="B40" s="54" t="s">
        <v>214</v>
      </c>
      <c r="O40" s="145"/>
      <c r="AC40" s="151"/>
      <c r="AQ40" s="151"/>
    </row>
    <row r="41" customFormat="false" ht="13.2" hidden="false" customHeight="false" outlineLevel="0" collapsed="false">
      <c r="O41" s="145"/>
      <c r="AC41" s="151"/>
      <c r="AQ41" s="151"/>
    </row>
    <row r="42" customFormat="false" ht="13.2" hidden="false" customHeight="false" outlineLevel="0" collapsed="false">
      <c r="B42" s="54" t="s">
        <v>215</v>
      </c>
      <c r="O42" s="145"/>
      <c r="AC42" s="151"/>
      <c r="AQ42" s="151"/>
    </row>
    <row r="43" customFormat="false" ht="13.2" hidden="false" customHeight="false" outlineLevel="0" collapsed="false">
      <c r="A43" s="19"/>
      <c r="B43" s="54" t="s">
        <v>216</v>
      </c>
      <c r="C43" s="73" t="n">
        <f aca="false">C44/Factors!C11</f>
        <v>3253.2292552794</v>
      </c>
      <c r="D43" s="73" t="n">
        <f aca="false">D44/Factors!D11</f>
        <v>3248.68745137295</v>
      </c>
      <c r="E43" s="73" t="n">
        <f aca="false">E44/Factors!E11</f>
        <v>3244.15831132921</v>
      </c>
      <c r="F43" s="73" t="n">
        <f aca="false">F44/Factors!F11</f>
        <v>3239.64178225616</v>
      </c>
      <c r="G43" s="73" t="n">
        <f aca="false">G44/Factors!G11</f>
        <v>3235.1378115559</v>
      </c>
      <c r="H43" s="73" t="n">
        <f aca="false">H44/Factors!H11</f>
        <v>3230.64634692264</v>
      </c>
      <c r="I43" s="73" t="n">
        <f aca="false">I44/Factors!I11</f>
        <v>3226.16733634066</v>
      </c>
      <c r="J43" s="73" t="n">
        <f aca="false">J44/Factors!J11</f>
        <v>3221.70072808227</v>
      </c>
      <c r="K43" s="73" t="n">
        <f aca="false">K44/Factors!K11</f>
        <v>3217.2464707059</v>
      </c>
      <c r="L43" s="73" t="n">
        <f aca="false">L44/Factors!L11</f>
        <v>3212.80451305404</v>
      </c>
      <c r="M43" s="73" t="n">
        <f aca="false">M44/Factors!M11</f>
        <v>3208.37480425132</v>
      </c>
      <c r="N43" s="73" t="n">
        <f aca="false">N44/Factors!N11</f>
        <v>3203.95729370259</v>
      </c>
      <c r="O43" s="73" t="n">
        <f aca="false">SUM(C43:N43)</f>
        <v>38741.752104853</v>
      </c>
      <c r="P43" s="19"/>
      <c r="Q43" s="38" t="n">
        <f aca="false">Q44/Factors!R11</f>
        <v>2853.59212384944</v>
      </c>
      <c r="R43" s="38" t="n">
        <f aca="false">R44/Factors!S11</f>
        <v>2841.80042085833</v>
      </c>
      <c r="S43" s="38" t="n">
        <f aca="false">S44/Factors!T11</f>
        <v>2830.10576892064</v>
      </c>
      <c r="T43" s="38" t="n">
        <f aca="false">T44/Factors!U11</f>
        <v>2818.50697478572</v>
      </c>
      <c r="U43" s="38" t="n">
        <f aca="false">U44/Factors!V11</f>
        <v>2807.00286468456</v>
      </c>
      <c r="V43" s="38" t="n">
        <f aca="false">V44/Factors!W11</f>
        <v>2795.59228393381</v>
      </c>
      <c r="W43" s="38" t="n">
        <f aca="false">W44/Factors!X11</f>
        <v>2784.27409654946</v>
      </c>
      <c r="X43" s="38" t="n">
        <f aca="false">X44/Factors!Y11</f>
        <v>2773.04718486982</v>
      </c>
      <c r="Y43" s="38" t="n">
        <f aca="false">Y44/Factors!Z11</f>
        <v>2761.91044918762</v>
      </c>
      <c r="Z43" s="38" t="n">
        <f aca="false">Z44/Factors!AA11</f>
        <v>2750.86280739087</v>
      </c>
      <c r="AA43" s="38" t="n">
        <f aca="false">AA44/Factors!AB11</f>
        <v>2739.90319461242</v>
      </c>
      <c r="AB43" s="38" t="n">
        <f aca="false">AB44/Factors!AC11</f>
        <v>2729.03056288776</v>
      </c>
      <c r="AC43" s="155" t="n">
        <f aca="false">SUM(Q43:AB43)</f>
        <v>33485.6287325305</v>
      </c>
      <c r="AD43" s="19"/>
      <c r="AE43" s="38" t="n">
        <f aca="false">AE44/Factors!AG11</f>
        <v>2717.70678461852</v>
      </c>
      <c r="AF43" s="38" t="n">
        <f aca="false">AF44/Factors!AH11</f>
        <v>2706.47659129365</v>
      </c>
      <c r="AG43" s="38" t="n">
        <f aca="false">AG44/Factors!AI11</f>
        <v>2695.33882754347</v>
      </c>
      <c r="AH43" s="38" t="n">
        <f aca="false">AH44/Factors!AJ11</f>
        <v>2684.29235693878</v>
      </c>
      <c r="AI43" s="38" t="n">
        <f aca="false">AI44/Factors!AK11</f>
        <v>2673.33606160434</v>
      </c>
      <c r="AJ43" s="38" t="n">
        <f aca="false">AJ44/Factors!AL11</f>
        <v>2662.46884184172</v>
      </c>
      <c r="AK43" s="38" t="n">
        <f aca="false">AK44/Factors!AM11</f>
        <v>2651.68961576139</v>
      </c>
      <c r="AL43" s="38" t="n">
        <f aca="false">AL44/Factors!AN11</f>
        <v>2640.99731892364</v>
      </c>
      <c r="AM43" s="38" t="n">
        <f aca="false">AM44/Factors!AO11</f>
        <v>2630.39090398821</v>
      </c>
      <c r="AN43" s="38" t="n">
        <f aca="false">AN44/Factors!AP11</f>
        <v>2619.86934037225</v>
      </c>
      <c r="AO43" s="38" t="n">
        <f aca="false">AO44/Factors!AQ11</f>
        <v>2609.43161391659</v>
      </c>
      <c r="AP43" s="38" t="n">
        <f aca="false">AP44/Factors!AR11</f>
        <v>2599.07672655977</v>
      </c>
      <c r="AQ43" s="155" t="n">
        <f aca="false">SUM(AE43:AP43)</f>
        <v>31891.0749833623</v>
      </c>
    </row>
    <row r="44" customFormat="false" ht="13.8" hidden="false" customHeight="false" outlineLevel="0" collapsed="false">
      <c r="A44" s="7" t="s">
        <v>217</v>
      </c>
      <c r="B44" s="26" t="s">
        <v>218</v>
      </c>
      <c r="C44" s="75" t="n">
        <v>14000</v>
      </c>
      <c r="D44" s="75" t="n">
        <v>14000</v>
      </c>
      <c r="E44" s="75" t="n">
        <v>14000</v>
      </c>
      <c r="F44" s="75" t="n">
        <v>14000</v>
      </c>
      <c r="G44" s="75" t="n">
        <v>14000</v>
      </c>
      <c r="H44" s="75" t="n">
        <v>14000</v>
      </c>
      <c r="I44" s="75" t="n">
        <v>14000</v>
      </c>
      <c r="J44" s="75" t="n">
        <v>14000</v>
      </c>
      <c r="K44" s="75" t="n">
        <v>14000</v>
      </c>
      <c r="L44" s="75" t="n">
        <v>14000</v>
      </c>
      <c r="M44" s="75" t="n">
        <v>14000</v>
      </c>
      <c r="N44" s="75" t="n">
        <v>14000</v>
      </c>
      <c r="O44" s="75" t="n">
        <f aca="false">SUM(C44:N44)</f>
        <v>168000</v>
      </c>
      <c r="P44" s="7"/>
      <c r="Q44" s="38" t="n">
        <v>12521</v>
      </c>
      <c r="R44" s="38" t="n">
        <v>12521</v>
      </c>
      <c r="S44" s="38" t="n">
        <v>12521</v>
      </c>
      <c r="T44" s="38" t="n">
        <v>12521</v>
      </c>
      <c r="U44" s="38" t="n">
        <v>12521</v>
      </c>
      <c r="V44" s="38" t="n">
        <v>12521</v>
      </c>
      <c r="W44" s="38" t="n">
        <v>12521</v>
      </c>
      <c r="X44" s="38" t="n">
        <v>12521</v>
      </c>
      <c r="Y44" s="38" t="n">
        <v>12521</v>
      </c>
      <c r="Z44" s="38" t="n">
        <v>12521</v>
      </c>
      <c r="AA44" s="38" t="n">
        <v>12521</v>
      </c>
      <c r="AB44" s="38" t="n">
        <v>12521</v>
      </c>
      <c r="AC44" s="155" t="n">
        <f aca="false">SUM(Q44:AB44)</f>
        <v>150252</v>
      </c>
      <c r="AD44" s="7"/>
      <c r="AE44" s="38" t="n">
        <v>12521</v>
      </c>
      <c r="AF44" s="38" t="n">
        <v>12521</v>
      </c>
      <c r="AG44" s="38" t="n">
        <v>12521</v>
      </c>
      <c r="AH44" s="38" t="n">
        <v>12521</v>
      </c>
      <c r="AI44" s="38" t="n">
        <v>12521</v>
      </c>
      <c r="AJ44" s="38" t="n">
        <v>12521</v>
      </c>
      <c r="AK44" s="38" t="n">
        <v>12521</v>
      </c>
      <c r="AL44" s="38" t="n">
        <v>12521</v>
      </c>
      <c r="AM44" s="38" t="n">
        <v>12521</v>
      </c>
      <c r="AN44" s="38" t="n">
        <v>12521</v>
      </c>
      <c r="AO44" s="38" t="n">
        <v>12521</v>
      </c>
      <c r="AP44" s="38" t="n">
        <v>12521</v>
      </c>
      <c r="AQ44" s="155" t="n">
        <f aca="false">SUM(AE44:AP44)</f>
        <v>150252</v>
      </c>
    </row>
    <row r="45" customFormat="false" ht="13.8" hidden="false" customHeight="false" outlineLevel="0" collapsed="false">
      <c r="O45" s="145"/>
      <c r="AC45" s="151"/>
      <c r="AQ45" s="151"/>
    </row>
    <row r="46" customFormat="false" ht="13.2" hidden="false" customHeight="false" outlineLevel="0" collapsed="false"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45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51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51"/>
    </row>
    <row r="47" customFormat="false" ht="15.6" hidden="false" customHeight="false" outlineLevel="0" collapsed="false">
      <c r="B47" s="174" t="s">
        <v>219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45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51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51"/>
    </row>
    <row r="48" customFormat="false" ht="13.2" hidden="false" customHeight="false" outlineLevel="0" collapsed="false">
      <c r="A48" s="7"/>
      <c r="B48" s="26" t="s">
        <v>201</v>
      </c>
      <c r="C48" s="175" t="n">
        <f aca="false">C11+C17+C24+C28+C37+C43</f>
        <v>33160.6002695651</v>
      </c>
      <c r="D48" s="175" t="n">
        <f aca="false">D11+D17+D24+D28+D37+D43</f>
        <v>32744.0584656587</v>
      </c>
      <c r="E48" s="175" t="n">
        <f aca="false">E11+E17+E24+E28+E37+E43</f>
        <v>33969.9293256149</v>
      </c>
      <c r="F48" s="175" t="n">
        <f aca="false">F11+F17+F24+F28+F37+F43</f>
        <v>34413.0127965419</v>
      </c>
      <c r="G48" s="175" t="n">
        <f aca="false">G11+G17+G24+G28+G37+G43</f>
        <v>35785.9588258416</v>
      </c>
      <c r="H48" s="175" t="n">
        <f aca="false">H11+H17+H24+H28+H37+H43</f>
        <v>37665.4673612084</v>
      </c>
      <c r="I48" s="175" t="n">
        <f aca="false">I11+I17+I24+I28+I37+I43</f>
        <v>37990.9961720549</v>
      </c>
      <c r="J48" s="175" t="n">
        <f aca="false">J11+J17+J24+J28+J37+J43</f>
        <v>38950.0295637966</v>
      </c>
      <c r="K48" s="175" t="n">
        <f aca="false">K11+K17+K24+K28+K37+K43</f>
        <v>38192.5753064202</v>
      </c>
      <c r="L48" s="175" t="n">
        <f aca="false">L11+L17+L24+L28+L37+L43</f>
        <v>38609.1333487683</v>
      </c>
      <c r="M48" s="175" t="n">
        <f aca="false">M11+M17+M24+M28+M37+M43</f>
        <v>35086.8036399656</v>
      </c>
      <c r="N48" s="175" t="n">
        <f aca="false">N11+N17+N24+N28+N37+N43</f>
        <v>33576.3861294169</v>
      </c>
      <c r="O48" s="73" t="n">
        <f aca="false">SUM(C48:N48)</f>
        <v>430144.951204853</v>
      </c>
      <c r="P48" s="7"/>
      <c r="Q48" s="176" t="n">
        <f aca="false">Q11+Q17+Q24+Q28+Q37+Q43</f>
        <v>32760.9631381352</v>
      </c>
      <c r="R48" s="176" t="n">
        <f aca="false">R11+R17+R24+R28+R37+R43</f>
        <v>32337.171435144</v>
      </c>
      <c r="S48" s="176" t="n">
        <f aca="false">S11+S17+S24+S28+S37+S43</f>
        <v>33555.8767832064</v>
      </c>
      <c r="T48" s="176" t="n">
        <f aca="false">T11+T17+T24+T28+T37+T43</f>
        <v>33991.8779890714</v>
      </c>
      <c r="U48" s="176" t="n">
        <f aca="false">U11+U17+U24+U28+U37+U43</f>
        <v>35357.8238789703</v>
      </c>
      <c r="V48" s="176" t="n">
        <f aca="false">V11+V17+V24+V28+V37+V43</f>
        <v>37230.4132982195</v>
      </c>
      <c r="W48" s="176" t="n">
        <f aca="false">W11+W17+W24+W28+W37+W43</f>
        <v>37549.1029322638</v>
      </c>
      <c r="X48" s="176" t="n">
        <f aca="false">X11+X17+X24+X28+X37+X43</f>
        <v>38501.3760205841</v>
      </c>
      <c r="Y48" s="176" t="n">
        <f aca="false">Y11+Y17+Y24+Y28+Y37+Y43</f>
        <v>37737.2392849019</v>
      </c>
      <c r="Z48" s="176" t="n">
        <f aca="false">Z11+Z17+Z24+Z28+Z37+Z43</f>
        <v>38147.1916431052</v>
      </c>
      <c r="AA48" s="176" t="n">
        <f aca="false">AA11+AA17+AA24+AA28+AA37+AA43</f>
        <v>34618.3320303267</v>
      </c>
      <c r="AB48" s="176" t="n">
        <f aca="false">AB11+AB17+AB24+AB28+AB37+AB43</f>
        <v>33101.4593986021</v>
      </c>
      <c r="AC48" s="155" t="n">
        <f aca="false">SUM(Q48:AB48)</f>
        <v>424888.827832531</v>
      </c>
      <c r="AD48" s="7"/>
      <c r="AE48" s="176" t="n">
        <f aca="false">AE11+AE17+AE24+AE28+AE37+AE43</f>
        <v>32625.0777989042</v>
      </c>
      <c r="AF48" s="176" t="n">
        <f aca="false">AF11+AF17+AF24+AF28+AF37+AF43</f>
        <v>32201.8476055794</v>
      </c>
      <c r="AG48" s="176" t="n">
        <f aca="false">AG11+AG17+AG24+AG28+AG37+AG43</f>
        <v>33421.1098418292</v>
      </c>
      <c r="AH48" s="176" t="n">
        <f aca="false">AH11+AH17+AH24+AH28+AH37+AH43</f>
        <v>33857.6633712245</v>
      </c>
      <c r="AI48" s="176" t="n">
        <f aca="false">AI11+AI17+AI24+AI28+AI37+AI43</f>
        <v>35224.1570758901</v>
      </c>
      <c r="AJ48" s="176" t="n">
        <f aca="false">AJ11+AJ17+AJ24+AJ28+AJ37+AJ43</f>
        <v>37097.2898561274</v>
      </c>
      <c r="AK48" s="176" t="n">
        <f aca="false">AK11+AK17+AK24+AK28+AK37+AK43</f>
        <v>37416.5184514757</v>
      </c>
      <c r="AL48" s="176" t="n">
        <f aca="false">AL11+AL17+AL24+AL28+AL37+AL43</f>
        <v>38369.3261546379</v>
      </c>
      <c r="AM48" s="176" t="n">
        <f aca="false">AM11+AM17+AM24+AM28+AM37+AM43</f>
        <v>37605.7197397025</v>
      </c>
      <c r="AN48" s="176" t="n">
        <f aca="false">AN11+AN17+AN24+AN28+AN37+AN43</f>
        <v>38016.1981760865</v>
      </c>
      <c r="AO48" s="176" t="n">
        <f aca="false">AO11+AO17+AO24+AO28+AO37+AO43</f>
        <v>34487.8604496309</v>
      </c>
      <c r="AP48" s="176" t="n">
        <f aca="false">AP11+AP17+AP24+AP28+AP37+AP43</f>
        <v>32971.5055622741</v>
      </c>
      <c r="AQ48" s="155" t="n">
        <f aca="false">SUM(AE48:AP48)</f>
        <v>423294.274083362</v>
      </c>
    </row>
    <row r="49" customFormat="false" ht="13.8" hidden="false" customHeight="false" outlineLevel="0" collapsed="false">
      <c r="A49" s="7"/>
      <c r="B49" s="26" t="s">
        <v>203</v>
      </c>
      <c r="C49" s="177" t="n">
        <f aca="false">C12+C18+C25+C29+C38+C44</f>
        <v>142703.869707467</v>
      </c>
      <c r="D49" s="177" t="n">
        <f aca="false">D12+D18+D25+D29+D38+D44</f>
        <v>141108.316937502</v>
      </c>
      <c r="E49" s="177" t="n">
        <f aca="false">E12+E18+E25+E29+E38+E44</f>
        <v>146595.50025589</v>
      </c>
      <c r="F49" s="177" t="n">
        <f aca="false">F12+F18+F25+F29+F38+F44</f>
        <v>148714.645486534</v>
      </c>
      <c r="G49" s="177" t="n">
        <f aca="false">G12+G18+G25+G29+G38+G44</f>
        <v>154863.085514379</v>
      </c>
      <c r="H49" s="177" t="n">
        <f aca="false">H12+H18+H25+H29+H38+H44</f>
        <v>163223.233505337</v>
      </c>
      <c r="I49" s="177" t="n">
        <f aca="false">I12+I18+I25+I29+I38+I44</f>
        <v>164862.479517897</v>
      </c>
      <c r="J49" s="177" t="n">
        <f aca="false">J12+J18+J25+J29+J38+J44</f>
        <v>169258.556246391</v>
      </c>
      <c r="K49" s="177" t="n">
        <f aca="false">K12+K18+K25+K29+K38+K44</f>
        <v>166196.795663145</v>
      </c>
      <c r="L49" s="177" t="n">
        <f aca="false">L12+L18+L25+L29+L38+L44</f>
        <v>168241.754108139</v>
      </c>
      <c r="M49" s="177" t="n">
        <f aca="false">M12+M18+M25+M29+M38+M44</f>
        <v>153104.073223809</v>
      </c>
      <c r="N49" s="177" t="n">
        <f aca="false">N12+N18+N25+N29+N38+N44</f>
        <v>146715.253269999</v>
      </c>
      <c r="O49" s="75" t="n">
        <f aca="false">SUM(C49:N49)</f>
        <v>1865587.56343649</v>
      </c>
      <c r="P49" s="7"/>
      <c r="Q49" s="176" t="n">
        <f aca="false">Q12+Q18+Q25+Q29+Q38+Q44</f>
        <v>143439.099712017</v>
      </c>
      <c r="R49" s="176" t="n">
        <f aca="false">R12+R18+R25+R29+R38+R44</f>
        <v>142168.336823832</v>
      </c>
      <c r="S49" s="176" t="n">
        <f aca="false">S12+S18+S25+S29+S38+S44</f>
        <v>148131.75379781</v>
      </c>
      <c r="T49" s="176" t="n">
        <f aca="false">T12+T18+T25+T29+T38+T44</f>
        <v>150662.445033438</v>
      </c>
      <c r="U49" s="176" t="n">
        <f aca="false">U12+U18+U25+U29+U38+U44</f>
        <v>157374.30194076</v>
      </c>
      <c r="V49" s="176" t="n">
        <f aca="false">V12+V18+V25+V29+V38+V44</f>
        <v>166370.76951202</v>
      </c>
      <c r="W49" s="176" t="n">
        <f aca="false">W12+W18+W25+W29+W38+W44</f>
        <v>168473.140609966</v>
      </c>
      <c r="X49" s="176" t="n">
        <f aca="false">X12+X18+X25+X29+X38+X44</f>
        <v>173438.992541479</v>
      </c>
      <c r="Y49" s="176" t="n">
        <f aca="false">Y12+Y18+Y25+Y29+Y38+Y44</f>
        <v>170693.335370827</v>
      </c>
      <c r="Z49" s="176" t="n">
        <f aca="false">Z12+Z18+Z25+Z29+Z38+Z44</f>
        <v>173246.369041041</v>
      </c>
      <c r="AA49" s="176" t="n">
        <f aca="false">AA12+AA18+AA25+AA29+AA38+AA44</f>
        <v>157849.558015643</v>
      </c>
      <c r="AB49" s="176" t="n">
        <f aca="false">AB12+AB18+AB25+AB29+AB38+AB44</f>
        <v>151555.399010813</v>
      </c>
      <c r="AC49" s="178" t="n">
        <f aca="false">SUM(Q49:AB49)</f>
        <v>1903403.50140965</v>
      </c>
      <c r="AD49" s="7"/>
      <c r="AE49" s="176" t="n">
        <f aca="false">AE12+AE18+AE25+AE29+AE38+AE44</f>
        <v>150310.033971314</v>
      </c>
      <c r="AF49" s="176" t="n">
        <f aca="false">AF12+AF18+AF25+AF29+AF38+AF44</f>
        <v>148975.73293872</v>
      </c>
      <c r="AG49" s="176" t="n">
        <f aca="false">AG12+AG18+AG25+AG29+AG38+AG44</f>
        <v>155255.32896023</v>
      </c>
      <c r="AH49" s="176" t="n">
        <f aca="false">AH12+AH18+AH25+AH29+AH38+AH44</f>
        <v>157930.562956474</v>
      </c>
      <c r="AI49" s="176" t="n">
        <f aca="false">AI12+AI18+AI25+AI29+AI38+AI44</f>
        <v>164978.012709161</v>
      </c>
      <c r="AJ49" s="176" t="n">
        <f aca="false">AJ12+AJ18+AJ25+AJ29+AJ38+AJ44</f>
        <v>174460.320056653</v>
      </c>
      <c r="AK49" s="176" t="n">
        <f aca="false">AK12+AK18+AK25+AK29+AK38+AK44</f>
        <v>176676.872265236</v>
      </c>
      <c r="AL49" s="176" t="n">
        <f aca="false">AL12+AL18+AL25+AL29+AL38+AL44</f>
        <v>181909.436007312</v>
      </c>
      <c r="AM49" s="176" t="n">
        <f aca="false">AM12+AM18+AM25+AM29+AM38+AM44</f>
        <v>179008.076764139</v>
      </c>
      <c r="AN49" s="176" t="n">
        <f aca="false">AN12+AN18+AN25+AN29+AN38+AN44</f>
        <v>181688.762117864</v>
      </c>
      <c r="AO49" s="176" t="n">
        <f aca="false">AO12+AO18+AO25+AO29+AO38+AO44</f>
        <v>165485.272113221</v>
      </c>
      <c r="AP49" s="176" t="n">
        <f aca="false">AP12+AP18+AP25+AP29+AP38+AP44</f>
        <v>158839.566730174</v>
      </c>
      <c r="AQ49" s="178" t="n">
        <f aca="false">SUM(AE49:AP49)</f>
        <v>1995517.9775905</v>
      </c>
    </row>
    <row r="50" customFormat="false" ht="13.8" hidden="false" customHeight="false" outlineLevel="0" collapsed="false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5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</row>
    <row r="54" customFormat="false" ht="13.2" hidden="false" customHeight="false" outlineLevel="0" collapsed="false"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customFormat="false" ht="13.2" hidden="false" customHeight="false" outlineLevel="0" collapsed="false"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customFormat="false" ht="13.2" hidden="false" customHeight="false" outlineLevel="0" collapsed="false"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customFormat="false" ht="13.2" hidden="false" customHeight="false" outlineLevel="0" collapsed="false"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</row>
    <row r="58" customFormat="false" ht="13.2" hidden="false" customHeight="false" outlineLevel="0" collapsed="false"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  <row r="59" customFormat="false" ht="13.2" hidden="false" customHeight="false" outlineLevel="0" collapsed="false"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</row>
    <row r="60" customFormat="false" ht="13.2" hidden="false" customHeight="false" outlineLevel="0" collapsed="false"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</row>
    <row r="61" customFormat="false" ht="13.2" hidden="false" customHeight="false" outlineLevel="0" collapsed="false"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</row>
    <row r="62" customFormat="false" ht="13.2" hidden="false" customHeight="false" outlineLevel="0" collapsed="false"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60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selection pane="topLeft" activeCell="F29" activeCellId="0" sqref="F29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79" width="42.55"/>
    <col collapsed="false" customWidth="true" hidden="false" outlineLevel="0" max="5" min="2" style="2" width="8.66"/>
    <col collapsed="false" customWidth="true" hidden="false" outlineLevel="0" max="6" min="6" style="2" width="9.43"/>
    <col collapsed="false" customWidth="true" hidden="false" outlineLevel="0" max="13" min="7" style="2" width="8.66"/>
    <col collapsed="false" customWidth="true" hidden="false" outlineLevel="0" max="14" min="14" style="2" width="19.66"/>
    <col collapsed="false" customWidth="true" hidden="false" outlineLevel="0" max="15" min="15" style="180" width="61.66"/>
    <col collapsed="false" customWidth="true" hidden="false" outlineLevel="0" max="28" min="28" style="2" width="10.43"/>
    <col collapsed="false" customWidth="true" hidden="false" outlineLevel="0" max="29" min="29" style="2" width="16.55"/>
    <col collapsed="false" customWidth="true" hidden="false" outlineLevel="0" max="42" min="42" style="2" width="10.99"/>
  </cols>
  <sheetData>
    <row r="1" customFormat="false" ht="13.2" hidden="false" customHeight="false" outlineLevel="0" collapsed="false">
      <c r="A1" s="7" t="s">
        <v>32</v>
      </c>
      <c r="O1" s="180" t="s">
        <v>195</v>
      </c>
      <c r="AC1" s="2" t="s">
        <v>196</v>
      </c>
    </row>
    <row r="2" customFormat="false" ht="21" hidden="false" customHeight="false" outlineLevel="0" collapsed="false">
      <c r="A2" s="6" t="s">
        <v>220</v>
      </c>
    </row>
    <row r="3" customFormat="false" ht="44.4" hidden="false" customHeight="true" outlineLevel="0" collapsed="false"/>
    <row r="4" customFormat="false" ht="13.2" hidden="false" customHeight="false" outlineLevel="0" collapsed="false">
      <c r="A4" s="51" t="s">
        <v>221</v>
      </c>
      <c r="B4" s="27" t="s">
        <v>41</v>
      </c>
      <c r="C4" s="27" t="s">
        <v>42</v>
      </c>
      <c r="D4" s="27" t="s">
        <v>43</v>
      </c>
      <c r="E4" s="27" t="s">
        <v>44</v>
      </c>
      <c r="F4" s="27" t="s">
        <v>45</v>
      </c>
      <c r="G4" s="27" t="s">
        <v>46</v>
      </c>
      <c r="H4" s="27" t="s">
        <v>47</v>
      </c>
      <c r="I4" s="27" t="s">
        <v>48</v>
      </c>
      <c r="J4" s="27" t="s">
        <v>49</v>
      </c>
      <c r="K4" s="27" t="s">
        <v>50</v>
      </c>
      <c r="L4" s="27" t="s">
        <v>51</v>
      </c>
      <c r="M4" s="27" t="s">
        <v>52</v>
      </c>
      <c r="N4" s="27" t="s">
        <v>66</v>
      </c>
      <c r="P4" s="27" t="s">
        <v>41</v>
      </c>
      <c r="Q4" s="27" t="s">
        <v>42</v>
      </c>
      <c r="R4" s="27" t="s">
        <v>43</v>
      </c>
      <c r="S4" s="27" t="s">
        <v>44</v>
      </c>
      <c r="T4" s="27" t="s">
        <v>45</v>
      </c>
      <c r="U4" s="27" t="s">
        <v>46</v>
      </c>
      <c r="V4" s="27" t="s">
        <v>47</v>
      </c>
      <c r="W4" s="27" t="s">
        <v>48</v>
      </c>
      <c r="X4" s="27" t="s">
        <v>49</v>
      </c>
      <c r="Y4" s="27" t="s">
        <v>50</v>
      </c>
      <c r="Z4" s="27" t="s">
        <v>51</v>
      </c>
      <c r="AA4" s="27" t="s">
        <v>52</v>
      </c>
      <c r="AC4" s="181"/>
      <c r="AD4" s="27" t="s">
        <v>41</v>
      </c>
      <c r="AE4" s="27" t="s">
        <v>42</v>
      </c>
      <c r="AF4" s="27" t="s">
        <v>43</v>
      </c>
      <c r="AG4" s="27" t="s">
        <v>44</v>
      </c>
      <c r="AH4" s="27" t="s">
        <v>45</v>
      </c>
      <c r="AI4" s="27" t="s">
        <v>46</v>
      </c>
      <c r="AJ4" s="27" t="s">
        <v>47</v>
      </c>
      <c r="AK4" s="27" t="s">
        <v>48</v>
      </c>
      <c r="AL4" s="27" t="s">
        <v>49</v>
      </c>
      <c r="AM4" s="27" t="s">
        <v>50</v>
      </c>
      <c r="AN4" s="27" t="s">
        <v>51</v>
      </c>
      <c r="AO4" s="27" t="s">
        <v>52</v>
      </c>
    </row>
    <row r="5" customFormat="false" ht="13.2" hidden="false" customHeight="false" outlineLevel="0" collapsed="false">
      <c r="A5" s="182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83"/>
      <c r="P5" s="139"/>
      <c r="Q5" s="139"/>
      <c r="AC5" s="139"/>
      <c r="AD5" s="139"/>
      <c r="AE5" s="139"/>
    </row>
    <row r="6" customFormat="false" ht="13.2" hidden="true" customHeight="false" outlineLevel="0" collapsed="false">
      <c r="A6" s="182" t="s">
        <v>222</v>
      </c>
      <c r="B6" s="138" t="n">
        <v>0</v>
      </c>
      <c r="C6" s="138" t="n">
        <v>0</v>
      </c>
      <c r="D6" s="138" t="n">
        <f aca="false">4837</f>
        <v>4837</v>
      </c>
      <c r="E6" s="138" t="n">
        <v>0</v>
      </c>
      <c r="F6" s="138" t="n">
        <v>0</v>
      </c>
      <c r="G6" s="138" t="n">
        <f aca="false">D6</f>
        <v>4837</v>
      </c>
      <c r="H6" s="138" t="n">
        <v>0</v>
      </c>
      <c r="I6" s="138" t="n">
        <v>0</v>
      </c>
      <c r="J6" s="138" t="n">
        <f aca="false">G6+21474</f>
        <v>26311</v>
      </c>
      <c r="K6" s="138" t="n">
        <v>0</v>
      </c>
      <c r="L6" s="138" t="n">
        <v>0</v>
      </c>
      <c r="M6" s="138" t="n">
        <f aca="false">G6</f>
        <v>4837</v>
      </c>
      <c r="N6" s="138" t="n">
        <f aca="false">SUM(B6:M6)</f>
        <v>40822</v>
      </c>
      <c r="O6" s="184" t="s">
        <v>223</v>
      </c>
      <c r="P6" s="138" t="n">
        <f aca="false">P22/Factors!R11</f>
        <v>7818.71935092268</v>
      </c>
      <c r="Q6" s="138" t="n">
        <f aca="false">Q22/Factors!S11</f>
        <v>7786.41059327424</v>
      </c>
      <c r="R6" s="138" t="n">
        <f aca="false">R22/Factors!T11</f>
        <v>7754.36775132661</v>
      </c>
      <c r="S6" s="138" t="n">
        <f aca="false">S22/Factors!U11</f>
        <v>1419.04544118275</v>
      </c>
      <c r="T6" s="138" t="n">
        <f aca="false">T22/Factors!V11</f>
        <v>1413.25341897384</v>
      </c>
      <c r="U6" s="138" t="n">
        <f aca="false">U22/Factors!W11</f>
        <v>1407.50848637638</v>
      </c>
      <c r="V6" s="138" t="n">
        <f aca="false">V22/Factors!X11</f>
        <v>1401.81007145178</v>
      </c>
      <c r="W6" s="138" t="n">
        <f aca="false">W22/Factors!Y11</f>
        <v>1396.15761148625</v>
      </c>
      <c r="X6" s="138" t="n">
        <f aca="false">X22/Factors!Z11</f>
        <v>1390.55055280559</v>
      </c>
      <c r="Y6" s="138" t="n">
        <f aca="false">Y22/Factors!AA11</f>
        <v>1384.98835059436</v>
      </c>
      <c r="Z6" s="138" t="n">
        <f aca="false">Z22/Factors!AB11</f>
        <v>1379.47046871948</v>
      </c>
      <c r="AA6" s="138" t="n">
        <f aca="false">AA22/Factors!AC11</f>
        <v>1373.9963795579</v>
      </c>
      <c r="AB6" s="138" t="n">
        <f aca="false">SUM(P6:AA6)</f>
        <v>35926.2784766719</v>
      </c>
      <c r="AC6" s="185" t="s">
        <v>223</v>
      </c>
      <c r="AD6" s="138" t="n">
        <f aca="false">AD22/Factors!AF11</f>
        <v>7477.42604592209</v>
      </c>
      <c r="AE6" s="138" t="n">
        <f aca="false">AE22/Factors!AG11</f>
        <v>7446.39938183113</v>
      </c>
      <c r="AF6" s="138" t="n">
        <f aca="false">AF22/Factors!AH11</f>
        <v>7415.62913645166</v>
      </c>
      <c r="AG6" s="138" t="n">
        <f aca="false">AG22/Factors!AI11</f>
        <v>1357.03346129175</v>
      </c>
      <c r="AH6" s="138" t="n">
        <f aca="false">AH22/Factors!AJ11</f>
        <v>1351.47184874548</v>
      </c>
      <c r="AI6" s="138" t="n">
        <f aca="false">AI22/Factors!AK11</f>
        <v>1345.95563711794</v>
      </c>
      <c r="AJ6" s="138" t="n">
        <f aca="false">AJ22/Factors!AL11</f>
        <v>1340.48427273941</v>
      </c>
      <c r="AK6" s="138" t="n">
        <f aca="false">AK22/Factors!AM11</f>
        <v>1335.05721090646</v>
      </c>
      <c r="AL6" s="138" t="n">
        <f aca="false">AL22/Factors!AN11</f>
        <v>1329.67391570119</v>
      </c>
      <c r="AM6" s="138" t="n">
        <f aca="false">AM22/Factors!AO11</f>
        <v>1324.33385981484</v>
      </c>
      <c r="AN6" s="138" t="n">
        <f aca="false">AN22/Factors!AP11</f>
        <v>1319.03652437558</v>
      </c>
      <c r="AO6" s="138" t="n">
        <f aca="false">AO22/Factors!AQ11</f>
        <v>1313.78139878046</v>
      </c>
      <c r="AP6" s="138" t="n">
        <f aca="false">SUM(AD6:AO6)</f>
        <v>34356.282693678</v>
      </c>
    </row>
    <row r="7" customFormat="false" ht="15" hidden="false" customHeight="true" outlineLevel="0" collapsed="false">
      <c r="A7" s="51" t="s">
        <v>224</v>
      </c>
      <c r="B7" s="176" t="n">
        <f aca="false">B6*0.9</f>
        <v>0</v>
      </c>
      <c r="C7" s="176" t="n">
        <f aca="false">C6*0.9</f>
        <v>0</v>
      </c>
      <c r="D7" s="176" t="n">
        <f aca="false">D6*0.9</f>
        <v>4353.3</v>
      </c>
      <c r="E7" s="176" t="n">
        <f aca="false">E6*0.9</f>
        <v>0</v>
      </c>
      <c r="F7" s="176" t="n">
        <f aca="false">F6*0.9</f>
        <v>0</v>
      </c>
      <c r="G7" s="176" t="n">
        <f aca="false">G6*0.9</f>
        <v>4353.3</v>
      </c>
      <c r="H7" s="176" t="n">
        <f aca="false">H6*0.9</f>
        <v>0</v>
      </c>
      <c r="I7" s="176" t="n">
        <f aca="false">I6*0.9</f>
        <v>0</v>
      </c>
      <c r="J7" s="176" t="n">
        <f aca="false">J6*0.9</f>
        <v>23679.9</v>
      </c>
      <c r="K7" s="176" t="n">
        <f aca="false">K6*0.9</f>
        <v>0</v>
      </c>
      <c r="L7" s="176" t="n">
        <f aca="false">L6*0.9</f>
        <v>0</v>
      </c>
      <c r="M7" s="176" t="n">
        <f aca="false">M6*0.9</f>
        <v>4353.3</v>
      </c>
      <c r="N7" s="38" t="n">
        <f aca="false">SUM(B7:M7)</f>
        <v>36739.8</v>
      </c>
      <c r="O7" s="186"/>
      <c r="P7" s="176"/>
      <c r="Q7" s="17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76"/>
      <c r="AD7" s="176"/>
      <c r="AE7" s="176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customFormat="false" ht="4.95" hidden="false" customHeight="true" outlineLevel="0" collapsed="false">
      <c r="A8" s="51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8"/>
      <c r="O8" s="183"/>
      <c r="P8" s="139"/>
      <c r="Q8" s="139"/>
      <c r="AC8" s="139"/>
      <c r="AD8" s="139"/>
      <c r="AE8" s="139"/>
    </row>
    <row r="9" customFormat="false" ht="15" hidden="false" customHeight="true" outlineLevel="0" collapsed="false">
      <c r="A9" s="182" t="s">
        <v>225</v>
      </c>
      <c r="B9" s="139" t="n">
        <v>0</v>
      </c>
      <c r="C9" s="139" t="n">
        <v>0</v>
      </c>
      <c r="D9" s="139" t="n">
        <v>0</v>
      </c>
      <c r="E9" s="139" t="n">
        <v>0</v>
      </c>
      <c r="F9" s="139" t="n">
        <v>50000</v>
      </c>
      <c r="G9" s="139" t="n">
        <f aca="false">E9</f>
        <v>0</v>
      </c>
      <c r="H9" s="139" t="n">
        <v>0</v>
      </c>
      <c r="I9" s="139" t="n">
        <f aca="false">G9</f>
        <v>0</v>
      </c>
      <c r="J9" s="139" t="n">
        <f aca="false">H9</f>
        <v>0</v>
      </c>
      <c r="K9" s="139" t="n">
        <f aca="false">I9</f>
        <v>0</v>
      </c>
      <c r="L9" s="139" t="n">
        <f aca="false">J9</f>
        <v>0</v>
      </c>
      <c r="M9" s="139" t="n">
        <f aca="false">K9</f>
        <v>0</v>
      </c>
      <c r="N9" s="138" t="n">
        <f aca="false">SUM(B9:M9)</f>
        <v>50000</v>
      </c>
      <c r="O9" s="183"/>
      <c r="P9" s="139"/>
      <c r="Q9" s="139"/>
      <c r="AC9" s="139"/>
      <c r="AD9" s="139"/>
      <c r="AE9" s="139"/>
    </row>
    <row r="10" customFormat="false" ht="15" hidden="false" customHeight="true" outlineLevel="0" collapsed="false">
      <c r="A10" s="182" t="s">
        <v>226</v>
      </c>
      <c r="B10" s="139" t="n">
        <v>1315</v>
      </c>
      <c r="C10" s="139" t="n">
        <f aca="false">B10</f>
        <v>1315</v>
      </c>
      <c r="D10" s="139" t="n">
        <f aca="false">C10</f>
        <v>1315</v>
      </c>
      <c r="E10" s="139" t="n">
        <f aca="false">D10</f>
        <v>1315</v>
      </c>
      <c r="F10" s="139" t="n">
        <f aca="false">E10</f>
        <v>1315</v>
      </c>
      <c r="G10" s="139" t="n">
        <f aca="false">F10</f>
        <v>1315</v>
      </c>
      <c r="H10" s="139" t="n">
        <f aca="false">G10</f>
        <v>1315</v>
      </c>
      <c r="I10" s="139" t="n">
        <f aca="false">H10</f>
        <v>1315</v>
      </c>
      <c r="J10" s="139" t="n">
        <f aca="false">I10</f>
        <v>1315</v>
      </c>
      <c r="K10" s="139" t="n">
        <f aca="false">J10</f>
        <v>1315</v>
      </c>
      <c r="L10" s="139" t="n">
        <f aca="false">K10</f>
        <v>1315</v>
      </c>
      <c r="M10" s="139" t="n">
        <f aca="false">L10</f>
        <v>1315</v>
      </c>
      <c r="N10" s="138" t="n">
        <f aca="false">SUM(B10:M10)</f>
        <v>15780</v>
      </c>
      <c r="O10" s="183"/>
      <c r="P10" s="139"/>
      <c r="Q10" s="139"/>
      <c r="AC10" s="139"/>
      <c r="AD10" s="139"/>
      <c r="AE10" s="139"/>
    </row>
    <row r="11" customFormat="false" ht="13.2" hidden="false" customHeight="false" outlineLevel="0" collapsed="false">
      <c r="A11" s="51" t="s">
        <v>227</v>
      </c>
      <c r="B11" s="38" t="n">
        <f aca="false">B9+B10</f>
        <v>1315</v>
      </c>
      <c r="C11" s="38" t="n">
        <f aca="false">C9+C10</f>
        <v>1315</v>
      </c>
      <c r="D11" s="38" t="n">
        <f aca="false">D9+D10</f>
        <v>1315</v>
      </c>
      <c r="E11" s="38" t="n">
        <f aca="false">E9+E10</f>
        <v>1315</v>
      </c>
      <c r="F11" s="38" t="n">
        <f aca="false">F9+F10</f>
        <v>51315</v>
      </c>
      <c r="G11" s="38" t="n">
        <f aca="false">G9+G10</f>
        <v>1315</v>
      </c>
      <c r="H11" s="38" t="n">
        <f aca="false">H9+H10</f>
        <v>1315</v>
      </c>
      <c r="I11" s="38" t="n">
        <f aca="false">I9+I10</f>
        <v>1315</v>
      </c>
      <c r="J11" s="38" t="n">
        <f aca="false">J9+J10</f>
        <v>1315</v>
      </c>
      <c r="K11" s="38" t="n">
        <f aca="false">K9+K10</f>
        <v>1315</v>
      </c>
      <c r="L11" s="38" t="n">
        <f aca="false">L9+L10</f>
        <v>1315</v>
      </c>
      <c r="M11" s="38" t="n">
        <f aca="false">M9+M10</f>
        <v>1315</v>
      </c>
      <c r="N11" s="38" t="n">
        <f aca="false">SUM(B11:M11)</f>
        <v>65780</v>
      </c>
      <c r="O11" s="186"/>
      <c r="P11" s="187" t="n">
        <f aca="false">$AB$11/12</f>
        <v>152063.166666667</v>
      </c>
      <c r="Q11" s="187" t="n">
        <f aca="false">$AB$11/12</f>
        <v>152063.166666667</v>
      </c>
      <c r="R11" s="187" t="n">
        <f aca="false">$AB$11/12</f>
        <v>152063.166666667</v>
      </c>
      <c r="S11" s="187" t="n">
        <f aca="false">$AB$11/12</f>
        <v>152063.166666667</v>
      </c>
      <c r="T11" s="187" t="n">
        <f aca="false">$AB$11/12</f>
        <v>152063.166666667</v>
      </c>
      <c r="U11" s="187" t="n">
        <f aca="false">$AB$11/12</f>
        <v>152063.166666667</v>
      </c>
      <c r="V11" s="187" t="n">
        <f aca="false">$AB$11/12</f>
        <v>152063.166666667</v>
      </c>
      <c r="W11" s="187" t="n">
        <f aca="false">$AB$11/12</f>
        <v>152063.166666667</v>
      </c>
      <c r="X11" s="187" t="n">
        <f aca="false">$AB$11/12</f>
        <v>152063.166666667</v>
      </c>
      <c r="Y11" s="187" t="n">
        <f aca="false">$AB$11/12</f>
        <v>152063.166666667</v>
      </c>
      <c r="Z11" s="187" t="n">
        <f aca="false">$AB$11/12</f>
        <v>152063.166666667</v>
      </c>
      <c r="AA11" s="187" t="n">
        <f aca="false">$AB$11/12</f>
        <v>152063.166666667</v>
      </c>
      <c r="AB11" s="176" t="n">
        <v>1824758</v>
      </c>
      <c r="AC11" s="176"/>
      <c r="AD11" s="187" t="n">
        <f aca="false">$AP$11/12</f>
        <v>167867.666666667</v>
      </c>
      <c r="AE11" s="187" t="n">
        <f aca="false">$AP$11/12</f>
        <v>167867.666666667</v>
      </c>
      <c r="AF11" s="187" t="n">
        <f aca="false">$AP$11/12</f>
        <v>167867.666666667</v>
      </c>
      <c r="AG11" s="187" t="n">
        <f aca="false">$AP$11/12</f>
        <v>167867.666666667</v>
      </c>
      <c r="AH11" s="187" t="n">
        <f aca="false">$AP$11/12</f>
        <v>167867.666666667</v>
      </c>
      <c r="AI11" s="187" t="n">
        <f aca="false">$AP$11/12</f>
        <v>167867.666666667</v>
      </c>
      <c r="AJ11" s="187" t="n">
        <f aca="false">$AP$11/12</f>
        <v>167867.666666667</v>
      </c>
      <c r="AK11" s="187" t="n">
        <f aca="false">$AP$11/12</f>
        <v>167867.666666667</v>
      </c>
      <c r="AL11" s="187" t="n">
        <f aca="false">$AP$11/12</f>
        <v>167867.666666667</v>
      </c>
      <c r="AM11" s="187" t="n">
        <f aca="false">$AP$11/12</f>
        <v>167867.666666667</v>
      </c>
      <c r="AN11" s="187" t="n">
        <f aca="false">$AP$11/12</f>
        <v>167867.666666667</v>
      </c>
      <c r="AO11" s="187" t="n">
        <f aca="false">$AP$11/12</f>
        <v>167867.666666667</v>
      </c>
      <c r="AP11" s="176" t="n">
        <v>2014412</v>
      </c>
    </row>
    <row r="12" customFormat="false" ht="4.2" hidden="false" customHeight="true" outlineLevel="0" collapsed="false">
      <c r="A12" s="5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86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76"/>
      <c r="AC12" s="176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76"/>
    </row>
    <row r="13" customFormat="false" ht="13.2" hidden="false" customHeight="false" outlineLevel="0" collapsed="false">
      <c r="A13" s="51" t="s">
        <v>228</v>
      </c>
      <c r="B13" s="139" t="n">
        <f aca="false">20993-1315</f>
        <v>19678</v>
      </c>
      <c r="C13" s="139" t="n">
        <f aca="false">20993-1315</f>
        <v>19678</v>
      </c>
      <c r="D13" s="139" t="n">
        <f aca="false">20993-1315</f>
        <v>19678</v>
      </c>
      <c r="E13" s="139" t="n">
        <f aca="false">20993-1315</f>
        <v>19678</v>
      </c>
      <c r="F13" s="139" t="n">
        <f aca="false">20993-1315</f>
        <v>19678</v>
      </c>
      <c r="G13" s="139" t="n">
        <f aca="false">20993-1315</f>
        <v>19678</v>
      </c>
      <c r="H13" s="139" t="n">
        <f aca="false">20993-1315</f>
        <v>19678</v>
      </c>
      <c r="I13" s="139" t="n">
        <f aca="false">20993-1315</f>
        <v>19678</v>
      </c>
      <c r="J13" s="139" t="n">
        <f aca="false">20993-1315</f>
        <v>19678</v>
      </c>
      <c r="K13" s="139" t="n">
        <f aca="false">20993-1315</f>
        <v>19678</v>
      </c>
      <c r="L13" s="139" t="n">
        <f aca="false">20993-1315</f>
        <v>19678</v>
      </c>
      <c r="M13" s="139" t="n">
        <f aca="false">20993-1315</f>
        <v>19678</v>
      </c>
      <c r="N13" s="139" t="n">
        <f aca="false">SUM(B13:M13)</f>
        <v>236136</v>
      </c>
      <c r="O13" s="180" t="s">
        <v>228</v>
      </c>
      <c r="P13" s="139" t="n">
        <v>20993</v>
      </c>
      <c r="Q13" s="139" t="n">
        <v>20993</v>
      </c>
      <c r="R13" s="139" t="n">
        <v>20993</v>
      </c>
      <c r="S13" s="139" t="n">
        <v>20993</v>
      </c>
      <c r="T13" s="139" t="n">
        <v>20993</v>
      </c>
      <c r="U13" s="139" t="n">
        <v>20993</v>
      </c>
      <c r="V13" s="139" t="n">
        <v>20993</v>
      </c>
      <c r="W13" s="139" t="n">
        <v>20993</v>
      </c>
      <c r="X13" s="139" t="n">
        <v>20993</v>
      </c>
      <c r="Y13" s="139" t="n">
        <v>20993</v>
      </c>
      <c r="Z13" s="139" t="n">
        <v>20993</v>
      </c>
      <c r="AA13" s="139" t="n">
        <v>20993</v>
      </c>
      <c r="AB13" s="139" t="n">
        <f aca="false">SUM(P13:AA13)</f>
        <v>251916</v>
      </c>
      <c r="AC13" s="181" t="s">
        <v>228</v>
      </c>
      <c r="AD13" s="139" t="n">
        <v>20993</v>
      </c>
      <c r="AE13" s="139" t="n">
        <v>20993</v>
      </c>
      <c r="AF13" s="139" t="n">
        <v>20993</v>
      </c>
      <c r="AG13" s="139" t="n">
        <v>20993</v>
      </c>
      <c r="AH13" s="139" t="n">
        <v>20993</v>
      </c>
      <c r="AI13" s="139" t="n">
        <v>20993</v>
      </c>
      <c r="AJ13" s="139" t="n">
        <v>20993</v>
      </c>
      <c r="AK13" s="139" t="n">
        <v>20993</v>
      </c>
      <c r="AL13" s="139" t="n">
        <v>20993</v>
      </c>
      <c r="AM13" s="139" t="n">
        <v>20993</v>
      </c>
      <c r="AN13" s="139" t="n">
        <v>20993</v>
      </c>
      <c r="AO13" s="139" t="n">
        <v>20993</v>
      </c>
      <c r="AP13" s="139" t="n">
        <f aca="false">SUM(AD13:AO13)</f>
        <v>251916</v>
      </c>
    </row>
    <row r="14" customFormat="false" ht="13.2" hidden="false" customHeight="false" outlineLevel="0" collapsed="false">
      <c r="A14" s="51" t="s">
        <v>229</v>
      </c>
      <c r="B14" s="139" t="n">
        <v>17072</v>
      </c>
      <c r="C14" s="139" t="n">
        <v>17072</v>
      </c>
      <c r="D14" s="139" t="n">
        <v>17072</v>
      </c>
      <c r="E14" s="139" t="n">
        <v>17072</v>
      </c>
      <c r="F14" s="139" t="n">
        <v>17072</v>
      </c>
      <c r="G14" s="139" t="n">
        <v>17072</v>
      </c>
      <c r="H14" s="139" t="n">
        <v>17072</v>
      </c>
      <c r="I14" s="139" t="n">
        <v>17072</v>
      </c>
      <c r="J14" s="139" t="n">
        <v>17072</v>
      </c>
      <c r="K14" s="139" t="n">
        <v>17072</v>
      </c>
      <c r="L14" s="139" t="n">
        <v>17072</v>
      </c>
      <c r="M14" s="139" t="n">
        <v>17072</v>
      </c>
      <c r="N14" s="139" t="n">
        <f aca="false">SUM(B14:M14)</f>
        <v>204864</v>
      </c>
      <c r="O14" s="180" t="s">
        <v>230</v>
      </c>
      <c r="P14" s="139" t="n">
        <v>17072</v>
      </c>
      <c r="Q14" s="139" t="n">
        <v>17072</v>
      </c>
      <c r="R14" s="139" t="n">
        <v>17072</v>
      </c>
      <c r="S14" s="139" t="n">
        <v>17072</v>
      </c>
      <c r="T14" s="139" t="n">
        <v>17072</v>
      </c>
      <c r="U14" s="139" t="n">
        <v>17072</v>
      </c>
      <c r="V14" s="139" t="n">
        <v>17072</v>
      </c>
      <c r="W14" s="139" t="n">
        <v>17072</v>
      </c>
      <c r="X14" s="139" t="n">
        <v>17072</v>
      </c>
      <c r="Y14" s="139" t="n">
        <v>17072</v>
      </c>
      <c r="Z14" s="139" t="n">
        <v>17072</v>
      </c>
      <c r="AA14" s="139" t="n">
        <v>17072</v>
      </c>
      <c r="AB14" s="139" t="n">
        <f aca="false">SUM(P14:AA14)</f>
        <v>204864</v>
      </c>
      <c r="AC14" s="181" t="s">
        <v>230</v>
      </c>
      <c r="AD14" s="139" t="n">
        <v>17072</v>
      </c>
      <c r="AE14" s="139" t="n">
        <v>17072</v>
      </c>
      <c r="AF14" s="139" t="n">
        <v>17072</v>
      </c>
      <c r="AG14" s="139" t="n">
        <v>17072</v>
      </c>
      <c r="AH14" s="139" t="n">
        <v>17072</v>
      </c>
      <c r="AI14" s="139" t="n">
        <v>17072</v>
      </c>
      <c r="AJ14" s="139" t="n">
        <v>17072</v>
      </c>
      <c r="AK14" s="139" t="n">
        <v>17072</v>
      </c>
      <c r="AL14" s="139" t="n">
        <v>17072</v>
      </c>
      <c r="AM14" s="139" t="n">
        <v>17072</v>
      </c>
      <c r="AN14" s="139" t="n">
        <v>17072</v>
      </c>
      <c r="AO14" s="139" t="n">
        <v>17072</v>
      </c>
      <c r="AP14" s="139" t="n">
        <f aca="false">SUM(AD14:AO14)</f>
        <v>204864</v>
      </c>
    </row>
    <row r="15" customFormat="false" ht="13.2" hidden="false" customHeight="false" outlineLevel="0" collapsed="false">
      <c r="A15" s="51" t="s">
        <v>231</v>
      </c>
      <c r="B15" s="139" t="n">
        <v>7045</v>
      </c>
      <c r="C15" s="139" t="n">
        <v>7045</v>
      </c>
      <c r="D15" s="139" t="n">
        <v>7045</v>
      </c>
      <c r="E15" s="139" t="n">
        <v>7045</v>
      </c>
      <c r="F15" s="139" t="n">
        <v>7045</v>
      </c>
      <c r="G15" s="139" t="n">
        <v>7045</v>
      </c>
      <c r="H15" s="139" t="n">
        <v>7045</v>
      </c>
      <c r="I15" s="139" t="n">
        <v>7045</v>
      </c>
      <c r="J15" s="139" t="n">
        <v>7045</v>
      </c>
      <c r="K15" s="139" t="n">
        <v>7045</v>
      </c>
      <c r="L15" s="139" t="n">
        <v>7045</v>
      </c>
      <c r="M15" s="139" t="n">
        <v>7045</v>
      </c>
      <c r="N15" s="139" t="n">
        <f aca="false">SUM(B15:M15)</f>
        <v>84540</v>
      </c>
      <c r="O15" s="180" t="s">
        <v>231</v>
      </c>
      <c r="P15" s="139" t="n">
        <v>7045</v>
      </c>
      <c r="Q15" s="139" t="n">
        <v>7045</v>
      </c>
      <c r="R15" s="139" t="n">
        <v>7045</v>
      </c>
      <c r="S15" s="139" t="n">
        <v>7045</v>
      </c>
      <c r="T15" s="139" t="n">
        <v>7045</v>
      </c>
      <c r="U15" s="139" t="n">
        <v>7045</v>
      </c>
      <c r="V15" s="139" t="n">
        <v>7045</v>
      </c>
      <c r="W15" s="139" t="n">
        <v>7045</v>
      </c>
      <c r="X15" s="139" t="n">
        <v>7045</v>
      </c>
      <c r="Y15" s="139" t="n">
        <v>7045</v>
      </c>
      <c r="Z15" s="139" t="n">
        <v>7045</v>
      </c>
      <c r="AA15" s="139" t="n">
        <v>7045</v>
      </c>
      <c r="AB15" s="139" t="n">
        <f aca="false">SUM(P15:AA15)</f>
        <v>84540</v>
      </c>
      <c r="AC15" s="181" t="s">
        <v>231</v>
      </c>
      <c r="AD15" s="139" t="n">
        <v>7045</v>
      </c>
      <c r="AE15" s="139" t="n">
        <v>7045</v>
      </c>
      <c r="AF15" s="139" t="n">
        <v>7045</v>
      </c>
      <c r="AG15" s="139" t="n">
        <v>7045</v>
      </c>
      <c r="AH15" s="139" t="n">
        <v>7045</v>
      </c>
      <c r="AI15" s="139" t="n">
        <v>7045</v>
      </c>
      <c r="AJ15" s="139" t="n">
        <v>7045</v>
      </c>
      <c r="AK15" s="139" t="n">
        <v>7045</v>
      </c>
      <c r="AL15" s="139" t="n">
        <v>7045</v>
      </c>
      <c r="AM15" s="139" t="n">
        <v>7045</v>
      </c>
      <c r="AN15" s="139" t="n">
        <v>7045</v>
      </c>
      <c r="AO15" s="139" t="n">
        <v>7045</v>
      </c>
      <c r="AP15" s="139" t="n">
        <f aca="false">SUM(AD15:AO15)</f>
        <v>84540</v>
      </c>
    </row>
    <row r="16" customFormat="false" ht="13.2" hidden="false" customHeight="false" outlineLevel="0" collapsed="false">
      <c r="A16" s="51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81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</row>
    <row r="17" customFormat="false" ht="13.2" hidden="false" customHeight="fals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83"/>
      <c r="P17" s="139"/>
      <c r="Q17" s="139"/>
      <c r="AC17" s="139"/>
      <c r="AD17" s="139"/>
      <c r="AE17" s="139"/>
    </row>
    <row r="18" customFormat="false" ht="13.8" hidden="false" customHeight="false" outlineLevel="0" collapsed="false">
      <c r="A18" s="188" t="s">
        <v>232</v>
      </c>
      <c r="B18" s="189" t="n">
        <f aca="false">B7+B11+B13+B14+B15</f>
        <v>45110</v>
      </c>
      <c r="C18" s="189" t="n">
        <f aca="false">C7+C11+C13+C14+C15</f>
        <v>45110</v>
      </c>
      <c r="D18" s="189" t="n">
        <f aca="false">D7+D11+D13+D14+D15</f>
        <v>49463.3</v>
      </c>
      <c r="E18" s="189" t="n">
        <f aca="false">E7+E11+E13+E14+E15</f>
        <v>45110</v>
      </c>
      <c r="F18" s="189" t="n">
        <f aca="false">F7+F11+F13+F14+F15</f>
        <v>95110</v>
      </c>
      <c r="G18" s="189" t="n">
        <f aca="false">G7+G11+G13+G14+G15</f>
        <v>49463.3</v>
      </c>
      <c r="H18" s="189" t="n">
        <f aca="false">H7+H11+H13+H14+H15</f>
        <v>45110</v>
      </c>
      <c r="I18" s="189" t="n">
        <f aca="false">I7+I11+I13+I14+I15</f>
        <v>45110</v>
      </c>
      <c r="J18" s="189" t="n">
        <f aca="false">J7+J11+J13+J14+J15</f>
        <v>68789.9</v>
      </c>
      <c r="K18" s="189" t="n">
        <f aca="false">K7+K11+K13+K14+K15</f>
        <v>45110</v>
      </c>
      <c r="L18" s="189" t="n">
        <f aca="false">L7+L11+L13+L14+L15</f>
        <v>45110</v>
      </c>
      <c r="M18" s="189" t="n">
        <f aca="false">M7+M11+M13+M14+M15</f>
        <v>49463.3</v>
      </c>
      <c r="N18" s="189" t="n">
        <f aca="false">N7+N11+N13+N14+N15</f>
        <v>628059.8</v>
      </c>
      <c r="O18" s="186"/>
      <c r="P18" s="176"/>
      <c r="Q18" s="176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76"/>
      <c r="AD18" s="176"/>
      <c r="AE18" s="176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customFormat="false" ht="61.2" hidden="false" customHeight="true" outlineLevel="0" collapsed="false"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83"/>
      <c r="P19" s="139"/>
      <c r="Q19" s="139"/>
      <c r="AC19" s="139"/>
      <c r="AD19" s="139"/>
      <c r="AE19" s="139"/>
    </row>
    <row r="20" customFormat="false" ht="13.2" hidden="false" customHeight="false" outlineLevel="0" collapsed="false">
      <c r="A20" s="51" t="s">
        <v>233</v>
      </c>
      <c r="B20" s="27" t="s">
        <v>41</v>
      </c>
      <c r="C20" s="27" t="s">
        <v>42</v>
      </c>
      <c r="D20" s="27" t="s">
        <v>43</v>
      </c>
      <c r="E20" s="27" t="s">
        <v>44</v>
      </c>
      <c r="F20" s="27" t="s">
        <v>45</v>
      </c>
      <c r="G20" s="27" t="s">
        <v>46</v>
      </c>
      <c r="H20" s="27" t="s">
        <v>47</v>
      </c>
      <c r="I20" s="27" t="s">
        <v>48</v>
      </c>
      <c r="J20" s="27" t="s">
        <v>49</v>
      </c>
      <c r="K20" s="27" t="s">
        <v>50</v>
      </c>
      <c r="L20" s="27" t="s">
        <v>51</v>
      </c>
      <c r="M20" s="27" t="s">
        <v>52</v>
      </c>
      <c r="N20" s="27" t="s">
        <v>66</v>
      </c>
      <c r="P20" s="27" t="s">
        <v>41</v>
      </c>
      <c r="Q20" s="27" t="s">
        <v>42</v>
      </c>
      <c r="R20" s="27" t="s">
        <v>43</v>
      </c>
      <c r="S20" s="27" t="s">
        <v>44</v>
      </c>
      <c r="T20" s="27" t="s">
        <v>45</v>
      </c>
      <c r="U20" s="27" t="s">
        <v>46</v>
      </c>
      <c r="V20" s="27" t="s">
        <v>47</v>
      </c>
      <c r="W20" s="27" t="s">
        <v>48</v>
      </c>
      <c r="X20" s="27" t="s">
        <v>49</v>
      </c>
      <c r="Y20" s="27" t="s">
        <v>50</v>
      </c>
      <c r="Z20" s="27" t="s">
        <v>51</v>
      </c>
      <c r="AA20" s="27" t="s">
        <v>52</v>
      </c>
      <c r="AB20" s="139"/>
      <c r="AC20" s="181"/>
      <c r="AD20" s="27" t="s">
        <v>41</v>
      </c>
      <c r="AE20" s="27" t="s">
        <v>42</v>
      </c>
      <c r="AF20" s="27" t="s">
        <v>43</v>
      </c>
      <c r="AG20" s="27" t="s">
        <v>44</v>
      </c>
      <c r="AH20" s="27" t="s">
        <v>45</v>
      </c>
      <c r="AI20" s="27" t="s">
        <v>46</v>
      </c>
      <c r="AJ20" s="27" t="s">
        <v>47</v>
      </c>
      <c r="AK20" s="27" t="s">
        <v>48</v>
      </c>
      <c r="AL20" s="27" t="s">
        <v>49</v>
      </c>
      <c r="AM20" s="27" t="s">
        <v>50</v>
      </c>
      <c r="AN20" s="27" t="s">
        <v>51</v>
      </c>
      <c r="AO20" s="27" t="s">
        <v>52</v>
      </c>
      <c r="AP20" s="139"/>
    </row>
    <row r="21" customFormat="false" ht="13.2" hidden="false" customHeight="false" outlineLevel="0" collapsed="false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80" t="s">
        <v>170</v>
      </c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81" t="s">
        <v>170</v>
      </c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</row>
    <row r="22" customFormat="false" ht="13.2" hidden="false" customHeight="false" outlineLevel="0" collapsed="false">
      <c r="A22" s="51" t="s">
        <v>234</v>
      </c>
      <c r="B22" s="139" t="n">
        <f aca="false">B7*Factors!C11</f>
        <v>0</v>
      </c>
      <c r="C22" s="139" t="n">
        <f aca="false">C7*Factors!D11</f>
        <v>0</v>
      </c>
      <c r="D22" s="139" t="n">
        <f aca="false">D7*Factors!E11</f>
        <v>18786.444479964</v>
      </c>
      <c r="E22" s="139" t="n">
        <f aca="false">E7*Factors!F11</f>
        <v>0</v>
      </c>
      <c r="F22" s="139" t="n">
        <f aca="false">F7*Factors!G11</f>
        <v>0</v>
      </c>
      <c r="G22" s="139" t="n">
        <f aca="false">G7*Factors!H11</f>
        <v>18865.017539928</v>
      </c>
      <c r="H22" s="139" t="n">
        <f aca="false">H7*Factors!I11</f>
        <v>0</v>
      </c>
      <c r="I22" s="139" t="n">
        <f aca="false">I7*Factors!J11</f>
        <v>0</v>
      </c>
      <c r="J22" s="139" t="n">
        <f aca="false">J7*Factors!K11</f>
        <v>103044.203488476</v>
      </c>
      <c r="K22" s="139" t="n">
        <f aca="false">K7*Factors!L11</f>
        <v>0</v>
      </c>
      <c r="L22" s="139" t="n">
        <f aca="false">L7*Factors!M11</f>
        <v>0</v>
      </c>
      <c r="M22" s="139" t="n">
        <f aca="false">M7*Factors!N11</f>
        <v>19022.163659856</v>
      </c>
      <c r="N22" s="138" t="n">
        <f aca="false">SUM(B22:M22)</f>
        <v>159717.829168224</v>
      </c>
      <c r="O22" s="180" t="s">
        <v>235</v>
      </c>
      <c r="P22" s="139" t="n">
        <v>34307</v>
      </c>
      <c r="Q22" s="139" t="n">
        <v>34307</v>
      </c>
      <c r="R22" s="139" t="n">
        <v>34307</v>
      </c>
      <c r="S22" s="139" t="n">
        <v>6304</v>
      </c>
      <c r="T22" s="139" t="n">
        <v>6304</v>
      </c>
      <c r="U22" s="139" t="n">
        <v>6304</v>
      </c>
      <c r="V22" s="139" t="n">
        <v>6304</v>
      </c>
      <c r="W22" s="139" t="n">
        <v>6304</v>
      </c>
      <c r="X22" s="139" t="n">
        <v>6304</v>
      </c>
      <c r="Y22" s="139" t="n">
        <v>6304</v>
      </c>
      <c r="Z22" s="139" t="n">
        <v>6304</v>
      </c>
      <c r="AA22" s="139" t="n">
        <v>6304</v>
      </c>
      <c r="AB22" s="139" t="n">
        <f aca="false">SUM(P22:AA22)</f>
        <v>159657</v>
      </c>
      <c r="AC22" s="181" t="s">
        <v>235</v>
      </c>
      <c r="AD22" s="139" t="n">
        <v>34307</v>
      </c>
      <c r="AE22" s="139" t="n">
        <v>34307</v>
      </c>
      <c r="AF22" s="139" t="n">
        <v>34307</v>
      </c>
      <c r="AG22" s="139" t="n">
        <v>6304</v>
      </c>
      <c r="AH22" s="139" t="n">
        <v>6304</v>
      </c>
      <c r="AI22" s="139" t="n">
        <v>6304</v>
      </c>
      <c r="AJ22" s="139" t="n">
        <v>6304</v>
      </c>
      <c r="AK22" s="139" t="n">
        <v>6304</v>
      </c>
      <c r="AL22" s="139" t="n">
        <v>6304</v>
      </c>
      <c r="AM22" s="139" t="n">
        <v>6304</v>
      </c>
      <c r="AN22" s="139" t="n">
        <v>6304</v>
      </c>
      <c r="AO22" s="139" t="n">
        <v>6304</v>
      </c>
      <c r="AP22" s="139" t="n">
        <f aca="false">SUM(AD22:AO22)</f>
        <v>159657</v>
      </c>
    </row>
    <row r="23" customFormat="false" ht="6" hidden="false" customHeight="true" outlineLevel="0" collapsed="false">
      <c r="A23" s="182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90" t="s">
        <v>236</v>
      </c>
      <c r="P23" s="139"/>
      <c r="Q23" s="139"/>
      <c r="AC23" s="140" t="s">
        <v>236</v>
      </c>
      <c r="AD23" s="139"/>
      <c r="AE23" s="139"/>
    </row>
    <row r="24" customFormat="false" ht="13.2" hidden="false" customHeight="false" outlineLevel="0" collapsed="false">
      <c r="A24" s="51" t="s">
        <v>227</v>
      </c>
      <c r="B24" s="139" t="n">
        <f aca="false">B11*Factors!C11</f>
        <v>5658.9925134</v>
      </c>
      <c r="C24" s="139" t="n">
        <f aca="false">C11*Factors!D11</f>
        <v>5666.9040268</v>
      </c>
      <c r="D24" s="139" t="n">
        <f aca="false">D11*Factors!E11</f>
        <v>5674.8155402</v>
      </c>
      <c r="E24" s="139" t="n">
        <f aca="false">E11*Factors!F11</f>
        <v>5682.7270536</v>
      </c>
      <c r="F24" s="139" t="n">
        <f aca="false">F11*Factors!G11</f>
        <v>222064.728567</v>
      </c>
      <c r="G24" s="139" t="n">
        <f aca="false">G11*Factors!H11</f>
        <v>5698.5500804</v>
      </c>
      <c r="H24" s="139" t="n">
        <f aca="false">H11*Factors!I11</f>
        <v>5706.4615938</v>
      </c>
      <c r="I24" s="139" t="n">
        <f aca="false">I11*Factors!J11</f>
        <v>5714.3731072</v>
      </c>
      <c r="J24" s="139" t="n">
        <f aca="false">J11*Factors!K11</f>
        <v>5722.2846206</v>
      </c>
      <c r="K24" s="139" t="n">
        <f aca="false">K11*Factors!L11</f>
        <v>5730.196134</v>
      </c>
      <c r="L24" s="139" t="n">
        <f aca="false">L11*Factors!M11</f>
        <v>5738.1076474</v>
      </c>
      <c r="M24" s="139" t="n">
        <f aca="false">M11*Factors!N11</f>
        <v>5746.0191608</v>
      </c>
      <c r="N24" s="139" t="n">
        <f aca="false">SUM(B24:M24)</f>
        <v>284804.1600452</v>
      </c>
      <c r="O24" s="183"/>
      <c r="P24" s="139" t="n">
        <f aca="false">P11*Factors!R11</f>
        <v>667223.214530356</v>
      </c>
      <c r="Q24" s="139" t="n">
        <f aca="false">Q11*Factors!S11</f>
        <v>669991.775586499</v>
      </c>
      <c r="R24" s="139" t="n">
        <f aca="false">R11*Factors!T11</f>
        <v>672760.336642641</v>
      </c>
      <c r="S24" s="139" t="n">
        <f aca="false">S11*Factors!U11</f>
        <v>675528.897698784</v>
      </c>
      <c r="T24" s="139" t="n">
        <f aca="false">T11*Factors!V11</f>
        <v>678297.458754927</v>
      </c>
      <c r="U24" s="139" t="n">
        <f aca="false">U11*Factors!W11</f>
        <v>681066.019811069</v>
      </c>
      <c r="V24" s="139" t="n">
        <f aca="false">V11*Factors!X11</f>
        <v>683834.580867212</v>
      </c>
      <c r="W24" s="139" t="n">
        <f aca="false">W11*Factors!Y11</f>
        <v>686603.141923354</v>
      </c>
      <c r="X24" s="139" t="n">
        <f aca="false">X11*Factors!Z11</f>
        <v>689371.702979497</v>
      </c>
      <c r="Y24" s="139" t="n">
        <f aca="false">Y11*Factors!AA11</f>
        <v>692140.264035639</v>
      </c>
      <c r="Z24" s="139" t="n">
        <f aca="false">Z11*Factors!AB11</f>
        <v>694908.825091782</v>
      </c>
      <c r="AA24" s="139" t="n">
        <f aca="false">AA11*Factors!AC11</f>
        <v>697677.386147924</v>
      </c>
      <c r="AB24" s="139" t="n">
        <f aca="false">SUM(P24:AA24)</f>
        <v>8189403.60406968</v>
      </c>
      <c r="AC24" s="139"/>
      <c r="AD24" s="139" t="n">
        <f aca="false">AD11*Factors!AF11</f>
        <v>770189.635439336</v>
      </c>
      <c r="AE24" s="139" t="n">
        <f aca="false">AE11*Factors!AG11</f>
        <v>773398.758920334</v>
      </c>
      <c r="AF24" s="139" t="n">
        <f aca="false">AF11*Factors!AH11</f>
        <v>776607.882401331</v>
      </c>
      <c r="AG24" s="139" t="n">
        <f aca="false">AG11*Factors!AI11</f>
        <v>779817.005882328</v>
      </c>
      <c r="AH24" s="139" t="n">
        <f aca="false">AH11*Factors!AJ11</f>
        <v>783026.129363325</v>
      </c>
      <c r="AI24" s="139" t="n">
        <f aca="false">AI11*Factors!AK11</f>
        <v>786235.252844323</v>
      </c>
      <c r="AJ24" s="139" t="n">
        <f aca="false">AJ11*Factors!AL11</f>
        <v>789444.37632532</v>
      </c>
      <c r="AK24" s="139" t="n">
        <f aca="false">AK11*Factors!AM11</f>
        <v>792653.499806317</v>
      </c>
      <c r="AL24" s="139" t="n">
        <f aca="false">AL11*Factors!AN11</f>
        <v>795862.623287314</v>
      </c>
      <c r="AM24" s="139" t="n">
        <f aca="false">AM11*Factors!AO11</f>
        <v>799071.746768311</v>
      </c>
      <c r="AN24" s="139" t="n">
        <f aca="false">AN11*Factors!AP11</f>
        <v>802280.870249309</v>
      </c>
      <c r="AO24" s="139" t="n">
        <f aca="false">AO11*Factors!AQ11</f>
        <v>805489.993730306</v>
      </c>
      <c r="AP24" s="139" t="n">
        <f aca="false">SUM(AD24:AO24)</f>
        <v>9454077.77501785</v>
      </c>
    </row>
    <row r="25" customFormat="false" ht="5.4" hidden="false" customHeight="true" outlineLevel="0" collapsed="false"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83"/>
      <c r="P25" s="139"/>
      <c r="Q25" s="139"/>
    </row>
    <row r="26" customFormat="false" ht="13.2" hidden="false" customHeight="false" outlineLevel="0" collapsed="false">
      <c r="A26" s="191" t="s">
        <v>228</v>
      </c>
      <c r="B26" s="168" t="n">
        <f aca="false">B13*Factors!C11</f>
        <v>84682.62713208</v>
      </c>
      <c r="C26" s="168" t="n">
        <f aca="false">C13*Factors!D11</f>
        <v>84801.01706416</v>
      </c>
      <c r="D26" s="168" t="n">
        <f aca="false">D13*Factors!E11</f>
        <v>84919.40699624</v>
      </c>
      <c r="E26" s="168" t="n">
        <f aca="false">E13*Factors!F11</f>
        <v>85037.79692832</v>
      </c>
      <c r="F26" s="168" t="n">
        <f aca="false">F13*Factors!G11</f>
        <v>85156.1868604</v>
      </c>
      <c r="G26" s="168" t="n">
        <f aca="false">G13*Factors!H11</f>
        <v>85274.57679248</v>
      </c>
      <c r="H26" s="168" t="n">
        <f aca="false">H13*Factors!I11</f>
        <v>85392.96672456</v>
      </c>
      <c r="I26" s="168" t="n">
        <f aca="false">I13*Factors!J11</f>
        <v>85511.35665664</v>
      </c>
      <c r="J26" s="168" t="n">
        <f aca="false">J13*Factors!K11</f>
        <v>85629.74658872</v>
      </c>
      <c r="K26" s="168" t="n">
        <f aca="false">K13*Factors!L11</f>
        <v>85748.1365208001</v>
      </c>
      <c r="L26" s="168" t="n">
        <f aca="false">L13*Factors!M11</f>
        <v>85866.5264528801</v>
      </c>
      <c r="M26" s="168" t="n">
        <f aca="false">M13*Factors!N11</f>
        <v>85984.9163849601</v>
      </c>
      <c r="N26" s="168" t="n">
        <f aca="false">SUM(B26:M26)</f>
        <v>1024005.26110224</v>
      </c>
      <c r="O26" s="192" t="s">
        <v>228</v>
      </c>
      <c r="P26" s="193" t="n">
        <f aca="false">P13*Factors!R11</f>
        <v>92113.1477772007</v>
      </c>
      <c r="Q26" s="193" t="n">
        <f aca="false">Q13*Factors!S11</f>
        <v>92495.3600086414</v>
      </c>
      <c r="R26" s="193" t="n">
        <f aca="false">R13*Factors!T11</f>
        <v>92877.5722400821</v>
      </c>
      <c r="S26" s="193" t="n">
        <f aca="false">S13*Factors!U11</f>
        <v>93259.7844715227</v>
      </c>
      <c r="T26" s="193" t="n">
        <f aca="false">T13*Factors!V11</f>
        <v>93641.9967029634</v>
      </c>
      <c r="U26" s="193" t="n">
        <f aca="false">U13*Factors!W11</f>
        <v>94024.208934404</v>
      </c>
      <c r="V26" s="193" t="n">
        <f aca="false">V13*Factors!X11</f>
        <v>94406.4211658447</v>
      </c>
      <c r="W26" s="193" t="n">
        <f aca="false">W13*Factors!Y11</f>
        <v>94788.6333972854</v>
      </c>
      <c r="X26" s="193" t="n">
        <f aca="false">X13*Factors!Z11</f>
        <v>95170.845628726</v>
      </c>
      <c r="Y26" s="193" t="n">
        <f aca="false">Y13*Factors!AA11</f>
        <v>95553.0578601667</v>
      </c>
      <c r="Z26" s="193" t="n">
        <f aca="false">Z13*Factors!AB11</f>
        <v>95935.2700916074</v>
      </c>
      <c r="AA26" s="193" t="n">
        <f aca="false">AA13*Factors!AC11</f>
        <v>96317.482323048</v>
      </c>
      <c r="AB26" s="193" t="n">
        <f aca="false">SUM(P26:AA26)</f>
        <v>1130583.78060149</v>
      </c>
      <c r="AC26" s="191" t="s">
        <v>228</v>
      </c>
      <c r="AD26" s="193" t="n">
        <f aca="false">AD13*Factors!AG11</f>
        <v>96718.8051660607</v>
      </c>
      <c r="AE26" s="193" t="n">
        <f aca="false">AE13*Factors!AH11</f>
        <v>97120.1280090734</v>
      </c>
      <c r="AF26" s="193" t="n">
        <f aca="false">AF13*Factors!AI11</f>
        <v>97521.4508520861</v>
      </c>
      <c r="AG26" s="193" t="n">
        <f aca="false">AG13*Factors!AJ11</f>
        <v>97922.7736950988</v>
      </c>
      <c r="AH26" s="193" t="n">
        <f aca="false">AH13*Factors!AK11</f>
        <v>98324.0965381115</v>
      </c>
      <c r="AI26" s="193" t="n">
        <f aca="false">AI13*Factors!AL11</f>
        <v>98725.4193811242</v>
      </c>
      <c r="AJ26" s="193" t="n">
        <f aca="false">AJ13*Factors!AM11</f>
        <v>99126.7422241369</v>
      </c>
      <c r="AK26" s="193" t="n">
        <f aca="false">AK13*Factors!AN11</f>
        <v>99528.0650671496</v>
      </c>
      <c r="AL26" s="193" t="n">
        <f aca="false">AL13*Factors!AO11</f>
        <v>99929.3879101624</v>
      </c>
      <c r="AM26" s="193" t="n">
        <f aca="false">AM13*Factors!AP11</f>
        <v>100330.710753175</v>
      </c>
      <c r="AN26" s="193" t="n">
        <f aca="false">AN13*Factors!AQ11</f>
        <v>100732.033596188</v>
      </c>
      <c r="AO26" s="193" t="n">
        <f aca="false">AO13*Factors!AR11</f>
        <v>101133.3564392</v>
      </c>
      <c r="AP26" s="193" t="n">
        <f aca="false">SUM(AD26:AO26)</f>
        <v>1187112.96963157</v>
      </c>
    </row>
    <row r="27" customFormat="false" ht="13.2" hidden="false" customHeight="false" outlineLevel="0" collapsed="false">
      <c r="A27" s="191" t="s">
        <v>230</v>
      </c>
      <c r="B27" s="168" t="n">
        <f aca="false">B14*Factors!C11</f>
        <v>73467.92409792</v>
      </c>
      <c r="C27" s="168" t="n">
        <f aca="false">C14*Factors!D11</f>
        <v>73570.63539584</v>
      </c>
      <c r="D27" s="168" t="n">
        <f aca="false">D14*Factors!E11</f>
        <v>73673.34669376</v>
      </c>
      <c r="E27" s="168" t="n">
        <f aca="false">E14*Factors!F11</f>
        <v>73776.05799168</v>
      </c>
      <c r="F27" s="168" t="n">
        <f aca="false">F14*Factors!G11</f>
        <v>73878.7692896</v>
      </c>
      <c r="G27" s="168" t="n">
        <f aca="false">G14*Factors!H11</f>
        <v>73981.48058752</v>
      </c>
      <c r="H27" s="168" t="n">
        <f aca="false">H14*Factors!I11</f>
        <v>74084.19188544</v>
      </c>
      <c r="I27" s="168" t="n">
        <f aca="false">I14*Factors!J11</f>
        <v>74186.90318336</v>
      </c>
      <c r="J27" s="168" t="n">
        <f aca="false">J14*Factors!K11</f>
        <v>74289.61448128</v>
      </c>
      <c r="K27" s="168" t="n">
        <f aca="false">K14*Factors!L11</f>
        <v>74392.3257792</v>
      </c>
      <c r="L27" s="168" t="n">
        <f aca="false">L14*Factors!M11</f>
        <v>74495.03707712</v>
      </c>
      <c r="M27" s="168" t="n">
        <f aca="false">M14*Factors!N11</f>
        <v>74597.7483750401</v>
      </c>
      <c r="N27" s="168" t="n">
        <f aca="false">SUM(B27:M27)</f>
        <v>888394.03483776</v>
      </c>
      <c r="O27" s="192" t="s">
        <v>230</v>
      </c>
      <c r="P27" s="193" t="n">
        <f aca="false">P14*Factors!R11</f>
        <v>74908.5723266027</v>
      </c>
      <c r="Q27" s="193" t="n">
        <f aca="false">Q14*Factors!S11</f>
        <v>75219.3962781654</v>
      </c>
      <c r="R27" s="193" t="n">
        <f aca="false">R14*Factors!T11</f>
        <v>75530.2202297281</v>
      </c>
      <c r="S27" s="193" t="n">
        <f aca="false">S14*Factors!U11</f>
        <v>75841.0441812907</v>
      </c>
      <c r="T27" s="193" t="n">
        <f aca="false">T14*Factors!V11</f>
        <v>76151.8681328534</v>
      </c>
      <c r="U27" s="193" t="n">
        <f aca="false">U14*Factors!W11</f>
        <v>76462.692084416</v>
      </c>
      <c r="V27" s="193" t="n">
        <f aca="false">V14*Factors!X11</f>
        <v>76773.5160359787</v>
      </c>
      <c r="W27" s="193" t="n">
        <f aca="false">W14*Factors!Y11</f>
        <v>77084.3399875414</v>
      </c>
      <c r="X27" s="193" t="n">
        <f aca="false">X14*Factors!Z11</f>
        <v>77395.163939104</v>
      </c>
      <c r="Y27" s="193" t="n">
        <f aca="false">Y14*Factors!AA11</f>
        <v>77705.9878906667</v>
      </c>
      <c r="Z27" s="193" t="n">
        <f aca="false">Z14*Factors!AB11</f>
        <v>78016.8118422294</v>
      </c>
      <c r="AA27" s="193" t="n">
        <f aca="false">AA14*Factors!AC11</f>
        <v>78327.635793792</v>
      </c>
      <c r="AB27" s="193" t="n">
        <f aca="false">SUM(P27:AA27)</f>
        <v>919417.248722368</v>
      </c>
      <c r="AC27" s="191" t="s">
        <v>230</v>
      </c>
      <c r="AD27" s="193" t="n">
        <f aca="false">AD14*Factors!AG11</f>
        <v>78654.0009429328</v>
      </c>
      <c r="AE27" s="193" t="n">
        <f aca="false">AE14*Factors!AH11</f>
        <v>78980.3660920736</v>
      </c>
      <c r="AF27" s="193" t="n">
        <f aca="false">AF14*Factors!AI11</f>
        <v>79306.7312412144</v>
      </c>
      <c r="AG27" s="193" t="n">
        <f aca="false">AG14*Factors!AJ11</f>
        <v>79633.0963903552</v>
      </c>
      <c r="AH27" s="193" t="n">
        <f aca="false">AH14*Factors!AK11</f>
        <v>79959.461539496</v>
      </c>
      <c r="AI27" s="193" t="n">
        <f aca="false">AI14*Factors!AL11</f>
        <v>80285.8266886368</v>
      </c>
      <c r="AJ27" s="193" t="n">
        <f aca="false">AJ14*Factors!AM11</f>
        <v>80612.1918377776</v>
      </c>
      <c r="AK27" s="193" t="n">
        <f aca="false">AK14*Factors!AN11</f>
        <v>80938.5569869184</v>
      </c>
      <c r="AL27" s="193" t="n">
        <f aca="false">AL14*Factors!AO11</f>
        <v>81264.9221360592</v>
      </c>
      <c r="AM27" s="193" t="n">
        <f aca="false">AM14*Factors!AP11</f>
        <v>81591.2872852</v>
      </c>
      <c r="AN27" s="193" t="n">
        <f aca="false">AN14*Factors!AQ11</f>
        <v>81917.6524343408</v>
      </c>
      <c r="AO27" s="193" t="n">
        <f aca="false">AO14*Factors!AR11</f>
        <v>82244.0175834816</v>
      </c>
      <c r="AP27" s="193" t="n">
        <f aca="false">SUM(AD27:AO27)</f>
        <v>965388.111158487</v>
      </c>
    </row>
    <row r="28" customFormat="false" ht="13.2" hidden="false" customHeight="false" outlineLevel="0" collapsed="false">
      <c r="A28" s="191" t="s">
        <v>231</v>
      </c>
      <c r="B28" s="168" t="n">
        <f aca="false">B15*Factors!C11</f>
        <v>30317.5682562</v>
      </c>
      <c r="C28" s="168" t="n">
        <f aca="false">C15*Factors!D11</f>
        <v>30359.9535124</v>
      </c>
      <c r="D28" s="168" t="n">
        <f aca="false">D15*Factors!E11</f>
        <v>30402.3387686</v>
      </c>
      <c r="E28" s="168" t="n">
        <f aca="false">E15*Factors!F11</f>
        <v>30444.7240248</v>
      </c>
      <c r="F28" s="168" t="n">
        <f aca="false">F15*Factors!G11</f>
        <v>30487.109281</v>
      </c>
      <c r="G28" s="168" t="n">
        <f aca="false">G15*Factors!H11</f>
        <v>30529.4945372</v>
      </c>
      <c r="H28" s="168" t="n">
        <f aca="false">H15*Factors!I11</f>
        <v>30571.8797934</v>
      </c>
      <c r="I28" s="168" t="n">
        <f aca="false">I15*Factors!J11</f>
        <v>30614.2650496</v>
      </c>
      <c r="J28" s="168" t="n">
        <f aca="false">J15*Factors!K11</f>
        <v>30656.6503058</v>
      </c>
      <c r="K28" s="168" t="n">
        <f aca="false">K15*Factors!L11</f>
        <v>30699.035562</v>
      </c>
      <c r="L28" s="168" t="n">
        <f aca="false">L15*Factors!M11</f>
        <v>30741.4208182</v>
      </c>
      <c r="M28" s="168" t="n">
        <f aca="false">M15*Factors!N11</f>
        <v>30783.8060744</v>
      </c>
      <c r="N28" s="168" t="n">
        <f aca="false">SUM(B28:M28)</f>
        <v>366608.2459836</v>
      </c>
      <c r="O28" s="192" t="s">
        <v>231</v>
      </c>
      <c r="P28" s="193" t="n">
        <f aca="false">P15*Factors!R11</f>
        <v>30912.0719330434</v>
      </c>
      <c r="Q28" s="193" t="n">
        <f aca="false">Q15*Factors!S11</f>
        <v>31040.3377916867</v>
      </c>
      <c r="R28" s="193" t="n">
        <f aca="false">R15*Factors!T11</f>
        <v>31168.60365033</v>
      </c>
      <c r="S28" s="193" t="n">
        <f aca="false">S15*Factors!U11</f>
        <v>31296.8695089734</v>
      </c>
      <c r="T28" s="193" t="n">
        <f aca="false">T15*Factors!V11</f>
        <v>31425.1353676167</v>
      </c>
      <c r="U28" s="193" t="n">
        <f aca="false">U15*Factors!W11</f>
        <v>31553.40122626</v>
      </c>
      <c r="V28" s="193" t="n">
        <f aca="false">V15*Factors!X11</f>
        <v>31681.6670849033</v>
      </c>
      <c r="W28" s="193" t="n">
        <f aca="false">W15*Factors!Y11</f>
        <v>31809.9329435467</v>
      </c>
      <c r="X28" s="193" t="n">
        <f aca="false">X15*Factors!Z11</f>
        <v>31938.19880219</v>
      </c>
      <c r="Y28" s="193" t="n">
        <f aca="false">Y15*Factors!AA11</f>
        <v>32066.4646608333</v>
      </c>
      <c r="Z28" s="193" t="n">
        <f aca="false">Z15*Factors!AB11</f>
        <v>32194.7305194767</v>
      </c>
      <c r="AA28" s="193" t="n">
        <f aca="false">AA15*Factors!AC11</f>
        <v>32322.99637812</v>
      </c>
      <c r="AB28" s="193" t="n">
        <f aca="false">SUM(P28:AA28)</f>
        <v>379410.40986698</v>
      </c>
      <c r="AC28" s="191" t="s">
        <v>231</v>
      </c>
      <c r="AD28" s="193" t="n">
        <f aca="false">AD15*Factors!AG11</f>
        <v>32457.6755296955</v>
      </c>
      <c r="AE28" s="193" t="n">
        <f aca="false">AE15*Factors!AH11</f>
        <v>32592.354681271</v>
      </c>
      <c r="AF28" s="193" t="n">
        <f aca="false">AF15*Factors!AI11</f>
        <v>32727.0338328465</v>
      </c>
      <c r="AG28" s="193" t="n">
        <f aca="false">AG15*Factors!AJ11</f>
        <v>32861.712984422</v>
      </c>
      <c r="AH28" s="193" t="n">
        <f aca="false">AH15*Factors!AK11</f>
        <v>32996.3921359975</v>
      </c>
      <c r="AI28" s="193" t="n">
        <f aca="false">AI15*Factors!AL11</f>
        <v>33131.071287573</v>
      </c>
      <c r="AJ28" s="193" t="n">
        <f aca="false">AJ15*Factors!AM11</f>
        <v>33265.7504391485</v>
      </c>
      <c r="AK28" s="193" t="n">
        <f aca="false">AK15*Factors!AN11</f>
        <v>33400.429590724</v>
      </c>
      <c r="AL28" s="193" t="n">
        <f aca="false">AL15*Factors!AO11</f>
        <v>33535.1087422995</v>
      </c>
      <c r="AM28" s="193" t="n">
        <f aca="false">AM15*Factors!AP11</f>
        <v>33669.787893875</v>
      </c>
      <c r="AN28" s="193" t="n">
        <f aca="false">AN15*Factors!AQ11</f>
        <v>33804.4670454505</v>
      </c>
      <c r="AO28" s="193" t="n">
        <f aca="false">AO15*Factors!AR11</f>
        <v>33939.146197026</v>
      </c>
      <c r="AP28" s="193" t="n">
        <f aca="false">SUM(AD28:AO28)</f>
        <v>398380.930360329</v>
      </c>
    </row>
    <row r="29" customFormat="false" ht="34.95" hidden="false" customHeight="true" outlineLevel="0" collapsed="false">
      <c r="A29" s="191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2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1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</row>
    <row r="30" customFormat="false" ht="16.95" hidden="false" customHeight="true" outlineLevel="0" collapsed="false">
      <c r="A30" s="188" t="s">
        <v>237</v>
      </c>
      <c r="B30" s="189" t="n">
        <f aca="false">B22+B24+B26+B27+B28</f>
        <v>194127.1119996</v>
      </c>
      <c r="C30" s="189" t="n">
        <f aca="false">C22+C24+C26+C27+C28</f>
        <v>194398.5099992</v>
      </c>
      <c r="D30" s="189" t="n">
        <f aca="false">D22+D24+D26+D27+D28</f>
        <v>213456.352478764</v>
      </c>
      <c r="E30" s="189" t="n">
        <f aca="false">E22+E24+E26+E27+E28</f>
        <v>194941.3059984</v>
      </c>
      <c r="F30" s="189" t="n">
        <f aca="false">F22+F24+F26+F27+F28</f>
        <v>411586.793998</v>
      </c>
      <c r="G30" s="189" t="n">
        <f aca="false">G22+G24+G26+G27+G28</f>
        <v>214349.119537528</v>
      </c>
      <c r="H30" s="189" t="n">
        <f aca="false">H22+H24+H26+H27+H28</f>
        <v>195755.4999972</v>
      </c>
      <c r="I30" s="189" t="n">
        <f aca="false">I22+I24+I26+I27+I28</f>
        <v>196026.8979968</v>
      </c>
      <c r="J30" s="189" t="n">
        <f aca="false">J22+J24+J26+J27+J28</f>
        <v>299342.499484876</v>
      </c>
      <c r="K30" s="189" t="n">
        <f aca="false">K22+K24+K26+K27+K28</f>
        <v>196569.693996</v>
      </c>
      <c r="L30" s="189" t="n">
        <f aca="false">L22+L24+L26+L27+L28</f>
        <v>196841.0919956</v>
      </c>
      <c r="M30" s="189" t="n">
        <f aca="false">M22+M24+M26+M27+M28</f>
        <v>216134.653655056</v>
      </c>
      <c r="N30" s="189" t="n">
        <f aca="false">N22+N24+N26+N27+N28</f>
        <v>2723529.53113702</v>
      </c>
      <c r="O30" s="186"/>
      <c r="P30" s="176"/>
      <c r="Q30" s="17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customFormat="false" ht="13.8" hidden="false" customHeight="false" outlineLevel="0" collapsed="false"/>
    <row r="33" customFormat="false" ht="13.2" hidden="true" customHeight="false" outlineLevel="0" collapsed="false">
      <c r="A33" s="194" t="s">
        <v>238</v>
      </c>
      <c r="B33" s="195" t="s">
        <v>239</v>
      </c>
    </row>
    <row r="34" customFormat="false" ht="13.2" hidden="true" customHeight="false" outlineLevel="0" collapsed="false">
      <c r="A34" s="196" t="s">
        <v>240</v>
      </c>
      <c r="B34" s="197" t="s">
        <v>241</v>
      </c>
    </row>
    <row r="35" customFormat="false" ht="13.2" hidden="true" customHeight="false" outlineLevel="0" collapsed="false">
      <c r="A35" s="196" t="s">
        <v>242</v>
      </c>
      <c r="B35" s="197" t="s">
        <v>243</v>
      </c>
    </row>
    <row r="36" customFormat="false" ht="13.2" hidden="true" customHeight="false" outlineLevel="0" collapsed="false">
      <c r="A36" s="196" t="s">
        <v>244</v>
      </c>
      <c r="B36" s="197" t="s">
        <v>245</v>
      </c>
    </row>
    <row r="37" customFormat="false" ht="13.2" hidden="true" customHeight="false" outlineLevel="0" collapsed="false">
      <c r="A37" s="196" t="s">
        <v>246</v>
      </c>
      <c r="B37" s="197" t="s">
        <v>247</v>
      </c>
    </row>
    <row r="38" customFormat="false" ht="13.2" hidden="true" customHeight="false" outlineLevel="0" collapsed="false">
      <c r="A38" s="196" t="s">
        <v>248</v>
      </c>
      <c r="B38" s="197" t="s">
        <v>249</v>
      </c>
    </row>
    <row r="39" customFormat="false" ht="13.2" hidden="true" customHeight="false" outlineLevel="0" collapsed="false"/>
    <row r="40" customFormat="false" ht="13.2" hidden="true" customHeight="false" outlineLevel="0" collapsed="false"/>
    <row r="41" customFormat="false" ht="13.2" hidden="true" customHeight="false" outlineLevel="0" collapsed="false">
      <c r="A41" s="194" t="s">
        <v>250</v>
      </c>
      <c r="B41" s="195" t="s">
        <v>251</v>
      </c>
    </row>
    <row r="42" customFormat="false" ht="13.2" hidden="true" customHeight="false" outlineLevel="0" collapsed="false">
      <c r="A42" s="196" t="s">
        <v>252</v>
      </c>
      <c r="B42" s="197" t="s">
        <v>253</v>
      </c>
    </row>
    <row r="43" customFormat="false" ht="13.2" hidden="true" customHeight="false" outlineLevel="0" collapsed="false">
      <c r="A43" s="196" t="s">
        <v>254</v>
      </c>
      <c r="B43" s="197" t="s">
        <v>255</v>
      </c>
    </row>
    <row r="44" customFormat="false" ht="13.2" hidden="true" customHeight="false" outlineLevel="0" collapsed="false">
      <c r="A44" s="196" t="s">
        <v>256</v>
      </c>
      <c r="B44" s="197" t="s">
        <v>257</v>
      </c>
    </row>
    <row r="45" customFormat="false" ht="13.2" hidden="true" customHeight="false" outlineLevel="0" collapsed="false">
      <c r="A45" s="196" t="s">
        <v>258</v>
      </c>
      <c r="B45" s="197" t="s">
        <v>259</v>
      </c>
    </row>
    <row r="46" customFormat="false" ht="13.2" hidden="true" customHeight="false" outlineLevel="0" collapsed="false">
      <c r="A46" s="196" t="s">
        <v>260</v>
      </c>
      <c r="B46" s="197" t="s">
        <v>261</v>
      </c>
    </row>
    <row r="47" customFormat="false" ht="13.2" hidden="true" customHeight="false" outlineLevel="0" collapsed="false">
      <c r="A47" s="196"/>
      <c r="B47" s="197"/>
    </row>
    <row r="48" customFormat="false" ht="13.2" hidden="true" customHeight="false" outlineLevel="0" collapsed="false">
      <c r="A48" s="194" t="s">
        <v>262</v>
      </c>
      <c r="B48" s="195" t="s">
        <v>263</v>
      </c>
    </row>
    <row r="49" customFormat="false" ht="13.2" hidden="true" customHeight="false" outlineLevel="0" collapsed="false">
      <c r="A49" s="196" t="s">
        <v>264</v>
      </c>
      <c r="B49" s="197" t="s">
        <v>265</v>
      </c>
    </row>
    <row r="50" customFormat="false" ht="13.2" hidden="true" customHeight="false" outlineLevel="0" collapsed="false">
      <c r="A50" s="196" t="s">
        <v>266</v>
      </c>
      <c r="B50" s="197" t="s">
        <v>267</v>
      </c>
    </row>
    <row r="51" customFormat="false" ht="13.2" hidden="true" customHeight="false" outlineLevel="0" collapsed="false">
      <c r="A51" s="196" t="s">
        <v>268</v>
      </c>
      <c r="B51" s="197" t="s">
        <v>269</v>
      </c>
    </row>
    <row r="52" customFormat="false" ht="13.2" hidden="true" customHeight="false" outlineLevel="0" collapsed="false">
      <c r="A52" s="196" t="s">
        <v>270</v>
      </c>
      <c r="B52" s="197" t="s">
        <v>271</v>
      </c>
    </row>
    <row r="53" customFormat="false" ht="13.2" hidden="true" customHeight="false" outlineLevel="0" collapsed="false">
      <c r="A53" s="196"/>
      <c r="B53" s="197"/>
    </row>
    <row r="54" customFormat="false" ht="13.2" hidden="true" customHeight="false" outlineLevel="0" collapsed="false">
      <c r="A54" s="194" t="s">
        <v>272</v>
      </c>
      <c r="B54" s="195" t="s">
        <v>273</v>
      </c>
    </row>
    <row r="55" customFormat="false" ht="13.2" hidden="true" customHeight="false" outlineLevel="0" collapsed="false">
      <c r="A55" s="196" t="s">
        <v>274</v>
      </c>
      <c r="B55" s="197" t="s">
        <v>275</v>
      </c>
    </row>
    <row r="56" customFormat="false" ht="13.2" hidden="true" customHeight="false" outlineLevel="0" collapsed="false">
      <c r="A56" s="196" t="s">
        <v>276</v>
      </c>
      <c r="B56" s="197" t="s">
        <v>277</v>
      </c>
    </row>
    <row r="57" customFormat="false" ht="13.2" hidden="true" customHeight="false" outlineLevel="0" collapsed="false">
      <c r="A57" s="196" t="s">
        <v>278</v>
      </c>
      <c r="B57" s="197" t="s">
        <v>279</v>
      </c>
    </row>
    <row r="58" customFormat="false" ht="13.2" hidden="true" customHeight="false" outlineLevel="0" collapsed="false">
      <c r="A58" s="196" t="s">
        <v>280</v>
      </c>
      <c r="B58" s="197" t="s">
        <v>281</v>
      </c>
    </row>
    <row r="59" customFormat="false" ht="13.2" hidden="true" customHeight="false" outlineLevel="0" collapsed="false">
      <c r="A59" s="196" t="s">
        <v>282</v>
      </c>
      <c r="B59" s="197" t="s">
        <v>283</v>
      </c>
    </row>
    <row r="60" customFormat="false" ht="13.2" hidden="true" customHeight="false" outlineLevel="0" collapsed="false">
      <c r="A60" s="196" t="s">
        <v>284</v>
      </c>
      <c r="B60" s="197" t="s">
        <v>285</v>
      </c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89"/>
  <sheetViews>
    <sheetView showFormulas="false" showGridLines="true" showRowColHeaders="true" showZeros="true" rightToLeft="false" tabSelected="false" showOutlineSymbols="true" defaultGridColor="true" view="pageBreakPreview" topLeftCell="B1" colorId="64" zoomScale="75" zoomScaleNormal="75" zoomScalePageLayoutView="75" workbookViewId="0">
      <selection pane="topLeft" activeCell="D76" activeCellId="0" sqref="D76"/>
    </sheetView>
  </sheetViews>
  <sheetFormatPr defaultColWidth="8.875" defaultRowHeight="13.2" customHeight="true" zeroHeight="false" outlineLevelRow="0" outlineLevelCol="0"/>
  <cols>
    <col collapsed="false" customWidth="true" hidden="true" outlineLevel="0" max="1" min="1" style="19" width="8.33"/>
    <col collapsed="false" customWidth="true" hidden="false" outlineLevel="0" max="2" min="2" style="19" width="26.66"/>
    <col collapsed="false" customWidth="true" hidden="false" outlineLevel="0" max="14" min="3" style="19" width="10.87"/>
    <col collapsed="false" customWidth="true" hidden="false" outlineLevel="0" max="15" min="15" style="19" width="36.43"/>
    <col collapsed="false" customWidth="true" hidden="false" outlineLevel="0" max="16" min="16" style="19" width="27.99"/>
    <col collapsed="false" customWidth="true" hidden="false" outlineLevel="0" max="28" min="17" style="19" width="10.43"/>
    <col collapsed="false" customWidth="false" hidden="false" outlineLevel="0" max="29" min="29" style="19" width="8.87"/>
    <col collapsed="false" customWidth="true" hidden="false" outlineLevel="0" max="30" min="30" style="19" width="32.1"/>
    <col collapsed="false" customWidth="true" hidden="false" outlineLevel="0" max="42" min="31" style="19" width="10.43"/>
    <col collapsed="false" customWidth="false" hidden="false" outlineLevel="0" max="257" min="43" style="19" width="8.87"/>
  </cols>
  <sheetData>
    <row r="1" customFormat="false" ht="13.2" hidden="false" customHeight="false" outlineLevel="0" collapsed="false">
      <c r="B1" s="21" t="s">
        <v>286</v>
      </c>
      <c r="P1" s="19" t="s">
        <v>287</v>
      </c>
      <c r="AD1" s="19" t="s">
        <v>287</v>
      </c>
    </row>
    <row r="2" customFormat="false" ht="21" hidden="false" customHeight="false" outlineLevel="0" collapsed="false">
      <c r="B2" s="198" t="s">
        <v>288</v>
      </c>
    </row>
    <row r="3" customFormat="false" ht="16.95" hidden="false" customHeight="true" outlineLevel="0" collapsed="false">
      <c r="B3" s="199" t="s">
        <v>289</v>
      </c>
    </row>
    <row r="4" customFormat="false" ht="13.2" hidden="false" customHeight="false" outlineLevel="0" collapsed="false">
      <c r="P4" s="21" t="s">
        <v>290</v>
      </c>
      <c r="AD4" s="21" t="s">
        <v>290</v>
      </c>
    </row>
    <row r="5" customFormat="false" ht="13.2" hidden="false" customHeight="false" outlineLevel="0" collapsed="false">
      <c r="B5" s="21" t="s">
        <v>290</v>
      </c>
    </row>
    <row r="6" customFormat="false" ht="13.2" hidden="false" customHeight="false" outlineLevel="0" collapsed="false">
      <c r="B6" s="21" t="s">
        <v>291</v>
      </c>
      <c r="P6" s="21" t="s">
        <v>291</v>
      </c>
      <c r="AD6" s="21" t="s">
        <v>291</v>
      </c>
    </row>
    <row r="7" customFormat="false" ht="13.2" hidden="false" customHeight="false" outlineLevel="0" collapsed="false">
      <c r="C7" s="37" t="s">
        <v>41</v>
      </c>
      <c r="D7" s="37" t="s">
        <v>42</v>
      </c>
      <c r="E7" s="37" t="s">
        <v>43</v>
      </c>
      <c r="F7" s="37" t="s">
        <v>44</v>
      </c>
      <c r="G7" s="37" t="s">
        <v>45</v>
      </c>
      <c r="H7" s="37" t="s">
        <v>46</v>
      </c>
      <c r="I7" s="37" t="s">
        <v>47</v>
      </c>
      <c r="J7" s="37" t="s">
        <v>48</v>
      </c>
      <c r="K7" s="37" t="s">
        <v>49</v>
      </c>
      <c r="L7" s="37" t="s">
        <v>50</v>
      </c>
      <c r="M7" s="37" t="s">
        <v>51</v>
      </c>
      <c r="N7" s="37" t="s">
        <v>52</v>
      </c>
      <c r="Q7" s="37" t="s">
        <v>41</v>
      </c>
      <c r="R7" s="37" t="s">
        <v>42</v>
      </c>
      <c r="S7" s="37" t="s">
        <v>43</v>
      </c>
      <c r="T7" s="37" t="s">
        <v>44</v>
      </c>
      <c r="U7" s="37" t="s">
        <v>45</v>
      </c>
      <c r="V7" s="37" t="s">
        <v>46</v>
      </c>
      <c r="W7" s="37" t="s">
        <v>47</v>
      </c>
      <c r="X7" s="37" t="s">
        <v>48</v>
      </c>
      <c r="Y7" s="37" t="s">
        <v>49</v>
      </c>
      <c r="Z7" s="37" t="s">
        <v>50</v>
      </c>
      <c r="AA7" s="37" t="s">
        <v>51</v>
      </c>
      <c r="AB7" s="37" t="s">
        <v>52</v>
      </c>
      <c r="AE7" s="37" t="s">
        <v>41</v>
      </c>
      <c r="AF7" s="37" t="s">
        <v>42</v>
      </c>
      <c r="AG7" s="37" t="s">
        <v>43</v>
      </c>
      <c r="AH7" s="37" t="s">
        <v>44</v>
      </c>
      <c r="AI7" s="37" t="s">
        <v>45</v>
      </c>
      <c r="AJ7" s="37" t="s">
        <v>46</v>
      </c>
      <c r="AK7" s="37" t="s">
        <v>47</v>
      </c>
      <c r="AL7" s="37" t="s">
        <v>48</v>
      </c>
      <c r="AM7" s="37" t="s">
        <v>49</v>
      </c>
      <c r="AN7" s="37" t="s">
        <v>50</v>
      </c>
      <c r="AO7" s="37" t="s">
        <v>51</v>
      </c>
      <c r="AP7" s="37" t="s">
        <v>52</v>
      </c>
    </row>
    <row r="8" customFormat="false" ht="13.2" hidden="false" customHeight="false" outlineLevel="0" collapsed="false">
      <c r="B8" s="19" t="s">
        <v>292</v>
      </c>
      <c r="C8" s="20" t="n">
        <f aca="false">Factors!C25</f>
        <v>0.025</v>
      </c>
      <c r="D8" s="20" t="n">
        <f aca="false">Factors!D25</f>
        <v>0.025</v>
      </c>
      <c r="E8" s="20" t="n">
        <f aca="false">Factors!E25</f>
        <v>0.025</v>
      </c>
      <c r="F8" s="20" t="n">
        <f aca="false">Factors!F25</f>
        <v>0.025</v>
      </c>
      <c r="G8" s="20" t="n">
        <f aca="false">Factors!G25</f>
        <v>0.025</v>
      </c>
      <c r="H8" s="20" t="n">
        <f aca="false">Factors!H25</f>
        <v>0.025</v>
      </c>
      <c r="I8" s="20" t="n">
        <f aca="false">Factors!I25</f>
        <v>0.025</v>
      </c>
      <c r="J8" s="20" t="n">
        <f aca="false">Factors!J25</f>
        <v>0.025</v>
      </c>
      <c r="K8" s="20" t="n">
        <f aca="false">Factors!K25</f>
        <v>0.025</v>
      </c>
      <c r="L8" s="20" t="n">
        <f aca="false">Factors!L25</f>
        <v>0.025</v>
      </c>
      <c r="M8" s="20" t="n">
        <f aca="false">Factors!M25</f>
        <v>0.025</v>
      </c>
      <c r="N8" s="20" t="n">
        <f aca="false">Factors!N25</f>
        <v>0.025</v>
      </c>
      <c r="P8" s="19" t="s">
        <v>292</v>
      </c>
      <c r="Q8" s="20" t="n">
        <f aca="false">Factors!R25</f>
        <v>0.025</v>
      </c>
      <c r="R8" s="20" t="n">
        <f aca="false">Factors!S25</f>
        <v>0.025</v>
      </c>
      <c r="S8" s="20" t="n">
        <f aca="false">Factors!T25</f>
        <v>0.025</v>
      </c>
      <c r="T8" s="20" t="n">
        <f aca="false">Factors!U25</f>
        <v>0.025</v>
      </c>
      <c r="U8" s="20" t="n">
        <f aca="false">Factors!V25</f>
        <v>0.025</v>
      </c>
      <c r="V8" s="20" t="n">
        <f aca="false">Factors!W25</f>
        <v>0.025</v>
      </c>
      <c r="W8" s="20" t="n">
        <f aca="false">Factors!X25</f>
        <v>0.025</v>
      </c>
      <c r="X8" s="20" t="n">
        <f aca="false">Factors!Y25</f>
        <v>0.025</v>
      </c>
      <c r="Y8" s="20" t="n">
        <f aca="false">Factors!Z25</f>
        <v>0.025</v>
      </c>
      <c r="Z8" s="20" t="n">
        <f aca="false">Factors!AA25</f>
        <v>0.025</v>
      </c>
      <c r="AA8" s="20" t="n">
        <f aca="false">Factors!AB25</f>
        <v>0.025</v>
      </c>
      <c r="AB8" s="20" t="n">
        <f aca="false">Factors!AC25</f>
        <v>0.025</v>
      </c>
      <c r="AD8" s="19" t="s">
        <v>292</v>
      </c>
      <c r="AE8" s="20" t="n">
        <f aca="false">Factors!AG25</f>
        <v>0.025</v>
      </c>
      <c r="AF8" s="20" t="n">
        <f aca="false">Factors!AH25</f>
        <v>0.025</v>
      </c>
      <c r="AG8" s="20" t="n">
        <f aca="false">Factors!AI25</f>
        <v>0.025</v>
      </c>
      <c r="AH8" s="20" t="n">
        <f aca="false">Factors!AJ25</f>
        <v>0.025</v>
      </c>
      <c r="AI8" s="20" t="n">
        <f aca="false">Factors!AK25</f>
        <v>0.025</v>
      </c>
      <c r="AJ8" s="20" t="n">
        <f aca="false">Factors!AL25</f>
        <v>0.025</v>
      </c>
      <c r="AK8" s="20" t="n">
        <f aca="false">Factors!AM25</f>
        <v>0.025</v>
      </c>
      <c r="AL8" s="20" t="n">
        <f aca="false">Factors!AN25</f>
        <v>0.025</v>
      </c>
      <c r="AM8" s="20" t="n">
        <f aca="false">Factors!AO25</f>
        <v>0.025</v>
      </c>
      <c r="AN8" s="20" t="n">
        <f aca="false">Factors!AP25</f>
        <v>0.025</v>
      </c>
      <c r="AO8" s="20" t="n">
        <f aca="false">Factors!AQ25</f>
        <v>0.025</v>
      </c>
      <c r="AP8" s="20" t="n">
        <f aca="false">Factors!AR25</f>
        <v>0.025</v>
      </c>
    </row>
    <row r="9" customFormat="false" ht="13.2" hidden="false" customHeight="false" outlineLevel="0" collapsed="false">
      <c r="B9" s="19" t="s">
        <v>293</v>
      </c>
      <c r="C9" s="20" t="n">
        <v>0.0125</v>
      </c>
      <c r="D9" s="20" t="n">
        <f aca="false">C9</f>
        <v>0.0125</v>
      </c>
      <c r="E9" s="20" t="n">
        <f aca="false">D9</f>
        <v>0.0125</v>
      </c>
      <c r="F9" s="20" t="n">
        <f aca="false">E9</f>
        <v>0.0125</v>
      </c>
      <c r="G9" s="20" t="n">
        <f aca="false">F9</f>
        <v>0.0125</v>
      </c>
      <c r="H9" s="20" t="n">
        <f aca="false">G9</f>
        <v>0.0125</v>
      </c>
      <c r="I9" s="20" t="n">
        <f aca="false">H9</f>
        <v>0.0125</v>
      </c>
      <c r="J9" s="20" t="n">
        <f aca="false">I9</f>
        <v>0.0125</v>
      </c>
      <c r="K9" s="20" t="n">
        <f aca="false">J9</f>
        <v>0.0125</v>
      </c>
      <c r="L9" s="20" t="n">
        <f aca="false">K9</f>
        <v>0.0125</v>
      </c>
      <c r="M9" s="20" t="n">
        <f aca="false">L9</f>
        <v>0.0125</v>
      </c>
      <c r="N9" s="20" t="n">
        <f aca="false">M9</f>
        <v>0.0125</v>
      </c>
      <c r="P9" s="19" t="s">
        <v>293</v>
      </c>
      <c r="Q9" s="20" t="n">
        <v>0.0125</v>
      </c>
      <c r="R9" s="20" t="n">
        <f aca="false">Q9</f>
        <v>0.0125</v>
      </c>
      <c r="S9" s="20" t="n">
        <f aca="false">R9</f>
        <v>0.0125</v>
      </c>
      <c r="T9" s="20" t="n">
        <f aca="false">S9</f>
        <v>0.0125</v>
      </c>
      <c r="U9" s="20" t="n">
        <f aca="false">T9</f>
        <v>0.0125</v>
      </c>
      <c r="V9" s="20" t="n">
        <f aca="false">U9</f>
        <v>0.0125</v>
      </c>
      <c r="W9" s="20" t="n">
        <f aca="false">V9</f>
        <v>0.0125</v>
      </c>
      <c r="X9" s="20" t="n">
        <f aca="false">W9</f>
        <v>0.0125</v>
      </c>
      <c r="Y9" s="20" t="n">
        <f aca="false">X9</f>
        <v>0.0125</v>
      </c>
      <c r="Z9" s="20" t="n">
        <f aca="false">Y9</f>
        <v>0.0125</v>
      </c>
      <c r="AA9" s="20" t="n">
        <f aca="false">Z9</f>
        <v>0.0125</v>
      </c>
      <c r="AB9" s="20" t="n">
        <f aca="false">AA9</f>
        <v>0.0125</v>
      </c>
      <c r="AD9" s="19" t="s">
        <v>293</v>
      </c>
      <c r="AE9" s="20" t="n">
        <v>0.0125</v>
      </c>
      <c r="AF9" s="20" t="n">
        <f aca="false">AE9</f>
        <v>0.0125</v>
      </c>
      <c r="AG9" s="20" t="n">
        <f aca="false">AF9</f>
        <v>0.0125</v>
      </c>
      <c r="AH9" s="20" t="n">
        <f aca="false">AG9</f>
        <v>0.0125</v>
      </c>
      <c r="AI9" s="20" t="n">
        <f aca="false">AH9</f>
        <v>0.0125</v>
      </c>
      <c r="AJ9" s="20" t="n">
        <f aca="false">AI9</f>
        <v>0.0125</v>
      </c>
      <c r="AK9" s="20" t="n">
        <f aca="false">AJ9</f>
        <v>0.0125</v>
      </c>
      <c r="AL9" s="20" t="n">
        <f aca="false">AK9</f>
        <v>0.0125</v>
      </c>
      <c r="AM9" s="20" t="n">
        <f aca="false">AL9</f>
        <v>0.0125</v>
      </c>
      <c r="AN9" s="20" t="n">
        <f aca="false">AM9</f>
        <v>0.0125</v>
      </c>
      <c r="AO9" s="20" t="n">
        <f aca="false">AN9</f>
        <v>0.0125</v>
      </c>
      <c r="AP9" s="20" t="n">
        <f aca="false">AO9</f>
        <v>0.0125</v>
      </c>
    </row>
    <row r="10" customFormat="false" ht="13.2" hidden="false" customHeight="false" outlineLevel="0" collapsed="false">
      <c r="B10" s="19" t="s">
        <v>294</v>
      </c>
      <c r="C10" s="200" t="n">
        <f aca="false">SUM(C8:C9)</f>
        <v>0.0375</v>
      </c>
      <c r="D10" s="200" t="n">
        <f aca="false">SUM(D8:D9)</f>
        <v>0.0375</v>
      </c>
      <c r="E10" s="200" t="n">
        <f aca="false">SUM(E8:E9)</f>
        <v>0.0375</v>
      </c>
      <c r="F10" s="200" t="n">
        <f aca="false">SUM(F8:F9)</f>
        <v>0.0375</v>
      </c>
      <c r="G10" s="200" t="n">
        <f aca="false">SUM(G8:G9)</f>
        <v>0.0375</v>
      </c>
      <c r="H10" s="200" t="n">
        <f aca="false">SUM(H8:H9)</f>
        <v>0.0375</v>
      </c>
      <c r="I10" s="200" t="n">
        <f aca="false">SUM(I8:I9)</f>
        <v>0.0375</v>
      </c>
      <c r="J10" s="200" t="n">
        <f aca="false">SUM(J8:J9)</f>
        <v>0.0375</v>
      </c>
      <c r="K10" s="200" t="n">
        <f aca="false">SUM(K8:K9)</f>
        <v>0.0375</v>
      </c>
      <c r="L10" s="200" t="n">
        <f aca="false">SUM(L8:L9)</f>
        <v>0.0375</v>
      </c>
      <c r="M10" s="200" t="n">
        <f aca="false">SUM(M8:M9)</f>
        <v>0.0375</v>
      </c>
      <c r="N10" s="200" t="n">
        <f aca="false">SUM(N8:N9)</f>
        <v>0.0375</v>
      </c>
      <c r="P10" s="19" t="s">
        <v>294</v>
      </c>
      <c r="Q10" s="200" t="n">
        <f aca="false">SUM(Q8:Q9)</f>
        <v>0.0375</v>
      </c>
      <c r="R10" s="200" t="n">
        <f aca="false">SUM(R8:R9)</f>
        <v>0.0375</v>
      </c>
      <c r="S10" s="200" t="n">
        <f aca="false">SUM(S8:S9)</f>
        <v>0.0375</v>
      </c>
      <c r="T10" s="200" t="n">
        <f aca="false">SUM(T8:T9)</f>
        <v>0.0375</v>
      </c>
      <c r="U10" s="200" t="n">
        <f aca="false">SUM(U8:U9)</f>
        <v>0.0375</v>
      </c>
      <c r="V10" s="200" t="n">
        <f aca="false">SUM(V8:V9)</f>
        <v>0.0375</v>
      </c>
      <c r="W10" s="200" t="n">
        <f aca="false">SUM(W8:W9)</f>
        <v>0.0375</v>
      </c>
      <c r="X10" s="200" t="n">
        <f aca="false">SUM(X8:X9)</f>
        <v>0.0375</v>
      </c>
      <c r="Y10" s="200" t="n">
        <f aca="false">SUM(Y8:Y9)</f>
        <v>0.0375</v>
      </c>
      <c r="Z10" s="200" t="n">
        <f aca="false">SUM(Z8:Z9)</f>
        <v>0.0375</v>
      </c>
      <c r="AA10" s="200" t="n">
        <f aca="false">SUM(AA8:AA9)</f>
        <v>0.0375</v>
      </c>
      <c r="AB10" s="200" t="n">
        <f aca="false">SUM(AB8:AB9)</f>
        <v>0.0375</v>
      </c>
      <c r="AD10" s="19" t="s">
        <v>294</v>
      </c>
      <c r="AE10" s="200" t="n">
        <f aca="false">SUM(AE8:AE9)</f>
        <v>0.0375</v>
      </c>
      <c r="AF10" s="200" t="n">
        <f aca="false">SUM(AF8:AF9)</f>
        <v>0.0375</v>
      </c>
      <c r="AG10" s="200" t="n">
        <f aca="false">SUM(AG8:AG9)</f>
        <v>0.0375</v>
      </c>
      <c r="AH10" s="200" t="n">
        <f aca="false">SUM(AH8:AH9)</f>
        <v>0.0375</v>
      </c>
      <c r="AI10" s="200" t="n">
        <f aca="false">SUM(AI8:AI9)</f>
        <v>0.0375</v>
      </c>
      <c r="AJ10" s="200" t="n">
        <f aca="false">SUM(AJ8:AJ9)</f>
        <v>0.0375</v>
      </c>
      <c r="AK10" s="200" t="n">
        <f aca="false">SUM(AK8:AK9)</f>
        <v>0.0375</v>
      </c>
      <c r="AL10" s="200" t="n">
        <f aca="false">SUM(AL8:AL9)</f>
        <v>0.0375</v>
      </c>
      <c r="AM10" s="200" t="n">
        <f aca="false">SUM(AM8:AM9)</f>
        <v>0.0375</v>
      </c>
      <c r="AN10" s="200" t="n">
        <f aca="false">SUM(AN8:AN9)</f>
        <v>0.0375</v>
      </c>
      <c r="AO10" s="200" t="n">
        <f aca="false">SUM(AO8:AO9)</f>
        <v>0.0375</v>
      </c>
      <c r="AP10" s="200" t="n">
        <f aca="false">SUM(AP8:AP9)</f>
        <v>0.0375</v>
      </c>
    </row>
    <row r="11" customFormat="false" ht="13.2" hidden="false" customHeight="false" outlineLevel="0" collapsed="false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customFormat="false" ht="13.2" hidden="false" customHeight="false" outlineLevel="0" collapsed="false">
      <c r="B12" s="21" t="s">
        <v>295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P12" s="21" t="s">
        <v>295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D12" s="21" t="s">
        <v>295</v>
      </c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customFormat="false" ht="13.2" hidden="false" customHeight="false" outlineLevel="0" collapsed="false">
      <c r="C13" s="201" t="s">
        <v>41</v>
      </c>
      <c r="D13" s="201" t="s">
        <v>42</v>
      </c>
      <c r="E13" s="201" t="s">
        <v>43</v>
      </c>
      <c r="F13" s="201" t="s">
        <v>44</v>
      </c>
      <c r="G13" s="201" t="s">
        <v>45</v>
      </c>
      <c r="H13" s="201" t="s">
        <v>46</v>
      </c>
      <c r="I13" s="201" t="s">
        <v>47</v>
      </c>
      <c r="J13" s="201" t="s">
        <v>48</v>
      </c>
      <c r="K13" s="201" t="s">
        <v>49</v>
      </c>
      <c r="L13" s="201" t="s">
        <v>50</v>
      </c>
      <c r="M13" s="201" t="s">
        <v>51</v>
      </c>
      <c r="N13" s="201" t="s">
        <v>52</v>
      </c>
      <c r="Q13" s="201" t="s">
        <v>41</v>
      </c>
      <c r="R13" s="201" t="s">
        <v>42</v>
      </c>
      <c r="S13" s="201" t="s">
        <v>43</v>
      </c>
      <c r="T13" s="201" t="s">
        <v>44</v>
      </c>
      <c r="U13" s="201" t="s">
        <v>45</v>
      </c>
      <c r="V13" s="201" t="s">
        <v>46</v>
      </c>
      <c r="W13" s="201" t="s">
        <v>47</v>
      </c>
      <c r="X13" s="201" t="s">
        <v>48</v>
      </c>
      <c r="Y13" s="201" t="s">
        <v>49</v>
      </c>
      <c r="Z13" s="201" t="s">
        <v>50</v>
      </c>
      <c r="AA13" s="201" t="s">
        <v>51</v>
      </c>
      <c r="AB13" s="201" t="s">
        <v>52</v>
      </c>
      <c r="AE13" s="201" t="s">
        <v>41</v>
      </c>
      <c r="AF13" s="201" t="s">
        <v>42</v>
      </c>
      <c r="AG13" s="201" t="s">
        <v>43</v>
      </c>
      <c r="AH13" s="201" t="s">
        <v>44</v>
      </c>
      <c r="AI13" s="201" t="s">
        <v>45</v>
      </c>
      <c r="AJ13" s="201" t="s">
        <v>46</v>
      </c>
      <c r="AK13" s="201" t="s">
        <v>47</v>
      </c>
      <c r="AL13" s="201" t="s">
        <v>48</v>
      </c>
      <c r="AM13" s="201" t="s">
        <v>49</v>
      </c>
      <c r="AN13" s="201" t="s">
        <v>50</v>
      </c>
      <c r="AO13" s="201" t="s">
        <v>51</v>
      </c>
      <c r="AP13" s="201" t="s">
        <v>52</v>
      </c>
    </row>
    <row r="14" customFormat="false" ht="13.2" hidden="false" customHeight="false" outlineLevel="0" collapsed="false">
      <c r="B14" s="19" t="s">
        <v>292</v>
      </c>
      <c r="C14" s="20" t="n">
        <f aca="false">C8</f>
        <v>0.025</v>
      </c>
      <c r="D14" s="20" t="n">
        <f aca="false">D8</f>
        <v>0.025</v>
      </c>
      <c r="E14" s="20" t="n">
        <f aca="false">E8</f>
        <v>0.025</v>
      </c>
      <c r="F14" s="20" t="n">
        <f aca="false">F8</f>
        <v>0.025</v>
      </c>
      <c r="G14" s="20" t="n">
        <f aca="false">G8</f>
        <v>0.025</v>
      </c>
      <c r="H14" s="20" t="n">
        <f aca="false">H8</f>
        <v>0.025</v>
      </c>
      <c r="I14" s="20" t="n">
        <f aca="false">I8</f>
        <v>0.025</v>
      </c>
      <c r="J14" s="20" t="n">
        <f aca="false">J8</f>
        <v>0.025</v>
      </c>
      <c r="K14" s="20" t="n">
        <f aca="false">K8</f>
        <v>0.025</v>
      </c>
      <c r="L14" s="20" t="n">
        <f aca="false">L8</f>
        <v>0.025</v>
      </c>
      <c r="M14" s="20" t="n">
        <f aca="false">M8</f>
        <v>0.025</v>
      </c>
      <c r="N14" s="20" t="n">
        <f aca="false">N8</f>
        <v>0.025</v>
      </c>
      <c r="P14" s="19" t="s">
        <v>292</v>
      </c>
      <c r="Q14" s="20" t="n">
        <f aca="false">Q8</f>
        <v>0.025</v>
      </c>
      <c r="R14" s="20" t="n">
        <f aca="false">R8</f>
        <v>0.025</v>
      </c>
      <c r="S14" s="20" t="n">
        <f aca="false">S8</f>
        <v>0.025</v>
      </c>
      <c r="T14" s="20" t="n">
        <f aca="false">T8</f>
        <v>0.025</v>
      </c>
      <c r="U14" s="20" t="n">
        <f aca="false">U8</f>
        <v>0.025</v>
      </c>
      <c r="V14" s="20" t="n">
        <f aca="false">V8</f>
        <v>0.025</v>
      </c>
      <c r="W14" s="20" t="n">
        <f aca="false">W8</f>
        <v>0.025</v>
      </c>
      <c r="X14" s="20" t="n">
        <f aca="false">X8</f>
        <v>0.025</v>
      </c>
      <c r="Y14" s="20" t="n">
        <f aca="false">Y8</f>
        <v>0.025</v>
      </c>
      <c r="Z14" s="20" t="n">
        <f aca="false">Z8</f>
        <v>0.025</v>
      </c>
      <c r="AA14" s="20" t="n">
        <f aca="false">AA8</f>
        <v>0.025</v>
      </c>
      <c r="AB14" s="20" t="n">
        <f aca="false">AB8</f>
        <v>0.025</v>
      </c>
      <c r="AD14" s="19" t="s">
        <v>292</v>
      </c>
      <c r="AE14" s="20" t="n">
        <f aca="false">AE8</f>
        <v>0.025</v>
      </c>
      <c r="AF14" s="20" t="n">
        <f aca="false">AF8</f>
        <v>0.025</v>
      </c>
      <c r="AG14" s="20" t="n">
        <f aca="false">AG8</f>
        <v>0.025</v>
      </c>
      <c r="AH14" s="20" t="n">
        <f aca="false">AH8</f>
        <v>0.025</v>
      </c>
      <c r="AI14" s="20" t="n">
        <f aca="false">AI8</f>
        <v>0.025</v>
      </c>
      <c r="AJ14" s="20" t="n">
        <f aca="false">AJ8</f>
        <v>0.025</v>
      </c>
      <c r="AK14" s="20" t="n">
        <f aca="false">AK8</f>
        <v>0.025</v>
      </c>
      <c r="AL14" s="20" t="n">
        <f aca="false">AL8</f>
        <v>0.025</v>
      </c>
      <c r="AM14" s="20" t="n">
        <f aca="false">AM8</f>
        <v>0.025</v>
      </c>
      <c r="AN14" s="20" t="n">
        <f aca="false">AN8</f>
        <v>0.025</v>
      </c>
      <c r="AO14" s="20" t="n">
        <f aca="false">AO8</f>
        <v>0.025</v>
      </c>
      <c r="AP14" s="20" t="n">
        <f aca="false">AP8</f>
        <v>0.025</v>
      </c>
    </row>
    <row r="15" customFormat="false" ht="13.2" hidden="false" customHeight="false" outlineLevel="0" collapsed="false">
      <c r="B15" s="19" t="s">
        <v>293</v>
      </c>
      <c r="C15" s="20" t="n">
        <v>0.01375</v>
      </c>
      <c r="D15" s="20" t="n">
        <f aca="false">C15</f>
        <v>0.01375</v>
      </c>
      <c r="E15" s="20" t="n">
        <f aca="false">D15</f>
        <v>0.01375</v>
      </c>
      <c r="F15" s="20" t="n">
        <f aca="false">E15</f>
        <v>0.01375</v>
      </c>
      <c r="G15" s="20" t="n">
        <f aca="false">F15</f>
        <v>0.01375</v>
      </c>
      <c r="H15" s="20" t="n">
        <f aca="false">G15</f>
        <v>0.01375</v>
      </c>
      <c r="I15" s="20" t="n">
        <f aca="false">H15</f>
        <v>0.01375</v>
      </c>
      <c r="J15" s="20" t="n">
        <f aca="false">I15</f>
        <v>0.01375</v>
      </c>
      <c r="K15" s="20" t="n">
        <f aca="false">J15</f>
        <v>0.01375</v>
      </c>
      <c r="L15" s="20" t="n">
        <f aca="false">K15</f>
        <v>0.01375</v>
      </c>
      <c r="M15" s="20" t="n">
        <f aca="false">L15</f>
        <v>0.01375</v>
      </c>
      <c r="N15" s="20" t="n">
        <f aca="false">M15</f>
        <v>0.01375</v>
      </c>
      <c r="P15" s="19" t="s">
        <v>293</v>
      </c>
      <c r="Q15" s="20" t="n">
        <v>0.01375</v>
      </c>
      <c r="R15" s="20" t="n">
        <f aca="false">Q15</f>
        <v>0.01375</v>
      </c>
      <c r="S15" s="20" t="n">
        <f aca="false">R15</f>
        <v>0.01375</v>
      </c>
      <c r="T15" s="20" t="n">
        <f aca="false">S15</f>
        <v>0.01375</v>
      </c>
      <c r="U15" s="20" t="n">
        <f aca="false">T15</f>
        <v>0.01375</v>
      </c>
      <c r="V15" s="20" t="n">
        <f aca="false">U15</f>
        <v>0.01375</v>
      </c>
      <c r="W15" s="20" t="n">
        <f aca="false">V15</f>
        <v>0.01375</v>
      </c>
      <c r="X15" s="20" t="n">
        <f aca="false">W15</f>
        <v>0.01375</v>
      </c>
      <c r="Y15" s="20" t="n">
        <f aca="false">X15</f>
        <v>0.01375</v>
      </c>
      <c r="Z15" s="20" t="n">
        <f aca="false">Y15</f>
        <v>0.01375</v>
      </c>
      <c r="AA15" s="20" t="n">
        <f aca="false">Z15</f>
        <v>0.01375</v>
      </c>
      <c r="AB15" s="20" t="n">
        <f aca="false">AA15</f>
        <v>0.01375</v>
      </c>
      <c r="AD15" s="19" t="s">
        <v>293</v>
      </c>
      <c r="AE15" s="20" t="n">
        <v>0.01375</v>
      </c>
      <c r="AF15" s="20" t="n">
        <f aca="false">AE15</f>
        <v>0.01375</v>
      </c>
      <c r="AG15" s="20" t="n">
        <f aca="false">AF15</f>
        <v>0.01375</v>
      </c>
      <c r="AH15" s="20" t="n">
        <f aca="false">AG15</f>
        <v>0.01375</v>
      </c>
      <c r="AI15" s="20" t="n">
        <f aca="false">AH15</f>
        <v>0.01375</v>
      </c>
      <c r="AJ15" s="20" t="n">
        <f aca="false">AI15</f>
        <v>0.01375</v>
      </c>
      <c r="AK15" s="20" t="n">
        <f aca="false">AJ15</f>
        <v>0.01375</v>
      </c>
      <c r="AL15" s="20" t="n">
        <f aca="false">AK15</f>
        <v>0.01375</v>
      </c>
      <c r="AM15" s="20" t="n">
        <f aca="false">AL15</f>
        <v>0.01375</v>
      </c>
      <c r="AN15" s="20" t="n">
        <f aca="false">AM15</f>
        <v>0.01375</v>
      </c>
      <c r="AO15" s="20" t="n">
        <f aca="false">AN15</f>
        <v>0.01375</v>
      </c>
      <c r="AP15" s="20" t="n">
        <f aca="false">AO15</f>
        <v>0.01375</v>
      </c>
    </row>
    <row r="16" customFormat="false" ht="13.2" hidden="false" customHeight="false" outlineLevel="0" collapsed="false">
      <c r="B16" s="19" t="s">
        <v>294</v>
      </c>
      <c r="C16" s="200" t="n">
        <f aca="false">SUM(C14:C15)</f>
        <v>0.03875</v>
      </c>
      <c r="D16" s="200" t="n">
        <f aca="false">SUM(D14:D15)</f>
        <v>0.03875</v>
      </c>
      <c r="E16" s="200" t="n">
        <f aca="false">SUM(E14:E15)</f>
        <v>0.03875</v>
      </c>
      <c r="F16" s="200" t="n">
        <f aca="false">SUM(F14:F15)</f>
        <v>0.03875</v>
      </c>
      <c r="G16" s="200" t="n">
        <f aca="false">SUM(G14:G15)</f>
        <v>0.03875</v>
      </c>
      <c r="H16" s="200" t="n">
        <f aca="false">SUM(H14:H15)</f>
        <v>0.03875</v>
      </c>
      <c r="I16" s="200" t="n">
        <f aca="false">SUM(I14:I15)</f>
        <v>0.03875</v>
      </c>
      <c r="J16" s="200" t="n">
        <f aca="false">SUM(J14:J15)</f>
        <v>0.03875</v>
      </c>
      <c r="K16" s="200" t="n">
        <f aca="false">SUM(K14:K15)</f>
        <v>0.03875</v>
      </c>
      <c r="L16" s="200" t="n">
        <f aca="false">SUM(L14:L15)</f>
        <v>0.03875</v>
      </c>
      <c r="M16" s="200" t="n">
        <f aca="false">SUM(M14:M15)</f>
        <v>0.03875</v>
      </c>
      <c r="N16" s="200" t="n">
        <f aca="false">SUM(N14:N15)</f>
        <v>0.03875</v>
      </c>
      <c r="P16" s="19" t="s">
        <v>294</v>
      </c>
      <c r="Q16" s="200" t="n">
        <f aca="false">SUM(Q14:Q15)</f>
        <v>0.03875</v>
      </c>
      <c r="R16" s="200" t="n">
        <f aca="false">SUM(R14:R15)</f>
        <v>0.03875</v>
      </c>
      <c r="S16" s="200" t="n">
        <f aca="false">SUM(S14:S15)</f>
        <v>0.03875</v>
      </c>
      <c r="T16" s="200" t="n">
        <f aca="false">SUM(T14:T15)</f>
        <v>0.03875</v>
      </c>
      <c r="U16" s="200" t="n">
        <f aca="false">SUM(U14:U15)</f>
        <v>0.03875</v>
      </c>
      <c r="V16" s="200" t="n">
        <f aca="false">SUM(V14:V15)</f>
        <v>0.03875</v>
      </c>
      <c r="W16" s="200" t="n">
        <f aca="false">SUM(W14:W15)</f>
        <v>0.03875</v>
      </c>
      <c r="X16" s="200" t="n">
        <f aca="false">SUM(X14:X15)</f>
        <v>0.03875</v>
      </c>
      <c r="Y16" s="200" t="n">
        <f aca="false">SUM(Y14:Y15)</f>
        <v>0.03875</v>
      </c>
      <c r="Z16" s="200" t="n">
        <f aca="false">SUM(Z14:Z15)</f>
        <v>0.03875</v>
      </c>
      <c r="AA16" s="200" t="n">
        <f aca="false">SUM(AA14:AA15)</f>
        <v>0.03875</v>
      </c>
      <c r="AB16" s="200" t="n">
        <f aca="false">SUM(AB14:AB15)</f>
        <v>0.03875</v>
      </c>
      <c r="AD16" s="19" t="s">
        <v>294</v>
      </c>
      <c r="AE16" s="200" t="n">
        <f aca="false">SUM(AE14:AE15)</f>
        <v>0.03875</v>
      </c>
      <c r="AF16" s="200" t="n">
        <f aca="false">SUM(AF14:AF15)</f>
        <v>0.03875</v>
      </c>
      <c r="AG16" s="200" t="n">
        <f aca="false">SUM(AG14:AG15)</f>
        <v>0.03875</v>
      </c>
      <c r="AH16" s="200" t="n">
        <f aca="false">SUM(AH14:AH15)</f>
        <v>0.03875</v>
      </c>
      <c r="AI16" s="200" t="n">
        <f aca="false">SUM(AI14:AI15)</f>
        <v>0.03875</v>
      </c>
      <c r="AJ16" s="200" t="n">
        <f aca="false">SUM(AJ14:AJ15)</f>
        <v>0.03875</v>
      </c>
      <c r="AK16" s="200" t="n">
        <f aca="false">SUM(AK14:AK15)</f>
        <v>0.03875</v>
      </c>
      <c r="AL16" s="200" t="n">
        <f aca="false">SUM(AL14:AL15)</f>
        <v>0.03875</v>
      </c>
      <c r="AM16" s="200" t="n">
        <f aca="false">SUM(AM14:AM15)</f>
        <v>0.03875</v>
      </c>
      <c r="AN16" s="200" t="n">
        <f aca="false">SUM(AN14:AN15)</f>
        <v>0.03875</v>
      </c>
      <c r="AO16" s="200" t="n">
        <f aca="false">SUM(AO14:AO15)</f>
        <v>0.03875</v>
      </c>
      <c r="AP16" s="200" t="n">
        <f aca="false">SUM(AP14:AP15)</f>
        <v>0.03875</v>
      </c>
    </row>
    <row r="19" customFormat="false" ht="13.2" hidden="false" customHeight="false" outlineLevel="0" collapsed="false">
      <c r="B19" s="21" t="s">
        <v>296</v>
      </c>
      <c r="P19" s="21" t="s">
        <v>297</v>
      </c>
      <c r="AD19" s="21" t="s">
        <v>297</v>
      </c>
    </row>
    <row r="20" customFormat="false" ht="13.2" hidden="false" customHeight="false" outlineLevel="0" collapsed="false">
      <c r="C20" s="37" t="s">
        <v>41</v>
      </c>
      <c r="D20" s="37" t="s">
        <v>42</v>
      </c>
      <c r="E20" s="37" t="s">
        <v>43</v>
      </c>
      <c r="F20" s="37" t="s">
        <v>44</v>
      </c>
      <c r="G20" s="37" t="s">
        <v>45</v>
      </c>
      <c r="H20" s="37" t="s">
        <v>46</v>
      </c>
      <c r="I20" s="37" t="s">
        <v>47</v>
      </c>
      <c r="J20" s="37" t="s">
        <v>48</v>
      </c>
      <c r="K20" s="37" t="s">
        <v>49</v>
      </c>
      <c r="L20" s="37" t="s">
        <v>50</v>
      </c>
      <c r="M20" s="37" t="s">
        <v>51</v>
      </c>
      <c r="N20" s="37" t="s">
        <v>52</v>
      </c>
      <c r="Q20" s="37" t="s">
        <v>41</v>
      </c>
      <c r="R20" s="37" t="s">
        <v>42</v>
      </c>
      <c r="S20" s="37" t="s">
        <v>43</v>
      </c>
      <c r="T20" s="37" t="s">
        <v>44</v>
      </c>
      <c r="U20" s="37" t="s">
        <v>45</v>
      </c>
      <c r="V20" s="37" t="s">
        <v>46</v>
      </c>
      <c r="W20" s="37" t="s">
        <v>47</v>
      </c>
      <c r="X20" s="37" t="s">
        <v>48</v>
      </c>
      <c r="Y20" s="37" t="s">
        <v>49</v>
      </c>
      <c r="Z20" s="37" t="s">
        <v>50</v>
      </c>
      <c r="AA20" s="37" t="s">
        <v>51</v>
      </c>
      <c r="AB20" s="37" t="s">
        <v>52</v>
      </c>
      <c r="AE20" s="37" t="s">
        <v>41</v>
      </c>
      <c r="AF20" s="37" t="s">
        <v>42</v>
      </c>
      <c r="AG20" s="37" t="s">
        <v>43</v>
      </c>
      <c r="AH20" s="37" t="s">
        <v>44</v>
      </c>
      <c r="AI20" s="37" t="s">
        <v>45</v>
      </c>
      <c r="AJ20" s="37" t="s">
        <v>46</v>
      </c>
      <c r="AK20" s="37" t="s">
        <v>47</v>
      </c>
      <c r="AL20" s="37" t="s">
        <v>48</v>
      </c>
      <c r="AM20" s="37" t="s">
        <v>49</v>
      </c>
      <c r="AN20" s="37" t="s">
        <v>50</v>
      </c>
      <c r="AO20" s="37" t="s">
        <v>51</v>
      </c>
      <c r="AP20" s="37" t="s">
        <v>52</v>
      </c>
    </row>
    <row r="21" customFormat="false" ht="13.2" hidden="false" customHeight="false" outlineLevel="0" collapsed="false">
      <c r="A21" s="166" t="s">
        <v>298</v>
      </c>
      <c r="B21" s="19" t="s">
        <v>299</v>
      </c>
      <c r="C21" s="138" t="n">
        <f aca="false">loans!B13*C10*loans!B7/360</f>
        <v>353723.581875</v>
      </c>
      <c r="D21" s="138" t="n">
        <f aca="false">loans!C13*D10*loans!C7/360</f>
        <v>319492.2675</v>
      </c>
      <c r="E21" s="138" t="n">
        <f aca="false">loans!D13*E10*loans!D7/360</f>
        <v>353723.581875</v>
      </c>
      <c r="F21" s="138" t="n">
        <f aca="false">loans!E13*F10*loans!E7/360</f>
        <v>342313.14375</v>
      </c>
      <c r="G21" s="138" t="n">
        <f aca="false">loans!F13*G10*loans!F7/360</f>
        <v>353723.581875</v>
      </c>
      <c r="H21" s="138" t="n">
        <f aca="false">loans!G13*H10*loans!G7/360</f>
        <v>334922.025</v>
      </c>
      <c r="I21" s="138" t="n">
        <f aca="false">loans!H13*I10*loans!H7/360</f>
        <v>346086.0925</v>
      </c>
      <c r="J21" s="138" t="n">
        <f aca="false">loans!I13*J10*loans!I7/360</f>
        <v>346086.0925</v>
      </c>
      <c r="K21" s="138" t="n">
        <f aca="false">loans!J13*K10*loans!J7/360</f>
        <v>334922.025</v>
      </c>
      <c r="L21" s="138" t="n">
        <f aca="false">loans!K13*L10*loans!K7/360</f>
        <v>346086.0925</v>
      </c>
      <c r="M21" s="138" t="n">
        <f aca="false">loans!L13*M10*loans!L7/360</f>
        <v>334922.025</v>
      </c>
      <c r="N21" s="138" t="n">
        <f aca="false">loans!M13*N10*loans!M7/360</f>
        <v>338141.586875</v>
      </c>
      <c r="P21" s="19" t="s">
        <v>299</v>
      </c>
      <c r="Q21" s="138" t="n">
        <f aca="false">loans!P13*Q10*loans!P7/360</f>
        <v>338141.586875</v>
      </c>
      <c r="R21" s="138" t="n">
        <f aca="false">loans!Q13*R10*loans!Q7/360</f>
        <v>305418.2075</v>
      </c>
      <c r="S21" s="138" t="n">
        <f aca="false">loans!R13*S10*loans!R7/360</f>
        <v>338141.586875</v>
      </c>
      <c r="T21" s="138" t="n">
        <f aca="false">loans!S13*T10*loans!S7/360</f>
        <v>327233.79375</v>
      </c>
      <c r="U21" s="138" t="n">
        <f aca="false">loans!T13*U10*loans!T7/360</f>
        <v>338141.586875</v>
      </c>
      <c r="V21" s="138" t="n">
        <f aca="false">loans!U13*V10*loans!U7/360</f>
        <v>319236.3375</v>
      </c>
      <c r="W21" s="138" t="n">
        <f aca="false">loans!V13*W10*loans!V7/360</f>
        <v>329877.54875</v>
      </c>
      <c r="X21" s="138" t="n">
        <f aca="false">loans!W13*X10*loans!W7/360</f>
        <v>329877.54875</v>
      </c>
      <c r="Y21" s="138" t="n">
        <f aca="false">loans!X13*Y10*loans!X7/360</f>
        <v>319236.3375</v>
      </c>
      <c r="Z21" s="138" t="n">
        <f aca="false">loans!Y13*Z10*loans!Y7/360</f>
        <v>329877.54875</v>
      </c>
      <c r="AA21" s="138" t="n">
        <f aca="false">loans!Z13*AA10*loans!Z7/360</f>
        <v>319236.3375</v>
      </c>
      <c r="AB21" s="138" t="n">
        <f aca="false">loans!AA13*AB10*loans!AA7/360</f>
        <v>321281.461875</v>
      </c>
      <c r="AC21" s="138"/>
      <c r="AD21" s="19" t="s">
        <v>299</v>
      </c>
      <c r="AE21" s="138" t="n">
        <f aca="false">loans!AD13*AE10*loans!AD7/360</f>
        <v>321281.461875</v>
      </c>
      <c r="AF21" s="138" t="n">
        <f aca="false">loans!AE13*AF10*loans!AE7/360</f>
        <v>290189.7075</v>
      </c>
      <c r="AG21" s="138" t="n">
        <f aca="false">loans!AF13*AG10*loans!AF7/360</f>
        <v>321281.461875</v>
      </c>
      <c r="AH21" s="138" t="n">
        <f aca="false">loans!AG13*AH10*loans!AG7/360</f>
        <v>310917.54375</v>
      </c>
      <c r="AI21" s="138" t="n">
        <f aca="false">loans!AH13*AI10*loans!AH7/360</f>
        <v>321281.461875</v>
      </c>
      <c r="AJ21" s="138" t="n">
        <f aca="false">loans!AI13*AJ10*loans!AI7/360</f>
        <v>302264.5875</v>
      </c>
      <c r="AK21" s="138" t="n">
        <f aca="false">loans!AJ13*AK10*loans!AJ7/360</f>
        <v>312340.07375</v>
      </c>
      <c r="AL21" s="138" t="n">
        <f aca="false">loans!AK13*AL10*loans!AK7/360</f>
        <v>312340.07375</v>
      </c>
      <c r="AM21" s="138" t="n">
        <f aca="false">loans!AL13*AM10*loans!AL7/360</f>
        <v>302264.5875</v>
      </c>
      <c r="AN21" s="138" t="n">
        <f aca="false">loans!AM13*AN10*loans!AM7/360</f>
        <v>312340.07375</v>
      </c>
      <c r="AO21" s="138" t="n">
        <f aca="false">loans!AN13*AO10*loans!AN7/360</f>
        <v>302264.5875</v>
      </c>
      <c r="AP21" s="138" t="n">
        <f aca="false">loans!AO13*AP10*loans!AO7/360</f>
        <v>303039.0275</v>
      </c>
    </row>
    <row r="22" customFormat="false" ht="13.2" hidden="false" customHeight="false" outlineLevel="0" collapsed="false">
      <c r="A22" s="166" t="s">
        <v>298</v>
      </c>
      <c r="B22" s="19" t="s">
        <v>300</v>
      </c>
      <c r="C22" s="138" t="n">
        <f aca="false">loans!B20*C16*loans!B7/360</f>
        <v>14428.1970659722</v>
      </c>
      <c r="D22" s="138" t="n">
        <f aca="false">loans!C20*D16*loans!C7/360</f>
        <v>13031.9199305556</v>
      </c>
      <c r="E22" s="138" t="n">
        <f aca="false">loans!D20*E16*loans!D7/360</f>
        <v>14428.1970659722</v>
      </c>
      <c r="F22" s="138" t="n">
        <f aca="false">loans!E20*F16*loans!E7/360</f>
        <v>13962.7713541667</v>
      </c>
      <c r="G22" s="138" t="n">
        <f aca="false">loans!F20*G16*loans!F7/360</f>
        <v>14428.1970659722</v>
      </c>
      <c r="H22" s="138" t="n">
        <f aca="false">loans!G20*H16*loans!G7/360</f>
        <v>13661.2915104167</v>
      </c>
      <c r="I22" s="138" t="n">
        <f aca="false">loans!H20*I16*loans!H7/360</f>
        <v>14116.6678940972</v>
      </c>
      <c r="J22" s="138" t="n">
        <f aca="false">loans!I20*J16*loans!I7/360</f>
        <v>14116.6678940972</v>
      </c>
      <c r="K22" s="138" t="n">
        <f aca="false">loans!J20*K16*loans!J7/360</f>
        <v>13661.2915104167</v>
      </c>
      <c r="L22" s="138" t="n">
        <f aca="false">loans!K20*L16*loans!K7/360</f>
        <v>14116.6678940972</v>
      </c>
      <c r="M22" s="138" t="n">
        <f aca="false">loans!L20*M16*loans!L7/360</f>
        <v>13661.2915104167</v>
      </c>
      <c r="N22" s="138" t="n">
        <f aca="false">loans!M20*N16*loans!M7/360</f>
        <v>13792.6156909722</v>
      </c>
      <c r="P22" s="19" t="s">
        <v>300</v>
      </c>
      <c r="Q22" s="138" t="n">
        <f aca="false">loans!P20*Q16*loans!P7/360</f>
        <v>13792.6156909722</v>
      </c>
      <c r="R22" s="138" t="n">
        <f aca="false">loans!Q20*R16*loans!Q7/360</f>
        <v>12457.8464305556</v>
      </c>
      <c r="S22" s="138" t="n">
        <f aca="false">loans!R20*S16*loans!R7/360</f>
        <v>13792.6156909722</v>
      </c>
      <c r="T22" s="138" t="n">
        <f aca="false">loans!S20*T16*loans!S7/360</f>
        <v>13347.6926041667</v>
      </c>
      <c r="U22" s="138" t="n">
        <f aca="false">loans!T20*U16*loans!T7/360</f>
        <v>13792.6156909722</v>
      </c>
      <c r="V22" s="138" t="n">
        <f aca="false">loans!U20*V16*loans!U7/360</f>
        <v>13021.4805729167</v>
      </c>
      <c r="W22" s="138" t="n">
        <f aca="false">loans!V20*W16*loans!V7/360</f>
        <v>13455.5299253472</v>
      </c>
      <c r="X22" s="138" t="n">
        <f aca="false">loans!W20*X16*loans!W7/360</f>
        <v>13455.5299253472</v>
      </c>
      <c r="Y22" s="138" t="n">
        <f aca="false">loans!X20*Y16*loans!X7/360</f>
        <v>13021.4805729167</v>
      </c>
      <c r="Z22" s="138" t="n">
        <f aca="false">loans!Y20*Z16*loans!Y7/360</f>
        <v>13455.5299253472</v>
      </c>
      <c r="AA22" s="138" t="n">
        <f aca="false">loans!Z20*AA16*loans!Z7/360</f>
        <v>13021.4805729167</v>
      </c>
      <c r="AB22" s="138" t="n">
        <f aca="false">loans!AA20*AB16*loans!AA7/360</f>
        <v>13101.8969409722</v>
      </c>
      <c r="AD22" s="19" t="s">
        <v>300</v>
      </c>
      <c r="AE22" s="138" t="n">
        <f aca="false">loans!AD20*AE16*loans!AD7/360</f>
        <v>13101.8969409722</v>
      </c>
      <c r="AF22" s="138" t="n">
        <f aca="false">loans!AE20*AF16*loans!AE7/360</f>
        <v>11833.9714305556</v>
      </c>
      <c r="AG22" s="138" t="n">
        <f aca="false">loans!AF20*AG16*loans!AF7/360</f>
        <v>13101.8969409722</v>
      </c>
      <c r="AH22" s="138" t="n">
        <f aca="false">loans!AG20*AH16*loans!AG7/360</f>
        <v>12679.2551041667</v>
      </c>
      <c r="AI22" s="138" t="n">
        <f aca="false">loans!AH20*AI16*loans!AH7/360</f>
        <v>13101.8969409722</v>
      </c>
      <c r="AJ22" s="138" t="n">
        <f aca="false">loans!AI20*AJ16*loans!AI7/360</f>
        <v>12326.3055729167</v>
      </c>
      <c r="AK22" s="138" t="n">
        <f aca="false">loans!AJ20*AK16*loans!AJ7/360</f>
        <v>12737.1824253472</v>
      </c>
      <c r="AL22" s="138" t="n">
        <f aca="false">loans!AK20*AL16*loans!AK7/360</f>
        <v>12737.1824253472</v>
      </c>
      <c r="AM22" s="138" t="n">
        <f aca="false">loans!AL20*AM16*loans!AL7/360</f>
        <v>12326.3055729167</v>
      </c>
      <c r="AN22" s="138" t="n">
        <f aca="false">loans!AM20*AN16*loans!AM7/360</f>
        <v>12737.1824253472</v>
      </c>
      <c r="AO22" s="138" t="n">
        <f aca="false">loans!AN20*AO16*loans!AN7/360</f>
        <v>12326.3055729167</v>
      </c>
      <c r="AP22" s="138" t="n">
        <f aca="false">loans!AO20*AP16*loans!AO7/360</f>
        <v>12357.7976440972</v>
      </c>
    </row>
    <row r="23" customFormat="false" ht="13.2" hidden="false" customHeight="false" outlineLevel="0" collapsed="false">
      <c r="A23" s="166" t="s">
        <v>301</v>
      </c>
      <c r="B23" s="19" t="s">
        <v>302</v>
      </c>
      <c r="C23" s="138" t="n">
        <f aca="false">loans!B24*C10*loans!B7/360</f>
        <v>17598.680625</v>
      </c>
      <c r="D23" s="138" t="n">
        <f aca="false">loans!C24*D10*loans!C7/360</f>
        <v>15895.5825</v>
      </c>
      <c r="E23" s="138" t="n">
        <f aca="false">loans!D24*E10*loans!D7/360</f>
        <v>17598.680625</v>
      </c>
      <c r="F23" s="138" t="n">
        <f aca="false">loans!E24*F10*loans!E7/360</f>
        <v>17030.98125</v>
      </c>
      <c r="G23" s="138" t="n">
        <f aca="false">loans!F24*G10*loans!F7/360</f>
        <v>17598.680625</v>
      </c>
      <c r="H23" s="138" t="n">
        <f aca="false">loans!G24*H10*loans!G7/360</f>
        <v>17030.98125</v>
      </c>
      <c r="I23" s="138" t="n">
        <f aca="false">loans!H24*I10*loans!H7/360</f>
        <v>17598.680625</v>
      </c>
      <c r="J23" s="138" t="n">
        <f aca="false">loans!I24*J10*loans!I7/360</f>
        <v>17598.680625</v>
      </c>
      <c r="K23" s="138" t="n">
        <f aca="false">loans!J24*K10*loans!J7/360</f>
        <v>17030.98125</v>
      </c>
      <c r="L23" s="138" t="n">
        <f aca="false">loans!K24*L10*loans!K7/360</f>
        <v>17598.680625</v>
      </c>
      <c r="M23" s="138" t="n">
        <f aca="false">loans!L24*M10*loans!L7/360</f>
        <v>17030.98125</v>
      </c>
      <c r="N23" s="138" t="n">
        <f aca="false">loans!M24*N10*loans!M7/360</f>
        <v>17598.680625</v>
      </c>
      <c r="O23" s="138" t="n">
        <f aca="false">SUM(L23:N23)</f>
        <v>52228.3425</v>
      </c>
      <c r="P23" s="19" t="s">
        <v>302</v>
      </c>
      <c r="Q23" s="138" t="n">
        <f aca="false">loans!P24*Q10*loans!P7/360</f>
        <v>17598.680625</v>
      </c>
      <c r="R23" s="138" t="n">
        <f aca="false">loans!Q24*R10*loans!Q7/360</f>
        <v>15895.5825</v>
      </c>
      <c r="S23" s="138" t="n">
        <f aca="false">loans!R24*S10*loans!R7/360</f>
        <v>17598.680625</v>
      </c>
      <c r="T23" s="138" t="n">
        <f aca="false">loans!S24*T10*loans!S7/360</f>
        <v>17030.98125</v>
      </c>
      <c r="U23" s="138" t="n">
        <f aca="false">loans!T24*U10*loans!T7/360</f>
        <v>17598.680625</v>
      </c>
      <c r="V23" s="138" t="n">
        <f aca="false">loans!U24*V10*loans!U7/360</f>
        <v>17030.98125</v>
      </c>
      <c r="W23" s="138" t="n">
        <f aca="false">loans!V24*W10*loans!V7/360</f>
        <v>17598.680625</v>
      </c>
      <c r="X23" s="138" t="n">
        <f aca="false">loans!W24*X10*loans!W7/360</f>
        <v>17598.680625</v>
      </c>
      <c r="Y23" s="138" t="n">
        <f aca="false">loans!X24*Y10*loans!X7/360</f>
        <v>17030.98125</v>
      </c>
      <c r="Z23" s="138" t="n">
        <f aca="false">loans!Y24*Z10*loans!Y7/360</f>
        <v>17598.680625</v>
      </c>
      <c r="AA23" s="138" t="n">
        <f aca="false">loans!Z24*AA10*loans!Z7/360</f>
        <v>17030.98125</v>
      </c>
      <c r="AB23" s="138" t="n">
        <f aca="false">loans!AA24*AB10*loans!AA7/360</f>
        <v>17598.680625</v>
      </c>
      <c r="AC23" s="138" t="n">
        <f aca="false">SUM(Z23:AB23)</f>
        <v>52228.3425</v>
      </c>
      <c r="AD23" s="19" t="s">
        <v>302</v>
      </c>
      <c r="AE23" s="138" t="n">
        <f aca="false">loans!AD24*AE10*loans!AD7/360</f>
        <v>17598.680625</v>
      </c>
      <c r="AF23" s="138" t="n">
        <f aca="false">loans!AE24*AF10*loans!AE7/360</f>
        <v>15895.5825</v>
      </c>
      <c r="AG23" s="138" t="n">
        <f aca="false">loans!AF24*AG10*loans!AF7/360</f>
        <v>17598.680625</v>
      </c>
      <c r="AH23" s="138" t="n">
        <f aca="false">loans!AG24*AH10*loans!AG7/360</f>
        <v>17030.98125</v>
      </c>
      <c r="AI23" s="138" t="n">
        <f aca="false">loans!AH24*AI10*loans!AH7/360</f>
        <v>17598.680625</v>
      </c>
      <c r="AJ23" s="138" t="n">
        <f aca="false">loans!AI24*AJ10*loans!AI7/360</f>
        <v>17030.98125</v>
      </c>
      <c r="AK23" s="138" t="n">
        <f aca="false">loans!AJ24*AK10*loans!AJ7/360</f>
        <v>17598.680625</v>
      </c>
      <c r="AL23" s="138" t="n">
        <f aca="false">loans!AK24*AL10*loans!AK7/360</f>
        <v>17598.680625</v>
      </c>
      <c r="AM23" s="138" t="n">
        <f aca="false">loans!AL24*AM10*loans!AL7/360</f>
        <v>17030.98125</v>
      </c>
      <c r="AN23" s="138" t="n">
        <f aca="false">loans!AM24*AN10*loans!AM7/360</f>
        <v>17598.680625</v>
      </c>
      <c r="AO23" s="138" t="n">
        <f aca="false">loans!AN24*AO10*loans!AN7/360</f>
        <v>17030.98125</v>
      </c>
      <c r="AP23" s="138" t="n">
        <f aca="false">loans!AO24*AP10*loans!AO7/360</f>
        <v>17598.680625</v>
      </c>
      <c r="AQ23" s="138" t="n">
        <f aca="false">SUM(AN23:AP23)</f>
        <v>52228.3425</v>
      </c>
    </row>
    <row r="24" customFormat="false" ht="13.2" hidden="false" customHeight="false" outlineLevel="0" collapsed="false">
      <c r="A24" s="166" t="s">
        <v>303</v>
      </c>
      <c r="B24" s="19" t="s">
        <v>304</v>
      </c>
      <c r="C24" s="138"/>
      <c r="D24" s="138"/>
      <c r="E24" s="138"/>
      <c r="F24" s="138" t="n">
        <v>25000</v>
      </c>
      <c r="G24" s="138"/>
      <c r="H24" s="138"/>
      <c r="I24" s="138"/>
      <c r="J24" s="138"/>
      <c r="K24" s="138"/>
      <c r="L24" s="138"/>
      <c r="M24" s="138"/>
      <c r="N24" s="138"/>
      <c r="O24" s="138"/>
      <c r="P24" s="19" t="s">
        <v>304</v>
      </c>
      <c r="Q24" s="138"/>
      <c r="R24" s="138"/>
      <c r="S24" s="138"/>
      <c r="T24" s="138" t="n">
        <v>25000</v>
      </c>
      <c r="U24" s="138"/>
      <c r="V24" s="138"/>
      <c r="W24" s="138"/>
      <c r="X24" s="138"/>
      <c r="Y24" s="138"/>
      <c r="Z24" s="138"/>
      <c r="AA24" s="138"/>
      <c r="AB24" s="138"/>
      <c r="AC24" s="138"/>
      <c r="AD24" s="19" t="s">
        <v>304</v>
      </c>
      <c r="AE24" s="138"/>
      <c r="AF24" s="138"/>
      <c r="AG24" s="138"/>
      <c r="AH24" s="138" t="n">
        <v>25000</v>
      </c>
      <c r="AI24" s="138"/>
      <c r="AJ24" s="138"/>
      <c r="AK24" s="138"/>
      <c r="AL24" s="138"/>
      <c r="AM24" s="138"/>
      <c r="AN24" s="138"/>
      <c r="AO24" s="138"/>
      <c r="AP24" s="138"/>
      <c r="AQ24" s="138"/>
    </row>
    <row r="25" customFormat="false" ht="13.8" hidden="false" customHeight="false" outlineLevel="0" collapsed="false">
      <c r="B25" s="21" t="s">
        <v>66</v>
      </c>
      <c r="C25" s="39" t="n">
        <f aca="false">SUM(C21:C24)</f>
        <v>385750.459565972</v>
      </c>
      <c r="D25" s="39" t="n">
        <f aca="false">SUM(D21:D24)</f>
        <v>348419.769930556</v>
      </c>
      <c r="E25" s="39" t="n">
        <f aca="false">SUM(E21:E24)</f>
        <v>385750.459565972</v>
      </c>
      <c r="F25" s="39" t="n">
        <f aca="false">SUM(F21:F24)</f>
        <v>398306.896354167</v>
      </c>
      <c r="G25" s="39" t="n">
        <f aca="false">SUM(G21:G24)</f>
        <v>385750.459565972</v>
      </c>
      <c r="H25" s="39" t="n">
        <f aca="false">SUM(H21:H24)</f>
        <v>365614.297760417</v>
      </c>
      <c r="I25" s="39" t="n">
        <f aca="false">SUM(I21:I24)</f>
        <v>377801.441019097</v>
      </c>
      <c r="J25" s="39" t="n">
        <f aca="false">SUM(J21:J24)</f>
        <v>377801.441019097</v>
      </c>
      <c r="K25" s="39" t="n">
        <f aca="false">SUM(K21:K24)</f>
        <v>365614.297760417</v>
      </c>
      <c r="L25" s="39" t="n">
        <f aca="false">SUM(L21:L24)</f>
        <v>377801.441019097</v>
      </c>
      <c r="M25" s="39" t="n">
        <f aca="false">SUM(M21:M24)</f>
        <v>365614.297760417</v>
      </c>
      <c r="N25" s="39" t="n">
        <f aca="false">SUM(N21:N24)</f>
        <v>369532.883190972</v>
      </c>
      <c r="Q25" s="202" t="n">
        <f aca="false">SUM(Q21:Q24)</f>
        <v>369532.883190972</v>
      </c>
      <c r="R25" s="202" t="n">
        <f aca="false">SUM(R21:R24)</f>
        <v>333771.636430556</v>
      </c>
      <c r="S25" s="202" t="n">
        <f aca="false">SUM(S21:S24)</f>
        <v>369532.883190972</v>
      </c>
      <c r="T25" s="202" t="n">
        <f aca="false">SUM(T21:T24)</f>
        <v>382612.467604167</v>
      </c>
      <c r="U25" s="202" t="n">
        <f aca="false">SUM(U21:U24)</f>
        <v>369532.883190972</v>
      </c>
      <c r="V25" s="202" t="n">
        <f aca="false">SUM(V21:V24)</f>
        <v>349288.799322917</v>
      </c>
      <c r="W25" s="202" t="n">
        <f aca="false">SUM(W21:W24)</f>
        <v>360931.759300347</v>
      </c>
      <c r="X25" s="202" t="n">
        <f aca="false">SUM(X21:X24)</f>
        <v>360931.759300347</v>
      </c>
      <c r="Y25" s="202" t="n">
        <f aca="false">SUM(Y21:Y24)</f>
        <v>349288.799322917</v>
      </c>
      <c r="Z25" s="202" t="n">
        <f aca="false">SUM(Z21:Z24)</f>
        <v>360931.759300347</v>
      </c>
      <c r="AA25" s="202" t="n">
        <f aca="false">SUM(AA21:AA24)</f>
        <v>349288.799322917</v>
      </c>
      <c r="AB25" s="202" t="n">
        <f aca="false">SUM(AB21:AB24)</f>
        <v>351982.039440972</v>
      </c>
      <c r="AE25" s="202" t="n">
        <f aca="false">SUM(AE21:AE24)</f>
        <v>351982.039440972</v>
      </c>
      <c r="AF25" s="202" t="n">
        <f aca="false">SUM(AF21:AF24)</f>
        <v>317919.261430556</v>
      </c>
      <c r="AG25" s="202" t="n">
        <f aca="false">SUM(AG21:AG24)</f>
        <v>351982.039440972</v>
      </c>
      <c r="AH25" s="202" t="n">
        <f aca="false">SUM(AH21:AH24)</f>
        <v>365627.780104167</v>
      </c>
      <c r="AI25" s="202" t="n">
        <f aca="false">SUM(AI21:AI24)</f>
        <v>351982.039440972</v>
      </c>
      <c r="AJ25" s="202" t="n">
        <f aca="false">SUM(AJ21:AJ24)</f>
        <v>331621.874322917</v>
      </c>
      <c r="AK25" s="202" t="n">
        <f aca="false">SUM(AK21:AK24)</f>
        <v>342675.936800347</v>
      </c>
      <c r="AL25" s="202" t="n">
        <f aca="false">SUM(AL21:AL24)</f>
        <v>342675.936800347</v>
      </c>
      <c r="AM25" s="202" t="n">
        <f aca="false">SUM(AM21:AM24)</f>
        <v>331621.874322917</v>
      </c>
      <c r="AN25" s="202" t="n">
        <f aca="false">SUM(AN21:AN24)</f>
        <v>342675.936800347</v>
      </c>
      <c r="AO25" s="202" t="n">
        <f aca="false">SUM(AO21:AO24)</f>
        <v>331621.874322917</v>
      </c>
      <c r="AP25" s="202" t="n">
        <f aca="false">SUM(AP21:AP24)</f>
        <v>332995.505769097</v>
      </c>
    </row>
    <row r="26" customFormat="false" ht="13.8" hidden="false" customHeight="false" outlineLevel="0" collapsed="false"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</row>
    <row r="27" customFormat="false" ht="13.2" hidden="false" customHeight="false" outlineLevel="0" collapsed="false"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</row>
    <row r="28" customFormat="false" ht="13.2" hidden="true" customHeight="false" outlineLevel="0" collapsed="false">
      <c r="B28" s="21" t="s">
        <v>305</v>
      </c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P28" s="21" t="s">
        <v>305</v>
      </c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D28" s="21" t="s">
        <v>305</v>
      </c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</row>
    <row r="29" customFormat="false" ht="13.2" hidden="true" customHeight="false" outlineLevel="0" collapsed="false">
      <c r="B29" s="37" t="s">
        <v>306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P29" s="37" t="s">
        <v>306</v>
      </c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D29" s="37" t="s">
        <v>306</v>
      </c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</row>
    <row r="30" customFormat="false" ht="13.2" hidden="true" customHeight="false" outlineLevel="0" collapsed="false">
      <c r="B30" s="19" t="s">
        <v>299</v>
      </c>
      <c r="C30" s="193" t="n">
        <f aca="false">C21</f>
        <v>353723.581875</v>
      </c>
      <c r="D30" s="193" t="n">
        <f aca="false">C21</f>
        <v>353723.581875</v>
      </c>
      <c r="E30" s="193" t="n">
        <f aca="false">D21</f>
        <v>319492.2675</v>
      </c>
      <c r="F30" s="193" t="n">
        <f aca="false">E21</f>
        <v>353723.581875</v>
      </c>
      <c r="G30" s="193" t="n">
        <f aca="false">F21</f>
        <v>342313.14375</v>
      </c>
      <c r="H30" s="193" t="n">
        <f aca="false">G21</f>
        <v>353723.581875</v>
      </c>
      <c r="I30" s="193" t="n">
        <f aca="false">H21</f>
        <v>334922.025</v>
      </c>
      <c r="J30" s="193" t="n">
        <f aca="false">I21</f>
        <v>346086.0925</v>
      </c>
      <c r="K30" s="193" t="n">
        <f aca="false">J21</f>
        <v>346086.0925</v>
      </c>
      <c r="L30" s="193" t="n">
        <f aca="false">K21</f>
        <v>334922.025</v>
      </c>
      <c r="M30" s="193" t="n">
        <f aca="false">L21</f>
        <v>346086.0925</v>
      </c>
      <c r="N30" s="193" t="n">
        <f aca="false">M21</f>
        <v>334922.025</v>
      </c>
      <c r="P30" s="19" t="s">
        <v>299</v>
      </c>
      <c r="Q30" s="193" t="n">
        <f aca="false">Q21</f>
        <v>338141.586875</v>
      </c>
      <c r="R30" s="193" t="n">
        <f aca="false">Q21</f>
        <v>338141.586875</v>
      </c>
      <c r="S30" s="193" t="n">
        <f aca="false">R21</f>
        <v>305418.2075</v>
      </c>
      <c r="T30" s="193" t="n">
        <f aca="false">S21</f>
        <v>338141.586875</v>
      </c>
      <c r="U30" s="193" t="n">
        <f aca="false">T21</f>
        <v>327233.79375</v>
      </c>
      <c r="V30" s="193" t="n">
        <f aca="false">U21</f>
        <v>338141.586875</v>
      </c>
      <c r="W30" s="193" t="n">
        <f aca="false">V21</f>
        <v>319236.3375</v>
      </c>
      <c r="X30" s="193" t="n">
        <f aca="false">W21</f>
        <v>329877.54875</v>
      </c>
      <c r="Y30" s="193" t="n">
        <f aca="false">X21</f>
        <v>329877.54875</v>
      </c>
      <c r="Z30" s="193" t="n">
        <f aca="false">Y21</f>
        <v>319236.3375</v>
      </c>
      <c r="AA30" s="193" t="n">
        <f aca="false">Z21</f>
        <v>329877.54875</v>
      </c>
      <c r="AB30" s="193" t="n">
        <f aca="false">AA21</f>
        <v>319236.3375</v>
      </c>
      <c r="AD30" s="19" t="s">
        <v>299</v>
      </c>
      <c r="AE30" s="193" t="n">
        <f aca="false">AE21</f>
        <v>321281.461875</v>
      </c>
      <c r="AF30" s="193" t="n">
        <f aca="false">AE21</f>
        <v>321281.461875</v>
      </c>
      <c r="AG30" s="193" t="n">
        <f aca="false">AF21</f>
        <v>290189.7075</v>
      </c>
      <c r="AH30" s="193" t="n">
        <f aca="false">AG21</f>
        <v>321281.461875</v>
      </c>
      <c r="AI30" s="193" t="n">
        <f aca="false">AH21</f>
        <v>310917.54375</v>
      </c>
      <c r="AJ30" s="193" t="n">
        <f aca="false">AI21</f>
        <v>321281.461875</v>
      </c>
      <c r="AK30" s="193" t="n">
        <f aca="false">AJ21</f>
        <v>302264.5875</v>
      </c>
      <c r="AL30" s="193" t="n">
        <f aca="false">AK21</f>
        <v>312340.07375</v>
      </c>
      <c r="AM30" s="193" t="n">
        <f aca="false">AL21</f>
        <v>312340.07375</v>
      </c>
      <c r="AN30" s="193" t="n">
        <f aca="false">AM21</f>
        <v>302264.5875</v>
      </c>
      <c r="AO30" s="193" t="n">
        <f aca="false">AN21</f>
        <v>312340.07375</v>
      </c>
      <c r="AP30" s="193" t="n">
        <f aca="false">AO21</f>
        <v>302264.5875</v>
      </c>
    </row>
    <row r="31" customFormat="false" ht="13.2" hidden="true" customHeight="false" outlineLevel="0" collapsed="false">
      <c r="B31" s="19" t="s">
        <v>300</v>
      </c>
      <c r="C31" s="193" t="n">
        <f aca="false">C22</f>
        <v>14428.1970659722</v>
      </c>
      <c r="D31" s="193" t="n">
        <f aca="false">C22</f>
        <v>14428.1970659722</v>
      </c>
      <c r="E31" s="193" t="n">
        <f aca="false">D22</f>
        <v>13031.9199305556</v>
      </c>
      <c r="F31" s="193" t="n">
        <f aca="false">E22</f>
        <v>14428.1970659722</v>
      </c>
      <c r="G31" s="193" t="n">
        <f aca="false">F22</f>
        <v>13962.7713541667</v>
      </c>
      <c r="H31" s="193" t="n">
        <f aca="false">G22</f>
        <v>14428.1970659722</v>
      </c>
      <c r="I31" s="193" t="n">
        <f aca="false">H22</f>
        <v>13661.2915104167</v>
      </c>
      <c r="J31" s="193" t="n">
        <f aca="false">I22</f>
        <v>14116.6678940972</v>
      </c>
      <c r="K31" s="193" t="n">
        <f aca="false">J22</f>
        <v>14116.6678940972</v>
      </c>
      <c r="L31" s="193" t="n">
        <f aca="false">K22</f>
        <v>13661.2915104167</v>
      </c>
      <c r="M31" s="193" t="n">
        <f aca="false">L22</f>
        <v>14116.6678940972</v>
      </c>
      <c r="N31" s="193" t="n">
        <f aca="false">M22</f>
        <v>13661.2915104167</v>
      </c>
      <c r="P31" s="19" t="s">
        <v>300</v>
      </c>
      <c r="Q31" s="193" t="n">
        <f aca="false">Q22</f>
        <v>13792.6156909722</v>
      </c>
      <c r="R31" s="193" t="n">
        <f aca="false">Q22</f>
        <v>13792.6156909722</v>
      </c>
      <c r="S31" s="193" t="n">
        <f aca="false">R22</f>
        <v>12457.8464305556</v>
      </c>
      <c r="T31" s="193" t="n">
        <f aca="false">S22</f>
        <v>13792.6156909722</v>
      </c>
      <c r="U31" s="193" t="n">
        <f aca="false">T22</f>
        <v>13347.6926041667</v>
      </c>
      <c r="V31" s="193" t="n">
        <f aca="false">U22</f>
        <v>13792.6156909722</v>
      </c>
      <c r="W31" s="193" t="n">
        <f aca="false">V22</f>
        <v>13021.4805729167</v>
      </c>
      <c r="X31" s="193" t="n">
        <f aca="false">W22</f>
        <v>13455.5299253472</v>
      </c>
      <c r="Y31" s="193" t="n">
        <f aca="false">X22</f>
        <v>13455.5299253472</v>
      </c>
      <c r="Z31" s="193" t="n">
        <f aca="false">Y22</f>
        <v>13021.4805729167</v>
      </c>
      <c r="AA31" s="193" t="n">
        <f aca="false">Z22</f>
        <v>13455.5299253472</v>
      </c>
      <c r="AB31" s="193" t="n">
        <f aca="false">AA22</f>
        <v>13021.4805729167</v>
      </c>
      <c r="AD31" s="19" t="s">
        <v>300</v>
      </c>
      <c r="AE31" s="193" t="n">
        <f aca="false">AE22</f>
        <v>13101.8969409722</v>
      </c>
      <c r="AF31" s="193" t="n">
        <f aca="false">AE22</f>
        <v>13101.8969409722</v>
      </c>
      <c r="AG31" s="193" t="n">
        <f aca="false">AF22</f>
        <v>11833.9714305556</v>
      </c>
      <c r="AH31" s="193" t="n">
        <f aca="false">AG22</f>
        <v>13101.8969409722</v>
      </c>
      <c r="AI31" s="193" t="n">
        <f aca="false">AH22</f>
        <v>12679.2551041667</v>
      </c>
      <c r="AJ31" s="193" t="n">
        <f aca="false">AI22</f>
        <v>13101.8969409722</v>
      </c>
      <c r="AK31" s="193" t="n">
        <f aca="false">AJ22</f>
        <v>12326.3055729167</v>
      </c>
      <c r="AL31" s="193" t="n">
        <f aca="false">AK22</f>
        <v>12737.1824253472</v>
      </c>
      <c r="AM31" s="193" t="n">
        <f aca="false">AL22</f>
        <v>12737.1824253472</v>
      </c>
      <c r="AN31" s="193" t="n">
        <f aca="false">AM22</f>
        <v>12326.3055729167</v>
      </c>
      <c r="AO31" s="193" t="n">
        <f aca="false">AN22</f>
        <v>12737.1824253472</v>
      </c>
      <c r="AP31" s="193" t="n">
        <f aca="false">AO22</f>
        <v>12326.3055729167</v>
      </c>
    </row>
    <row r="32" customFormat="false" ht="13.2" hidden="true" customHeight="false" outlineLevel="0" collapsed="false">
      <c r="B32" s="19" t="s">
        <v>302</v>
      </c>
      <c r="C32" s="193" t="n">
        <f aca="false">C23/31*92</f>
        <v>52228.3425</v>
      </c>
      <c r="D32" s="193" t="n">
        <f aca="false">C44</f>
        <v>69827.023125</v>
      </c>
      <c r="E32" s="193" t="n">
        <f aca="false">D44</f>
        <v>85722.605625</v>
      </c>
      <c r="F32" s="193" t="n">
        <f aca="false">E44</f>
        <v>0</v>
      </c>
      <c r="G32" s="193" t="n">
        <f aca="false">F44</f>
        <v>17030.98125</v>
      </c>
      <c r="H32" s="193" t="n">
        <f aca="false">G44</f>
        <v>34629.661875</v>
      </c>
      <c r="I32" s="193" t="n">
        <f aca="false">H44</f>
        <v>51660.643125</v>
      </c>
      <c r="J32" s="193" t="n">
        <f aca="false">I44</f>
        <v>69259.32375</v>
      </c>
      <c r="K32" s="193" t="n">
        <f aca="false">J44</f>
        <v>86858.004375</v>
      </c>
      <c r="L32" s="193" t="n">
        <f aca="false">K44</f>
        <v>0</v>
      </c>
      <c r="M32" s="193" t="n">
        <f aca="false">L44</f>
        <v>17598.680625</v>
      </c>
      <c r="N32" s="193" t="n">
        <f aca="false">M44</f>
        <v>34629.661875</v>
      </c>
      <c r="P32" s="19" t="s">
        <v>302</v>
      </c>
      <c r="Q32" s="193" t="n">
        <f aca="false">Q23/31*92</f>
        <v>52228.3425</v>
      </c>
      <c r="R32" s="193" t="n">
        <f aca="false">Q44</f>
        <v>69827.023125</v>
      </c>
      <c r="S32" s="193" t="n">
        <f aca="false">R44</f>
        <v>85722.605625</v>
      </c>
      <c r="T32" s="193" t="n">
        <f aca="false">S44</f>
        <v>0</v>
      </c>
      <c r="U32" s="193" t="n">
        <f aca="false">T44</f>
        <v>17030.98125</v>
      </c>
      <c r="V32" s="193" t="n">
        <f aca="false">U44</f>
        <v>34629.661875</v>
      </c>
      <c r="W32" s="193" t="n">
        <f aca="false">V44</f>
        <v>51660.643125</v>
      </c>
      <c r="X32" s="193" t="n">
        <f aca="false">W44</f>
        <v>69259.32375</v>
      </c>
      <c r="Y32" s="193" t="n">
        <f aca="false">X44</f>
        <v>86858.004375</v>
      </c>
      <c r="Z32" s="193" t="n">
        <f aca="false">Y44</f>
        <v>0</v>
      </c>
      <c r="AA32" s="193" t="n">
        <f aca="false">Z44</f>
        <v>17598.680625</v>
      </c>
      <c r="AB32" s="193" t="n">
        <f aca="false">AA44</f>
        <v>34629.661875</v>
      </c>
      <c r="AD32" s="19" t="s">
        <v>302</v>
      </c>
      <c r="AE32" s="193" t="n">
        <f aca="false">AE23/31*92</f>
        <v>52228.3425</v>
      </c>
      <c r="AF32" s="193" t="n">
        <f aca="false">AE44</f>
        <v>69827.023125</v>
      </c>
      <c r="AG32" s="193" t="n">
        <f aca="false">AF44</f>
        <v>85722.605625</v>
      </c>
      <c r="AH32" s="193" t="n">
        <f aca="false">AG44</f>
        <v>0</v>
      </c>
      <c r="AI32" s="193" t="n">
        <f aca="false">AH44</f>
        <v>17030.98125</v>
      </c>
      <c r="AJ32" s="193" t="n">
        <f aca="false">AI44</f>
        <v>34629.661875</v>
      </c>
      <c r="AK32" s="193" t="n">
        <f aca="false">AJ44</f>
        <v>51660.643125</v>
      </c>
      <c r="AL32" s="193" t="n">
        <f aca="false">AK44</f>
        <v>69259.32375</v>
      </c>
      <c r="AM32" s="193" t="n">
        <f aca="false">AL44</f>
        <v>86858.004375</v>
      </c>
      <c r="AN32" s="193" t="n">
        <f aca="false">AM44</f>
        <v>0</v>
      </c>
      <c r="AO32" s="193" t="n">
        <f aca="false">AN44</f>
        <v>17598.680625</v>
      </c>
      <c r="AP32" s="193" t="n">
        <f aca="false">AO44</f>
        <v>34629.661875</v>
      </c>
    </row>
    <row r="33" customFormat="false" ht="13.2" hidden="true" customHeight="false" outlineLevel="0" collapsed="false">
      <c r="C33" s="202" t="n">
        <f aca="false">SUM(C30:C32)</f>
        <v>420380.121440972</v>
      </c>
      <c r="D33" s="202" t="n">
        <f aca="false">SUM(D30:D32)</f>
        <v>437978.802065972</v>
      </c>
      <c r="E33" s="202" t="n">
        <f aca="false">SUM(E30:E32)</f>
        <v>418246.793055556</v>
      </c>
      <c r="F33" s="202" t="n">
        <f aca="false">SUM(F30:F32)</f>
        <v>368151.778940972</v>
      </c>
      <c r="G33" s="202" t="n">
        <f aca="false">SUM(G30:G32)</f>
        <v>373306.896354167</v>
      </c>
      <c r="H33" s="202" t="n">
        <f aca="false">SUM(H30:H32)</f>
        <v>402781.440815972</v>
      </c>
      <c r="I33" s="202" t="n">
        <f aca="false">SUM(I30:I32)</f>
        <v>400243.959635417</v>
      </c>
      <c r="J33" s="202" t="n">
        <f aca="false">SUM(J30:J32)</f>
        <v>429462.084144097</v>
      </c>
      <c r="K33" s="202" t="n">
        <f aca="false">SUM(K30:K32)</f>
        <v>447060.764769097</v>
      </c>
      <c r="L33" s="202" t="n">
        <f aca="false">SUM(L30:L32)</f>
        <v>348583.316510417</v>
      </c>
      <c r="M33" s="202" t="n">
        <f aca="false">SUM(M30:M32)</f>
        <v>377801.441019097</v>
      </c>
      <c r="N33" s="202" t="n">
        <f aca="false">SUM(N30:N32)</f>
        <v>383212.978385417</v>
      </c>
      <c r="Q33" s="202" t="n">
        <f aca="false">SUM(Q30:Q32)</f>
        <v>404162.545065972</v>
      </c>
      <c r="R33" s="202" t="n">
        <f aca="false">SUM(R30:R32)</f>
        <v>421761.225690972</v>
      </c>
      <c r="S33" s="202" t="n">
        <f aca="false">SUM(S30:S32)</f>
        <v>403598.659555556</v>
      </c>
      <c r="T33" s="202" t="n">
        <f aca="false">SUM(T30:T32)</f>
        <v>351934.202565972</v>
      </c>
      <c r="U33" s="202" t="n">
        <f aca="false">SUM(U30:U32)</f>
        <v>357612.467604167</v>
      </c>
      <c r="V33" s="202" t="n">
        <f aca="false">SUM(V30:V32)</f>
        <v>386563.864440972</v>
      </c>
      <c r="W33" s="202" t="n">
        <f aca="false">SUM(W30:W32)</f>
        <v>383918.461197917</v>
      </c>
      <c r="X33" s="202" t="n">
        <f aca="false">SUM(X30:X32)</f>
        <v>412592.402425347</v>
      </c>
      <c r="Y33" s="202" t="n">
        <f aca="false">SUM(Y30:Y32)</f>
        <v>430191.083050347</v>
      </c>
      <c r="Z33" s="202" t="n">
        <f aca="false">SUM(Z30:Z32)</f>
        <v>332257.818072917</v>
      </c>
      <c r="AA33" s="202" t="n">
        <f aca="false">SUM(AA30:AA32)</f>
        <v>360931.759300347</v>
      </c>
      <c r="AB33" s="202" t="n">
        <f aca="false">SUM(AB30:AB32)</f>
        <v>366887.479947917</v>
      </c>
      <c r="AE33" s="202" t="n">
        <f aca="false">SUM(AE30:AE32)</f>
        <v>386611.701315972</v>
      </c>
      <c r="AF33" s="202" t="n">
        <f aca="false">SUM(AF30:AF32)</f>
        <v>404210.381940972</v>
      </c>
      <c r="AG33" s="202" t="n">
        <f aca="false">SUM(AG30:AG32)</f>
        <v>387746.284555556</v>
      </c>
      <c r="AH33" s="202" t="n">
        <f aca="false">SUM(AH30:AH32)</f>
        <v>334383.358815972</v>
      </c>
      <c r="AI33" s="202" t="n">
        <f aca="false">SUM(AI30:AI32)</f>
        <v>340627.780104167</v>
      </c>
      <c r="AJ33" s="202" t="n">
        <f aca="false">SUM(AJ30:AJ32)</f>
        <v>369013.020690972</v>
      </c>
      <c r="AK33" s="202" t="n">
        <f aca="false">SUM(AK30:AK32)</f>
        <v>366251.536197917</v>
      </c>
      <c r="AL33" s="202" t="n">
        <f aca="false">SUM(AL30:AL32)</f>
        <v>394336.579925347</v>
      </c>
      <c r="AM33" s="202" t="n">
        <f aca="false">SUM(AM30:AM32)</f>
        <v>411935.260550347</v>
      </c>
      <c r="AN33" s="202" t="n">
        <f aca="false">SUM(AN30:AN32)</f>
        <v>314590.893072917</v>
      </c>
      <c r="AO33" s="202" t="n">
        <f aca="false">SUM(AO30:AO32)</f>
        <v>342675.936800347</v>
      </c>
      <c r="AP33" s="202" t="n">
        <f aca="false">SUM(AP30:AP32)</f>
        <v>349220.554947917</v>
      </c>
    </row>
    <row r="34" customFormat="false" ht="13.2" hidden="true" customHeight="false" outlineLevel="0" collapsed="false"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</row>
    <row r="35" customFormat="false" ht="13.2" hidden="true" customHeight="false" outlineLevel="0" collapsed="false">
      <c r="B35" s="37" t="s">
        <v>307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P35" s="37" t="s">
        <v>307</v>
      </c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D35" s="37" t="s">
        <v>307</v>
      </c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</row>
    <row r="36" customFormat="false" ht="13.2" hidden="true" customHeight="false" outlineLevel="0" collapsed="false">
      <c r="B36" s="19" t="s">
        <v>299</v>
      </c>
      <c r="C36" s="193" t="n">
        <f aca="false">C21</f>
        <v>353723.581875</v>
      </c>
      <c r="D36" s="193" t="n">
        <f aca="false">C42</f>
        <v>353723.581875</v>
      </c>
      <c r="E36" s="193" t="n">
        <f aca="false">D42</f>
        <v>319492.2675</v>
      </c>
      <c r="F36" s="193" t="n">
        <f aca="false">E42</f>
        <v>353723.581875</v>
      </c>
      <c r="G36" s="193" t="n">
        <f aca="false">F42</f>
        <v>342313.14375</v>
      </c>
      <c r="H36" s="193" t="n">
        <f aca="false">G42</f>
        <v>353723.581875</v>
      </c>
      <c r="I36" s="193" t="n">
        <f aca="false">H42</f>
        <v>334922.025</v>
      </c>
      <c r="J36" s="193" t="n">
        <f aca="false">I42</f>
        <v>346086.0925</v>
      </c>
      <c r="K36" s="193" t="n">
        <f aca="false">J42</f>
        <v>346086.0925</v>
      </c>
      <c r="L36" s="193" t="n">
        <f aca="false">K42</f>
        <v>334922.025</v>
      </c>
      <c r="M36" s="193" t="n">
        <f aca="false">L42</f>
        <v>346086.0925</v>
      </c>
      <c r="N36" s="193" t="n">
        <f aca="false">M42</f>
        <v>334922.025</v>
      </c>
      <c r="P36" s="19" t="s">
        <v>299</v>
      </c>
      <c r="Q36" s="193" t="n">
        <f aca="false">Q21</f>
        <v>338141.586875</v>
      </c>
      <c r="R36" s="193" t="n">
        <f aca="false">Q42</f>
        <v>338141.586875</v>
      </c>
      <c r="S36" s="193" t="n">
        <f aca="false">R42</f>
        <v>305418.2075</v>
      </c>
      <c r="T36" s="193" t="n">
        <f aca="false">S42</f>
        <v>338141.586875</v>
      </c>
      <c r="U36" s="193" t="n">
        <f aca="false">T42</f>
        <v>327233.79375</v>
      </c>
      <c r="V36" s="193" t="n">
        <f aca="false">U42</f>
        <v>338141.586875</v>
      </c>
      <c r="W36" s="193" t="n">
        <f aca="false">V42</f>
        <v>319236.3375</v>
      </c>
      <c r="X36" s="193" t="n">
        <f aca="false">W42</f>
        <v>329877.54875</v>
      </c>
      <c r="Y36" s="193" t="n">
        <f aca="false">X42</f>
        <v>329877.54875</v>
      </c>
      <c r="Z36" s="193" t="n">
        <f aca="false">Y42</f>
        <v>319236.3375</v>
      </c>
      <c r="AA36" s="193" t="n">
        <f aca="false">Z42</f>
        <v>329877.54875</v>
      </c>
      <c r="AB36" s="193" t="n">
        <f aca="false">AA42</f>
        <v>319236.3375</v>
      </c>
      <c r="AD36" s="19" t="s">
        <v>299</v>
      </c>
      <c r="AE36" s="193" t="n">
        <f aca="false">AE21</f>
        <v>321281.461875</v>
      </c>
      <c r="AF36" s="193" t="n">
        <f aca="false">AE42</f>
        <v>321281.461875</v>
      </c>
      <c r="AG36" s="193" t="n">
        <f aca="false">AF42</f>
        <v>290189.7075</v>
      </c>
      <c r="AH36" s="193" t="n">
        <f aca="false">AG42</f>
        <v>321281.461875</v>
      </c>
      <c r="AI36" s="193" t="n">
        <f aca="false">AH42</f>
        <v>310917.54375</v>
      </c>
      <c r="AJ36" s="193" t="n">
        <f aca="false">AI42</f>
        <v>321281.461875</v>
      </c>
      <c r="AK36" s="193" t="n">
        <f aca="false">AJ42</f>
        <v>302264.5875</v>
      </c>
      <c r="AL36" s="193" t="n">
        <f aca="false">AK42</f>
        <v>312340.07375</v>
      </c>
      <c r="AM36" s="193" t="n">
        <f aca="false">AL42</f>
        <v>312340.07375</v>
      </c>
      <c r="AN36" s="193" t="n">
        <f aca="false">AM42</f>
        <v>302264.5875</v>
      </c>
      <c r="AO36" s="193" t="n">
        <f aca="false">AN42</f>
        <v>312340.07375</v>
      </c>
      <c r="AP36" s="193" t="n">
        <f aca="false">AO42</f>
        <v>302264.5875</v>
      </c>
    </row>
    <row r="37" customFormat="false" ht="13.2" hidden="true" customHeight="false" outlineLevel="0" collapsed="false">
      <c r="B37" s="19" t="s">
        <v>300</v>
      </c>
      <c r="C37" s="193" t="n">
        <f aca="false">C22</f>
        <v>14428.1970659722</v>
      </c>
      <c r="D37" s="193" t="n">
        <f aca="false">C43</f>
        <v>14428.1970659722</v>
      </c>
      <c r="E37" s="193" t="n">
        <f aca="false">D43</f>
        <v>13031.9199305556</v>
      </c>
      <c r="F37" s="193" t="n">
        <f aca="false">E43</f>
        <v>14428.1970659722</v>
      </c>
      <c r="G37" s="193" t="n">
        <f aca="false">F43</f>
        <v>13962.7713541667</v>
      </c>
      <c r="H37" s="193" t="n">
        <f aca="false">G43</f>
        <v>14428.1970659722</v>
      </c>
      <c r="I37" s="193" t="n">
        <f aca="false">H43</f>
        <v>13661.2915104167</v>
      </c>
      <c r="J37" s="193" t="n">
        <f aca="false">I43</f>
        <v>14116.6678940972</v>
      </c>
      <c r="K37" s="193" t="n">
        <f aca="false">J43</f>
        <v>14116.6678940972</v>
      </c>
      <c r="L37" s="193" t="n">
        <f aca="false">K43</f>
        <v>13661.2915104167</v>
      </c>
      <c r="M37" s="193" t="n">
        <f aca="false">L43</f>
        <v>14116.6678940972</v>
      </c>
      <c r="N37" s="193" t="n">
        <f aca="false">M43</f>
        <v>13661.2915104167</v>
      </c>
      <c r="P37" s="19" t="s">
        <v>300</v>
      </c>
      <c r="Q37" s="193" t="n">
        <f aca="false">Q22</f>
        <v>13792.6156909722</v>
      </c>
      <c r="R37" s="193" t="n">
        <f aca="false">Q43</f>
        <v>13792.6156909722</v>
      </c>
      <c r="S37" s="193" t="n">
        <f aca="false">R43</f>
        <v>12457.8464305556</v>
      </c>
      <c r="T37" s="193" t="n">
        <f aca="false">S43</f>
        <v>13792.6156909722</v>
      </c>
      <c r="U37" s="193" t="n">
        <f aca="false">T43</f>
        <v>13347.6926041667</v>
      </c>
      <c r="V37" s="193" t="n">
        <f aca="false">U43</f>
        <v>13792.6156909722</v>
      </c>
      <c r="W37" s="193" t="n">
        <f aca="false">V43</f>
        <v>13021.4805729167</v>
      </c>
      <c r="X37" s="193" t="n">
        <f aca="false">W43</f>
        <v>13455.5299253472</v>
      </c>
      <c r="Y37" s="193" t="n">
        <f aca="false">X43</f>
        <v>13455.5299253472</v>
      </c>
      <c r="Z37" s="193" t="n">
        <f aca="false">Y43</f>
        <v>13021.4805729167</v>
      </c>
      <c r="AA37" s="193" t="n">
        <f aca="false">Z43</f>
        <v>13455.5299253472</v>
      </c>
      <c r="AB37" s="193" t="n">
        <f aca="false">AA43</f>
        <v>13021.4805729167</v>
      </c>
      <c r="AD37" s="19" t="s">
        <v>300</v>
      </c>
      <c r="AE37" s="193" t="n">
        <f aca="false">AE22</f>
        <v>13101.8969409722</v>
      </c>
      <c r="AF37" s="193" t="n">
        <f aca="false">AE43</f>
        <v>13101.8969409722</v>
      </c>
      <c r="AG37" s="193" t="n">
        <f aca="false">AF43</f>
        <v>11833.9714305556</v>
      </c>
      <c r="AH37" s="193" t="n">
        <f aca="false">AG43</f>
        <v>13101.8969409722</v>
      </c>
      <c r="AI37" s="193" t="n">
        <f aca="false">AH43</f>
        <v>12679.2551041667</v>
      </c>
      <c r="AJ37" s="193" t="n">
        <f aca="false">AI43</f>
        <v>13101.8969409722</v>
      </c>
      <c r="AK37" s="193" t="n">
        <f aca="false">AJ43</f>
        <v>12326.3055729167</v>
      </c>
      <c r="AL37" s="193" t="n">
        <f aca="false">AK43</f>
        <v>12737.1824253472</v>
      </c>
      <c r="AM37" s="193" t="n">
        <f aca="false">AL43</f>
        <v>12737.1824253472</v>
      </c>
      <c r="AN37" s="193" t="n">
        <f aca="false">AM43</f>
        <v>12326.3055729167</v>
      </c>
      <c r="AO37" s="193" t="n">
        <f aca="false">AN43</f>
        <v>12737.1824253472</v>
      </c>
      <c r="AP37" s="193" t="n">
        <f aca="false">AO43</f>
        <v>12326.3055729167</v>
      </c>
    </row>
    <row r="38" customFormat="false" ht="13.2" hidden="true" customHeight="false" outlineLevel="0" collapsed="false">
      <c r="B38" s="19" t="s">
        <v>302</v>
      </c>
      <c r="C38" s="193"/>
      <c r="D38" s="193"/>
      <c r="E38" s="193" t="n">
        <f aca="false">E32+E23</f>
        <v>103321.28625</v>
      </c>
      <c r="F38" s="193"/>
      <c r="G38" s="193"/>
      <c r="H38" s="193"/>
      <c r="I38" s="193"/>
      <c r="J38" s="193"/>
      <c r="K38" s="193" t="n">
        <f aca="false">K32+K23</f>
        <v>103888.985625</v>
      </c>
      <c r="L38" s="193"/>
      <c r="M38" s="193"/>
      <c r="N38" s="193"/>
      <c r="P38" s="19" t="s">
        <v>302</v>
      </c>
      <c r="Q38" s="193"/>
      <c r="R38" s="193"/>
      <c r="S38" s="193" t="n">
        <f aca="false">S32+S23</f>
        <v>103321.28625</v>
      </c>
      <c r="T38" s="193"/>
      <c r="U38" s="193"/>
      <c r="V38" s="193"/>
      <c r="W38" s="193"/>
      <c r="X38" s="193"/>
      <c r="Y38" s="193" t="n">
        <f aca="false">Y32+Y23</f>
        <v>103888.985625</v>
      </c>
      <c r="Z38" s="193"/>
      <c r="AA38" s="193"/>
      <c r="AB38" s="193"/>
      <c r="AD38" s="19" t="s">
        <v>302</v>
      </c>
      <c r="AE38" s="193"/>
      <c r="AF38" s="193"/>
      <c r="AG38" s="193" t="n">
        <f aca="false">AG32+AG23</f>
        <v>103321.28625</v>
      </c>
      <c r="AH38" s="193"/>
      <c r="AI38" s="193"/>
      <c r="AJ38" s="193"/>
      <c r="AK38" s="193"/>
      <c r="AL38" s="193"/>
      <c r="AM38" s="193" t="n">
        <f aca="false">AM32+AM23</f>
        <v>103888.985625</v>
      </c>
      <c r="AN38" s="193"/>
      <c r="AO38" s="193"/>
      <c r="AP38" s="193"/>
    </row>
    <row r="39" customFormat="false" ht="13.2" hidden="true" customHeight="false" outlineLevel="0" collapsed="false">
      <c r="C39" s="202" t="n">
        <f aca="false">SUM(C36:C38)</f>
        <v>368151.778940972</v>
      </c>
      <c r="D39" s="202" t="n">
        <f aca="false">SUM(D36:D38)</f>
        <v>368151.778940972</v>
      </c>
      <c r="E39" s="202" t="n">
        <f aca="false">SUM(E36:E38)</f>
        <v>435845.473680556</v>
      </c>
      <c r="F39" s="202" t="n">
        <f aca="false">SUM(F36:F38)</f>
        <v>368151.778940972</v>
      </c>
      <c r="G39" s="202" t="n">
        <f aca="false">SUM(G36:G38)</f>
        <v>356275.915104167</v>
      </c>
      <c r="H39" s="202" t="n">
        <f aca="false">SUM(H36:H38)</f>
        <v>368151.778940972</v>
      </c>
      <c r="I39" s="202" t="n">
        <f aca="false">SUM(I36:I38)</f>
        <v>348583.316510417</v>
      </c>
      <c r="J39" s="202" t="n">
        <f aca="false">SUM(J36:J38)</f>
        <v>360202.760394097</v>
      </c>
      <c r="K39" s="202" t="n">
        <f aca="false">SUM(K36:K38)</f>
        <v>464091.746019097</v>
      </c>
      <c r="L39" s="202" t="n">
        <f aca="false">SUM(L36:L38)</f>
        <v>348583.316510417</v>
      </c>
      <c r="M39" s="202" t="n">
        <f aca="false">SUM(M36:M38)</f>
        <v>360202.760394097</v>
      </c>
      <c r="N39" s="202" t="n">
        <f aca="false">SUM(N36:N38)</f>
        <v>348583.316510417</v>
      </c>
      <c r="Q39" s="202" t="n">
        <f aca="false">SUM(Q36:Q38)</f>
        <v>351934.202565972</v>
      </c>
      <c r="R39" s="202" t="n">
        <f aca="false">SUM(R36:R38)</f>
        <v>351934.202565972</v>
      </c>
      <c r="S39" s="202" t="n">
        <f aca="false">SUM(S36:S38)</f>
        <v>421197.340180556</v>
      </c>
      <c r="T39" s="202" t="n">
        <f aca="false">SUM(T36:T38)</f>
        <v>351934.202565972</v>
      </c>
      <c r="U39" s="202" t="n">
        <f aca="false">SUM(U36:U38)</f>
        <v>340581.486354167</v>
      </c>
      <c r="V39" s="202" t="n">
        <f aca="false">SUM(V36:V38)</f>
        <v>351934.202565972</v>
      </c>
      <c r="W39" s="202" t="n">
        <f aca="false">SUM(W36:W38)</f>
        <v>332257.818072917</v>
      </c>
      <c r="X39" s="202" t="n">
        <f aca="false">SUM(X36:X38)</f>
        <v>343333.078675347</v>
      </c>
      <c r="Y39" s="202" t="n">
        <f aca="false">SUM(Y36:Y38)</f>
        <v>447222.064300347</v>
      </c>
      <c r="Z39" s="202" t="n">
        <f aca="false">SUM(Z36:Z38)</f>
        <v>332257.818072917</v>
      </c>
      <c r="AA39" s="202" t="n">
        <f aca="false">SUM(AA36:AA38)</f>
        <v>343333.078675347</v>
      </c>
      <c r="AB39" s="202" t="n">
        <f aca="false">SUM(AB36:AB38)</f>
        <v>332257.818072917</v>
      </c>
      <c r="AE39" s="202" t="n">
        <f aca="false">SUM(AE36:AE38)</f>
        <v>334383.358815972</v>
      </c>
      <c r="AF39" s="202" t="n">
        <f aca="false">SUM(AF36:AF38)</f>
        <v>334383.358815972</v>
      </c>
      <c r="AG39" s="202" t="n">
        <f aca="false">SUM(AG36:AG38)</f>
        <v>405344.965180556</v>
      </c>
      <c r="AH39" s="202" t="n">
        <f aca="false">SUM(AH36:AH38)</f>
        <v>334383.358815972</v>
      </c>
      <c r="AI39" s="202" t="n">
        <f aca="false">SUM(AI36:AI38)</f>
        <v>323596.798854167</v>
      </c>
      <c r="AJ39" s="202" t="n">
        <f aca="false">SUM(AJ36:AJ38)</f>
        <v>334383.358815972</v>
      </c>
      <c r="AK39" s="202" t="n">
        <f aca="false">SUM(AK36:AK38)</f>
        <v>314590.893072917</v>
      </c>
      <c r="AL39" s="202" t="n">
        <f aca="false">SUM(AL36:AL38)</f>
        <v>325077.256175347</v>
      </c>
      <c r="AM39" s="202" t="n">
        <f aca="false">SUM(AM36:AM38)</f>
        <v>428966.241800347</v>
      </c>
      <c r="AN39" s="202" t="n">
        <f aca="false">SUM(AN36:AN38)</f>
        <v>314590.893072917</v>
      </c>
      <c r="AO39" s="202" t="n">
        <f aca="false">SUM(AO36:AO38)</f>
        <v>325077.256175347</v>
      </c>
      <c r="AP39" s="202" t="n">
        <f aca="false">SUM(AP36:AP38)</f>
        <v>314590.893072917</v>
      </c>
    </row>
    <row r="40" customFormat="false" ht="13.2" hidden="true" customHeight="false" outlineLevel="0" collapsed="false"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</row>
    <row r="41" customFormat="false" ht="13.2" hidden="true" customHeight="false" outlineLevel="0" collapsed="false">
      <c r="B41" s="37" t="s">
        <v>308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P41" s="37" t="s">
        <v>308</v>
      </c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D41" s="37" t="s">
        <v>308</v>
      </c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</row>
    <row r="42" customFormat="false" ht="13.2" hidden="true" customHeight="false" outlineLevel="0" collapsed="false">
      <c r="B42" s="19" t="s">
        <v>299</v>
      </c>
      <c r="C42" s="193" t="n">
        <f aca="false">C30+C21-C36</f>
        <v>353723.581875</v>
      </c>
      <c r="D42" s="193" t="n">
        <f aca="false">D30+D21-D36</f>
        <v>319492.2675</v>
      </c>
      <c r="E42" s="193" t="n">
        <f aca="false">E30+E21-E36</f>
        <v>353723.581875</v>
      </c>
      <c r="F42" s="193" t="n">
        <f aca="false">F30+F21-F36</f>
        <v>342313.14375</v>
      </c>
      <c r="G42" s="193" t="n">
        <f aca="false">G30+G21-G36</f>
        <v>353723.581875</v>
      </c>
      <c r="H42" s="193" t="n">
        <f aca="false">H30+H21-H36</f>
        <v>334922.025</v>
      </c>
      <c r="I42" s="193" t="n">
        <f aca="false">I30+I21-I36</f>
        <v>346086.0925</v>
      </c>
      <c r="J42" s="193" t="n">
        <f aca="false">J30+J21-J36</f>
        <v>346086.0925</v>
      </c>
      <c r="K42" s="193" t="n">
        <f aca="false">K30+K21-K36</f>
        <v>334922.025</v>
      </c>
      <c r="L42" s="193" t="n">
        <f aca="false">L30+L21-L36</f>
        <v>346086.0925</v>
      </c>
      <c r="M42" s="193" t="n">
        <f aca="false">M30+M21-M36</f>
        <v>334922.025</v>
      </c>
      <c r="N42" s="193" t="n">
        <f aca="false">N30+N21-N36</f>
        <v>338141.586875</v>
      </c>
      <c r="P42" s="19" t="s">
        <v>299</v>
      </c>
      <c r="Q42" s="193" t="n">
        <f aca="false">Q30+Q21-Q36</f>
        <v>338141.586875</v>
      </c>
      <c r="R42" s="193" t="n">
        <f aca="false">R30+R21-R36</f>
        <v>305418.2075</v>
      </c>
      <c r="S42" s="193" t="n">
        <f aca="false">S30+S21-S36</f>
        <v>338141.586875</v>
      </c>
      <c r="T42" s="193" t="n">
        <f aca="false">T30+T21-T36</f>
        <v>327233.79375</v>
      </c>
      <c r="U42" s="193" t="n">
        <f aca="false">U30+U21-U36</f>
        <v>338141.586875</v>
      </c>
      <c r="V42" s="193" t="n">
        <f aca="false">V30+V21-V36</f>
        <v>319236.3375</v>
      </c>
      <c r="W42" s="193" t="n">
        <f aca="false">W30+W21-W36</f>
        <v>329877.54875</v>
      </c>
      <c r="X42" s="193" t="n">
        <f aca="false">X30+X21-X36</f>
        <v>329877.54875</v>
      </c>
      <c r="Y42" s="193" t="n">
        <f aca="false">Y30+Y21-Y36</f>
        <v>319236.3375</v>
      </c>
      <c r="Z42" s="193" t="n">
        <f aca="false">Z30+Z21-Z36</f>
        <v>329877.54875</v>
      </c>
      <c r="AA42" s="193" t="n">
        <f aca="false">AA30+AA21-AA36</f>
        <v>319236.3375</v>
      </c>
      <c r="AB42" s="193" t="n">
        <f aca="false">AB30+AB21-AB36</f>
        <v>321281.461875</v>
      </c>
      <c r="AD42" s="19" t="s">
        <v>299</v>
      </c>
      <c r="AE42" s="193" t="n">
        <f aca="false">AE30+AE21-AE36</f>
        <v>321281.461875</v>
      </c>
      <c r="AF42" s="193" t="n">
        <f aca="false">AF30+AF21-AF36</f>
        <v>290189.7075</v>
      </c>
      <c r="AG42" s="193" t="n">
        <f aca="false">AG30+AG21-AG36</f>
        <v>321281.461875</v>
      </c>
      <c r="AH42" s="193" t="n">
        <f aca="false">AH30+AH21-AH36</f>
        <v>310917.54375</v>
      </c>
      <c r="AI42" s="193" t="n">
        <f aca="false">AI30+AI21-AI36</f>
        <v>321281.461875</v>
      </c>
      <c r="AJ42" s="193" t="n">
        <f aca="false">AJ30+AJ21-AJ36</f>
        <v>302264.5875</v>
      </c>
      <c r="AK42" s="193" t="n">
        <f aca="false">AK30+AK21-AK36</f>
        <v>312340.07375</v>
      </c>
      <c r="AL42" s="193" t="n">
        <f aca="false">AL30+AL21-AL36</f>
        <v>312340.07375</v>
      </c>
      <c r="AM42" s="193" t="n">
        <f aca="false">AM30+AM21-AM36</f>
        <v>302264.5875</v>
      </c>
      <c r="AN42" s="193" t="n">
        <f aca="false">AN30+AN21-AN36</f>
        <v>312340.07375</v>
      </c>
      <c r="AO42" s="193" t="n">
        <f aca="false">AO30+AO21-AO36</f>
        <v>302264.5875</v>
      </c>
      <c r="AP42" s="193" t="n">
        <f aca="false">AP30+AP21-AP36</f>
        <v>303039.0275</v>
      </c>
    </row>
    <row r="43" customFormat="false" ht="13.2" hidden="true" customHeight="false" outlineLevel="0" collapsed="false">
      <c r="B43" s="19" t="s">
        <v>300</v>
      </c>
      <c r="C43" s="193" t="n">
        <f aca="false">C31+C22-C37</f>
        <v>14428.1970659722</v>
      </c>
      <c r="D43" s="193" t="n">
        <f aca="false">D31+D22-D37</f>
        <v>13031.9199305556</v>
      </c>
      <c r="E43" s="193" t="n">
        <f aca="false">E31+E22-E37</f>
        <v>14428.1970659722</v>
      </c>
      <c r="F43" s="193" t="n">
        <f aca="false">F31+F22-F37</f>
        <v>13962.7713541667</v>
      </c>
      <c r="G43" s="193" t="n">
        <f aca="false">G31+G22-G37</f>
        <v>14428.1970659722</v>
      </c>
      <c r="H43" s="193" t="n">
        <f aca="false">H31+H22-H37</f>
        <v>13661.2915104167</v>
      </c>
      <c r="I43" s="193" t="n">
        <f aca="false">I31+I22-I37</f>
        <v>14116.6678940972</v>
      </c>
      <c r="J43" s="193" t="n">
        <f aca="false">J31+J22-J37</f>
        <v>14116.6678940972</v>
      </c>
      <c r="K43" s="193" t="n">
        <f aca="false">K31+K22-K37</f>
        <v>13661.2915104167</v>
      </c>
      <c r="L43" s="193" t="n">
        <f aca="false">L31+L22-L37</f>
        <v>14116.6678940972</v>
      </c>
      <c r="M43" s="193" t="n">
        <f aca="false">M31+M22-M37</f>
        <v>13661.2915104167</v>
      </c>
      <c r="N43" s="193" t="n">
        <f aca="false">N31+N22-N37</f>
        <v>13792.6156909722</v>
      </c>
      <c r="P43" s="19" t="s">
        <v>300</v>
      </c>
      <c r="Q43" s="193" t="n">
        <f aca="false">Q31+Q22-Q37</f>
        <v>13792.6156909722</v>
      </c>
      <c r="R43" s="193" t="n">
        <f aca="false">R31+R22-R37</f>
        <v>12457.8464305556</v>
      </c>
      <c r="S43" s="193" t="n">
        <f aca="false">S31+S22-S37</f>
        <v>13792.6156909722</v>
      </c>
      <c r="T43" s="193" t="n">
        <f aca="false">T31+T22-T37</f>
        <v>13347.6926041667</v>
      </c>
      <c r="U43" s="193" t="n">
        <f aca="false">U31+U22-U37</f>
        <v>13792.6156909722</v>
      </c>
      <c r="V43" s="193" t="n">
        <f aca="false">V31+V22-V37</f>
        <v>13021.4805729167</v>
      </c>
      <c r="W43" s="193" t="n">
        <f aca="false">W31+W22-W37</f>
        <v>13455.5299253472</v>
      </c>
      <c r="X43" s="193" t="n">
        <f aca="false">X31+X22-X37</f>
        <v>13455.5299253472</v>
      </c>
      <c r="Y43" s="193" t="n">
        <f aca="false">Y31+Y22-Y37</f>
        <v>13021.4805729167</v>
      </c>
      <c r="Z43" s="193" t="n">
        <f aca="false">Z31+Z22-Z37</f>
        <v>13455.5299253472</v>
      </c>
      <c r="AA43" s="193" t="n">
        <f aca="false">AA31+AA22-AA37</f>
        <v>13021.4805729167</v>
      </c>
      <c r="AB43" s="193" t="n">
        <f aca="false">AB31+AB22-AB37</f>
        <v>13101.8969409722</v>
      </c>
      <c r="AD43" s="19" t="s">
        <v>300</v>
      </c>
      <c r="AE43" s="193" t="n">
        <f aca="false">AE31+AE22-AE37</f>
        <v>13101.8969409722</v>
      </c>
      <c r="AF43" s="193" t="n">
        <f aca="false">AF31+AF22-AF37</f>
        <v>11833.9714305556</v>
      </c>
      <c r="AG43" s="193" t="n">
        <f aca="false">AG31+AG22-AG37</f>
        <v>13101.8969409722</v>
      </c>
      <c r="AH43" s="193" t="n">
        <f aca="false">AH31+AH22-AH37</f>
        <v>12679.2551041667</v>
      </c>
      <c r="AI43" s="193" t="n">
        <f aca="false">AI31+AI22-AI37</f>
        <v>13101.8969409722</v>
      </c>
      <c r="AJ43" s="193" t="n">
        <f aca="false">AJ31+AJ22-AJ37</f>
        <v>12326.3055729167</v>
      </c>
      <c r="AK43" s="193" t="n">
        <f aca="false">AK31+AK22-AK37</f>
        <v>12737.1824253472</v>
      </c>
      <c r="AL43" s="193" t="n">
        <f aca="false">AL31+AL22-AL37</f>
        <v>12737.1824253472</v>
      </c>
      <c r="AM43" s="193" t="n">
        <f aca="false">AM31+AM22-AM37</f>
        <v>12326.3055729167</v>
      </c>
      <c r="AN43" s="193" t="n">
        <f aca="false">AN31+AN22-AN37</f>
        <v>12737.1824253472</v>
      </c>
      <c r="AO43" s="193" t="n">
        <f aca="false">AO31+AO22-AO37</f>
        <v>12326.3055729167</v>
      </c>
      <c r="AP43" s="193" t="n">
        <f aca="false">AP31+AP22-AP37</f>
        <v>12357.7976440972</v>
      </c>
    </row>
    <row r="44" customFormat="false" ht="13.2" hidden="true" customHeight="false" outlineLevel="0" collapsed="false">
      <c r="B44" s="19" t="s">
        <v>302</v>
      </c>
      <c r="C44" s="193" t="n">
        <f aca="false">C32+C23-C38</f>
        <v>69827.023125</v>
      </c>
      <c r="D44" s="193" t="n">
        <f aca="false">D32+D23-D38</f>
        <v>85722.605625</v>
      </c>
      <c r="E44" s="193" t="n">
        <f aca="false">E32+E23-E38</f>
        <v>0</v>
      </c>
      <c r="F44" s="193" t="n">
        <f aca="false">F32+F23-F38</f>
        <v>17030.98125</v>
      </c>
      <c r="G44" s="193" t="n">
        <f aca="false">G32+G23-G38</f>
        <v>34629.661875</v>
      </c>
      <c r="H44" s="193" t="n">
        <f aca="false">H32+H23-H38</f>
        <v>51660.643125</v>
      </c>
      <c r="I44" s="193" t="n">
        <f aca="false">I32+I23-I38</f>
        <v>69259.32375</v>
      </c>
      <c r="J44" s="193" t="n">
        <f aca="false">J32+J23-J38</f>
        <v>86858.004375</v>
      </c>
      <c r="K44" s="193" t="n">
        <f aca="false">K32+K23-K38</f>
        <v>0</v>
      </c>
      <c r="L44" s="193" t="n">
        <f aca="false">L32+L23-L38</f>
        <v>17598.680625</v>
      </c>
      <c r="M44" s="193" t="n">
        <f aca="false">M32+M23-M38</f>
        <v>34629.661875</v>
      </c>
      <c r="N44" s="193" t="n">
        <f aca="false">N32+N23-N38</f>
        <v>52228.3425</v>
      </c>
      <c r="P44" s="19" t="s">
        <v>302</v>
      </c>
      <c r="Q44" s="193" t="n">
        <f aca="false">Q32+Q23-Q38</f>
        <v>69827.023125</v>
      </c>
      <c r="R44" s="193" t="n">
        <f aca="false">R32+R23-R38</f>
        <v>85722.605625</v>
      </c>
      <c r="S44" s="193" t="n">
        <f aca="false">S32+S23-S38</f>
        <v>0</v>
      </c>
      <c r="T44" s="193" t="n">
        <f aca="false">T32+T23-T38</f>
        <v>17030.98125</v>
      </c>
      <c r="U44" s="193" t="n">
        <f aca="false">U32+U23-U38</f>
        <v>34629.661875</v>
      </c>
      <c r="V44" s="193" t="n">
        <f aca="false">V32+V23-V38</f>
        <v>51660.643125</v>
      </c>
      <c r="W44" s="193" t="n">
        <f aca="false">W32+W23-W38</f>
        <v>69259.32375</v>
      </c>
      <c r="X44" s="193" t="n">
        <f aca="false">X32+X23-X38</f>
        <v>86858.004375</v>
      </c>
      <c r="Y44" s="193" t="n">
        <f aca="false">Y32+Y23-Y38</f>
        <v>0</v>
      </c>
      <c r="Z44" s="193" t="n">
        <f aca="false">Z32+Z23-Z38</f>
        <v>17598.680625</v>
      </c>
      <c r="AA44" s="193" t="n">
        <f aca="false">AA32+AA23-AA38</f>
        <v>34629.661875</v>
      </c>
      <c r="AB44" s="193" t="n">
        <f aca="false">AB32+AB23-AB38</f>
        <v>52228.3425</v>
      </c>
      <c r="AD44" s="19" t="s">
        <v>302</v>
      </c>
      <c r="AE44" s="193" t="n">
        <f aca="false">AE32+AE23-AE38</f>
        <v>69827.023125</v>
      </c>
      <c r="AF44" s="193" t="n">
        <f aca="false">AF32+AF23-AF38</f>
        <v>85722.605625</v>
      </c>
      <c r="AG44" s="193" t="n">
        <f aca="false">AG32+AG23-AG38</f>
        <v>0</v>
      </c>
      <c r="AH44" s="193" t="n">
        <f aca="false">AH32+AH23-AH38</f>
        <v>17030.98125</v>
      </c>
      <c r="AI44" s="193" t="n">
        <f aca="false">AI32+AI23-AI38</f>
        <v>34629.661875</v>
      </c>
      <c r="AJ44" s="193" t="n">
        <f aca="false">AJ32+AJ23-AJ38</f>
        <v>51660.643125</v>
      </c>
      <c r="AK44" s="193" t="n">
        <f aca="false">AK32+AK23-AK38</f>
        <v>69259.32375</v>
      </c>
      <c r="AL44" s="193" t="n">
        <f aca="false">AL32+AL23-AL38</f>
        <v>86858.004375</v>
      </c>
      <c r="AM44" s="193" t="n">
        <f aca="false">AM32+AM23-AM38</f>
        <v>0</v>
      </c>
      <c r="AN44" s="193" t="n">
        <f aca="false">AN32+AN23-AN38</f>
        <v>17598.680625</v>
      </c>
      <c r="AO44" s="193" t="n">
        <f aca="false">AO32+AO23-AO38</f>
        <v>34629.661875</v>
      </c>
      <c r="AP44" s="193" t="n">
        <f aca="false">AP32+AP23-AP38</f>
        <v>52228.3425</v>
      </c>
    </row>
    <row r="45" customFormat="false" ht="13.2" hidden="true" customHeight="false" outlineLevel="0" collapsed="false">
      <c r="C45" s="202" t="n">
        <f aca="false">SUM(C42:C44)</f>
        <v>437978.802065972</v>
      </c>
      <c r="D45" s="202" t="n">
        <f aca="false">SUM(D42:D44)</f>
        <v>418246.793055556</v>
      </c>
      <c r="E45" s="202" t="n">
        <f aca="false">SUM(E42:E44)</f>
        <v>368151.778940972</v>
      </c>
      <c r="F45" s="202" t="n">
        <f aca="false">SUM(F42:F44)</f>
        <v>373306.896354167</v>
      </c>
      <c r="G45" s="202" t="n">
        <f aca="false">SUM(G42:G44)</f>
        <v>402781.440815972</v>
      </c>
      <c r="H45" s="202" t="n">
        <f aca="false">SUM(H42:H44)</f>
        <v>400243.959635417</v>
      </c>
      <c r="I45" s="202" t="n">
        <f aca="false">SUM(I42:I44)</f>
        <v>429462.084144097</v>
      </c>
      <c r="J45" s="202" t="n">
        <f aca="false">SUM(J42:J44)</f>
        <v>447060.764769097</v>
      </c>
      <c r="K45" s="202" t="n">
        <f aca="false">SUM(K42:K44)</f>
        <v>348583.316510417</v>
      </c>
      <c r="L45" s="202" t="n">
        <f aca="false">SUM(L42:L44)</f>
        <v>377801.441019097</v>
      </c>
      <c r="M45" s="202" t="n">
        <f aca="false">SUM(M42:M44)</f>
        <v>383212.978385417</v>
      </c>
      <c r="N45" s="202" t="n">
        <f aca="false">SUM(N42:N44)</f>
        <v>404162.545065972</v>
      </c>
      <c r="Q45" s="202" t="n">
        <f aca="false">SUM(Q42:Q44)</f>
        <v>421761.225690972</v>
      </c>
      <c r="R45" s="202" t="n">
        <f aca="false">SUM(R42:R44)</f>
        <v>403598.659555556</v>
      </c>
      <c r="S45" s="202" t="n">
        <f aca="false">SUM(S42:S44)</f>
        <v>351934.202565972</v>
      </c>
      <c r="T45" s="202" t="n">
        <f aca="false">SUM(T42:T44)</f>
        <v>357612.467604167</v>
      </c>
      <c r="U45" s="202" t="n">
        <f aca="false">SUM(U42:U44)</f>
        <v>386563.864440972</v>
      </c>
      <c r="V45" s="202" t="n">
        <f aca="false">SUM(V42:V44)</f>
        <v>383918.461197917</v>
      </c>
      <c r="W45" s="202" t="n">
        <f aca="false">SUM(W42:W44)</f>
        <v>412592.402425347</v>
      </c>
      <c r="X45" s="202" t="n">
        <f aca="false">SUM(X42:X44)</f>
        <v>430191.083050347</v>
      </c>
      <c r="Y45" s="202" t="n">
        <f aca="false">SUM(Y42:Y44)</f>
        <v>332257.818072917</v>
      </c>
      <c r="Z45" s="202" t="n">
        <f aca="false">SUM(Z42:Z44)</f>
        <v>360931.759300347</v>
      </c>
      <c r="AA45" s="202" t="n">
        <f aca="false">SUM(AA42:AA44)</f>
        <v>366887.479947917</v>
      </c>
      <c r="AB45" s="202" t="n">
        <f aca="false">SUM(AB42:AB44)</f>
        <v>386611.701315972</v>
      </c>
      <c r="AE45" s="202" t="n">
        <f aca="false">SUM(AE42:AE44)</f>
        <v>404210.381940972</v>
      </c>
      <c r="AF45" s="202" t="n">
        <f aca="false">SUM(AF42:AF44)</f>
        <v>387746.284555556</v>
      </c>
      <c r="AG45" s="202" t="n">
        <f aca="false">SUM(AG42:AG44)</f>
        <v>334383.358815972</v>
      </c>
      <c r="AH45" s="202" t="n">
        <f aca="false">SUM(AH42:AH44)</f>
        <v>340627.780104167</v>
      </c>
      <c r="AI45" s="202" t="n">
        <f aca="false">SUM(AI42:AI44)</f>
        <v>369013.020690972</v>
      </c>
      <c r="AJ45" s="202" t="n">
        <f aca="false">SUM(AJ42:AJ44)</f>
        <v>366251.536197917</v>
      </c>
      <c r="AK45" s="202" t="n">
        <f aca="false">SUM(AK42:AK44)</f>
        <v>394336.579925347</v>
      </c>
      <c r="AL45" s="202" t="n">
        <f aca="false">SUM(AL42:AL44)</f>
        <v>411935.260550347</v>
      </c>
      <c r="AM45" s="202" t="n">
        <f aca="false">SUM(AM42:AM44)</f>
        <v>314590.893072917</v>
      </c>
      <c r="AN45" s="202" t="n">
        <f aca="false">SUM(AN42:AN44)</f>
        <v>342675.936800347</v>
      </c>
      <c r="AO45" s="202" t="n">
        <f aca="false">SUM(AO42:AO44)</f>
        <v>349220.554947917</v>
      </c>
      <c r="AP45" s="202" t="n">
        <f aca="false">SUM(AP42:AP44)</f>
        <v>367625.167644097</v>
      </c>
    </row>
    <row r="46" customFormat="false" ht="13.2" hidden="true" customHeight="false" outlineLevel="0" collapsed="false"/>
    <row r="47" customFormat="false" ht="13.2" hidden="true" customHeight="false" outlineLevel="0" collapsed="false"/>
    <row r="48" customFormat="false" ht="13.2" hidden="true" customHeight="false" outlineLevel="0" collapsed="false">
      <c r="B48" s="19" t="s">
        <v>309</v>
      </c>
      <c r="C48" s="138" t="n">
        <f aca="false">C33+C25-C39-C45</f>
        <v>0</v>
      </c>
      <c r="D48" s="138" t="n">
        <f aca="false">D33+D25-D39-D45</f>
        <v>0</v>
      </c>
      <c r="E48" s="138" t="n">
        <f aca="false">E33+E25-E39-E45</f>
        <v>0</v>
      </c>
      <c r="F48" s="138" t="n">
        <f aca="false">F33+F25-F39-F45</f>
        <v>24999.9999999999</v>
      </c>
      <c r="G48" s="138" t="n">
        <f aca="false">G33+G25-G39-G45</f>
        <v>0</v>
      </c>
      <c r="H48" s="138" t="n">
        <f aca="false">H33+H25-H39-H45</f>
        <v>0</v>
      </c>
      <c r="I48" s="138" t="n">
        <f aca="false">I33+I25-I39-I45</f>
        <v>0</v>
      </c>
      <c r="J48" s="138" t="n">
        <f aca="false">J33+J25-J39-J45</f>
        <v>0</v>
      </c>
      <c r="K48" s="138" t="n">
        <f aca="false">K33+K25-K39-K45</f>
        <v>0</v>
      </c>
      <c r="L48" s="138" t="n">
        <f aca="false">L33+L25-L39-L45</f>
        <v>0</v>
      </c>
      <c r="M48" s="138" t="n">
        <f aca="false">M33+M25-M39-M45</f>
        <v>0</v>
      </c>
      <c r="N48" s="138" t="n">
        <f aca="false">N33+N25-N39-N45</f>
        <v>0</v>
      </c>
      <c r="P48" s="19" t="s">
        <v>309</v>
      </c>
      <c r="Q48" s="138" t="n">
        <f aca="false">Q33+Q25-Q39-Q45</f>
        <v>0</v>
      </c>
      <c r="R48" s="138" t="n">
        <f aca="false">R33+R25-R39-R45</f>
        <v>0</v>
      </c>
      <c r="S48" s="138" t="n">
        <f aca="false">S33+S25-S39-S45</f>
        <v>0</v>
      </c>
      <c r="T48" s="138" t="n">
        <f aca="false">T33+T25-T39-T45</f>
        <v>25000</v>
      </c>
      <c r="U48" s="138" t="n">
        <f aca="false">U33+U25-U39-U45</f>
        <v>0</v>
      </c>
      <c r="V48" s="138" t="n">
        <f aca="false">V33+V25-V39-V45</f>
        <v>0</v>
      </c>
      <c r="W48" s="138" t="n">
        <f aca="false">W33+W25-W39-W45</f>
        <v>0</v>
      </c>
      <c r="X48" s="138" t="n">
        <f aca="false">X33+X25-X39-X45</f>
        <v>0</v>
      </c>
      <c r="Y48" s="138" t="n">
        <f aca="false">Y33+Y25-Y39-Y45</f>
        <v>0</v>
      </c>
      <c r="Z48" s="138" t="n">
        <f aca="false">Z33+Z25-Z39-Z45</f>
        <v>0</v>
      </c>
      <c r="AA48" s="138" t="n">
        <f aca="false">AA33+AA25-AA39-AA45</f>
        <v>0</v>
      </c>
      <c r="AB48" s="138" t="n">
        <f aca="false">AB33+AB25-AB39-AB45</f>
        <v>0</v>
      </c>
      <c r="AD48" s="19" t="s">
        <v>309</v>
      </c>
      <c r="AE48" s="138" t="n">
        <f aca="false">AE33+AE25-AE39-AE45</f>
        <v>0</v>
      </c>
      <c r="AF48" s="138" t="n">
        <f aca="false">AF33+AF25-AF39-AF45</f>
        <v>0</v>
      </c>
      <c r="AG48" s="138" t="n">
        <f aca="false">AG33+AG25-AG39-AG45</f>
        <v>0</v>
      </c>
      <c r="AH48" s="138" t="n">
        <f aca="false">AH33+AH25-AH39-AH45</f>
        <v>25000</v>
      </c>
      <c r="AI48" s="138" t="n">
        <f aca="false">AI33+AI25-AI39-AI45</f>
        <v>0</v>
      </c>
      <c r="AJ48" s="138" t="n">
        <f aca="false">AJ33+AJ25-AJ39-AJ45</f>
        <v>0</v>
      </c>
      <c r="AK48" s="138" t="n">
        <f aca="false">AK33+AK25-AK39-AK45</f>
        <v>0</v>
      </c>
      <c r="AL48" s="138" t="n">
        <f aca="false">AL33+AL25-AL39-AL45</f>
        <v>0</v>
      </c>
      <c r="AM48" s="138" t="n">
        <f aca="false">AM33+AM25-AM39-AM45</f>
        <v>0</v>
      </c>
      <c r="AN48" s="138" t="n">
        <f aca="false">AN33+AN25-AN39-AN45</f>
        <v>0</v>
      </c>
      <c r="AO48" s="138" t="n">
        <f aca="false">AO33+AO25-AO39-AO45</f>
        <v>0</v>
      </c>
      <c r="AP48" s="138" t="n">
        <f aca="false">AP33+AP25-AP39-AP45</f>
        <v>0</v>
      </c>
    </row>
    <row r="49" customFormat="false" ht="13.2" hidden="true" customHeight="false" outlineLevel="0" collapsed="false"/>
    <row r="50" customFormat="false" ht="13.2" hidden="true" customHeight="false" outlineLevel="0" collapsed="false"/>
    <row r="51" customFormat="false" ht="13.2" hidden="true" customHeight="false" outlineLevel="0" collapsed="false">
      <c r="B51" s="19" t="s">
        <v>310</v>
      </c>
      <c r="P51" s="19" t="s">
        <v>310</v>
      </c>
      <c r="AD51" s="19" t="s">
        <v>310</v>
      </c>
    </row>
    <row r="52" customFormat="false" ht="13.2" hidden="true" customHeight="false" outlineLevel="0" collapsed="false"/>
    <row r="53" customFormat="false" ht="13.2" hidden="true" customHeight="false" outlineLevel="0" collapsed="false">
      <c r="B53" s="21" t="s">
        <v>305</v>
      </c>
      <c r="P53" s="21" t="s">
        <v>305</v>
      </c>
      <c r="AD53" s="21" t="s">
        <v>305</v>
      </c>
    </row>
    <row r="54" customFormat="false" ht="13.2" hidden="true" customHeight="false" outlineLevel="0" collapsed="false"/>
    <row r="55" customFormat="false" ht="13.2" hidden="true" customHeight="false" outlineLevel="0" collapsed="false">
      <c r="C55" s="37" t="s">
        <v>41</v>
      </c>
      <c r="D55" s="37" t="s">
        <v>42</v>
      </c>
      <c r="E55" s="37" t="s">
        <v>43</v>
      </c>
      <c r="F55" s="37" t="s">
        <v>44</v>
      </c>
      <c r="G55" s="37" t="s">
        <v>45</v>
      </c>
      <c r="H55" s="37" t="s">
        <v>46</v>
      </c>
      <c r="I55" s="37" t="s">
        <v>47</v>
      </c>
      <c r="J55" s="37" t="s">
        <v>48</v>
      </c>
      <c r="K55" s="37" t="s">
        <v>49</v>
      </c>
      <c r="L55" s="37" t="s">
        <v>50</v>
      </c>
      <c r="M55" s="37" t="s">
        <v>51</v>
      </c>
      <c r="N55" s="37" t="s">
        <v>52</v>
      </c>
      <c r="Q55" s="37" t="s">
        <v>41</v>
      </c>
      <c r="R55" s="37" t="s">
        <v>42</v>
      </c>
      <c r="S55" s="37" t="s">
        <v>43</v>
      </c>
      <c r="T55" s="37" t="s">
        <v>44</v>
      </c>
      <c r="U55" s="37" t="s">
        <v>45</v>
      </c>
      <c r="V55" s="37" t="s">
        <v>46</v>
      </c>
      <c r="W55" s="37" t="s">
        <v>47</v>
      </c>
      <c r="X55" s="37" t="s">
        <v>48</v>
      </c>
      <c r="Y55" s="37" t="s">
        <v>49</v>
      </c>
      <c r="Z55" s="37" t="s">
        <v>50</v>
      </c>
      <c r="AA55" s="37" t="s">
        <v>51</v>
      </c>
      <c r="AB55" s="37" t="s">
        <v>52</v>
      </c>
      <c r="AE55" s="37" t="s">
        <v>41</v>
      </c>
      <c r="AF55" s="37" t="s">
        <v>42</v>
      </c>
      <c r="AG55" s="37" t="s">
        <v>43</v>
      </c>
      <c r="AH55" s="37" t="s">
        <v>44</v>
      </c>
      <c r="AI55" s="37" t="s">
        <v>45</v>
      </c>
      <c r="AJ55" s="37" t="s">
        <v>46</v>
      </c>
      <c r="AK55" s="37" t="s">
        <v>47</v>
      </c>
      <c r="AL55" s="37" t="s">
        <v>48</v>
      </c>
      <c r="AM55" s="37" t="s">
        <v>49</v>
      </c>
      <c r="AN55" s="37" t="s">
        <v>50</v>
      </c>
      <c r="AO55" s="37" t="s">
        <v>51</v>
      </c>
      <c r="AP55" s="37" t="s">
        <v>52</v>
      </c>
    </row>
    <row r="56" customFormat="false" ht="13.2" hidden="true" customHeight="false" outlineLevel="0" collapsed="false">
      <c r="B56" s="203" t="s">
        <v>306</v>
      </c>
      <c r="C56" s="138" t="n">
        <f aca="false">C33*Factors!B11</f>
        <v>1806541.53388043</v>
      </c>
      <c r="D56" s="138" t="n">
        <f aca="false">C64</f>
        <v>1884805.14214391</v>
      </c>
      <c r="E56" s="138" t="n">
        <f aca="false">D64</f>
        <v>1802406.41502868</v>
      </c>
      <c r="F56" s="138" t="n">
        <f aca="false">E64</f>
        <v>1588740.25573118</v>
      </c>
      <c r="G56" s="138" t="n">
        <f aca="false">F64</f>
        <v>1613232.85110819</v>
      </c>
      <c r="H56" s="138" t="n">
        <f aca="false">G64</f>
        <v>1743029.3545089</v>
      </c>
      <c r="I56" s="138" t="n">
        <f aca="false">H64</f>
        <v>1734456.46263119</v>
      </c>
      <c r="J56" s="138" t="n">
        <f aca="false">I64</f>
        <v>1863656.94993277</v>
      </c>
      <c r="K56" s="138" t="n">
        <f aca="false">J64</f>
        <v>1942716.35854053</v>
      </c>
      <c r="L56" s="138" t="n">
        <f aca="false">K64</f>
        <v>1516876.76887095</v>
      </c>
      <c r="M56" s="138" t="n">
        <f aca="false">L64</f>
        <v>1646293.80741237</v>
      </c>
      <c r="N56" s="138" t="n">
        <f aca="false">M64</f>
        <v>1672180.47289452</v>
      </c>
      <c r="P56" s="203" t="s">
        <v>306</v>
      </c>
      <c r="Q56" s="138" t="n">
        <f aca="false">Q33*Factors!P11</f>
        <v>0</v>
      </c>
      <c r="R56" s="138" t="n">
        <f aca="false">Q64</f>
        <v>1842926.29969796</v>
      </c>
      <c r="S56" s="138" t="n">
        <f aca="false">R64</f>
        <v>1770911.39762402</v>
      </c>
      <c r="T56" s="138" t="n">
        <f aca="false">S64</f>
        <v>1550625.48305119</v>
      </c>
      <c r="U56" s="138" t="n">
        <f aca="false">T64</f>
        <v>1582154.89895965</v>
      </c>
      <c r="V56" s="138" t="n">
        <f aca="false">U64</f>
        <v>1717280.17349802</v>
      </c>
      <c r="W56" s="138" t="n">
        <f aca="false">V64</f>
        <v>1712518.04304778</v>
      </c>
      <c r="X56" s="138" t="n">
        <f aca="false">W64</f>
        <v>1847933.7993802</v>
      </c>
      <c r="Y56" s="138" t="n">
        <f aca="false">X64</f>
        <v>1934587.74678426</v>
      </c>
      <c r="Z56" s="138" t="n">
        <f aca="false">Y64</f>
        <v>1500226.95711407</v>
      </c>
      <c r="AA56" s="138" t="n">
        <f aca="false">Z64</f>
        <v>1636268.3154803</v>
      </c>
      <c r="AB56" s="138" t="n">
        <f aca="false">AA64</f>
        <v>1669948.10649426</v>
      </c>
      <c r="AD56" s="203" t="s">
        <v>306</v>
      </c>
      <c r="AE56" s="138" t="n">
        <f aca="false">AE33*Factors!AD11</f>
        <v>0</v>
      </c>
      <c r="AF56" s="138" t="n">
        <f aca="false">AE64</f>
        <v>0</v>
      </c>
      <c r="AG56" s="138" t="n">
        <f aca="false">AF64</f>
        <v>1779009.47499201</v>
      </c>
      <c r="AH56" s="138" t="n">
        <f aca="false">AG64</f>
        <v>1540568.710146</v>
      </c>
      <c r="AI56" s="138" t="n">
        <f aca="false">AH64</f>
        <v>1575849.74073087</v>
      </c>
      <c r="AJ56" s="138" t="n">
        <f aca="false">AI64</f>
        <v>1714223.08203184</v>
      </c>
      <c r="AK56" s="138" t="n">
        <f aca="false">AJ64</f>
        <v>1708396.43188639</v>
      </c>
      <c r="AL56" s="138" t="n">
        <f aca="false">AK64</f>
        <v>1846938.88215541</v>
      </c>
      <c r="AM56" s="138" t="n">
        <f aca="false">AL64</f>
        <v>1937240.09697069</v>
      </c>
      <c r="AN56" s="138" t="n">
        <f aca="false">AM64</f>
        <v>1485465.17237651</v>
      </c>
      <c r="AO56" s="138" t="n">
        <f aca="false">AN64</f>
        <v>1624630.73094896</v>
      </c>
      <c r="AP56" s="138" t="n">
        <f aca="false">AO64</f>
        <v>1662334.88789561</v>
      </c>
    </row>
    <row r="57" customFormat="false" ht="13.2" hidden="true" customHeight="false" outlineLevel="0" collapsed="false">
      <c r="B57" s="204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P57" s="204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D57" s="204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</row>
    <row r="58" customFormat="false" ht="13.2" hidden="true" customHeight="false" outlineLevel="0" collapsed="false">
      <c r="B58" s="21" t="s">
        <v>311</v>
      </c>
      <c r="C58" s="38" t="n">
        <f aca="false">Interest!C25*Factors!C11</f>
        <v>1660044.83857372</v>
      </c>
      <c r="D58" s="38" t="n">
        <f aca="false">Interest!D25*Factors!D11</f>
        <v>1501491.55683361</v>
      </c>
      <c r="E58" s="38" t="n">
        <f aca="false">Interest!E25*Factors!E11</f>
        <v>1664686.46584355</v>
      </c>
      <c r="F58" s="38" t="n">
        <f aca="false">Interest!F25*Factors!F11</f>
        <v>1721269.48710819</v>
      </c>
      <c r="G58" s="38" t="n">
        <f aca="false">Interest!G25*Factors!G11</f>
        <v>1669328.09311338</v>
      </c>
      <c r="H58" s="38" t="n">
        <f aca="false">Interest!H25*Factors!H11</f>
        <v>1584388.88661446</v>
      </c>
      <c r="I58" s="38" t="n">
        <f aca="false">Interest!I25*Factors!I11</f>
        <v>1639474.8389793</v>
      </c>
      <c r="J58" s="38" t="n">
        <f aca="false">Interest!J25*Factors!J11</f>
        <v>1641747.82845699</v>
      </c>
      <c r="K58" s="38" t="n">
        <f aca="false">Interest!K25*Factors!K11</f>
        <v>1590987.88832388</v>
      </c>
      <c r="L58" s="38" t="n">
        <f aca="false">Interest!L25*Factors!L11</f>
        <v>1646293.80741237</v>
      </c>
      <c r="M58" s="38" t="n">
        <f aca="false">Interest!M25*Factors!M11</f>
        <v>1595387.22279683</v>
      </c>
      <c r="N58" s="38" t="n">
        <f aca="false">Interest!N25*Factors!N11</f>
        <v>1614709.52651026</v>
      </c>
      <c r="P58" s="21" t="s">
        <v>311</v>
      </c>
      <c r="Q58" s="38" t="n">
        <f aca="false">Interest!Q25*Factors!Q11</f>
        <v>1614709.52651026</v>
      </c>
      <c r="R58" s="38" t="n">
        <f aca="false">Interest!R25*Factors!R11</f>
        <v>1464524.17807678</v>
      </c>
      <c r="S58" s="38" t="n">
        <f aca="false">Interest!S25*Factors!S11</f>
        <v>1628165.43923118</v>
      </c>
      <c r="T58" s="38" t="n">
        <f aca="false">Interest!T25*Factors!T11</f>
        <v>1692760.30580965</v>
      </c>
      <c r="U58" s="38" t="n">
        <f aca="false">Interest!U25*Factors!U11</f>
        <v>1641621.3519521</v>
      </c>
      <c r="V58" s="38" t="n">
        <f aca="false">Interest!V25*Factors!V11</f>
        <v>1558047.94905819</v>
      </c>
      <c r="W58" s="38" t="n">
        <f aca="false">Interest!W25*Factors!W11</f>
        <v>1616554.23939017</v>
      </c>
      <c r="X58" s="38" t="n">
        <f aca="false">Interest!X25*Factors!X11</f>
        <v>1623125.59808688</v>
      </c>
      <c r="Y58" s="38" t="n">
        <f aca="false">Interest!Y25*Factors!Y11</f>
        <v>1577126.08720992</v>
      </c>
      <c r="Z58" s="38" t="n">
        <f aca="false">Interest!Z25*Factors!Z11</f>
        <v>1636268.3154803</v>
      </c>
      <c r="AA58" s="38" t="n">
        <f aca="false">Interest!AA25*Factors!AA11</f>
        <v>1589844.84597775</v>
      </c>
      <c r="AB58" s="38" t="n">
        <f aca="false">Interest!AB25*Factors!AB11</f>
        <v>1608511.98119204</v>
      </c>
      <c r="AD58" s="21" t="s">
        <v>311</v>
      </c>
      <c r="AE58" s="38" t="n">
        <f aca="false">Interest!AE25*Factors!AE11</f>
        <v>0</v>
      </c>
      <c r="AF58" s="38" t="n">
        <f aca="false">Interest!AF25*Factors!AF11</f>
        <v>1458637.77654428</v>
      </c>
      <c r="AG58" s="38" t="n">
        <f aca="false">Interest!AG25*Factors!AG11</f>
        <v>1621649.23044082</v>
      </c>
      <c r="AH58" s="38" t="n">
        <f aca="false">Interest!AH25*Factors!AH11</f>
        <v>1691507.49332587</v>
      </c>
      <c r="AI58" s="38" t="n">
        <f aca="false">Interest!AI25*Factors!AI11</f>
        <v>1635106.90040298</v>
      </c>
      <c r="AJ58" s="38" t="n">
        <f aca="false">Interest!AJ25*Factors!AJ11</f>
        <v>1546864.84788584</v>
      </c>
      <c r="AK58" s="38" t="n">
        <f aca="false">Interest!AK25*Factors!AK11</f>
        <v>1604977.93984877</v>
      </c>
      <c r="AL58" s="38" t="n">
        <f aca="false">Interest!AL25*Factors!AL11</f>
        <v>1611528.8702155</v>
      </c>
      <c r="AM58" s="38" t="n">
        <f aca="false">Interest!AM25*Factors!AM11</f>
        <v>1565883.6779828</v>
      </c>
      <c r="AN58" s="38" t="n">
        <f aca="false">Interest!AN25*Factors!AN11</f>
        <v>1624630.73094896</v>
      </c>
      <c r="AO58" s="38" t="n">
        <f aca="false">Interest!AO25*Factors!AO11</f>
        <v>1578562.89804744</v>
      </c>
      <c r="AP58" s="38" t="n">
        <f aca="false">Interest!AP25*Factors!AP11</f>
        <v>1591467.43064005</v>
      </c>
    </row>
    <row r="59" customFormat="false" ht="13.2" hidden="true" customHeight="false" outlineLevel="0" collapsed="false">
      <c r="B59" s="204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P59" s="204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D59" s="204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</row>
    <row r="60" customFormat="false" ht="13.2" hidden="true" customHeight="false" outlineLevel="0" collapsed="false">
      <c r="B60" s="203" t="s">
        <v>307</v>
      </c>
      <c r="C60" s="138" t="n">
        <f aca="false">C39*Factors!C11*-1</f>
        <v>-1584310.38845768</v>
      </c>
      <c r="D60" s="138" t="n">
        <f aca="false">D39*Factors!D11*-1</f>
        <v>-1586525.32209443</v>
      </c>
      <c r="E60" s="138" t="n">
        <f aca="false">E39*Factors!E11*-1</f>
        <v>-1880868.94841692</v>
      </c>
      <c r="F60" s="138" t="n">
        <f aca="false">F39*Factors!F11*-1</f>
        <v>-1590955.18936793</v>
      </c>
      <c r="G60" s="138" t="n">
        <f aca="false">G39*Factors!G11*-1</f>
        <v>-1541777.53839163</v>
      </c>
      <c r="H60" s="138" t="n">
        <f aca="false">H39*Factors!H11*-1</f>
        <v>-1595385.05664143</v>
      </c>
      <c r="I60" s="138" t="n">
        <f aca="false">I39*Factors!I11*-1</f>
        <v>-1512682.36342671</v>
      </c>
      <c r="J60" s="138" t="n">
        <f aca="false">J39*Factors!J11*-1</f>
        <v>-1565272.21835379</v>
      </c>
      <c r="K60" s="138" t="n">
        <f aca="false">K39*Factors!K11*-1</f>
        <v>-2019517.15649619</v>
      </c>
      <c r="L60" s="138" t="n">
        <f aca="false">L39*Factors!L11*-1</f>
        <v>-1518973.97159307</v>
      </c>
      <c r="M60" s="138" t="n">
        <f aca="false">M39*Factors!M11*-1</f>
        <v>-1571773.54679237</v>
      </c>
      <c r="N60" s="138" t="n">
        <f aca="false">N39*Factors!N11*-1</f>
        <v>-1523168.37703731</v>
      </c>
      <c r="P60" s="203" t="s">
        <v>307</v>
      </c>
      <c r="Q60" s="138" t="n">
        <f aca="false">Q39*Factors!Q11*-1</f>
        <v>-1537810.39641441</v>
      </c>
      <c r="R60" s="138" t="n">
        <f aca="false">R39*Factors!R11*-1</f>
        <v>-1544217.9397328</v>
      </c>
      <c r="S60" s="138" t="n">
        <f aca="false">S39*Factors!S11*-1</f>
        <v>-1855799.53387713</v>
      </c>
      <c r="T60" s="138" t="n">
        <f aca="false">T39*Factors!T11*-1</f>
        <v>-1557033.02636959</v>
      </c>
      <c r="U60" s="138" t="n">
        <f aca="false">U39*Factors!U11*-1</f>
        <v>-1513007.00292385</v>
      </c>
      <c r="V60" s="138" t="n">
        <f aca="false">V39*Factors!V11*-1</f>
        <v>-1569848.11300637</v>
      </c>
      <c r="W60" s="138" t="n">
        <f aca="false">W39*Factors!W11*-1</f>
        <v>-1488128.35262121</v>
      </c>
      <c r="X60" s="138" t="n">
        <f aca="false">X39*Factors!X11*-1</f>
        <v>-1543983.57669656</v>
      </c>
      <c r="Y60" s="138" t="n">
        <f aca="false">Y39*Factors!Y11*-1</f>
        <v>-2019319.21593592</v>
      </c>
      <c r="Z60" s="138" t="n">
        <f aca="false">Z39*Factors!Z11*-1</f>
        <v>-1506276.2593605</v>
      </c>
      <c r="AA60" s="138" t="n">
        <f aca="false">AA39*Factors!AA11*-1</f>
        <v>-1562736.41366049</v>
      </c>
      <c r="AB60" s="138" t="n">
        <f aca="false">AB39*Factors!AB11*-1</f>
        <v>-1518374.86385335</v>
      </c>
      <c r="AD60" s="203" t="s">
        <v>307</v>
      </c>
      <c r="AE60" s="138" t="n">
        <f aca="false">AE39*Factors!AE11*-1</f>
        <v>-0</v>
      </c>
      <c r="AF60" s="138" t="n">
        <f aca="false">AF39*Factors!AF11*-1</f>
        <v>-1534176.30885909</v>
      </c>
      <c r="AG60" s="138" t="n">
        <f aca="false">AG39*Factors!AG11*-1</f>
        <v>-1867502.53476596</v>
      </c>
      <c r="AH60" s="138" t="n">
        <f aca="false">AH39*Factors!AH11*-1</f>
        <v>-1546961.11143291</v>
      </c>
      <c r="AI60" s="138" t="n">
        <f aca="false">AI39*Factors!AI11*-1</f>
        <v>-1503245.33489016</v>
      </c>
      <c r="AJ60" s="138" t="n">
        <f aca="false">AJ39*Factors!AJ11*-1</f>
        <v>-1559745.91400674</v>
      </c>
      <c r="AK60" s="138" t="n">
        <f aca="false">AK39*Factors!AK11*-1</f>
        <v>-1473437.11430059</v>
      </c>
      <c r="AL60" s="138" t="n">
        <f aca="false">AL39*Factors!AL11*-1</f>
        <v>-1528766.18144983</v>
      </c>
      <c r="AM60" s="138" t="n">
        <f aca="false">AM39*Factors!AM11*-1</f>
        <v>-2025533.56232077</v>
      </c>
      <c r="AN60" s="138" t="n">
        <f aca="false">AN39*Factors!AN11*-1</f>
        <v>-1491479.20141447</v>
      </c>
      <c r="AO60" s="138" t="n">
        <f aca="false">AO39*Factors!AO11*-1</f>
        <v>-1547409.67146751</v>
      </c>
      <c r="AP60" s="138" t="n">
        <f aca="false">AP39*Factors!AP11*-1</f>
        <v>-1503507.25949039</v>
      </c>
    </row>
    <row r="61" customFormat="false" ht="13.2" hidden="true" customHeight="false" outlineLevel="0" collapsed="false">
      <c r="B61" s="204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P61" s="204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D61" s="204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</row>
    <row r="62" customFormat="false" ht="13.2" hidden="true" customHeight="false" outlineLevel="0" collapsed="false">
      <c r="B62" s="88" t="s">
        <v>312</v>
      </c>
      <c r="C62" s="138" t="n">
        <f aca="false">(C56+C58+C60-C64)*-1</f>
        <v>2529.15814743261</v>
      </c>
      <c r="D62" s="138" t="n">
        <f aca="false">(D56+D58+D60-D64)*-1</f>
        <v>2635.03814559756</v>
      </c>
      <c r="E62" s="138" t="n">
        <f aca="false">(E56+E58+E60-E64)*-1</f>
        <v>2516.32327586762</v>
      </c>
      <c r="F62" s="138" t="n">
        <f aca="false">(F56+F58+F60-F64)*-1</f>
        <v>-105821.702363251</v>
      </c>
      <c r="G62" s="138" t="n">
        <f aca="false">(G56+G58+G60-G64)*-1</f>
        <v>2245.94867894938</v>
      </c>
      <c r="H62" s="138" t="n">
        <f aca="false">(H56+H58+H60-H64)*-1</f>
        <v>2423.27814926789</v>
      </c>
      <c r="I62" s="138" t="n">
        <f aca="false">(I56+I58+I60-I64)*-1</f>
        <v>2408.01174899214</v>
      </c>
      <c r="J62" s="138" t="n">
        <f aca="false">(J56+J58+J60-J64)*-1</f>
        <v>2583.79850456142</v>
      </c>
      <c r="K62" s="138" t="n">
        <f aca="false">(K56+K58+K60-K64)*-1</f>
        <v>2689.67850272614</v>
      </c>
      <c r="L62" s="138" t="n">
        <f aca="false">(L56+L58+L60-L64)*-1</f>
        <v>2097.20272212103</v>
      </c>
      <c r="M62" s="138" t="n">
        <f aca="false">(M56+M58+M60-M64)*-1</f>
        <v>2272.98947768938</v>
      </c>
      <c r="N62" s="138" t="n">
        <f aca="false">(N56+N58+N60-N64)*-1</f>
        <v>2305.54723463953</v>
      </c>
      <c r="P62" s="88" t="s">
        <v>312</v>
      </c>
      <c r="Q62" s="138" t="n">
        <f aca="false">(Q56+Q58+Q60-Q64)*-1</f>
        <v>1766027.16960211</v>
      </c>
      <c r="R62" s="138" t="n">
        <f aca="false">(R56+R58+R60-R64)*-1</f>
        <v>7678.85958207469</v>
      </c>
      <c r="S62" s="138" t="n">
        <f aca="false">(S56+S58+S60-S64)*-1</f>
        <v>7348.18007312832</v>
      </c>
      <c r="T62" s="138" t="n">
        <f aca="false">(T56+T58+T60-T64)*-1</f>
        <v>-104197.863531607</v>
      </c>
      <c r="U62" s="138" t="n">
        <f aca="false">(U56+U58+U60-U64)*-1</f>
        <v>6510.92551012151</v>
      </c>
      <c r="V62" s="138" t="n">
        <f aca="false">(V56+V58+V60-V64)*-1</f>
        <v>7038.03349794331</v>
      </c>
      <c r="W62" s="138" t="n">
        <f aca="false">(W56+W58+W60-W64)*-1</f>
        <v>6989.86956346058</v>
      </c>
      <c r="X62" s="138" t="n">
        <f aca="false">(X56+X58+X60-X64)*-1</f>
        <v>7511.92601374025</v>
      </c>
      <c r="Y62" s="138" t="n">
        <f aca="false">(Y56+Y58+Y60-Y64)*-1</f>
        <v>7832.33905580686</v>
      </c>
      <c r="Z62" s="138" t="n">
        <f aca="false">(Z56+Z58+Z60-Z64)*-1</f>
        <v>6049.3022464274</v>
      </c>
      <c r="AA62" s="138" t="n">
        <f aca="false">(AA56+AA58+AA60-AA64)*-1</f>
        <v>6571.35869670799</v>
      </c>
      <c r="AB62" s="138" t="n">
        <f aca="false">(AB56+AB58+AB60-AB64)*-1</f>
        <v>6679.7924259773</v>
      </c>
      <c r="AD62" s="88" t="s">
        <v>312</v>
      </c>
      <c r="AE62" s="138" t="n">
        <f aca="false">(AE56+AE58+AE60-AE64)*-1</f>
        <v>-0</v>
      </c>
      <c r="AF62" s="138" t="n">
        <f aca="false">(AF56+AF58+AF60-AF64)*-1</f>
        <v>1854548.00730682</v>
      </c>
      <c r="AG62" s="138" t="n">
        <f aca="false">(AG56+AG58+AG60-AG64)*-1</f>
        <v>7412.53947913297</v>
      </c>
      <c r="AH62" s="138" t="n">
        <f aca="false">(AH56+AH58+AH60-AH64)*-1</f>
        <v>-109265.351308087</v>
      </c>
      <c r="AI62" s="138" t="n">
        <f aca="false">(AI56+AI58+AI60-AI64)*-1</f>
        <v>6511.77578814374</v>
      </c>
      <c r="AJ62" s="138" t="n">
        <f aca="false">(AJ56+AJ58+AJ60-AJ64)*-1</f>
        <v>7054.4159754396</v>
      </c>
      <c r="AK62" s="138" t="n">
        <f aca="false">(AK56+AK58+AK60-AK64)*-1</f>
        <v>7001.62472084537</v>
      </c>
      <c r="AL62" s="138" t="n">
        <f aca="false">(AL56+AL58+AL60-AL64)*-1</f>
        <v>7538.52604961442</v>
      </c>
      <c r="AM62" s="138" t="n">
        <f aca="false">(AM56+AM58+AM60-AM64)*-1</f>
        <v>7874.95974378265</v>
      </c>
      <c r="AN62" s="138" t="n">
        <f aca="false">(AN56+AN58+AN60-AN64)*-1</f>
        <v>6014.02903796197</v>
      </c>
      <c r="AO62" s="138" t="n">
        <f aca="false">(AO56+AO58+AO60-AO64)*-1</f>
        <v>6550.93036672892</v>
      </c>
      <c r="AP62" s="138" t="n">
        <f aca="false">(AP56+AP58+AP60-AP64)*-1</f>
        <v>6676.04372648988</v>
      </c>
    </row>
    <row r="63" customFormat="false" ht="13.2" hidden="true" customHeight="false" outlineLevel="0" collapsed="false"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</row>
    <row r="64" customFormat="false" ht="13.2" hidden="true" customHeight="false" outlineLevel="0" collapsed="false">
      <c r="B64" s="203" t="s">
        <v>308</v>
      </c>
      <c r="C64" s="138" t="n">
        <f aca="false">C45*Factors!C11</f>
        <v>1884805.14214391</v>
      </c>
      <c r="D64" s="138" t="n">
        <f aca="false">D45*Factors!D11</f>
        <v>1802406.41502868</v>
      </c>
      <c r="E64" s="138" t="n">
        <f aca="false">E45*Factors!E11</f>
        <v>1588740.25573118</v>
      </c>
      <c r="F64" s="138" t="n">
        <f aca="false">F45*Factors!F11</f>
        <v>1613232.85110819</v>
      </c>
      <c r="G64" s="138" t="n">
        <f aca="false">G45*Factors!G11</f>
        <v>1743029.3545089</v>
      </c>
      <c r="H64" s="138" t="n">
        <f aca="false">H45*Factors!H11</f>
        <v>1734456.46263119</v>
      </c>
      <c r="I64" s="138" t="n">
        <f aca="false">I45*Factors!I11</f>
        <v>1863656.94993277</v>
      </c>
      <c r="J64" s="138" t="n">
        <f aca="false">J45*Factors!J11</f>
        <v>1942716.35854053</v>
      </c>
      <c r="K64" s="138" t="n">
        <f aca="false">K45*Factors!K11</f>
        <v>1516876.76887095</v>
      </c>
      <c r="L64" s="138" t="n">
        <f aca="false">L45*Factors!L11</f>
        <v>1646293.80741237</v>
      </c>
      <c r="M64" s="138" t="n">
        <f aca="false">M45*Factors!M11</f>
        <v>1672180.47289452</v>
      </c>
      <c r="N64" s="138" t="n">
        <f aca="false">N45*Factors!N11</f>
        <v>1766027.16960211</v>
      </c>
      <c r="P64" s="203" t="s">
        <v>308</v>
      </c>
      <c r="Q64" s="138" t="n">
        <f aca="false">Q45*Factors!Q11</f>
        <v>1842926.29969796</v>
      </c>
      <c r="R64" s="138" t="n">
        <f aca="false">R45*Factors!R11</f>
        <v>1770911.39762402</v>
      </c>
      <c r="S64" s="138" t="n">
        <f aca="false">S45*Factors!S11</f>
        <v>1550625.48305119</v>
      </c>
      <c r="T64" s="138" t="n">
        <f aca="false">T45*Factors!T11</f>
        <v>1582154.89895965</v>
      </c>
      <c r="U64" s="138" t="n">
        <f aca="false">U45*Factors!U11</f>
        <v>1717280.17349802</v>
      </c>
      <c r="V64" s="138" t="n">
        <f aca="false">V45*Factors!V11</f>
        <v>1712518.04304778</v>
      </c>
      <c r="W64" s="138" t="n">
        <f aca="false">W45*Factors!W11</f>
        <v>1847933.7993802</v>
      </c>
      <c r="X64" s="138" t="n">
        <f aca="false">X45*Factors!X11</f>
        <v>1934587.74678426</v>
      </c>
      <c r="Y64" s="138" t="n">
        <f aca="false">Y45*Factors!Y11</f>
        <v>1500226.95711407</v>
      </c>
      <c r="Z64" s="138" t="n">
        <f aca="false">Z45*Factors!Z11</f>
        <v>1636268.3154803</v>
      </c>
      <c r="AA64" s="138" t="n">
        <f aca="false">AA45*Factors!AA11</f>
        <v>1669948.10649426</v>
      </c>
      <c r="AB64" s="138" t="n">
        <f aca="false">AB45*Factors!AB11</f>
        <v>1766765.01625893</v>
      </c>
      <c r="AD64" s="203" t="s">
        <v>308</v>
      </c>
      <c r="AE64" s="138" t="n">
        <f aca="false">AE45*Factors!AE11</f>
        <v>0</v>
      </c>
      <c r="AF64" s="138" t="n">
        <f aca="false">AF45*Factors!AF11</f>
        <v>1779009.47499201</v>
      </c>
      <c r="AG64" s="138" t="n">
        <f aca="false">AG45*Factors!AG11</f>
        <v>1540568.710146</v>
      </c>
      <c r="AH64" s="138" t="n">
        <f aca="false">AH45*Factors!AH11</f>
        <v>1575849.74073087</v>
      </c>
      <c r="AI64" s="138" t="n">
        <f aca="false">AI45*Factors!AI11</f>
        <v>1714223.08203184</v>
      </c>
      <c r="AJ64" s="138" t="n">
        <f aca="false">AJ45*Factors!AJ11</f>
        <v>1708396.43188639</v>
      </c>
      <c r="AK64" s="138" t="n">
        <f aca="false">AK45*Factors!AK11</f>
        <v>1846938.88215541</v>
      </c>
      <c r="AL64" s="138" t="n">
        <f aca="false">AL45*Factors!AL11</f>
        <v>1937240.09697069</v>
      </c>
      <c r="AM64" s="138" t="n">
        <f aca="false">AM45*Factors!AM11</f>
        <v>1485465.17237651</v>
      </c>
      <c r="AN64" s="138" t="n">
        <f aca="false">AN45*Factors!AN11</f>
        <v>1624630.73094896</v>
      </c>
      <c r="AO64" s="138" t="n">
        <f aca="false">AO45*Factors!AO11</f>
        <v>1662334.88789561</v>
      </c>
      <c r="AP64" s="138" t="n">
        <f aca="false">AP45*Factors!AP11</f>
        <v>1756971.10277175</v>
      </c>
    </row>
    <row r="65" customFormat="false" ht="13.2" hidden="true" customHeight="false" outlineLevel="0" collapsed="false"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</row>
    <row r="66" customFormat="false" ht="13.2" hidden="true" customHeight="false" outlineLevel="0" collapsed="false">
      <c r="B66" s="19" t="s">
        <v>309</v>
      </c>
      <c r="C66" s="138" t="n">
        <f aca="false">SUM(C56:C62)</f>
        <v>1884805.14214391</v>
      </c>
      <c r="D66" s="138" t="n">
        <f aca="false">SUM(D56:D62)</f>
        <v>1802406.41502868</v>
      </c>
      <c r="E66" s="138" t="n">
        <f aca="false">SUM(E56:E62)</f>
        <v>1588740.25573118</v>
      </c>
      <c r="F66" s="138" t="n">
        <f aca="false">SUM(F56:F62)</f>
        <v>1613232.85110819</v>
      </c>
      <c r="G66" s="138" t="n">
        <f aca="false">SUM(G56:G62)</f>
        <v>1743029.3545089</v>
      </c>
      <c r="H66" s="138" t="n">
        <f aca="false">SUM(H56:H62)</f>
        <v>1734456.46263119</v>
      </c>
      <c r="I66" s="138" t="n">
        <f aca="false">SUM(I56:I62)</f>
        <v>1863656.94993277</v>
      </c>
      <c r="J66" s="138" t="n">
        <f aca="false">SUM(J56:J62)</f>
        <v>1942716.35854053</v>
      </c>
      <c r="K66" s="138" t="n">
        <f aca="false">SUM(K56:K62)</f>
        <v>1516876.76887095</v>
      </c>
      <c r="L66" s="138" t="n">
        <f aca="false">SUM(L56:L62)</f>
        <v>1646293.80741237</v>
      </c>
      <c r="M66" s="138" t="n">
        <f aca="false">SUM(M56:M62)</f>
        <v>1672180.47289452</v>
      </c>
      <c r="N66" s="138" t="n">
        <f aca="false">SUM(N56:N62)</f>
        <v>1766027.16960211</v>
      </c>
      <c r="P66" s="19" t="s">
        <v>309</v>
      </c>
      <c r="Q66" s="138" t="n">
        <f aca="false">SUM(Q56:Q62)</f>
        <v>1842926.29969796</v>
      </c>
      <c r="R66" s="138" t="n">
        <f aca="false">SUM(R56:R62)</f>
        <v>1770911.39762402</v>
      </c>
      <c r="S66" s="138" t="n">
        <f aca="false">SUM(S56:S62)</f>
        <v>1550625.48305119</v>
      </c>
      <c r="T66" s="138" t="n">
        <f aca="false">SUM(T56:T62)</f>
        <v>1582154.89895965</v>
      </c>
      <c r="U66" s="138" t="n">
        <f aca="false">SUM(U56:U62)</f>
        <v>1717280.17349802</v>
      </c>
      <c r="V66" s="138" t="n">
        <f aca="false">SUM(V56:V62)</f>
        <v>1712518.04304778</v>
      </c>
      <c r="W66" s="138" t="n">
        <f aca="false">SUM(W56:W62)</f>
        <v>1847933.7993802</v>
      </c>
      <c r="X66" s="138" t="n">
        <f aca="false">SUM(X56:X62)</f>
        <v>1934587.74678426</v>
      </c>
      <c r="Y66" s="138" t="n">
        <f aca="false">SUM(Y56:Y62)</f>
        <v>1500226.95711407</v>
      </c>
      <c r="Z66" s="138" t="n">
        <f aca="false">SUM(Z56:Z62)</f>
        <v>1636268.3154803</v>
      </c>
      <c r="AA66" s="138" t="n">
        <f aca="false">SUM(AA56:AA62)</f>
        <v>1669948.10649426</v>
      </c>
      <c r="AB66" s="138" t="n">
        <f aca="false">SUM(AB56:AB62)</f>
        <v>1766765.01625893</v>
      </c>
      <c r="AD66" s="19" t="s">
        <v>309</v>
      </c>
      <c r="AE66" s="138" t="n">
        <f aca="false">SUM(AE56:AE62)</f>
        <v>0</v>
      </c>
      <c r="AF66" s="138" t="n">
        <f aca="false">SUM(AF56:AF62)</f>
        <v>1779009.47499201</v>
      </c>
      <c r="AG66" s="138" t="n">
        <f aca="false">SUM(AG56:AG62)</f>
        <v>1540568.710146</v>
      </c>
      <c r="AH66" s="138" t="n">
        <f aca="false">SUM(AH56:AH62)</f>
        <v>1575849.74073087</v>
      </c>
      <c r="AI66" s="138" t="n">
        <f aca="false">SUM(AI56:AI62)</f>
        <v>1714223.08203184</v>
      </c>
      <c r="AJ66" s="138" t="n">
        <f aca="false">SUM(AJ56:AJ62)</f>
        <v>1708396.43188639</v>
      </c>
      <c r="AK66" s="138" t="n">
        <f aca="false">SUM(AK56:AK62)</f>
        <v>1846938.88215541</v>
      </c>
      <c r="AL66" s="138" t="n">
        <f aca="false">SUM(AL56:AL62)</f>
        <v>1937240.09697069</v>
      </c>
      <c r="AM66" s="138" t="n">
        <f aca="false">SUM(AM56:AM62)</f>
        <v>1485465.17237651</v>
      </c>
      <c r="AN66" s="138" t="n">
        <f aca="false">SUM(AN56:AN62)</f>
        <v>1624630.73094896</v>
      </c>
      <c r="AO66" s="138" t="n">
        <f aca="false">SUM(AO56:AO62)</f>
        <v>1662334.88789561</v>
      </c>
      <c r="AP66" s="138" t="n">
        <f aca="false">SUM(AP56:AP62)</f>
        <v>1756971.10277175</v>
      </c>
    </row>
    <row r="67" customFormat="false" ht="13.2" hidden="false" customHeight="false" outlineLevel="0" collapsed="false"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</row>
    <row r="68" customFormat="false" ht="13.2" hidden="false" customHeight="false" outlineLevel="0" collapsed="false">
      <c r="C68" s="201" t="s">
        <v>41</v>
      </c>
      <c r="D68" s="201" t="s">
        <v>42</v>
      </c>
      <c r="E68" s="201" t="s">
        <v>43</v>
      </c>
      <c r="F68" s="201" t="s">
        <v>44</v>
      </c>
      <c r="G68" s="201" t="s">
        <v>45</v>
      </c>
      <c r="H68" s="201" t="s">
        <v>46</v>
      </c>
      <c r="I68" s="201" t="s">
        <v>47</v>
      </c>
      <c r="J68" s="201" t="s">
        <v>48</v>
      </c>
      <c r="K68" s="201" t="s">
        <v>49</v>
      </c>
      <c r="L68" s="201" t="s">
        <v>50</v>
      </c>
      <c r="M68" s="201" t="s">
        <v>51</v>
      </c>
      <c r="N68" s="201" t="s">
        <v>52</v>
      </c>
      <c r="Q68" s="201" t="s">
        <v>41</v>
      </c>
      <c r="R68" s="201" t="s">
        <v>42</v>
      </c>
      <c r="S68" s="201" t="s">
        <v>43</v>
      </c>
      <c r="T68" s="201" t="s">
        <v>44</v>
      </c>
      <c r="U68" s="201" t="s">
        <v>45</v>
      </c>
      <c r="V68" s="201" t="s">
        <v>46</v>
      </c>
      <c r="W68" s="201" t="s">
        <v>47</v>
      </c>
      <c r="X68" s="201" t="s">
        <v>48</v>
      </c>
      <c r="Y68" s="201" t="s">
        <v>49</v>
      </c>
      <c r="Z68" s="201" t="s">
        <v>50</v>
      </c>
      <c r="AA68" s="201" t="s">
        <v>51</v>
      </c>
      <c r="AB68" s="201" t="s">
        <v>52</v>
      </c>
      <c r="AE68" s="201" t="s">
        <v>41</v>
      </c>
      <c r="AF68" s="201" t="s">
        <v>42</v>
      </c>
      <c r="AG68" s="201" t="s">
        <v>43</v>
      </c>
      <c r="AH68" s="201" t="s">
        <v>44</v>
      </c>
      <c r="AI68" s="201" t="s">
        <v>45</v>
      </c>
      <c r="AJ68" s="201" t="s">
        <v>46</v>
      </c>
      <c r="AK68" s="201" t="s">
        <v>47</v>
      </c>
      <c r="AL68" s="201" t="s">
        <v>48</v>
      </c>
      <c r="AM68" s="201" t="s">
        <v>49</v>
      </c>
      <c r="AN68" s="201" t="s">
        <v>50</v>
      </c>
      <c r="AO68" s="201" t="s">
        <v>51</v>
      </c>
      <c r="AP68" s="201" t="s">
        <v>52</v>
      </c>
    </row>
    <row r="69" customFormat="false" ht="13.2" hidden="false" customHeight="false" outlineLevel="0" collapsed="false">
      <c r="A69" s="163" t="s">
        <v>313</v>
      </c>
      <c r="B69" s="205" t="s">
        <v>314</v>
      </c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P69" s="205" t="s">
        <v>315</v>
      </c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D69" s="205" t="s">
        <v>315</v>
      </c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</row>
    <row r="70" customFormat="false" ht="13.8" hidden="false" customHeight="false" outlineLevel="0" collapsed="false">
      <c r="A70" s="166" t="s">
        <v>316</v>
      </c>
      <c r="B70" s="170" t="s">
        <v>317</v>
      </c>
      <c r="C70" s="39" t="n">
        <f aca="false">CashFlow!B37*0.01/12*1000*-1</f>
        <v>-30370.75</v>
      </c>
      <c r="D70" s="39" t="n">
        <f aca="false">CashFlow!C37*0.01/12*1000*-1</f>
        <v>-31836.1701357749</v>
      </c>
      <c r="E70" s="39" t="n">
        <f aca="false">CashFlow!D37*0.01/12*1000*-1</f>
        <v>-35486.8026795384</v>
      </c>
      <c r="F70" s="39" t="n">
        <f aca="false">CashFlow!E37*0.01/12*1000*-1</f>
        <v>-22226.6499979953</v>
      </c>
      <c r="G70" s="39" t="n">
        <f aca="false">CashFlow!F37*0.01/12*1000*-1</f>
        <v>-24844.1678561013</v>
      </c>
      <c r="H70" s="39" t="n">
        <f aca="false">CashFlow!G37*0.01/12*1000*-1</f>
        <v>-26942.5886029867</v>
      </c>
      <c r="I70" s="39" t="n">
        <f aca="false">CashFlow!H37*0.01/12*1000*-1</f>
        <v>-18071.932988126</v>
      </c>
      <c r="J70" s="39" t="n">
        <f aca="false">CashFlow!I37*0.01/12*1000*-1</f>
        <v>-18390.9571963978</v>
      </c>
      <c r="K70" s="39" t="n">
        <f aca="false">CashFlow!J37*0.01/12*1000*-1</f>
        <v>-22643.9311072403</v>
      </c>
      <c r="L70" s="39" t="n">
        <f aca="false">CashFlow!K37*0.01/12*1000*-1</f>
        <v>-11411.8875636797</v>
      </c>
      <c r="M70" s="39" t="n">
        <f aca="false">CashFlow!L37*0.01/12*1000*-1</f>
        <v>-14030.2542063561</v>
      </c>
      <c r="N70" s="39" t="n">
        <f aca="false">CashFlow!M37*0.01/12*1000*-1</f>
        <v>-19209.8435412066</v>
      </c>
      <c r="P70" s="170" t="s">
        <v>318</v>
      </c>
      <c r="Q70" s="138" t="n">
        <v>-85000</v>
      </c>
      <c r="R70" s="138" t="n">
        <f aca="false">Q70</f>
        <v>-85000</v>
      </c>
      <c r="S70" s="138" t="n">
        <f aca="false">R70</f>
        <v>-85000</v>
      </c>
      <c r="T70" s="138" t="n">
        <f aca="false">S70</f>
        <v>-85000</v>
      </c>
      <c r="U70" s="138" t="n">
        <f aca="false">T70</f>
        <v>-85000</v>
      </c>
      <c r="V70" s="138" t="n">
        <f aca="false">U70</f>
        <v>-85000</v>
      </c>
      <c r="W70" s="138" t="n">
        <f aca="false">V70</f>
        <v>-85000</v>
      </c>
      <c r="X70" s="138" t="n">
        <f aca="false">W70</f>
        <v>-85000</v>
      </c>
      <c r="Y70" s="138" t="n">
        <f aca="false">X70</f>
        <v>-85000</v>
      </c>
      <c r="Z70" s="138" t="n">
        <f aca="false">Y70</f>
        <v>-85000</v>
      </c>
      <c r="AA70" s="138" t="n">
        <f aca="false">Z70</f>
        <v>-85000</v>
      </c>
      <c r="AB70" s="138" t="n">
        <f aca="false">AA70</f>
        <v>-85000</v>
      </c>
      <c r="AD70" s="170" t="s">
        <v>318</v>
      </c>
      <c r="AE70" s="138" t="n">
        <v>-85000</v>
      </c>
      <c r="AF70" s="138" t="n">
        <f aca="false">AE70</f>
        <v>-85000</v>
      </c>
      <c r="AG70" s="138" t="n">
        <f aca="false">AF70</f>
        <v>-85000</v>
      </c>
      <c r="AH70" s="138" t="n">
        <f aca="false">AG70</f>
        <v>-85000</v>
      </c>
      <c r="AI70" s="138" t="n">
        <f aca="false">AH70</f>
        <v>-85000</v>
      </c>
      <c r="AJ70" s="138" t="n">
        <f aca="false">AI70</f>
        <v>-85000</v>
      </c>
      <c r="AK70" s="138" t="n">
        <f aca="false">AJ70</f>
        <v>-85000</v>
      </c>
      <c r="AL70" s="138" t="n">
        <f aca="false">AK70</f>
        <v>-85000</v>
      </c>
      <c r="AM70" s="138" t="n">
        <f aca="false">AL70</f>
        <v>-85000</v>
      </c>
      <c r="AN70" s="138" t="n">
        <f aca="false">AM70</f>
        <v>-85000</v>
      </c>
      <c r="AO70" s="138" t="n">
        <f aca="false">AN70</f>
        <v>-85000</v>
      </c>
      <c r="AP70" s="138" t="n">
        <f aca="false">AO70</f>
        <v>-85000</v>
      </c>
    </row>
    <row r="71" customFormat="false" ht="13.2" hidden="true" customHeight="false" outlineLevel="0" collapsed="false">
      <c r="A71" s="166" t="s">
        <v>319</v>
      </c>
      <c r="B71" s="170" t="s">
        <v>320</v>
      </c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P71" s="170" t="s">
        <v>320</v>
      </c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D71" s="170" t="s">
        <v>320</v>
      </c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</row>
    <row r="72" customFormat="false" ht="13.2" hidden="true" customHeight="false" outlineLevel="0" collapsed="false">
      <c r="A72" s="166" t="s">
        <v>321</v>
      </c>
      <c r="B72" s="170" t="s">
        <v>322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P72" s="170" t="s">
        <v>322</v>
      </c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D72" s="170" t="s">
        <v>322</v>
      </c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</row>
    <row r="73" customFormat="false" ht="13.2" hidden="true" customHeight="false" outlineLevel="0" collapsed="false">
      <c r="A73" s="166" t="s">
        <v>323</v>
      </c>
      <c r="B73" s="170" t="s">
        <v>324</v>
      </c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P73" s="170" t="s">
        <v>324</v>
      </c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D73" s="170" t="s">
        <v>324</v>
      </c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</row>
    <row r="74" customFormat="false" ht="13.2" hidden="true" customHeight="false" outlineLevel="0" collapsed="false">
      <c r="A74" s="166" t="s">
        <v>325</v>
      </c>
      <c r="B74" s="170" t="s">
        <v>326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P74" s="170" t="s">
        <v>326</v>
      </c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D74" s="170" t="s">
        <v>326</v>
      </c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</row>
    <row r="75" customFormat="false" ht="13.8" hidden="false" customHeight="false" outlineLevel="0" collapsed="false">
      <c r="A75" s="166"/>
      <c r="B75" s="170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P75" s="170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D75" s="170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</row>
    <row r="76" customFormat="false" ht="13.2" hidden="false" customHeight="false" outlineLevel="0" collapsed="false">
      <c r="A76" s="166"/>
      <c r="B76" s="170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P76" s="170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D76" s="170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</row>
    <row r="77" customFormat="false" ht="13.2" hidden="false" customHeight="false" outlineLevel="0" collapsed="false">
      <c r="A77" s="163" t="s">
        <v>327</v>
      </c>
      <c r="B77" s="205" t="s">
        <v>328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P77" s="205" t="s">
        <v>329</v>
      </c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D77" s="205" t="s">
        <v>329</v>
      </c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</row>
    <row r="78" customFormat="false" ht="13.2" hidden="true" customHeight="false" outlineLevel="0" collapsed="false">
      <c r="A78" s="166" t="s">
        <v>330</v>
      </c>
      <c r="B78" s="170" t="s">
        <v>331</v>
      </c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P78" s="170" t="s">
        <v>331</v>
      </c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D78" s="170" t="s">
        <v>331</v>
      </c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</row>
    <row r="79" customFormat="false" ht="13.8" hidden="false" customHeight="false" outlineLevel="0" collapsed="false">
      <c r="A79" s="166" t="s">
        <v>332</v>
      </c>
      <c r="B79" s="170" t="s">
        <v>333</v>
      </c>
      <c r="C79" s="39" t="n">
        <v>2600</v>
      </c>
      <c r="D79" s="39" t="n">
        <f aca="false">C79</f>
        <v>2600</v>
      </c>
      <c r="E79" s="39" t="n">
        <f aca="false">D79</f>
        <v>2600</v>
      </c>
      <c r="F79" s="39" t="n">
        <f aca="false">E79</f>
        <v>2600</v>
      </c>
      <c r="G79" s="39" t="n">
        <f aca="false">F79</f>
        <v>2600</v>
      </c>
      <c r="H79" s="39" t="n">
        <f aca="false">G79</f>
        <v>2600</v>
      </c>
      <c r="I79" s="39" t="n">
        <f aca="false">H79</f>
        <v>2600</v>
      </c>
      <c r="J79" s="39" t="n">
        <f aca="false">I79</f>
        <v>2600</v>
      </c>
      <c r="K79" s="39" t="n">
        <f aca="false">J79</f>
        <v>2600</v>
      </c>
      <c r="L79" s="39" t="n">
        <f aca="false">K79</f>
        <v>2600</v>
      </c>
      <c r="M79" s="39" t="n">
        <f aca="false">L79</f>
        <v>2600</v>
      </c>
      <c r="N79" s="39" t="n">
        <f aca="false">M79</f>
        <v>2600</v>
      </c>
      <c r="P79" s="170" t="s">
        <v>334</v>
      </c>
      <c r="Q79" s="138" t="n">
        <v>2600</v>
      </c>
      <c r="R79" s="138" t="n">
        <f aca="false">Q79</f>
        <v>2600</v>
      </c>
      <c r="S79" s="138" t="n">
        <f aca="false">R79</f>
        <v>2600</v>
      </c>
      <c r="T79" s="138" t="n">
        <f aca="false">S79</f>
        <v>2600</v>
      </c>
      <c r="U79" s="138" t="n">
        <f aca="false">T79</f>
        <v>2600</v>
      </c>
      <c r="V79" s="138" t="n">
        <f aca="false">U79</f>
        <v>2600</v>
      </c>
      <c r="W79" s="138" t="n">
        <f aca="false">V79</f>
        <v>2600</v>
      </c>
      <c r="X79" s="138" t="n">
        <f aca="false">W79</f>
        <v>2600</v>
      </c>
      <c r="Y79" s="138" t="n">
        <f aca="false">X79</f>
        <v>2600</v>
      </c>
      <c r="Z79" s="138" t="n">
        <f aca="false">Y79</f>
        <v>2600</v>
      </c>
      <c r="AA79" s="138" t="n">
        <f aca="false">Z79</f>
        <v>2600</v>
      </c>
      <c r="AB79" s="138" t="n">
        <f aca="false">AA79</f>
        <v>2600</v>
      </c>
      <c r="AD79" s="170" t="s">
        <v>334</v>
      </c>
      <c r="AE79" s="138" t="n">
        <v>2600</v>
      </c>
      <c r="AF79" s="138" t="n">
        <f aca="false">AE79</f>
        <v>2600</v>
      </c>
      <c r="AG79" s="138" t="n">
        <f aca="false">AF79</f>
        <v>2600</v>
      </c>
      <c r="AH79" s="138" t="n">
        <f aca="false">AG79</f>
        <v>2600</v>
      </c>
      <c r="AI79" s="138" t="n">
        <f aca="false">AH79</f>
        <v>2600</v>
      </c>
      <c r="AJ79" s="138" t="n">
        <f aca="false">AI79</f>
        <v>2600</v>
      </c>
      <c r="AK79" s="138" t="n">
        <f aca="false">AJ79</f>
        <v>2600</v>
      </c>
      <c r="AL79" s="138" t="n">
        <f aca="false">AK79</f>
        <v>2600</v>
      </c>
      <c r="AM79" s="138" t="n">
        <f aca="false">AL79</f>
        <v>2600</v>
      </c>
      <c r="AN79" s="138" t="n">
        <f aca="false">AM79</f>
        <v>2600</v>
      </c>
      <c r="AO79" s="138" t="n">
        <f aca="false">AN79</f>
        <v>2600</v>
      </c>
      <c r="AP79" s="138" t="n">
        <f aca="false">AO79</f>
        <v>2600</v>
      </c>
    </row>
    <row r="80" customFormat="false" ht="13.8" hidden="false" customHeight="false" outlineLevel="0" collapsed="false"/>
    <row r="81" customFormat="false" ht="13.2" hidden="true" customHeight="false" outlineLevel="0" collapsed="false">
      <c r="A81" s="166" t="s">
        <v>335</v>
      </c>
      <c r="B81" s="170" t="s">
        <v>336</v>
      </c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P81" s="170" t="s">
        <v>336</v>
      </c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D81" s="170" t="s">
        <v>336</v>
      </c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</row>
    <row r="82" customFormat="false" ht="13.2" hidden="true" customHeight="false" outlineLevel="0" collapsed="false">
      <c r="A82" s="166" t="s">
        <v>337</v>
      </c>
      <c r="B82" s="170" t="s">
        <v>338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P82" s="170" t="s">
        <v>338</v>
      </c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D82" s="170" t="s">
        <v>338</v>
      </c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</row>
    <row r="83" customFormat="false" ht="13.2" hidden="true" customHeight="false" outlineLevel="0" collapsed="false">
      <c r="A83" s="166" t="s">
        <v>339</v>
      </c>
      <c r="B83" s="170" t="s">
        <v>340</v>
      </c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P83" s="170" t="s">
        <v>340</v>
      </c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D83" s="170" t="s">
        <v>340</v>
      </c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</row>
    <row r="84" customFormat="false" ht="13.2" hidden="false" customHeight="false" outlineLevel="0" collapsed="false">
      <c r="A84" s="166"/>
      <c r="B84" s="170"/>
      <c r="P84" s="170"/>
      <c r="AD84" s="170"/>
    </row>
    <row r="85" customFormat="false" ht="13.2" hidden="true" customHeight="false" outlineLevel="0" collapsed="false">
      <c r="A85" s="166"/>
      <c r="B85" s="170"/>
      <c r="P85" s="170"/>
      <c r="AD85" s="170"/>
    </row>
    <row r="86" customFormat="false" ht="13.2" hidden="true" customHeight="false" outlineLevel="0" collapsed="false">
      <c r="A86" s="163" t="s">
        <v>341</v>
      </c>
      <c r="B86" s="205" t="s">
        <v>342</v>
      </c>
      <c r="P86" s="205" t="s">
        <v>342</v>
      </c>
      <c r="AD86" s="205" t="s">
        <v>342</v>
      </c>
    </row>
    <row r="87" customFormat="false" ht="13.2" hidden="true" customHeight="false" outlineLevel="0" collapsed="false">
      <c r="A87" s="166" t="s">
        <v>343</v>
      </c>
      <c r="B87" s="170" t="s">
        <v>344</v>
      </c>
      <c r="P87" s="170" t="s">
        <v>344</v>
      </c>
      <c r="AD87" s="170" t="s">
        <v>344</v>
      </c>
    </row>
    <row r="88" customFormat="false" ht="13.2" hidden="true" customHeight="false" outlineLevel="0" collapsed="false">
      <c r="A88" s="166" t="s">
        <v>345</v>
      </c>
      <c r="B88" s="170" t="s">
        <v>346</v>
      </c>
      <c r="P88" s="170" t="s">
        <v>346</v>
      </c>
      <c r="AD88" s="170" t="s">
        <v>346</v>
      </c>
    </row>
    <row r="89" customFormat="false" ht="13.2" hidden="true" customHeight="false" outlineLevel="0" collapsed="false">
      <c r="A89" s="166" t="s">
        <v>347</v>
      </c>
      <c r="B89" s="170" t="s">
        <v>348</v>
      </c>
      <c r="P89" s="170" t="s">
        <v>348</v>
      </c>
      <c r="AD89" s="170" t="s">
        <v>348</v>
      </c>
    </row>
  </sheetData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2000-09-28T08:33:38Z</dcterms:created>
  <dc:creator>Enron International</dc:creator>
  <dc:description/>
  <dc:language>en-US</dc:language>
  <cp:lastModifiedBy>IWONA SIERZEGA</cp:lastModifiedBy>
  <cp:lastPrinted>2001-11-15T09:43:27Z</cp:lastPrinted>
  <cp:revision>0</cp:revision>
  <dc:subject/>
  <dc:title/>
</cp:coreProperties>
</file>