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truction Costs" sheetId="1" state="visible" r:id="rId3"/>
    <sheet name="Cost Basis" sheetId="2" state="visible" r:id="rId4"/>
    <sheet name="Fixed O&amp;M" sheetId="3" state="visible" r:id="rId5"/>
    <sheet name="Performance" sheetId="4" state="visible" r:id="rId6"/>
    <sheet name="Variable O&amp;M" sheetId="5" state="visible" r:id="rId7"/>
  </sheets>
  <externalReferences>
    <externalReference r:id="rId8"/>
    <externalReference r:id="rId9"/>
  </externalReferences>
  <definedNames>
    <definedName function="false" hidden="false" localSheetId="0" name="_xlnm.Print_Area" vbProcedure="false">'Construction Costs'!$A$1:$F$42</definedName>
    <definedName function="false" hidden="false" localSheetId="1" name="_xlnm.Print_Area" vbProcedure="false">'Cost Basis'!$B$5:$J$62</definedName>
    <definedName function="false" hidden="false" localSheetId="4" name="_xlnm.Print_Area" vbProcedure="false">'Variable O&amp;M'!$A$1:$M$33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2" authorId="0">
      <text>
        <r>
          <rPr>
            <b val="true"/>
            <sz val="8"/>
            <color rgb="FF000000"/>
            <rFont val="Tahoma"/>
            <family val="0"/>
          </rPr>
          <t xml:space="preserve">Authorized User:
</t>
        </r>
        <r>
          <rPr>
            <sz val="8"/>
            <color rgb="FF000000"/>
            <rFont val="Tahoma"/>
            <family val="0"/>
          </rPr>
          <t xml:space="preserve">Added at B. Bierenkoven's request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0</xdr:colOff>
                <xdr:row>20</xdr:row>
                <xdr:rowOff>7</xdr:rowOff>
              </xdr:from>
              <xdr:to>
                <xdr:col>10</xdr:col>
                <xdr:colOff>-28</xdr:colOff>
                <xdr:row>24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<sst xmlns="http://schemas.openxmlformats.org/spreadsheetml/2006/main" count="293" uniqueCount="179">
  <si>
    <t xml:space="preserve">Project Orion</t>
  </si>
  <si>
    <t xml:space="preserve">Summary of Project Costs (Plant 1)</t>
  </si>
  <si>
    <t xml:space="preserve">Summary</t>
  </si>
  <si>
    <t xml:space="preserve">Source</t>
  </si>
  <si>
    <t xml:space="preserve">Paul Steinway</t>
  </si>
  <si>
    <t xml:space="preserve">Land</t>
  </si>
  <si>
    <t xml:space="preserve">Date</t>
  </si>
  <si>
    <t xml:space="preserve">EPC</t>
  </si>
  <si>
    <t xml:space="preserve">Management's Costs</t>
  </si>
  <si>
    <t xml:space="preserve">Total Project Cost</t>
  </si>
  <si>
    <t xml:space="preserve">Major Equipment</t>
  </si>
  <si>
    <r>
      <rPr>
        <u val="single"/>
        <sz val="10"/>
        <rFont val="Arial"/>
        <family val="2"/>
      </rPr>
      <t xml:space="preserve">Construction Services </t>
    </r>
    <r>
      <rPr>
        <sz val="10"/>
        <rFont val="Arial"/>
        <family val="0"/>
      </rPr>
      <t xml:space="preserve">(Cont.)</t>
    </r>
  </si>
  <si>
    <t xml:space="preserve">Gas Turbines</t>
  </si>
  <si>
    <t xml:space="preserve">Structural Steel</t>
  </si>
  <si>
    <t xml:space="preserve">Heat Recovery Boilers</t>
  </si>
  <si>
    <t xml:space="preserve">Building and Erection</t>
  </si>
  <si>
    <t xml:space="preserve">Steam Turbines</t>
  </si>
  <si>
    <t xml:space="preserve">Equipment Installation - Mechanical</t>
  </si>
  <si>
    <t xml:space="preserve">Freight</t>
  </si>
  <si>
    <t xml:space="preserve">Process Piping</t>
  </si>
  <si>
    <t xml:space="preserve">Total Major Equipment</t>
  </si>
  <si>
    <t xml:space="preserve">Equipment Installation - Electrical</t>
  </si>
  <si>
    <t xml:space="preserve">Balance of Plant Equipment and Materials</t>
  </si>
  <si>
    <t xml:space="preserve">Electrical - Wire, Cable &amp; Terminati</t>
  </si>
  <si>
    <t xml:space="preserve">Electrical Xfrmrs  and Swgr</t>
  </si>
  <si>
    <t xml:space="preserve">Testing, Calibration</t>
  </si>
  <si>
    <t xml:space="preserve">Instrumentation and Controls</t>
  </si>
  <si>
    <t xml:space="preserve">Site Interconnections Eng. &amp; Construction</t>
  </si>
  <si>
    <t xml:space="preserve">Conduit, Wire and Cable</t>
  </si>
  <si>
    <t xml:space="preserve">Total Construction Services</t>
  </si>
  <si>
    <t xml:space="preserve">Metal Building</t>
  </si>
  <si>
    <t xml:space="preserve">Pumps</t>
  </si>
  <si>
    <t xml:space="preserve">Change Orders/Contingency</t>
  </si>
  <si>
    <t xml:space="preserve">Misc. Equipment</t>
  </si>
  <si>
    <t xml:space="preserve">Condeners</t>
  </si>
  <si>
    <t xml:space="preserve">Engineering</t>
  </si>
  <si>
    <t xml:space="preserve">Natural Gas Sample and Meter</t>
  </si>
  <si>
    <t xml:space="preserve">Total EPC</t>
  </si>
  <si>
    <t xml:space="preserve">Cooling Tower</t>
  </si>
  <si>
    <t xml:space="preserve">Piping</t>
  </si>
  <si>
    <t xml:space="preserve">Managment's Costs</t>
  </si>
  <si>
    <t xml:space="preserve">Valves</t>
  </si>
  <si>
    <t xml:space="preserve">Total Plant Equipment and Materials</t>
  </si>
  <si>
    <t xml:space="preserve">Project Management, Expenses and Devel't Fees</t>
  </si>
  <si>
    <t xml:space="preserve">Construction Services</t>
  </si>
  <si>
    <t xml:space="preserve">O&amp;M Start Up Personnel and Expenses</t>
  </si>
  <si>
    <t xml:space="preserve">General Conditions Incl. O.H. And Pro.</t>
  </si>
  <si>
    <t xml:space="preserve">Spare Parts</t>
  </si>
  <si>
    <t xml:space="preserve">Field Office Expenses</t>
  </si>
  <si>
    <t xml:space="preserve">Insurance</t>
  </si>
  <si>
    <t xml:space="preserve">Field Office Personnel</t>
  </si>
  <si>
    <t xml:space="preserve">Allowance for Sales and Use Tax</t>
  </si>
  <si>
    <t xml:space="preserve">Misc. General Field Conditions</t>
  </si>
  <si>
    <t xml:space="preserve">Total Management's Costs</t>
  </si>
  <si>
    <t xml:space="preserve">Electrical Subcontractor Indirects</t>
  </si>
  <si>
    <t xml:space="preserve">Construction Equipment</t>
  </si>
  <si>
    <t xml:space="preserve">Total Plant Costs</t>
  </si>
  <si>
    <t xml:space="preserve">Mobilization</t>
  </si>
  <si>
    <t xml:space="preserve">Site Development</t>
  </si>
  <si>
    <t xml:space="preserve">Foundations</t>
  </si>
  <si>
    <t xml:space="preserve">Summary of Actual Project Costs</t>
  </si>
  <si>
    <t xml:space="preserve">Fort</t>
  </si>
  <si>
    <t xml:space="preserve">Orion</t>
  </si>
  <si>
    <t xml:space="preserve">Lupton</t>
  </si>
  <si>
    <t xml:space="preserve">Greeley</t>
  </si>
  <si>
    <t xml:space="preserve">6LM x 6 x 3</t>
  </si>
  <si>
    <t xml:space="preserve">1EA x 1 x 1</t>
  </si>
  <si>
    <t xml:space="preserve">5 x 5 x 2</t>
  </si>
  <si>
    <t xml:space="preserve">1 x 1 x 0</t>
  </si>
  <si>
    <t xml:space="preserve">Component</t>
  </si>
  <si>
    <t xml:space="preserve">Notes</t>
  </si>
  <si>
    <t xml:space="preserve">LMs at $11m each plus $125K shipping…7EA at $17m plus $500K shipping &amp; misc.</t>
  </si>
  <si>
    <t xml:space="preserve">LMs at 6 5ths Fort Lupton times 1.15 for altitude/capacity adjust…EA swag.</t>
  </si>
  <si>
    <t xml:space="preserve">LMs at 6 5ths Fort Lupton times 1.15 for altitude/capacity adjust…EA at ST MW ratio.</t>
  </si>
  <si>
    <t xml:space="preserve">Balance of Plant Equipment &amp; Materials</t>
  </si>
  <si>
    <t xml:space="preserve">Electrical Xfrmrs &amp; Swgr</t>
  </si>
  <si>
    <t xml:space="preserve">Instrumentation &amp; Controls</t>
  </si>
  <si>
    <t xml:space="preserve">Conduit, Wire &amp; Cable</t>
  </si>
  <si>
    <t xml:space="preserve">Condensers</t>
  </si>
  <si>
    <t xml:space="preserve">Natural Gas Sample &amp; Meter</t>
  </si>
  <si>
    <t xml:space="preserve">All Electrical Equipment</t>
  </si>
  <si>
    <t xml:space="preserve">All Mechanical Equipment</t>
  </si>
  <si>
    <t xml:space="preserve">General Conditions Incl. O.H. &amp; Profit</t>
  </si>
  <si>
    <t xml:space="preserve">1.6 times Fort Lup;ton</t>
  </si>
  <si>
    <t xml:space="preserve">Misc General Field Conditions</t>
  </si>
  <si>
    <t xml:space="preserve">Foundations </t>
  </si>
  <si>
    <t xml:space="preserve">2.0 times Fort Lupton due to foundations on EA</t>
  </si>
  <si>
    <t xml:space="preserve">Building &amp; Erection</t>
  </si>
  <si>
    <t xml:space="preserve">Electrical - Wire, Cable &amp; Terminations</t>
  </si>
  <si>
    <t xml:space="preserve">Testing, Calibration </t>
  </si>
  <si>
    <t xml:space="preserve">Change Orders &amp; Contingency</t>
  </si>
  <si>
    <t xml:space="preserve">5% of subtotal</t>
  </si>
  <si>
    <t xml:space="preserve">SUB TOTAL</t>
  </si>
  <si>
    <t xml:space="preserve">PROCUREMENT &amp; CONST</t>
  </si>
  <si>
    <t xml:space="preserve">2.0 times Fort Lupton</t>
  </si>
  <si>
    <t xml:space="preserve">SUB TOTAL "EPC"</t>
  </si>
  <si>
    <t xml:space="preserve">POWER GENERATION @ SEA LEVEL</t>
  </si>
  <si>
    <t xml:space="preserve">kW</t>
  </si>
  <si>
    <t xml:space="preserve">$/KW</t>
  </si>
  <si>
    <t xml:space="preserve">Other Internal Costs</t>
  </si>
  <si>
    <t xml:space="preserve">Project Management, Expenses &amp; Consultants</t>
  </si>
  <si>
    <t xml:space="preserve">O &amp; M Start Up Personnel &amp; Expenses</t>
  </si>
  <si>
    <t xml:space="preserve">Includes cost of spare LM shared amoung 2.5 sites</t>
  </si>
  <si>
    <t xml:space="preserve">Allowanced for Sales &amp; Use Taxes</t>
  </si>
  <si>
    <t xml:space="preserve">SUB TOTAL OTHER COSTS</t>
  </si>
  <si>
    <t xml:space="preserve">GRAND TOTAL POWER PLANT</t>
  </si>
  <si>
    <t xml:space="preserve">STANDARD 1EA + 6 LM</t>
  </si>
  <si>
    <t xml:space="preserve">SUMMARY OF ANNUAL OPERATION &amp; MAINTENANCE</t>
  </si>
  <si>
    <t xml:space="preserve">Prepared by P. Steinway</t>
  </si>
  <si>
    <t xml:space="preserve">(Amounts in US$ Actual)</t>
  </si>
  <si>
    <t xml:space="preserve">Average</t>
  </si>
  <si>
    <t xml:space="preserve">Total</t>
  </si>
  <si>
    <t xml:space="preserve">Personnel Expenses</t>
  </si>
  <si>
    <t xml:space="preserve">Annual</t>
  </si>
  <si>
    <t xml:space="preserve">Positions</t>
  </si>
  <si>
    <t xml:space="preserve">Wages Manager</t>
  </si>
  <si>
    <t xml:space="preserve">Wages Supervisors</t>
  </si>
  <si>
    <t xml:space="preserve">Wage Administration</t>
  </si>
  <si>
    <t xml:space="preserve">Wages Operations</t>
  </si>
  <si>
    <t xml:space="preserve">Wages Maintenance</t>
  </si>
  <si>
    <t xml:space="preserve">Wages Subtotal</t>
  </si>
  <si>
    <t xml:space="preserve">Burden Expenses @ 45%</t>
  </si>
  <si>
    <t xml:space="preserve">Burdened Wages</t>
  </si>
  <si>
    <t xml:space="preserve">G&amp;A @ 15%</t>
  </si>
  <si>
    <t xml:space="preserve">Fees</t>
  </si>
  <si>
    <t xml:space="preserve">Sub Total Personnel</t>
  </si>
  <si>
    <t xml:space="preserve">Operation &amp; Maintenance</t>
  </si>
  <si>
    <r>
      <rPr>
        <i val="true"/>
        <sz val="9"/>
        <rFont val="Times New Roman"/>
        <family val="1"/>
      </rPr>
      <t xml:space="preserve">Semi Variable (Values assume a 50% Capacity Factor) </t>
    </r>
    <r>
      <rPr>
        <vertAlign val="superscript"/>
        <sz val="9"/>
        <rFont val="Times New Roman"/>
        <family val="1"/>
      </rPr>
      <t xml:space="preserve">1</t>
    </r>
  </si>
  <si>
    <t xml:space="preserve">Equipment Parts</t>
  </si>
  <si>
    <t xml:space="preserve">Expendables</t>
  </si>
  <si>
    <t xml:space="preserve">Sub Total Semi Variable O&amp;M</t>
  </si>
  <si>
    <t xml:space="preserve">Fixed</t>
  </si>
  <si>
    <t xml:space="preserve">Outside Services</t>
  </si>
  <si>
    <t xml:space="preserve">Water Treatment</t>
  </si>
  <si>
    <t xml:space="preserve">Office</t>
  </si>
  <si>
    <t xml:space="preserve">Training</t>
  </si>
  <si>
    <t xml:space="preserve">Other</t>
  </si>
  <si>
    <t xml:space="preserve">Sub Total Fixed O&amp;M</t>
  </si>
  <si>
    <t xml:space="preserve">Can alter for capacity factor as follows:  Cost *(1 - ((50% - CF) * .6)) Not currently implemented.</t>
  </si>
  <si>
    <t xml:space="preserve">Orion Performance Summary 10/12/99: (Expect Update to this by 10/29/99)</t>
  </si>
  <si>
    <t xml:space="preserve">No Chilling</t>
  </si>
  <si>
    <t xml:space="preserve">with Chilling</t>
  </si>
  <si>
    <t xml:space="preserve">No STG Upgrade</t>
  </si>
  <si>
    <t xml:space="preserve">with STG Upgrade</t>
  </si>
  <si>
    <t xml:space="preserve">Estd Net</t>
  </si>
  <si>
    <t xml:space="preserve">Ambient</t>
  </si>
  <si>
    <t xml:space="preserve">RH</t>
  </si>
  <si>
    <t xml:space="preserve">Config</t>
  </si>
  <si>
    <t xml:space="preserve">Output *</t>
  </si>
  <si>
    <t xml:space="preserve">Heat Rate</t>
  </si>
  <si>
    <t xml:space="preserve">Load</t>
  </si>
  <si>
    <t xml:space="preserve">Temp (F)</t>
  </si>
  <si>
    <t xml:space="preserve">(%)</t>
  </si>
  <si>
    <t xml:space="preserve">7/LM/Stg</t>
  </si>
  <si>
    <t xml:space="preserve">(mwe)</t>
  </si>
  <si>
    <t xml:space="preserve">(btu/kwe)</t>
  </si>
  <si>
    <t xml:space="preserve">Peak</t>
  </si>
  <si>
    <t xml:space="preserve">162 F</t>
  </si>
  <si>
    <t xml:space="preserve">Swing</t>
  </si>
  <si>
    <t xml:space="preserve">162 N</t>
  </si>
  <si>
    <t xml:space="preserve">Min</t>
  </si>
  <si>
    <t xml:space="preserve">101 N</t>
  </si>
  <si>
    <t xml:space="preserve">* Includes 6% for general parasitic and transformer losses plus chiller parasitic loads depending on the amount of chilling being done.</t>
  </si>
  <si>
    <t xml:space="preserve">Variable O&amp;M Costs</t>
  </si>
  <si>
    <t xml:space="preserve">Total MWh</t>
  </si>
  <si>
    <t xml:space="preserve">Raw Water</t>
  </si>
  <si>
    <t xml:space="preserve">thousand gals per MWh</t>
  </si>
  <si>
    <t xml:space="preserve">Gallons Used ('000s)</t>
  </si>
  <si>
    <t xml:space="preserve">Cost per 1,000 gals</t>
  </si>
  <si>
    <t xml:space="preserve">Inflation Factor</t>
  </si>
  <si>
    <t xml:space="preserve">Raw Water Total Cost</t>
  </si>
  <si>
    <t xml:space="preserve">Demineralized Water</t>
  </si>
  <si>
    <t xml:space="preserve">Demineralized Water Total Cost</t>
  </si>
  <si>
    <t xml:space="preserve">Sewer</t>
  </si>
  <si>
    <t xml:space="preserve">Sewer Total Cost</t>
  </si>
  <si>
    <t xml:space="preserve">Total Variable O&amp;M</t>
  </si>
  <si>
    <t xml:space="preserve">$/MWh</t>
  </si>
  <si>
    <t xml:space="preserve">Misc. Expendables ($.MWh)</t>
  </si>
  <si>
    <t xml:space="preserve">Water, Sewer, Demin and Misc. Variable O&amp;M ($/MWh)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</si>
</sst>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_(\$* #,##0_);_(\$* \(#,##0\);_(\$* \-_);_(@_)"/>
    <numFmt numFmtId="169" formatCode="0.0%"/>
    <numFmt numFmtId="170" formatCode="#,##0"/>
    <numFmt numFmtId="171" formatCode="[$-409]#,##0_);\(#,##0\)"/>
    <numFmt numFmtId="172" formatCode="\$#,##0.00"/>
    <numFmt numFmtId="173" formatCode="\$#,##0_);&quot;($&quot;#,##0\)"/>
    <numFmt numFmtId="174" formatCode="0"/>
    <numFmt numFmtId="175" formatCode="yyyy"/>
    <numFmt numFmtId="176" formatCode="0%"/>
    <numFmt numFmtId="177" formatCode="\$#,##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u val="single"/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0"/>
    </font>
    <font>
      <b val="true"/>
      <sz val="8"/>
      <name val="Arial"/>
      <family val="2"/>
    </font>
    <font>
      <sz val="8"/>
      <name val="Arial"/>
      <family val="2"/>
    </font>
    <font>
      <sz val="9"/>
      <name val="Arial"/>
      <family val="0"/>
    </font>
    <font>
      <b val="true"/>
      <sz val="9"/>
      <name val="Times New Roman"/>
      <family val="1"/>
    </font>
    <font>
      <b val="true"/>
      <i val="true"/>
      <sz val="9"/>
      <name val="Times New Roman"/>
      <family val="1"/>
    </font>
    <font>
      <b val="true"/>
      <i val="true"/>
      <sz val="9"/>
      <name val="Arial"/>
      <family val="2"/>
    </font>
    <font>
      <sz val="9"/>
      <color rgb="FF0000FF"/>
      <name val="Arial"/>
      <family val="2"/>
    </font>
    <font>
      <i val="true"/>
      <sz val="9"/>
      <name val="Times New Roman"/>
      <family val="1"/>
    </font>
    <font>
      <vertAlign val="superscript"/>
      <sz val="9"/>
      <name val="Times New Roman"/>
      <family val="1"/>
    </font>
    <font>
      <b val="true"/>
      <sz val="9"/>
      <name val="Arial"/>
      <family val="2"/>
    </font>
    <font>
      <sz val="8"/>
      <name val="Times New Roman"/>
      <family val="1"/>
    </font>
    <font>
      <sz val="8"/>
      <name val="Arial"/>
      <family val="0"/>
    </font>
    <font>
      <b val="true"/>
      <i val="true"/>
      <sz val="8"/>
      <name val="Arial"/>
      <family val="2"/>
    </font>
    <font>
      <i val="true"/>
      <sz val="8"/>
      <name val="Times New Roman"/>
      <family val="1"/>
    </font>
    <font>
      <b val="true"/>
      <sz val="8"/>
      <name val="Times New Roman"/>
      <family val="1"/>
    </font>
    <font>
      <sz val="8"/>
      <color rgb="FF0000FF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</cellStyleXfs>
  <cellXfs count="1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windows/TEMP/Summary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:/KNPower/Project%20Orion/Model/MI%20Final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Raytheon Data"/>
      <sheetName val="with Chilling"/>
      <sheetName val="with 105 mw stg"/>
    </sheetNames>
    <sheetDataSet>
      <sheetData sheetId="0"/>
      <sheetData sheetId="1">
        <row r="8">
          <cell r="I8">
            <v>574256</v>
          </cell>
        </row>
        <row r="8">
          <cell r="K8">
            <v>7967.45702265192</v>
          </cell>
        </row>
        <row r="9">
          <cell r="I9">
            <v>574950</v>
          </cell>
        </row>
        <row r="9">
          <cell r="K9">
            <v>7735.594399513</v>
          </cell>
        </row>
        <row r="10">
          <cell r="I10">
            <v>534914</v>
          </cell>
        </row>
        <row r="10">
          <cell r="K10">
            <v>7819.79907050479</v>
          </cell>
        </row>
        <row r="11">
          <cell r="I11">
            <v>495006</v>
          </cell>
        </row>
        <row r="11">
          <cell r="K11">
            <v>7991.57990004162</v>
          </cell>
        </row>
        <row r="12">
          <cell r="I12">
            <v>457980</v>
          </cell>
        </row>
        <row r="12">
          <cell r="K12">
            <v>8148.9256928447</v>
          </cell>
        </row>
        <row r="13">
          <cell r="I13">
            <v>430502</v>
          </cell>
        </row>
        <row r="13">
          <cell r="K13">
            <v>8082.11428366446</v>
          </cell>
        </row>
        <row r="15">
          <cell r="I15">
            <v>471012</v>
          </cell>
        </row>
        <row r="15">
          <cell r="K15">
            <v>6820.59055820234</v>
          </cell>
        </row>
        <row r="16">
          <cell r="I16">
            <v>465096</v>
          </cell>
        </row>
        <row r="16">
          <cell r="K16">
            <v>6811.36797564374</v>
          </cell>
        </row>
        <row r="17">
          <cell r="I17">
            <v>431574</v>
          </cell>
        </row>
        <row r="17">
          <cell r="K17">
            <v>6872.33243893284</v>
          </cell>
        </row>
        <row r="18">
          <cell r="I18">
            <v>389844</v>
          </cell>
        </row>
        <row r="18">
          <cell r="K18">
            <v>6976.07248027416</v>
          </cell>
        </row>
        <row r="19">
          <cell r="I19">
            <v>352782</v>
          </cell>
        </row>
        <row r="19">
          <cell r="K19">
            <v>7132.8469139582</v>
          </cell>
        </row>
        <row r="21">
          <cell r="I21">
            <v>80269</v>
          </cell>
        </row>
        <row r="21">
          <cell r="K21">
            <v>6953.36929574306</v>
          </cell>
        </row>
        <row r="22">
          <cell r="I22">
            <v>74975</v>
          </cell>
        </row>
        <row r="22">
          <cell r="K22">
            <v>8146.71557185729</v>
          </cell>
        </row>
        <row r="23">
          <cell r="I23">
            <v>66601</v>
          </cell>
        </row>
        <row r="23">
          <cell r="K23">
            <v>8414.28807375265</v>
          </cell>
        </row>
        <row r="24">
          <cell r="I24">
            <v>63310</v>
          </cell>
        </row>
        <row r="24">
          <cell r="K24">
            <v>8431.52740483336</v>
          </cell>
        </row>
        <row r="25">
          <cell r="I25">
            <v>60327</v>
          </cell>
        </row>
        <row r="25">
          <cell r="K25">
            <v>8528.51956835248</v>
          </cell>
        </row>
      </sheetData>
      <sheetData sheetId="2">
        <row r="8">
          <cell r="J8">
            <v>574256</v>
          </cell>
        </row>
        <row r="8">
          <cell r="L8">
            <v>7967.45702265192</v>
          </cell>
        </row>
        <row r="9">
          <cell r="J9">
            <v>574950</v>
          </cell>
        </row>
        <row r="9">
          <cell r="L9">
            <v>7735.594399513</v>
          </cell>
        </row>
        <row r="10">
          <cell r="J10">
            <v>547788.661088073</v>
          </cell>
        </row>
        <row r="10">
          <cell r="L10">
            <v>7785.91776608536</v>
          </cell>
        </row>
        <row r="11">
          <cell r="J11">
            <v>544198.930070107</v>
          </cell>
        </row>
        <row r="11">
          <cell r="L11">
            <v>7781.57488126308</v>
          </cell>
        </row>
        <row r="12">
          <cell r="J12">
            <v>532567.921773782</v>
          </cell>
        </row>
        <row r="12">
          <cell r="L12">
            <v>7852.61426019039</v>
          </cell>
        </row>
        <row r="13">
          <cell r="J13">
            <v>517820.381123332</v>
          </cell>
        </row>
        <row r="13">
          <cell r="L13">
            <v>7996.17950346314</v>
          </cell>
        </row>
        <row r="15">
          <cell r="J15">
            <v>471012</v>
          </cell>
        </row>
        <row r="15">
          <cell r="L15">
            <v>6820.59055820234</v>
          </cell>
        </row>
        <row r="16">
          <cell r="J16">
            <v>465096</v>
          </cell>
        </row>
        <row r="16">
          <cell r="L16">
            <v>6811.51848220582</v>
          </cell>
        </row>
        <row r="17">
          <cell r="J17">
            <v>444615.91455503</v>
          </cell>
        </row>
        <row r="17">
          <cell r="L17">
            <v>6859.75356675931</v>
          </cell>
        </row>
        <row r="18">
          <cell r="J18">
            <v>440959.275268218</v>
          </cell>
        </row>
        <row r="18">
          <cell r="L18">
            <v>6873.19613942754</v>
          </cell>
        </row>
        <row r="19">
          <cell r="J19">
            <v>430194.11964725</v>
          </cell>
        </row>
        <row r="19">
          <cell r="L19">
            <v>6912.20236083567</v>
          </cell>
        </row>
        <row r="21">
          <cell r="J21">
            <v>80269</v>
          </cell>
        </row>
        <row r="21">
          <cell r="L21">
            <v>8181.24057855461</v>
          </cell>
        </row>
        <row r="22">
          <cell r="J22">
            <v>74975</v>
          </cell>
        </row>
        <row r="22">
          <cell r="L22">
            <v>8146.71557185729</v>
          </cell>
        </row>
        <row r="23">
          <cell r="J23">
            <v>66508.908513165</v>
          </cell>
        </row>
        <row r="23">
          <cell r="L23">
            <v>8547.72710467003</v>
          </cell>
        </row>
        <row r="24">
          <cell r="J24">
            <v>64800.8867595819</v>
          </cell>
        </row>
        <row r="24">
          <cell r="L24">
            <v>8566.24079944275</v>
          </cell>
        </row>
        <row r="25">
          <cell r="J25">
            <v>63775.2052556818</v>
          </cell>
        </row>
        <row r="25">
          <cell r="L25">
            <v>8515.84871930482</v>
          </cell>
        </row>
      </sheetData>
      <sheetData sheetId="3">
        <row r="8">
          <cell r="J8">
            <v>590322.25862952</v>
          </cell>
        </row>
        <row r="8">
          <cell r="L8">
            <v>8120.70863662308</v>
          </cell>
        </row>
        <row r="9">
          <cell r="J9">
            <v>591223.521180468</v>
          </cell>
        </row>
        <row r="9">
          <cell r="L9">
            <v>7904.42880610307</v>
          </cell>
        </row>
        <row r="10">
          <cell r="J10">
            <v>565666.034951161</v>
          </cell>
        </row>
        <row r="10">
          <cell r="L10">
            <v>7977.57659772869</v>
          </cell>
        </row>
        <row r="11">
          <cell r="J11">
            <v>562262.015779357</v>
          </cell>
        </row>
        <row r="11">
          <cell r="L11">
            <v>7975.1169830201</v>
          </cell>
        </row>
        <row r="12">
          <cell r="J12">
            <v>550287.281033376</v>
          </cell>
        </row>
        <row r="12">
          <cell r="L12">
            <v>8047.85348779042</v>
          </cell>
        </row>
        <row r="13">
          <cell r="J13">
            <v>533337.323615699</v>
          </cell>
        </row>
        <row r="13">
          <cell r="L13">
            <v>8327.58206032019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int"/>
      <sheetName val="Drivers"/>
      <sheetName val="Overview"/>
      <sheetName val="Plant"/>
      <sheetName val="NonFuel Costs"/>
      <sheetName val="Fixed O&amp;M"/>
      <sheetName val="Variable O&amp;M"/>
      <sheetName val="Maintenance Reserve"/>
      <sheetName val="Construction Costs"/>
      <sheetName val="Construction"/>
      <sheetName val="Drawdown"/>
      <sheetName val="Module1"/>
    </sheetNames>
    <sheetDataSet>
      <sheetData sheetId="0"/>
      <sheetData sheetId="1">
        <row r="18">
          <cell r="B18">
            <v>0.17</v>
          </cell>
        </row>
        <row r="35">
          <cell r="B35">
            <v>0.025</v>
          </cell>
        </row>
        <row r="36">
          <cell r="B36">
            <v>0.025</v>
          </cell>
        </row>
      </sheetData>
      <sheetData sheetId="2"/>
      <sheetData sheetId="3"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</row>
        <row r="6">
          <cell r="G6">
            <v>37256</v>
          </cell>
          <cell r="H6">
            <v>37621</v>
          </cell>
          <cell r="I6">
            <v>37986</v>
          </cell>
          <cell r="J6">
            <v>38352</v>
          </cell>
          <cell r="K6">
            <v>38717</v>
          </cell>
          <cell r="L6">
            <v>39082</v>
          </cell>
          <cell r="M6">
            <v>39447</v>
          </cell>
          <cell r="N6">
            <v>39813</v>
          </cell>
          <cell r="O6">
            <v>40178</v>
          </cell>
          <cell r="P6">
            <v>40543</v>
          </cell>
          <cell r="Q6">
            <v>40908</v>
          </cell>
          <cell r="R6">
            <v>41274</v>
          </cell>
          <cell r="S6">
            <v>41639</v>
          </cell>
          <cell r="T6">
            <v>42004</v>
          </cell>
          <cell r="U6">
            <v>42369</v>
          </cell>
          <cell r="V6">
            <v>42735</v>
          </cell>
          <cell r="W6">
            <v>43100</v>
          </cell>
          <cell r="X6">
            <v>43465</v>
          </cell>
          <cell r="Y6">
            <v>43830</v>
          </cell>
          <cell r="Z6">
            <v>44196</v>
          </cell>
          <cell r="AA6">
            <v>44561</v>
          </cell>
          <cell r="AB6">
            <v>44926</v>
          </cell>
          <cell r="AC6">
            <v>45291</v>
          </cell>
          <cell r="AD6">
            <v>45657</v>
          </cell>
          <cell r="AE6">
            <v>46022</v>
          </cell>
        </row>
        <row r="16">
          <cell r="G16">
            <v>327832.468946716</v>
          </cell>
          <cell r="H16">
            <v>1049265.67651389</v>
          </cell>
          <cell r="I16">
            <v>1200037.33980577</v>
          </cell>
          <cell r="J16">
            <v>1350809.00309766</v>
          </cell>
          <cell r="K16">
            <v>1501580.66638955</v>
          </cell>
          <cell r="L16">
            <v>1614700.84385753</v>
          </cell>
          <cell r="M16">
            <v>1727821.02132552</v>
          </cell>
          <cell r="N16">
            <v>1840941.19879351</v>
          </cell>
          <cell r="O16">
            <v>1954061.3762615</v>
          </cell>
          <cell r="P16">
            <v>2067181.55372948</v>
          </cell>
          <cell r="Q16">
            <v>2163865.05156538</v>
          </cell>
          <cell r="R16">
            <v>2260548.54940128</v>
          </cell>
          <cell r="S16">
            <v>2357232.04723717</v>
          </cell>
          <cell r="T16">
            <v>2453915.54507307</v>
          </cell>
          <cell r="U16">
            <v>2550599.04290897</v>
          </cell>
          <cell r="V16">
            <v>2647282.54074486</v>
          </cell>
          <cell r="W16">
            <v>2743966.03858076</v>
          </cell>
          <cell r="X16">
            <v>2743966.03858076</v>
          </cell>
          <cell r="Y16">
            <v>2743966.03858076</v>
          </cell>
          <cell r="Z16">
            <v>2743966.03858076</v>
          </cell>
          <cell r="AA16">
            <v>2743966.03858076</v>
          </cell>
          <cell r="AB16">
            <v>2743966.03858076</v>
          </cell>
          <cell r="AC16">
            <v>2743966.03858076</v>
          </cell>
          <cell r="AD16">
            <v>2743966.03858076</v>
          </cell>
          <cell r="AE16">
            <v>2743966.03858076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32.99"/>
    <col collapsed="false" customWidth="true" hidden="false" outlineLevel="0" max="3" min="3" style="0" width="16.13"/>
    <col collapsed="false" customWidth="true" hidden="false" outlineLevel="0" max="4" min="4" style="0" width="2.7"/>
    <col collapsed="false" customWidth="true" hidden="false" outlineLevel="0" max="5" min="5" style="0" width="42.28"/>
    <col collapsed="false" customWidth="true" hidden="false" outlineLevel="0" max="7" min="6" style="0" width="16.13"/>
    <col collapsed="false" customWidth="true" hidden="false" outlineLevel="0" max="11" min="11" style="0" width="34.85"/>
    <col collapsed="false" customWidth="true" hidden="false" outlineLevel="0" max="12" min="12" style="0" width="16.28"/>
    <col collapsed="false" customWidth="true" hidden="false" outlineLevel="0" max="14" min="14" style="0" width="32.7"/>
    <col collapsed="false" customWidth="true" hidden="false" outlineLevel="0" max="15" min="15" style="0" width="19.28"/>
  </cols>
  <sheetData>
    <row r="1" customFormat="false" ht="12.75" hidden="false" customHeight="false" outlineLevel="0" collapsed="false">
      <c r="J1" s="1" t="s">
        <v>0</v>
      </c>
    </row>
    <row r="2" customFormat="false" ht="13.5" hidden="false" customHeight="false" outlineLevel="0" collapsed="false">
      <c r="A2" s="2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</row>
    <row r="3" customFormat="false" ht="12.75" hidden="false" customHeight="false" outlineLevel="0" collapsed="false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12.75" hidden="false" customHeight="false" outlineLevel="0" collapsed="false">
      <c r="A4" s="5"/>
      <c r="B4" s="5"/>
      <c r="C4" s="6"/>
      <c r="D4" s="5"/>
      <c r="E4" s="5"/>
      <c r="F4" s="5"/>
      <c r="G4" s="7"/>
      <c r="H4" s="7"/>
      <c r="I4" s="7"/>
      <c r="J4" s="7"/>
      <c r="K4" s="7"/>
      <c r="L4" s="7"/>
      <c r="M4" s="7"/>
      <c r="N4" s="7"/>
      <c r="O4" s="7"/>
    </row>
    <row r="5" customFormat="false" ht="12.75" hidden="false" customHeight="false" outlineLevel="0" collapsed="false">
      <c r="A5" s="4"/>
      <c r="B5" s="4"/>
      <c r="C5" s="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customFormat="false" ht="12.75" hidden="false" customHeight="false" outlineLevel="0" collapsed="false">
      <c r="A6" s="4"/>
      <c r="B6" s="4"/>
      <c r="C6" s="4"/>
      <c r="D6" s="4"/>
      <c r="E6" s="9" t="s">
        <v>2</v>
      </c>
      <c r="F6" s="4"/>
      <c r="G6" s="4"/>
      <c r="H6" s="4"/>
      <c r="I6" s="4"/>
      <c r="J6" s="4"/>
      <c r="K6" s="4"/>
      <c r="L6" s="4"/>
      <c r="M6" s="4"/>
      <c r="N6" s="4"/>
      <c r="O6" s="4"/>
    </row>
    <row r="7" customFormat="false" ht="12.75" hidden="false" customHeight="false" outlineLevel="0" collapsed="false">
      <c r="A7" s="7" t="s">
        <v>3</v>
      </c>
      <c r="B7" s="4"/>
      <c r="C7" s="10" t="s">
        <v>4</v>
      </c>
      <c r="D7" s="4"/>
      <c r="E7" s="4" t="s">
        <v>5</v>
      </c>
      <c r="F7" s="11" t="n">
        <f aca="false">F41</f>
        <v>5000000</v>
      </c>
      <c r="G7" s="4"/>
      <c r="H7" s="4"/>
      <c r="I7" s="4"/>
      <c r="J7" s="4"/>
      <c r="K7" s="4"/>
      <c r="L7" s="4"/>
      <c r="M7" s="4"/>
      <c r="N7" s="4"/>
      <c r="O7" s="4"/>
    </row>
    <row r="8" customFormat="false" ht="12.75" hidden="false" customHeight="false" outlineLevel="0" collapsed="false">
      <c r="A8" s="7" t="s">
        <v>6</v>
      </c>
      <c r="B8" s="4"/>
      <c r="C8" s="12" t="n">
        <v>36461</v>
      </c>
      <c r="D8" s="4"/>
      <c r="E8" s="4" t="s">
        <v>7</v>
      </c>
      <c r="F8" s="11" t="n">
        <f aca="false">F28</f>
        <v>209193073</v>
      </c>
      <c r="G8" s="4"/>
      <c r="H8" s="4"/>
      <c r="I8" s="4"/>
      <c r="J8" s="4"/>
      <c r="K8" s="4"/>
      <c r="L8" s="4"/>
      <c r="M8" s="4"/>
      <c r="N8" s="4"/>
      <c r="O8" s="4"/>
    </row>
    <row r="9" customFormat="false" ht="12.75" hidden="false" customHeight="false" outlineLevel="0" collapsed="false">
      <c r="A9" s="4"/>
      <c r="B9" s="4"/>
      <c r="C9" s="10"/>
      <c r="D9" s="4"/>
      <c r="E9" s="13" t="s">
        <v>8</v>
      </c>
      <c r="F9" s="14" t="n">
        <f aca="false">F37</f>
        <v>38316704</v>
      </c>
      <c r="G9" s="4"/>
      <c r="H9" s="4"/>
      <c r="I9" s="4"/>
      <c r="J9" s="4"/>
      <c r="K9" s="4"/>
      <c r="L9" s="4"/>
      <c r="M9" s="4"/>
      <c r="N9" s="4"/>
      <c r="O9" s="4"/>
    </row>
    <row r="10" customFormat="false" ht="18" hidden="false" customHeight="true" outlineLevel="0" collapsed="false">
      <c r="A10" s="1"/>
      <c r="C10" s="10"/>
      <c r="D10" s="4"/>
      <c r="E10" s="7" t="s">
        <v>9</v>
      </c>
      <c r="F10" s="15" t="n">
        <f aca="false">SUM(F7:F9)</f>
        <v>252509777</v>
      </c>
      <c r="G10" s="4"/>
      <c r="H10" s="4"/>
      <c r="I10" s="4"/>
      <c r="J10" s="4"/>
      <c r="K10" s="4"/>
      <c r="L10" s="4"/>
      <c r="M10" s="4"/>
      <c r="N10" s="4"/>
      <c r="O10" s="4"/>
    </row>
    <row r="11" customFormat="false" ht="12.75" hidden="false" customHeight="false" outlineLevel="0" collapsed="false">
      <c r="A11" s="4"/>
      <c r="B11" s="4"/>
      <c r="C11" s="4"/>
      <c r="D11" s="4"/>
      <c r="E11" s="4"/>
      <c r="F11" s="4"/>
    </row>
    <row r="12" customFormat="false" ht="12.75" hidden="false" customHeight="false" outlineLevel="0" collapsed="false">
      <c r="A12" s="16" t="s">
        <v>7</v>
      </c>
      <c r="B12" s="17"/>
      <c r="C12" s="17"/>
      <c r="D12" s="17"/>
      <c r="E12" s="17"/>
      <c r="F12" s="18"/>
    </row>
    <row r="13" customFormat="false" ht="12.75" hidden="false" customHeight="false" outlineLevel="0" collapsed="false">
      <c r="A13" s="19" t="s">
        <v>10</v>
      </c>
      <c r="B13" s="4"/>
      <c r="C13" s="20"/>
      <c r="D13" s="4"/>
      <c r="E13" s="13" t="s">
        <v>11</v>
      </c>
      <c r="F13" s="21"/>
    </row>
    <row r="14" customFormat="false" ht="12.75" hidden="false" customHeight="false" outlineLevel="0" collapsed="false">
      <c r="A14" s="19"/>
      <c r="B14" s="4"/>
      <c r="C14" s="20"/>
      <c r="D14" s="4"/>
      <c r="E14" s="13"/>
      <c r="F14" s="21"/>
    </row>
    <row r="15" customFormat="false" ht="12.75" hidden="false" customHeight="false" outlineLevel="0" collapsed="false">
      <c r="A15" s="22"/>
      <c r="B15" s="0" t="s">
        <v>12</v>
      </c>
      <c r="C15" s="20" t="n">
        <f aca="false">12000000+12000000+11650000*4+17600000</f>
        <v>88200000</v>
      </c>
      <c r="D15" s="4"/>
      <c r="E15" s="4" t="s">
        <v>13</v>
      </c>
      <c r="F15" s="23" t="n">
        <v>184352</v>
      </c>
    </row>
    <row r="16" customFormat="false" ht="12.75" hidden="false" customHeight="false" outlineLevel="0" collapsed="false">
      <c r="A16" s="22"/>
      <c r="B16" s="0" t="s">
        <v>14</v>
      </c>
      <c r="C16" s="20" t="n">
        <v>16500000</v>
      </c>
      <c r="D16" s="4"/>
      <c r="E16" s="4" t="s">
        <v>15</v>
      </c>
      <c r="F16" s="23" t="n">
        <v>1469386</v>
      </c>
    </row>
    <row r="17" customFormat="false" ht="12.75" hidden="false" customHeight="false" outlineLevel="0" collapsed="false">
      <c r="A17" s="22"/>
      <c r="B17" s="24" t="s">
        <v>16</v>
      </c>
      <c r="C17" s="20" t="n">
        <v>13044000</v>
      </c>
      <c r="D17" s="4"/>
      <c r="E17" s="4" t="s">
        <v>17</v>
      </c>
      <c r="F17" s="23" t="n">
        <v>2267166</v>
      </c>
    </row>
    <row r="18" customFormat="false" ht="12.75" hidden="false" customHeight="false" outlineLevel="0" collapsed="false">
      <c r="A18" s="22"/>
      <c r="B18" s="24" t="s">
        <v>18</v>
      </c>
      <c r="C18" s="25" t="n">
        <f aca="false">119129424-C15-C16-C17</f>
        <v>1385424</v>
      </c>
      <c r="D18" s="4"/>
      <c r="E18" s="4" t="s">
        <v>19</v>
      </c>
      <c r="F18" s="23" t="n">
        <v>2924272</v>
      </c>
    </row>
    <row r="19" customFormat="false" ht="12.75" hidden="false" customHeight="false" outlineLevel="0" collapsed="false">
      <c r="A19" s="22"/>
      <c r="B19" s="0" t="s">
        <v>20</v>
      </c>
      <c r="C19" s="26" t="n">
        <f aca="false">SUM(C15:C18)</f>
        <v>119129424</v>
      </c>
      <c r="D19" s="4"/>
      <c r="E19" s="4" t="s">
        <v>21</v>
      </c>
      <c r="F19" s="23" t="n">
        <v>1252755</v>
      </c>
    </row>
    <row r="20" customFormat="false" ht="12.75" hidden="false" customHeight="false" outlineLevel="0" collapsed="false">
      <c r="A20" s="19" t="s">
        <v>22</v>
      </c>
      <c r="B20" s="4"/>
      <c r="C20" s="4"/>
      <c r="D20" s="4"/>
      <c r="E20" s="4" t="s">
        <v>23</v>
      </c>
      <c r="F20" s="23" t="n">
        <v>1857267</v>
      </c>
    </row>
    <row r="21" customFormat="false" ht="12.75" hidden="false" customHeight="false" outlineLevel="0" collapsed="false">
      <c r="A21" s="22"/>
      <c r="B21" s="4" t="s">
        <v>24</v>
      </c>
      <c r="C21" s="20" t="n">
        <v>9149264</v>
      </c>
      <c r="D21" s="4"/>
      <c r="E21" s="27" t="s">
        <v>25</v>
      </c>
      <c r="F21" s="23" t="n">
        <v>558253</v>
      </c>
    </row>
    <row r="22" customFormat="false" ht="12.75" hidden="false" customHeight="false" outlineLevel="0" collapsed="false">
      <c r="A22" s="22"/>
      <c r="B22" s="4" t="s">
        <v>26</v>
      </c>
      <c r="C22" s="20" t="n">
        <v>2504816</v>
      </c>
      <c r="D22" s="4"/>
      <c r="E22" s="28" t="s">
        <v>27</v>
      </c>
      <c r="F22" s="29" t="n">
        <v>3000000</v>
      </c>
    </row>
    <row r="23" customFormat="false" ht="12.75" hidden="false" customHeight="false" outlineLevel="0" collapsed="false">
      <c r="A23" s="22"/>
      <c r="B23" s="4" t="s">
        <v>28</v>
      </c>
      <c r="C23" s="20" t="n">
        <v>1629954</v>
      </c>
      <c r="D23" s="4"/>
      <c r="E23" s="4" t="s">
        <v>29</v>
      </c>
      <c r="F23" s="30" t="n">
        <f aca="false">SUM(C34:C42)+SUM(F15:F22)</f>
        <v>47197234</v>
      </c>
    </row>
    <row r="24" customFormat="false" ht="12.75" hidden="false" customHeight="false" outlineLevel="0" collapsed="false">
      <c r="A24" s="22"/>
      <c r="B24" s="4" t="s">
        <v>30</v>
      </c>
      <c r="C24" s="20" t="n">
        <v>1072154</v>
      </c>
      <c r="D24" s="4"/>
      <c r="E24" s="4"/>
      <c r="F24" s="21"/>
    </row>
    <row r="25" customFormat="false" ht="12.75" hidden="false" customHeight="false" outlineLevel="0" collapsed="false">
      <c r="A25" s="22"/>
      <c r="B25" s="4" t="s">
        <v>31</v>
      </c>
      <c r="C25" s="20" t="n">
        <v>1703479</v>
      </c>
      <c r="D25" s="4"/>
      <c r="E25" s="27" t="s">
        <v>32</v>
      </c>
      <c r="F25" s="23" t="n">
        <v>9200000</v>
      </c>
    </row>
    <row r="26" customFormat="false" ht="12.75" hidden="false" customHeight="false" outlineLevel="0" collapsed="false">
      <c r="A26" s="22"/>
      <c r="B26" s="4" t="s">
        <v>33</v>
      </c>
      <c r="C26" s="20" t="n">
        <v>2561965</v>
      </c>
      <c r="D26" s="4"/>
      <c r="E26" s="4"/>
      <c r="F26" s="21"/>
    </row>
    <row r="27" customFormat="false" ht="12.75" hidden="false" customHeight="false" outlineLevel="0" collapsed="false">
      <c r="A27" s="22"/>
      <c r="B27" s="4" t="s">
        <v>34</v>
      </c>
      <c r="C27" s="20" t="n">
        <v>1541818</v>
      </c>
      <c r="D27" s="4"/>
      <c r="E27" s="13" t="s">
        <v>35</v>
      </c>
      <c r="F27" s="31" t="n">
        <v>6699886</v>
      </c>
    </row>
    <row r="28" customFormat="false" ht="12.75" hidden="false" customHeight="false" outlineLevel="0" collapsed="false">
      <c r="A28" s="22"/>
      <c r="B28" s="4" t="s">
        <v>36</v>
      </c>
      <c r="C28" s="20" t="n">
        <v>1284351</v>
      </c>
      <c r="D28" s="4"/>
      <c r="E28" s="7" t="s">
        <v>37</v>
      </c>
      <c r="F28" s="32" t="n">
        <f aca="false">C19+C32+F23+F25+F27</f>
        <v>209193073</v>
      </c>
    </row>
    <row r="29" customFormat="false" ht="12.75" hidden="false" customHeight="false" outlineLevel="0" collapsed="false">
      <c r="A29" s="22"/>
      <c r="B29" s="4" t="s">
        <v>38</v>
      </c>
      <c r="C29" s="20" t="n">
        <v>1226330</v>
      </c>
      <c r="D29" s="4"/>
      <c r="E29" s="4"/>
      <c r="F29" s="21"/>
    </row>
    <row r="30" customFormat="false" ht="12.75" hidden="false" customHeight="false" outlineLevel="0" collapsed="false">
      <c r="A30" s="22"/>
      <c r="B30" s="4" t="s">
        <v>39</v>
      </c>
      <c r="C30" s="20" t="n">
        <v>2825306</v>
      </c>
      <c r="D30" s="4"/>
      <c r="E30" s="7" t="s">
        <v>40</v>
      </c>
      <c r="F30" s="21"/>
    </row>
    <row r="31" customFormat="false" ht="12.75" hidden="false" customHeight="false" outlineLevel="0" collapsed="false">
      <c r="A31" s="22"/>
      <c r="B31" s="13" t="s">
        <v>41</v>
      </c>
      <c r="C31" s="25" t="n">
        <v>1467092</v>
      </c>
      <c r="D31" s="4"/>
      <c r="E31" s="4"/>
      <c r="F31" s="21"/>
    </row>
    <row r="32" customFormat="false" ht="12.75" hidden="false" customHeight="false" outlineLevel="0" collapsed="false">
      <c r="A32" s="22"/>
      <c r="B32" s="4" t="s">
        <v>42</v>
      </c>
      <c r="C32" s="33" t="n">
        <f aca="false">SUM(C21:C31)</f>
        <v>26966529</v>
      </c>
      <c r="D32" s="4"/>
      <c r="E32" s="0" t="s">
        <v>43</v>
      </c>
      <c r="F32" s="23" t="n">
        <v>20816248</v>
      </c>
    </row>
    <row r="33" customFormat="false" ht="12.75" hidden="false" customHeight="false" outlineLevel="0" collapsed="false">
      <c r="A33" s="19" t="s">
        <v>44</v>
      </c>
      <c r="B33" s="4"/>
      <c r="C33" s="4"/>
      <c r="D33" s="4"/>
      <c r="E33" s="4" t="s">
        <v>45</v>
      </c>
      <c r="F33" s="23" t="n">
        <v>5146668</v>
      </c>
    </row>
    <row r="34" customFormat="false" ht="12.75" hidden="false" customHeight="false" outlineLevel="0" collapsed="false">
      <c r="A34" s="22"/>
      <c r="B34" s="4" t="s">
        <v>46</v>
      </c>
      <c r="C34" s="20" t="n">
        <v>12787938</v>
      </c>
      <c r="D34" s="4"/>
      <c r="E34" s="4" t="s">
        <v>47</v>
      </c>
      <c r="F34" s="23" t="n">
        <v>4000000</v>
      </c>
    </row>
    <row r="35" customFormat="false" ht="12.75" hidden="false" customHeight="false" outlineLevel="0" collapsed="false">
      <c r="A35" s="22"/>
      <c r="B35" s="4" t="s">
        <v>48</v>
      </c>
      <c r="C35" s="20" t="n">
        <v>1010152</v>
      </c>
      <c r="D35" s="4"/>
      <c r="E35" s="4" t="s">
        <v>49</v>
      </c>
      <c r="F35" s="23" t="n">
        <v>2167996</v>
      </c>
    </row>
    <row r="36" customFormat="false" ht="12.75" hidden="false" customHeight="false" outlineLevel="0" collapsed="false">
      <c r="A36" s="22"/>
      <c r="B36" s="4" t="s">
        <v>50</v>
      </c>
      <c r="C36" s="20" t="n">
        <v>2377536</v>
      </c>
      <c r="D36" s="4"/>
      <c r="E36" s="13" t="s">
        <v>51</v>
      </c>
      <c r="F36" s="23" t="n">
        <v>6185792</v>
      </c>
    </row>
    <row r="37" customFormat="false" ht="12.75" hidden="false" customHeight="false" outlineLevel="0" collapsed="false">
      <c r="A37" s="22"/>
      <c r="B37" s="4" t="s">
        <v>52</v>
      </c>
      <c r="C37" s="20" t="n">
        <v>920640</v>
      </c>
      <c r="D37" s="4"/>
      <c r="E37" s="7" t="s">
        <v>53</v>
      </c>
      <c r="F37" s="32" t="n">
        <f aca="false">SUM(F32:F36)</f>
        <v>38316704</v>
      </c>
    </row>
    <row r="38" customFormat="false" ht="12.75" hidden="false" customHeight="false" outlineLevel="0" collapsed="false">
      <c r="A38" s="22"/>
      <c r="B38" s="4" t="s">
        <v>54</v>
      </c>
      <c r="C38" s="20" t="n">
        <v>6181618</v>
      </c>
      <c r="D38" s="4"/>
      <c r="E38" s="4"/>
      <c r="F38" s="21"/>
    </row>
    <row r="39" customFormat="false" ht="12.75" hidden="false" customHeight="false" outlineLevel="0" collapsed="false">
      <c r="A39" s="22"/>
      <c r="B39" s="4" t="s">
        <v>55</v>
      </c>
      <c r="C39" s="20" t="n">
        <v>2962547</v>
      </c>
      <c r="D39" s="4"/>
      <c r="E39" s="7" t="s">
        <v>56</v>
      </c>
      <c r="F39" s="32" t="n">
        <f aca="false">F28+F37</f>
        <v>247509777</v>
      </c>
    </row>
    <row r="40" customFormat="false" ht="12.75" hidden="false" customHeight="false" outlineLevel="0" collapsed="false">
      <c r="A40" s="22"/>
      <c r="B40" s="4" t="s">
        <v>57</v>
      </c>
      <c r="C40" s="20" t="n">
        <v>1004000</v>
      </c>
      <c r="D40" s="4"/>
      <c r="E40" s="4"/>
      <c r="F40" s="21"/>
    </row>
    <row r="41" customFormat="false" ht="12.75" hidden="false" customHeight="false" outlineLevel="0" collapsed="false">
      <c r="A41" s="22"/>
      <c r="B41" s="4" t="s">
        <v>58</v>
      </c>
      <c r="C41" s="20" t="n">
        <v>2043358</v>
      </c>
      <c r="D41" s="4"/>
      <c r="E41" s="7" t="s">
        <v>5</v>
      </c>
      <c r="F41" s="34" t="n">
        <v>5000000</v>
      </c>
    </row>
    <row r="42" customFormat="false" ht="12.75" hidden="false" customHeight="false" outlineLevel="0" collapsed="false">
      <c r="A42" s="35"/>
      <c r="B42" s="36" t="s">
        <v>59</v>
      </c>
      <c r="C42" s="37" t="n">
        <v>4395994</v>
      </c>
      <c r="D42" s="36"/>
      <c r="E42" s="36"/>
      <c r="F42" s="38"/>
    </row>
    <row r="43" customFormat="false" ht="12.75" hidden="false" customHeight="false" outlineLevel="0" collapsed="false">
      <c r="A43" s="4"/>
      <c r="B43" s="4"/>
      <c r="C43" s="4"/>
    </row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51" customFormat="false" ht="18.75" hidden="false" customHeight="true" outlineLevel="0" collapsed="false"/>
    <row r="59" customFormat="false" ht="16.5" hidden="false" customHeight="true" outlineLevel="0" collapsed="false"/>
    <row r="67" customFormat="false" ht="15.75" hidden="false" customHeight="true" outlineLevel="0" collapsed="false"/>
    <row r="114" customFormat="false" ht="18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320138888888889" bottom="0.6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O6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4.56"/>
    <col collapsed="false" customWidth="true" hidden="false" outlineLevel="0" max="3" min="3" style="0" width="30.28"/>
    <col collapsed="false" customWidth="true" hidden="false" outlineLevel="0" max="4" min="4" style="0" width="14.56"/>
    <col collapsed="false" customWidth="true" hidden="false" outlineLevel="0" max="5" min="5" style="0" width="4.7"/>
    <col collapsed="false" customWidth="true" hidden="true" outlineLevel="0" max="6" min="6" style="0" width="14.41"/>
    <col collapsed="false" customWidth="true" hidden="true" outlineLevel="0" max="7" min="7" style="0" width="6.56"/>
    <col collapsed="false" customWidth="true" hidden="false" outlineLevel="0" max="8" min="8" style="39" width="14.99"/>
    <col collapsed="false" customWidth="true" hidden="false" outlineLevel="0" max="9" min="9" style="40" width="14.41"/>
    <col collapsed="false" customWidth="true" hidden="false" outlineLevel="0" max="12" min="10" style="0" width="12.7"/>
    <col collapsed="false" customWidth="true" hidden="false" outlineLevel="0" max="13" min="13" style="0" width="10.28"/>
    <col collapsed="false" customWidth="true" hidden="false" outlineLevel="0" max="14" min="14" style="0" width="12.14"/>
  </cols>
  <sheetData>
    <row r="5" customFormat="false" ht="12.75" hidden="false" customHeight="false" outlineLevel="0" collapsed="false">
      <c r="B5" s="41" t="s">
        <v>60</v>
      </c>
      <c r="C5" s="42"/>
      <c r="D5" s="43" t="s">
        <v>61</v>
      </c>
      <c r="E5" s="43"/>
      <c r="F5" s="43"/>
      <c r="G5" s="42"/>
      <c r="H5" s="44" t="s">
        <v>62</v>
      </c>
      <c r="I5" s="45" t="s">
        <v>62</v>
      </c>
      <c r="J5" s="42"/>
      <c r="K5" s="42"/>
      <c r="L5" s="42"/>
    </row>
    <row r="6" customFormat="false" ht="12.75" hidden="false" customHeight="false" outlineLevel="0" collapsed="false">
      <c r="B6" s="42"/>
      <c r="C6" s="42"/>
      <c r="D6" s="43" t="s">
        <v>63</v>
      </c>
      <c r="E6" s="43"/>
      <c r="F6" s="43" t="s">
        <v>64</v>
      </c>
      <c r="G6" s="42"/>
      <c r="H6" s="44" t="s">
        <v>65</v>
      </c>
      <c r="I6" s="45" t="s">
        <v>66</v>
      </c>
      <c r="J6" s="42"/>
      <c r="K6" s="42"/>
      <c r="L6" s="42" t="s">
        <v>62</v>
      </c>
    </row>
    <row r="7" customFormat="false" ht="12.75" hidden="false" customHeight="false" outlineLevel="0" collapsed="false">
      <c r="A7" s="4"/>
      <c r="B7" s="46"/>
      <c r="C7" s="46"/>
      <c r="D7" s="47" t="s">
        <v>67</v>
      </c>
      <c r="E7" s="48"/>
      <c r="F7" s="47" t="s">
        <v>68</v>
      </c>
      <c r="G7" s="46"/>
      <c r="H7" s="49" t="s">
        <v>69</v>
      </c>
      <c r="I7" s="50" t="s">
        <v>69</v>
      </c>
      <c r="J7" s="46"/>
      <c r="K7" s="46"/>
      <c r="L7" s="46" t="s">
        <v>70</v>
      </c>
      <c r="M7" s="4"/>
      <c r="N7" s="4"/>
      <c r="O7" s="4"/>
    </row>
    <row r="8" customFormat="false" ht="12.75" hidden="false" customHeight="false" outlineLevel="0" collapsed="false">
      <c r="A8" s="4"/>
      <c r="B8" s="46" t="s">
        <v>10</v>
      </c>
      <c r="C8" s="46"/>
      <c r="D8" s="46"/>
      <c r="E8" s="46"/>
      <c r="F8" s="46"/>
      <c r="G8" s="46"/>
      <c r="H8" s="51"/>
      <c r="I8" s="50"/>
      <c r="J8" s="46"/>
      <c r="K8" s="46"/>
      <c r="L8" s="46"/>
      <c r="M8" s="4"/>
      <c r="N8" s="4"/>
      <c r="O8" s="4"/>
    </row>
    <row r="9" customFormat="false" ht="12.75" hidden="false" customHeight="false" outlineLevel="0" collapsed="false">
      <c r="A9" s="4"/>
      <c r="B9" s="46"/>
      <c r="C9" s="46" t="s">
        <v>12</v>
      </c>
      <c r="D9" s="51" t="n">
        <f aca="false">54296107+598035</f>
        <v>54894142</v>
      </c>
      <c r="E9" s="46"/>
      <c r="F9" s="51" t="n">
        <v>12293100</v>
      </c>
      <c r="G9" s="46"/>
      <c r="H9" s="51" t="n">
        <f aca="false">6*11125000</f>
        <v>66750000</v>
      </c>
      <c r="I9" s="52" t="n">
        <v>17500000</v>
      </c>
      <c r="J9" s="46"/>
      <c r="K9" s="46"/>
      <c r="L9" s="46" t="s">
        <v>71</v>
      </c>
      <c r="M9" s="4"/>
      <c r="N9" s="4"/>
      <c r="O9" s="4"/>
    </row>
    <row r="10" customFormat="false" ht="12.75" hidden="false" customHeight="false" outlineLevel="0" collapsed="false">
      <c r="A10" s="4"/>
      <c r="B10" s="46"/>
      <c r="C10" s="46" t="s">
        <v>14</v>
      </c>
      <c r="D10" s="51" t="n">
        <v>8040650</v>
      </c>
      <c r="E10" s="46"/>
      <c r="F10" s="51" t="n">
        <v>1604162</v>
      </c>
      <c r="G10" s="46"/>
      <c r="H10" s="51" t="n">
        <f aca="false">+D10/5*6*1.15</f>
        <v>11096097</v>
      </c>
      <c r="I10" s="52" t="n">
        <v>2875000</v>
      </c>
      <c r="J10" s="46"/>
      <c r="K10" s="46"/>
      <c r="L10" s="46" t="s">
        <v>72</v>
      </c>
      <c r="M10" s="4"/>
      <c r="N10" s="4"/>
      <c r="O10" s="4"/>
    </row>
    <row r="11" customFormat="false" ht="12.75" hidden="false" customHeight="false" outlineLevel="0" collapsed="false">
      <c r="A11" s="4"/>
      <c r="B11" s="46"/>
      <c r="C11" s="46" t="s">
        <v>16</v>
      </c>
      <c r="D11" s="51" t="n">
        <v>11839276</v>
      </c>
      <c r="E11" s="46"/>
      <c r="F11" s="51"/>
      <c r="G11" s="46"/>
      <c r="H11" s="51" t="n">
        <f aca="false">+D11/5*6*1.15</f>
        <v>16338200.88</v>
      </c>
      <c r="I11" s="52" t="n">
        <f aca="false">+H11/143*40</f>
        <v>4570126.12027972</v>
      </c>
      <c r="J11" s="51" t="n">
        <f aca="false">SUM(H9:I11)</f>
        <v>119129424.00028</v>
      </c>
      <c r="K11" s="51"/>
      <c r="L11" s="46" t="s">
        <v>73</v>
      </c>
      <c r="M11" s="4"/>
      <c r="N11" s="4"/>
      <c r="O11" s="4"/>
    </row>
    <row r="12" customFormat="false" ht="12.75" hidden="false" customHeight="false" outlineLevel="0" collapsed="false">
      <c r="A12" s="4"/>
      <c r="B12" s="46" t="s">
        <v>74</v>
      </c>
      <c r="C12" s="46"/>
      <c r="D12" s="51"/>
      <c r="E12" s="46"/>
      <c r="F12" s="51"/>
      <c r="G12" s="46"/>
      <c r="H12" s="51"/>
      <c r="I12" s="52"/>
      <c r="J12" s="46"/>
      <c r="K12" s="46"/>
      <c r="L12" s="46"/>
      <c r="M12" s="4"/>
      <c r="N12" s="4"/>
      <c r="O12" s="4"/>
    </row>
    <row r="13" customFormat="false" ht="12.75" hidden="false" customHeight="false" outlineLevel="0" collapsed="false">
      <c r="A13" s="4"/>
      <c r="B13" s="46"/>
      <c r="C13" s="46" t="s">
        <v>75</v>
      </c>
      <c r="D13" s="51" t="n">
        <f aca="false">7434027-D14-D15</f>
        <v>5120122</v>
      </c>
      <c r="E13" s="46"/>
      <c r="F13" s="51"/>
      <c r="G13" s="46"/>
      <c r="H13" s="51" t="n">
        <f aca="false">+D13/5*6*1.15</f>
        <v>7065768.36</v>
      </c>
      <c r="I13" s="52" t="n">
        <f aca="false">+H13/390*115</f>
        <v>2083495.79846154</v>
      </c>
      <c r="J13" s="46"/>
      <c r="K13" s="46"/>
      <c r="L13" s="46" t="s">
        <v>73</v>
      </c>
      <c r="M13" s="4"/>
      <c r="N13" s="4"/>
      <c r="O13" s="4"/>
    </row>
    <row r="14" customFormat="false" ht="12.75" hidden="false" customHeight="false" outlineLevel="0" collapsed="false">
      <c r="A14" s="4"/>
      <c r="B14" s="46"/>
      <c r="C14" s="46" t="s">
        <v>76</v>
      </c>
      <c r="D14" s="51" t="n">
        <f aca="false">575000+229327+59921+152500+120000+155000+110000</f>
        <v>1401748</v>
      </c>
      <c r="E14" s="46"/>
      <c r="F14" s="51"/>
      <c r="G14" s="46"/>
      <c r="H14" s="51" t="n">
        <f aca="false">+D14/5*6*1.15</f>
        <v>1934412.24</v>
      </c>
      <c r="I14" s="52" t="n">
        <f aca="false">+H14/390*115</f>
        <v>570403.609230769</v>
      </c>
      <c r="J14" s="46"/>
      <c r="K14" s="46"/>
      <c r="L14" s="46" t="s">
        <v>73</v>
      </c>
      <c r="M14" s="4"/>
      <c r="N14" s="4"/>
      <c r="O14" s="4"/>
    </row>
    <row r="15" customFormat="false" ht="12.75" hidden="false" customHeight="false" outlineLevel="0" collapsed="false">
      <c r="A15" s="4"/>
      <c r="B15" s="46"/>
      <c r="C15" s="46" t="s">
        <v>77</v>
      </c>
      <c r="D15" s="51" t="n">
        <f aca="false">537996+206448+167713</f>
        <v>912157</v>
      </c>
      <c r="E15" s="46"/>
      <c r="F15" s="51"/>
      <c r="G15" s="46"/>
      <c r="H15" s="51" t="n">
        <f aca="false">+D15/5*6*1.15</f>
        <v>1258776.66</v>
      </c>
      <c r="I15" s="52" t="n">
        <f aca="false">+H15/390*115</f>
        <v>371177.733076923</v>
      </c>
      <c r="J15" s="46"/>
      <c r="K15" s="46"/>
      <c r="L15" s="46" t="s">
        <v>73</v>
      </c>
      <c r="M15" s="4"/>
      <c r="N15" s="4"/>
      <c r="O15" s="4"/>
    </row>
    <row r="16" customFormat="false" ht="12.75" hidden="false" customHeight="false" outlineLevel="0" collapsed="false">
      <c r="A16" s="53"/>
      <c r="B16" s="46"/>
      <c r="C16" s="46" t="s">
        <v>30</v>
      </c>
      <c r="D16" s="51" t="n">
        <v>600000</v>
      </c>
      <c r="E16" s="46"/>
      <c r="F16" s="51"/>
      <c r="G16" s="46"/>
      <c r="H16" s="51" t="n">
        <f aca="false">+D16/5*6*1.15</f>
        <v>828000</v>
      </c>
      <c r="I16" s="52" t="n">
        <f aca="false">+H16/390*115</f>
        <v>244153.846153846</v>
      </c>
      <c r="J16" s="51"/>
      <c r="K16" s="51"/>
      <c r="L16" s="46" t="s">
        <v>73</v>
      </c>
      <c r="M16" s="4"/>
      <c r="N16" s="54"/>
      <c r="O16" s="4"/>
    </row>
    <row r="17" customFormat="false" ht="12.75" hidden="false" customHeight="false" outlineLevel="0" collapsed="false">
      <c r="A17" s="53"/>
      <c r="B17" s="46"/>
      <c r="C17" s="46" t="s">
        <v>31</v>
      </c>
      <c r="D17" s="51" t="n">
        <v>953303</v>
      </c>
      <c r="E17" s="46"/>
      <c r="F17" s="51"/>
      <c r="G17" s="46"/>
      <c r="H17" s="51" t="n">
        <f aca="false">+D17/5*6*1.15</f>
        <v>1315558.14</v>
      </c>
      <c r="I17" s="52" t="n">
        <f aca="false">+H17/390*115</f>
        <v>387920.99</v>
      </c>
      <c r="J17" s="51"/>
      <c r="K17" s="51"/>
      <c r="L17" s="46" t="s">
        <v>73</v>
      </c>
      <c r="M17" s="4"/>
      <c r="N17" s="54"/>
      <c r="O17" s="4"/>
    </row>
    <row r="18" customFormat="false" ht="12.75" hidden="false" customHeight="false" outlineLevel="0" collapsed="false">
      <c r="A18" s="53"/>
      <c r="B18" s="46"/>
      <c r="C18" s="46" t="s">
        <v>33</v>
      </c>
      <c r="D18" s="51" t="n">
        <v>1433730</v>
      </c>
      <c r="E18" s="46"/>
      <c r="F18" s="51"/>
      <c r="G18" s="46"/>
      <c r="H18" s="51" t="n">
        <f aca="false">+D18/5*6*1.15</f>
        <v>1978547.4</v>
      </c>
      <c r="I18" s="52" t="n">
        <f aca="false">+H18/390*115</f>
        <v>583417.823076923</v>
      </c>
      <c r="J18" s="51"/>
      <c r="K18" s="51"/>
      <c r="L18" s="46" t="s">
        <v>73</v>
      </c>
      <c r="M18" s="4"/>
      <c r="N18" s="54"/>
      <c r="O18" s="4"/>
    </row>
    <row r="19" customFormat="false" ht="12.75" hidden="false" customHeight="false" outlineLevel="0" collapsed="false">
      <c r="A19" s="53"/>
      <c r="B19" s="46"/>
      <c r="C19" s="46" t="s">
        <v>78</v>
      </c>
      <c r="D19" s="51" t="n">
        <v>862834</v>
      </c>
      <c r="E19" s="46"/>
      <c r="F19" s="51"/>
      <c r="G19" s="46"/>
      <c r="H19" s="51" t="n">
        <f aca="false">+D19/5*6*1.15</f>
        <v>1190710.92</v>
      </c>
      <c r="I19" s="52" t="n">
        <f aca="false">+H19/390*115</f>
        <v>351107.066153846</v>
      </c>
      <c r="J19" s="51"/>
      <c r="K19" s="51"/>
      <c r="L19" s="46" t="s">
        <v>73</v>
      </c>
      <c r="M19" s="4"/>
      <c r="N19" s="4"/>
      <c r="O19" s="4"/>
    </row>
    <row r="20" customFormat="false" ht="12.75" hidden="false" customHeight="false" outlineLevel="0" collapsed="false">
      <c r="A20" s="53"/>
      <c r="B20" s="46"/>
      <c r="C20" s="46" t="s">
        <v>79</v>
      </c>
      <c r="D20" s="51" t="n">
        <v>718750</v>
      </c>
      <c r="E20" s="46"/>
      <c r="F20" s="51"/>
      <c r="G20" s="46"/>
      <c r="H20" s="51" t="n">
        <f aca="false">+D20/5*6*1.15</f>
        <v>991875</v>
      </c>
      <c r="I20" s="52" t="n">
        <f aca="false">+H20/390*115</f>
        <v>292475.961538462</v>
      </c>
      <c r="J20" s="51"/>
      <c r="K20" s="51"/>
      <c r="L20" s="46" t="s">
        <v>73</v>
      </c>
      <c r="M20" s="4"/>
      <c r="N20" s="4"/>
      <c r="O20" s="4"/>
    </row>
    <row r="21" customFormat="false" ht="12.75" hidden="false" customHeight="false" outlineLevel="0" collapsed="false">
      <c r="A21" s="53"/>
      <c r="B21" s="46"/>
      <c r="C21" s="46" t="s">
        <v>38</v>
      </c>
      <c r="D21" s="51" t="n">
        <v>686280</v>
      </c>
      <c r="E21" s="46"/>
      <c r="F21" s="51"/>
      <c r="G21" s="46"/>
      <c r="H21" s="51" t="n">
        <f aca="false">+D21/5*6*1.15</f>
        <v>947066.4</v>
      </c>
      <c r="I21" s="52" t="n">
        <f aca="false">+H21/390*115</f>
        <v>279263.169230769</v>
      </c>
      <c r="J21" s="51"/>
      <c r="K21" s="51"/>
      <c r="L21" s="46" t="s">
        <v>73</v>
      </c>
      <c r="M21" s="4"/>
      <c r="N21" s="4"/>
      <c r="O21" s="4"/>
    </row>
    <row r="22" customFormat="false" ht="12.75" hidden="false" customHeight="false" outlineLevel="0" collapsed="false">
      <c r="A22" s="53"/>
      <c r="B22" s="46"/>
      <c r="C22" s="46" t="s">
        <v>39</v>
      </c>
      <c r="D22" s="51" t="n">
        <v>1581101</v>
      </c>
      <c r="E22" s="46"/>
      <c r="F22" s="51"/>
      <c r="G22" s="46"/>
      <c r="H22" s="51" t="n">
        <f aca="false">+D22/5*6*1.15</f>
        <v>2181919.38</v>
      </c>
      <c r="I22" s="52" t="n">
        <f aca="false">+H22/390*115</f>
        <v>643386.483846154</v>
      </c>
      <c r="J22" s="51"/>
      <c r="K22" s="51"/>
      <c r="L22" s="46" t="s">
        <v>73</v>
      </c>
      <c r="M22" s="4"/>
      <c r="N22" s="4"/>
      <c r="O22" s="4"/>
    </row>
    <row r="23" customFormat="false" ht="12.75" hidden="false" customHeight="false" outlineLevel="0" collapsed="false">
      <c r="A23" s="53"/>
      <c r="B23" s="46"/>
      <c r="C23" s="46" t="s">
        <v>41</v>
      </c>
      <c r="D23" s="51" t="n">
        <v>821016</v>
      </c>
      <c r="E23" s="46"/>
      <c r="F23" s="51"/>
      <c r="G23" s="46"/>
      <c r="H23" s="51" t="n">
        <f aca="false">+D23/5*6*1.15</f>
        <v>1133002.08</v>
      </c>
      <c r="I23" s="52" t="n">
        <f aca="false">+H23/390*115</f>
        <v>334090.356923077</v>
      </c>
      <c r="J23" s="51"/>
      <c r="K23" s="51"/>
      <c r="L23" s="46" t="s">
        <v>73</v>
      </c>
      <c r="M23" s="4"/>
      <c r="N23" s="4"/>
      <c r="O23" s="4"/>
    </row>
    <row r="24" customFormat="false" ht="12.75" hidden="false" customHeight="false" outlineLevel="0" collapsed="false">
      <c r="A24" s="53"/>
      <c r="B24" s="46"/>
      <c r="C24" s="46" t="s">
        <v>80</v>
      </c>
      <c r="D24" s="51"/>
      <c r="E24" s="46"/>
      <c r="F24" s="51" t="n">
        <v>1042359</v>
      </c>
      <c r="G24" s="46"/>
      <c r="H24" s="51" t="n">
        <f aca="false">+D24/5*6*1.15</f>
        <v>0</v>
      </c>
      <c r="I24" s="52"/>
      <c r="J24" s="51"/>
      <c r="K24" s="51"/>
      <c r="L24" s="51"/>
      <c r="M24" s="4"/>
      <c r="N24" s="4"/>
      <c r="O24" s="4"/>
    </row>
    <row r="25" customFormat="false" ht="12.75" hidden="false" customHeight="false" outlineLevel="0" collapsed="false">
      <c r="A25" s="53"/>
      <c r="B25" s="46"/>
      <c r="C25" s="46" t="s">
        <v>81</v>
      </c>
      <c r="D25" s="51"/>
      <c r="E25" s="46"/>
      <c r="F25" s="51" t="n">
        <v>1313177</v>
      </c>
      <c r="G25" s="46"/>
      <c r="H25" s="51" t="n">
        <f aca="false">+D25/5*6*1.15</f>
        <v>0</v>
      </c>
      <c r="I25" s="52"/>
      <c r="J25" s="51" t="n">
        <f aca="false">SUM(H13:I24)</f>
        <v>26966529.4176923</v>
      </c>
      <c r="K25" s="51"/>
      <c r="L25" s="51"/>
      <c r="M25" s="4"/>
      <c r="N25" s="4"/>
      <c r="O25" s="4"/>
    </row>
    <row r="26" customFormat="false" ht="12.75" hidden="false" customHeight="false" outlineLevel="0" collapsed="false">
      <c r="A26" s="53"/>
      <c r="B26" s="46" t="s">
        <v>44</v>
      </c>
      <c r="C26" s="46"/>
      <c r="D26" s="51"/>
      <c r="E26" s="46"/>
      <c r="F26" s="51"/>
      <c r="G26" s="46"/>
      <c r="H26" s="51"/>
      <c r="I26" s="52"/>
      <c r="J26" s="51"/>
      <c r="K26" s="51"/>
      <c r="L26" s="51"/>
      <c r="M26" s="4"/>
      <c r="N26" s="4"/>
      <c r="O26" s="4"/>
    </row>
    <row r="27" customFormat="false" ht="12.75" hidden="false" customHeight="false" outlineLevel="0" collapsed="false">
      <c r="A27" s="4"/>
      <c r="B27" s="46"/>
      <c r="C27" s="46" t="s">
        <v>82</v>
      </c>
      <c r="D27" s="51" t="n">
        <v>7992461</v>
      </c>
      <c r="E27" s="46"/>
      <c r="F27" s="51" t="n">
        <f aca="false">190500+147574+20965+68178+449146</f>
        <v>876363</v>
      </c>
      <c r="G27" s="46"/>
      <c r="H27" s="51" t="n">
        <f aca="false">+D27*1.6</f>
        <v>12787937.6</v>
      </c>
      <c r="I27" s="52"/>
      <c r="J27" s="46"/>
      <c r="K27" s="46"/>
      <c r="L27" s="46" t="s">
        <v>83</v>
      </c>
      <c r="M27" s="4"/>
      <c r="N27" s="4"/>
      <c r="O27" s="4"/>
    </row>
    <row r="28" customFormat="false" ht="12.75" hidden="false" customHeight="false" outlineLevel="0" collapsed="false">
      <c r="A28" s="4"/>
      <c r="B28" s="46"/>
      <c r="C28" s="46" t="s">
        <v>48</v>
      </c>
      <c r="D28" s="51" t="n">
        <f aca="false">328555+302790</f>
        <v>631345</v>
      </c>
      <c r="E28" s="46"/>
      <c r="F28" s="51" t="n">
        <f aca="false">68278+47390</f>
        <v>115668</v>
      </c>
      <c r="G28" s="46"/>
      <c r="H28" s="51" t="n">
        <f aca="false">+D28*1.6</f>
        <v>1010152</v>
      </c>
      <c r="I28" s="52"/>
      <c r="J28" s="46"/>
      <c r="K28" s="46"/>
      <c r="L28" s="46" t="s">
        <v>83</v>
      </c>
      <c r="M28" s="4"/>
      <c r="N28" s="4"/>
      <c r="O28" s="4"/>
    </row>
    <row r="29" customFormat="false" ht="12.75" hidden="false" customHeight="false" outlineLevel="0" collapsed="false">
      <c r="A29" s="4"/>
      <c r="B29" s="46"/>
      <c r="C29" s="46" t="s">
        <v>50</v>
      </c>
      <c r="D29" s="51" t="n">
        <v>1485960</v>
      </c>
      <c r="E29" s="46"/>
      <c r="F29" s="51" t="n">
        <v>528209</v>
      </c>
      <c r="G29" s="46"/>
      <c r="H29" s="51" t="n">
        <f aca="false">+D29*1.6</f>
        <v>2377536</v>
      </c>
      <c r="I29" s="52"/>
      <c r="J29" s="46"/>
      <c r="K29" s="46"/>
      <c r="L29" s="46" t="s">
        <v>83</v>
      </c>
      <c r="M29" s="4"/>
      <c r="N29" s="4"/>
      <c r="O29" s="4"/>
    </row>
    <row r="30" customFormat="false" ht="12.75" hidden="false" customHeight="false" outlineLevel="0" collapsed="false">
      <c r="A30" s="4"/>
      <c r="B30" s="46"/>
      <c r="C30" s="46" t="s">
        <v>84</v>
      </c>
      <c r="D30" s="51" t="n">
        <v>575400</v>
      </c>
      <c r="E30" s="46"/>
      <c r="F30" s="51" t="n">
        <v>91400</v>
      </c>
      <c r="G30" s="46"/>
      <c r="H30" s="51" t="n">
        <f aca="false">+D30*1.6</f>
        <v>920640</v>
      </c>
      <c r="I30" s="52"/>
      <c r="J30" s="46"/>
      <c r="K30" s="46"/>
      <c r="L30" s="46" t="s">
        <v>83</v>
      </c>
      <c r="M30" s="4"/>
      <c r="N30" s="4"/>
      <c r="O30" s="4"/>
    </row>
    <row r="31" customFormat="false" ht="12.75" hidden="false" customHeight="false" outlineLevel="0" collapsed="false">
      <c r="A31" s="4"/>
      <c r="B31" s="46"/>
      <c r="C31" s="46" t="s">
        <v>54</v>
      </c>
      <c r="D31" s="51" t="n">
        <v>3863511</v>
      </c>
      <c r="E31" s="46"/>
      <c r="F31" s="51"/>
      <c r="G31" s="46"/>
      <c r="H31" s="51" t="n">
        <f aca="false">+D31*1.6</f>
        <v>6181617.6</v>
      </c>
      <c r="I31" s="52"/>
      <c r="J31" s="46"/>
      <c r="K31" s="46"/>
      <c r="L31" s="46" t="s">
        <v>83</v>
      </c>
      <c r="M31" s="4"/>
      <c r="N31" s="4"/>
      <c r="O31" s="4"/>
    </row>
    <row r="32" customFormat="false" ht="12.75" hidden="false" customHeight="false" outlineLevel="0" collapsed="false">
      <c r="A32" s="4"/>
      <c r="B32" s="46"/>
      <c r="C32" s="46" t="s">
        <v>55</v>
      </c>
      <c r="D32" s="51" t="n">
        <v>1851592</v>
      </c>
      <c r="E32" s="46"/>
      <c r="F32" s="51" t="n">
        <v>323144</v>
      </c>
      <c r="G32" s="46"/>
      <c r="H32" s="51" t="n">
        <f aca="false">+D32*1.6</f>
        <v>2962547.2</v>
      </c>
      <c r="I32" s="52"/>
      <c r="J32" s="46"/>
      <c r="K32" s="46"/>
      <c r="L32" s="46" t="s">
        <v>83</v>
      </c>
      <c r="M32" s="4"/>
      <c r="N32" s="4"/>
      <c r="O32" s="4"/>
    </row>
    <row r="33" customFormat="false" ht="12.75" hidden="false" customHeight="false" outlineLevel="0" collapsed="false">
      <c r="A33" s="4"/>
      <c r="B33" s="46"/>
      <c r="C33" s="46" t="s">
        <v>57</v>
      </c>
      <c r="D33" s="51" t="n">
        <v>627500</v>
      </c>
      <c r="E33" s="46"/>
      <c r="F33" s="51" t="n">
        <v>85930</v>
      </c>
      <c r="G33" s="46"/>
      <c r="H33" s="51" t="n">
        <f aca="false">+D33*1.6</f>
        <v>1004000</v>
      </c>
      <c r="I33" s="52"/>
      <c r="J33" s="46"/>
      <c r="K33" s="46"/>
      <c r="L33" s="46" t="s">
        <v>83</v>
      </c>
      <c r="M33" s="4"/>
      <c r="N33" s="4"/>
      <c r="O33" s="4"/>
    </row>
    <row r="34" customFormat="false" ht="12.75" hidden="false" customHeight="false" outlineLevel="0" collapsed="false">
      <c r="A34" s="4"/>
      <c r="B34" s="46"/>
      <c r="C34" s="46" t="s">
        <v>58</v>
      </c>
      <c r="D34" s="51" t="n">
        <v>1277099</v>
      </c>
      <c r="E34" s="46"/>
      <c r="F34" s="51" t="n">
        <f aca="false">72804+37500+22500</f>
        <v>132804</v>
      </c>
      <c r="G34" s="46"/>
      <c r="H34" s="51" t="n">
        <f aca="false">+D34*1.6</f>
        <v>2043358.4</v>
      </c>
      <c r="I34" s="52"/>
      <c r="J34" s="46"/>
      <c r="K34" s="46"/>
      <c r="L34" s="46" t="s">
        <v>83</v>
      </c>
      <c r="M34" s="4"/>
      <c r="N34" s="4"/>
      <c r="O34" s="4"/>
    </row>
    <row r="35" customFormat="false" ht="12.75" hidden="false" customHeight="false" outlineLevel="0" collapsed="false">
      <c r="A35" s="4"/>
      <c r="B35" s="46"/>
      <c r="C35" s="46" t="s">
        <v>85</v>
      </c>
      <c r="D35" s="51" t="n">
        <f aca="false">2090307+107690</f>
        <v>2197997</v>
      </c>
      <c r="E35" s="46"/>
      <c r="F35" s="51" t="n">
        <f aca="false">151563+75000+46680+18795</f>
        <v>292038</v>
      </c>
      <c r="G35" s="46"/>
      <c r="H35" s="51" t="n">
        <f aca="false">+D35*2</f>
        <v>4395994</v>
      </c>
      <c r="I35" s="52"/>
      <c r="J35" s="46"/>
      <c r="K35" s="46"/>
      <c r="L35" s="46" t="s">
        <v>86</v>
      </c>
      <c r="M35" s="4"/>
      <c r="N35" s="4"/>
      <c r="O35" s="4"/>
    </row>
    <row r="36" customFormat="false" ht="12.75" hidden="false" customHeight="false" outlineLevel="0" collapsed="false">
      <c r="A36" s="4"/>
      <c r="B36" s="46"/>
      <c r="C36" s="46" t="s">
        <v>13</v>
      </c>
      <c r="D36" s="51" t="n">
        <v>115220</v>
      </c>
      <c r="E36" s="46"/>
      <c r="F36" s="51" t="n">
        <v>52169</v>
      </c>
      <c r="G36" s="46"/>
      <c r="H36" s="51" t="n">
        <f aca="false">+D36*1.6</f>
        <v>184352</v>
      </c>
      <c r="I36" s="52"/>
      <c r="J36" s="46"/>
      <c r="K36" s="46"/>
      <c r="L36" s="46" t="s">
        <v>83</v>
      </c>
      <c r="M36" s="4"/>
      <c r="N36" s="4"/>
      <c r="O36" s="4"/>
    </row>
    <row r="37" customFormat="false" ht="12.75" hidden="false" customHeight="false" outlineLevel="0" collapsed="false">
      <c r="A37" s="4"/>
      <c r="B37" s="46"/>
      <c r="C37" s="46" t="s">
        <v>87</v>
      </c>
      <c r="D37" s="51" t="n">
        <v>918366</v>
      </c>
      <c r="E37" s="46"/>
      <c r="F37" s="51" t="n">
        <f aca="false">23000+114100</f>
        <v>137100</v>
      </c>
      <c r="G37" s="46"/>
      <c r="H37" s="51" t="n">
        <f aca="false">+D37*1.6</f>
        <v>1469385.6</v>
      </c>
      <c r="I37" s="52"/>
      <c r="J37" s="46"/>
      <c r="K37" s="46"/>
      <c r="L37" s="46" t="s">
        <v>83</v>
      </c>
      <c r="M37" s="4"/>
      <c r="N37" s="4"/>
      <c r="O37" s="4"/>
    </row>
    <row r="38" customFormat="false" ht="12.75" hidden="false" customHeight="false" outlineLevel="0" collapsed="false">
      <c r="A38" s="4"/>
      <c r="B38" s="46"/>
      <c r="C38" s="46" t="s">
        <v>17</v>
      </c>
      <c r="D38" s="51" t="n">
        <v>1416979</v>
      </c>
      <c r="E38" s="46"/>
      <c r="F38" s="51" t="n">
        <f aca="false">2025+5946+118205+142572+54522+5212</f>
        <v>328482</v>
      </c>
      <c r="G38" s="46"/>
      <c r="H38" s="51" t="n">
        <f aca="false">+D38*1.6</f>
        <v>2267166.4</v>
      </c>
      <c r="I38" s="52"/>
      <c r="J38" s="46"/>
      <c r="K38" s="46"/>
      <c r="L38" s="46" t="s">
        <v>83</v>
      </c>
      <c r="M38" s="4"/>
      <c r="N38" s="4"/>
      <c r="O38" s="4"/>
    </row>
    <row r="39" customFormat="false" ht="12.75" hidden="false" customHeight="false" outlineLevel="0" collapsed="false">
      <c r="A39" s="4"/>
      <c r="B39" s="46"/>
      <c r="C39" s="46" t="s">
        <v>19</v>
      </c>
      <c r="D39" s="51" t="n">
        <v>1827670</v>
      </c>
      <c r="E39" s="46"/>
      <c r="F39" s="51" t="n">
        <f aca="false">27805+28833+44262+15305+8350+38888+607+41318+86903+29285+44396+46595+3845+910+42334+506+49093</f>
        <v>509235</v>
      </c>
      <c r="G39" s="46"/>
      <c r="H39" s="51" t="n">
        <f aca="false">+D39*1.6</f>
        <v>2924272</v>
      </c>
      <c r="I39" s="52"/>
      <c r="J39" s="46"/>
      <c r="K39" s="46"/>
      <c r="L39" s="46" t="s">
        <v>83</v>
      </c>
      <c r="M39" s="4"/>
      <c r="N39" s="4"/>
      <c r="O39" s="4"/>
    </row>
    <row r="40" customFormat="false" ht="12.75" hidden="false" customHeight="false" outlineLevel="0" collapsed="false">
      <c r="A40" s="4"/>
      <c r="B40" s="46"/>
      <c r="C40" s="46" t="s">
        <v>21</v>
      </c>
      <c r="D40" s="51" t="n">
        <f aca="false">104680+678292</f>
        <v>782972</v>
      </c>
      <c r="E40" s="46"/>
      <c r="F40" s="51" t="n">
        <f aca="false">34449+58268</f>
        <v>92717</v>
      </c>
      <c r="G40" s="46"/>
      <c r="H40" s="51" t="n">
        <f aca="false">+D40*1.6</f>
        <v>1252755.2</v>
      </c>
      <c r="I40" s="52"/>
      <c r="J40" s="46"/>
      <c r="K40" s="46"/>
      <c r="L40" s="46" t="s">
        <v>83</v>
      </c>
      <c r="M40" s="4"/>
      <c r="N40" s="4"/>
      <c r="O40" s="4"/>
    </row>
    <row r="41" customFormat="false" ht="12.75" hidden="false" customHeight="false" outlineLevel="0" collapsed="false">
      <c r="A41" s="4"/>
      <c r="B41" s="46"/>
      <c r="C41" s="46" t="s">
        <v>88</v>
      </c>
      <c r="D41" s="51" t="n">
        <f aca="false">101120+46615+412554+296080+304423</f>
        <v>1160792</v>
      </c>
      <c r="E41" s="46"/>
      <c r="F41" s="51" t="n">
        <f aca="false">57315+46154+68934+39647+55971</f>
        <v>268021</v>
      </c>
      <c r="G41" s="46"/>
      <c r="H41" s="51" t="n">
        <f aca="false">+D41*1.6</f>
        <v>1857267.2</v>
      </c>
      <c r="I41" s="52"/>
      <c r="J41" s="46"/>
      <c r="K41" s="46"/>
      <c r="L41" s="46" t="s">
        <v>83</v>
      </c>
      <c r="M41" s="4"/>
      <c r="N41" s="4"/>
      <c r="O41" s="4"/>
    </row>
    <row r="42" customFormat="false" ht="12.75" hidden="false" customHeight="false" outlineLevel="0" collapsed="false">
      <c r="A42" s="4"/>
      <c r="B42" s="46"/>
      <c r="C42" s="46" t="s">
        <v>89</v>
      </c>
      <c r="D42" s="51" t="n">
        <f aca="false">54000+18668+276240</f>
        <v>348908</v>
      </c>
      <c r="E42" s="46"/>
      <c r="F42" s="51" t="n">
        <f aca="false">3297+202356</f>
        <v>205653</v>
      </c>
      <c r="G42" s="46"/>
      <c r="H42" s="51" t="n">
        <f aca="false">+D42*1.6</f>
        <v>558252.8</v>
      </c>
      <c r="I42" s="52"/>
      <c r="J42" s="46"/>
      <c r="K42" s="46"/>
      <c r="L42" s="46" t="s">
        <v>83</v>
      </c>
      <c r="M42" s="4"/>
      <c r="N42" s="4"/>
      <c r="O42" s="4"/>
    </row>
    <row r="43" customFormat="false" ht="12.75" hidden="false" customHeight="false" outlineLevel="0" collapsed="false">
      <c r="A43" s="4"/>
      <c r="B43" s="46" t="s">
        <v>90</v>
      </c>
      <c r="C43" s="46"/>
      <c r="D43" s="51" t="n">
        <v>3273375</v>
      </c>
      <c r="E43" s="46"/>
      <c r="F43" s="51"/>
      <c r="G43" s="46"/>
      <c r="H43" s="51" t="n">
        <v>9200000</v>
      </c>
      <c r="I43" s="52"/>
      <c r="J43" s="46"/>
      <c r="K43" s="46"/>
      <c r="L43" s="46" t="s">
        <v>91</v>
      </c>
      <c r="M43" s="4"/>
      <c r="N43" s="4"/>
      <c r="O43" s="4"/>
    </row>
    <row r="44" customFormat="false" ht="12.75" hidden="false" customHeight="false" outlineLevel="0" collapsed="false">
      <c r="A44" s="4"/>
      <c r="B44" s="46"/>
      <c r="C44" s="46"/>
      <c r="D44" s="51"/>
      <c r="E44" s="46"/>
      <c r="F44" s="51"/>
      <c r="G44" s="46"/>
      <c r="H44" s="51"/>
      <c r="I44" s="52"/>
      <c r="J44" s="46"/>
      <c r="K44" s="46"/>
      <c r="L44" s="46"/>
      <c r="M44" s="4"/>
      <c r="N44" s="4"/>
      <c r="O44" s="4"/>
    </row>
    <row r="45" customFormat="false" ht="12.75" hidden="false" customHeight="false" outlineLevel="0" collapsed="false">
      <c r="A45" s="4"/>
      <c r="B45" s="46"/>
      <c r="C45" s="48" t="s">
        <v>92</v>
      </c>
      <c r="D45" s="51"/>
      <c r="E45" s="46"/>
      <c r="F45" s="46"/>
      <c r="G45" s="46"/>
      <c r="H45" s="51"/>
      <c r="I45" s="52"/>
      <c r="J45" s="46"/>
      <c r="K45" s="46"/>
      <c r="L45" s="46"/>
      <c r="M45" s="4"/>
      <c r="N45" s="4"/>
      <c r="O45" s="4"/>
    </row>
    <row r="46" customFormat="false" ht="12.75" hidden="false" customHeight="false" outlineLevel="0" collapsed="false">
      <c r="A46" s="4"/>
      <c r="B46" s="46"/>
      <c r="C46" s="48" t="s">
        <v>93</v>
      </c>
      <c r="D46" s="49" t="n">
        <f aca="false">SUM(D9:D43)</f>
        <v>120212256</v>
      </c>
      <c r="E46" s="48"/>
      <c r="F46" s="49" t="n">
        <f aca="false">SUM(F9:F43)</f>
        <v>20291731</v>
      </c>
      <c r="G46" s="48"/>
      <c r="H46" s="49" t="n">
        <f aca="false">SUM(H9:H43)+SUM(I9:I43)</f>
        <v>199493187.417972</v>
      </c>
      <c r="I46" s="52"/>
      <c r="J46" s="46"/>
      <c r="K46" s="46"/>
      <c r="L46" s="46"/>
      <c r="N46" s="4"/>
      <c r="O46" s="4"/>
    </row>
    <row r="47" customFormat="false" ht="12.75" hidden="false" customHeight="false" outlineLevel="0" collapsed="false">
      <c r="A47" s="4"/>
      <c r="B47" s="46" t="s">
        <v>35</v>
      </c>
      <c r="C47" s="46"/>
      <c r="D47" s="51" t="n">
        <v>3349943</v>
      </c>
      <c r="E47" s="51"/>
      <c r="F47" s="51" t="n">
        <v>510482</v>
      </c>
      <c r="G47" s="51"/>
      <c r="H47" s="51" t="n">
        <f aca="false">+D47*2</f>
        <v>6699886</v>
      </c>
      <c r="I47" s="52"/>
      <c r="J47" s="48"/>
      <c r="K47" s="48"/>
      <c r="L47" s="46" t="s">
        <v>94</v>
      </c>
      <c r="M47" s="55"/>
      <c r="N47" s="4"/>
      <c r="O47" s="4"/>
    </row>
    <row r="48" customFormat="false" ht="12.75" hidden="false" customHeight="false" outlineLevel="0" collapsed="false">
      <c r="A48" s="4"/>
      <c r="B48" s="46"/>
      <c r="C48" s="46"/>
      <c r="D48" s="51"/>
      <c r="E48" s="46"/>
      <c r="F48" s="46"/>
      <c r="G48" s="46"/>
      <c r="H48" s="51"/>
      <c r="I48" s="52"/>
      <c r="J48" s="46"/>
      <c r="K48" s="46"/>
      <c r="L48" s="46"/>
      <c r="M48" s="4"/>
      <c r="N48" s="4"/>
      <c r="O48" s="4"/>
    </row>
    <row r="49" customFormat="false" ht="12.75" hidden="false" customHeight="false" outlineLevel="0" collapsed="false">
      <c r="A49" s="4"/>
      <c r="B49" s="46"/>
      <c r="C49" s="48" t="s">
        <v>95</v>
      </c>
      <c r="D49" s="49" t="n">
        <f aca="false">+D47+D46</f>
        <v>123562199</v>
      </c>
      <c r="E49" s="48"/>
      <c r="F49" s="49" t="n">
        <f aca="false">+F47+F46</f>
        <v>20802213</v>
      </c>
      <c r="G49" s="46"/>
      <c r="H49" s="49" t="n">
        <f aca="false">SUM(H46:H48)</f>
        <v>206193073.417972</v>
      </c>
      <c r="I49" s="52"/>
      <c r="J49" s="48"/>
      <c r="K49" s="48"/>
      <c r="L49" s="48"/>
      <c r="M49" s="4"/>
      <c r="N49" s="4" t="n">
        <f aca="false">SUM(H12:H47)</f>
        <v>280415943.997972</v>
      </c>
      <c r="O49" s="4"/>
    </row>
    <row r="50" customFormat="false" ht="12.75" hidden="false" customHeight="false" outlineLevel="0" collapsed="false">
      <c r="A50" s="4"/>
      <c r="B50" s="46"/>
      <c r="C50" s="48" t="s">
        <v>96</v>
      </c>
      <c r="D50" s="56" t="n">
        <v>304000</v>
      </c>
      <c r="E50" s="47" t="s">
        <v>97</v>
      </c>
      <c r="F50" s="56" t="n">
        <v>40000</v>
      </c>
      <c r="G50" s="47" t="s">
        <v>97</v>
      </c>
      <c r="H50" s="57" t="n">
        <v>510000</v>
      </c>
      <c r="I50" s="50" t="s">
        <v>97</v>
      </c>
      <c r="J50" s="46"/>
      <c r="K50" s="46"/>
      <c r="L50" s="46"/>
      <c r="M50" s="4"/>
      <c r="N50" s="4"/>
      <c r="O50" s="4"/>
    </row>
    <row r="51" customFormat="false" ht="12.75" hidden="false" customHeight="false" outlineLevel="0" collapsed="false">
      <c r="A51" s="4"/>
      <c r="B51" s="46"/>
      <c r="C51" s="58"/>
      <c r="D51" s="59" t="n">
        <f aca="false">+D49/D50</f>
        <v>406.454601973684</v>
      </c>
      <c r="E51" s="47" t="s">
        <v>98</v>
      </c>
      <c r="F51" s="59" t="n">
        <f aca="false">+F49/F50</f>
        <v>520.055325</v>
      </c>
      <c r="G51" s="47" t="s">
        <v>98</v>
      </c>
      <c r="H51" s="59" t="n">
        <f aca="false">+H49/H$50</f>
        <v>404.300143956808</v>
      </c>
      <c r="I51" s="47" t="s">
        <v>98</v>
      </c>
      <c r="J51" s="46"/>
      <c r="K51" s="46"/>
      <c r="L51" s="46"/>
      <c r="M51" s="4"/>
      <c r="N51" s="4"/>
      <c r="O51" s="4"/>
    </row>
    <row r="52" customFormat="false" ht="12.75" hidden="false" customHeight="false" outlineLevel="0" collapsed="false">
      <c r="A52" s="4"/>
      <c r="B52" s="46"/>
      <c r="C52" s="58"/>
      <c r="D52" s="59"/>
      <c r="E52" s="48"/>
      <c r="F52" s="59"/>
      <c r="G52" s="46"/>
      <c r="H52" s="51"/>
      <c r="I52" s="50"/>
      <c r="J52" s="46"/>
      <c r="K52" s="46"/>
      <c r="L52" s="46"/>
      <c r="M52" s="4"/>
      <c r="N52" s="4"/>
      <c r="O52" s="4"/>
    </row>
    <row r="53" customFormat="false" ht="12.75" hidden="false" customHeight="false" outlineLevel="0" collapsed="false">
      <c r="A53" s="4"/>
      <c r="B53" s="46" t="s">
        <v>99</v>
      </c>
      <c r="C53" s="46"/>
      <c r="D53" s="51"/>
      <c r="E53" s="46"/>
      <c r="F53" s="46"/>
      <c r="G53" s="46"/>
      <c r="H53" s="51"/>
      <c r="I53" s="50"/>
      <c r="J53" s="46"/>
      <c r="K53" s="46"/>
      <c r="L53" s="46"/>
      <c r="M53" s="4"/>
      <c r="N53" s="4"/>
      <c r="O53" s="4"/>
    </row>
    <row r="54" customFormat="false" ht="12.75" hidden="false" customHeight="false" outlineLevel="0" collapsed="false">
      <c r="A54" s="4"/>
      <c r="B54" s="46"/>
      <c r="C54" s="46" t="s">
        <v>100</v>
      </c>
      <c r="D54" s="51" t="n">
        <f aca="false">4016265-1108141</f>
        <v>2908124</v>
      </c>
      <c r="E54" s="46"/>
      <c r="F54" s="46" t="n">
        <f aca="false">82500+70124</f>
        <v>152624</v>
      </c>
      <c r="G54" s="46"/>
      <c r="H54" s="51" t="n">
        <f aca="false">+D54*2</f>
        <v>5816248</v>
      </c>
      <c r="I54" s="50"/>
      <c r="J54" s="46"/>
      <c r="K54" s="46"/>
      <c r="L54" s="46" t="s">
        <v>94</v>
      </c>
      <c r="M54" s="4"/>
      <c r="N54" s="4"/>
      <c r="O54" s="4"/>
    </row>
    <row r="55" customFormat="false" ht="12.75" hidden="false" customHeight="false" outlineLevel="0" collapsed="false">
      <c r="A55" s="4"/>
      <c r="B55" s="46"/>
      <c r="C55" s="46" t="s">
        <v>101</v>
      </c>
      <c r="D55" s="51" t="n">
        <v>2573334</v>
      </c>
      <c r="E55" s="46"/>
      <c r="F55" s="46" t="n">
        <v>159520</v>
      </c>
      <c r="G55" s="46"/>
      <c r="H55" s="51" t="n">
        <f aca="false">+D55*2</f>
        <v>5146668</v>
      </c>
      <c r="I55" s="50"/>
      <c r="J55" s="46"/>
      <c r="K55" s="46"/>
      <c r="L55" s="46" t="s">
        <v>94</v>
      </c>
      <c r="M55" s="4"/>
      <c r="N55" s="4"/>
      <c r="O55" s="4"/>
    </row>
    <row r="56" customFormat="false" ht="12.75" hidden="false" customHeight="false" outlineLevel="0" collapsed="false">
      <c r="A56" s="4"/>
      <c r="B56" s="46"/>
      <c r="C56" s="46" t="s">
        <v>47</v>
      </c>
      <c r="D56" s="51" t="n">
        <v>1200000</v>
      </c>
      <c r="E56" s="46"/>
      <c r="F56" s="46" t="n">
        <v>128194</v>
      </c>
      <c r="G56" s="46"/>
      <c r="H56" s="51" t="n">
        <v>4000000</v>
      </c>
      <c r="I56" s="50"/>
      <c r="J56" s="46"/>
      <c r="K56" s="46"/>
      <c r="L56" s="46" t="s">
        <v>102</v>
      </c>
      <c r="M56" s="4"/>
      <c r="N56" s="4"/>
      <c r="O56" s="4"/>
    </row>
    <row r="57" customFormat="false" ht="12.75" hidden="false" customHeight="false" outlineLevel="0" collapsed="false">
      <c r="A57" s="4"/>
      <c r="B57" s="46"/>
      <c r="C57" s="46" t="s">
        <v>49</v>
      </c>
      <c r="D57" s="51" t="n">
        <v>1083998</v>
      </c>
      <c r="E57" s="46"/>
      <c r="F57" s="51" t="n">
        <v>52565</v>
      </c>
      <c r="G57" s="46"/>
      <c r="H57" s="51" t="n">
        <f aca="false">+D57*2</f>
        <v>2167996</v>
      </c>
      <c r="I57" s="50"/>
      <c r="J57" s="46"/>
      <c r="K57" s="46"/>
      <c r="L57" s="46" t="s">
        <v>94</v>
      </c>
      <c r="M57" s="4"/>
      <c r="N57" s="4"/>
      <c r="O57" s="4"/>
    </row>
    <row r="58" customFormat="false" ht="12.75" hidden="false" customHeight="false" outlineLevel="0" collapsed="false">
      <c r="A58" s="4"/>
      <c r="B58" s="46"/>
      <c r="C58" s="46" t="s">
        <v>103</v>
      </c>
      <c r="D58" s="51"/>
      <c r="E58" s="46"/>
      <c r="F58" s="51"/>
      <c r="G58" s="46"/>
      <c r="H58" s="51" t="n">
        <f aca="false">+H49*0.03</f>
        <v>6185792.20253916</v>
      </c>
      <c r="I58" s="50"/>
      <c r="J58" s="46"/>
      <c r="K58" s="46"/>
      <c r="L58" s="46"/>
      <c r="M58" s="4"/>
      <c r="N58" s="4"/>
      <c r="O58" s="4"/>
    </row>
    <row r="59" customFormat="false" ht="12.75" hidden="false" customHeight="false" outlineLevel="0" collapsed="false">
      <c r="A59" s="4"/>
      <c r="B59" s="46"/>
      <c r="C59" s="48" t="s">
        <v>104</v>
      </c>
      <c r="D59" s="49" t="n">
        <f aca="false">SUM(D54:D58)</f>
        <v>7765456</v>
      </c>
      <c r="E59" s="46"/>
      <c r="F59" s="49" t="n">
        <f aca="false">SUM(F54:F58)</f>
        <v>492903</v>
      </c>
      <c r="G59" s="46"/>
      <c r="H59" s="49" t="n">
        <f aca="false">SUM(H54:H58)</f>
        <v>23316704.2025392</v>
      </c>
      <c r="I59" s="50"/>
      <c r="J59" s="46"/>
      <c r="K59" s="46"/>
      <c r="L59" s="46"/>
      <c r="M59" s="4"/>
      <c r="N59" s="4"/>
      <c r="O59" s="4"/>
    </row>
    <row r="60" customFormat="false" ht="12.75" hidden="false" customHeight="false" outlineLevel="0" collapsed="false">
      <c r="A60" s="4"/>
      <c r="B60" s="46"/>
      <c r="C60" s="46"/>
      <c r="D60" s="51"/>
      <c r="E60" s="46"/>
      <c r="F60" s="51"/>
      <c r="G60" s="46"/>
      <c r="H60" s="51"/>
      <c r="I60" s="50"/>
      <c r="J60" s="46"/>
      <c r="K60" s="46"/>
      <c r="L60" s="46"/>
      <c r="M60" s="4"/>
      <c r="N60" s="4"/>
      <c r="O60" s="4"/>
    </row>
    <row r="61" customFormat="false" ht="12.75" hidden="false" customHeight="false" outlineLevel="0" collapsed="false">
      <c r="A61" s="4"/>
      <c r="B61" s="48" t="s">
        <v>105</v>
      </c>
      <c r="C61" s="46"/>
      <c r="D61" s="49" t="n">
        <f aca="false">+D59+D49</f>
        <v>131327655</v>
      </c>
      <c r="E61" s="48"/>
      <c r="F61" s="49" t="n">
        <f aca="false">+F59+F49</f>
        <v>21295116</v>
      </c>
      <c r="G61" s="46"/>
      <c r="H61" s="49" t="n">
        <f aca="false">+H59+H49</f>
        <v>229509777.620511</v>
      </c>
      <c r="I61" s="50"/>
      <c r="J61" s="46"/>
      <c r="K61" s="46"/>
      <c r="L61" s="46"/>
      <c r="M61" s="4"/>
      <c r="N61" s="4"/>
      <c r="O61" s="4"/>
    </row>
    <row r="62" customFormat="false" ht="12.75" hidden="false" customHeight="false" outlineLevel="0" collapsed="false">
      <c r="A62" s="4"/>
      <c r="B62" s="48"/>
      <c r="C62" s="46"/>
      <c r="D62" s="56"/>
      <c r="E62" s="48"/>
      <c r="F62" s="56"/>
      <c r="G62" s="48"/>
      <c r="H62" s="59" t="n">
        <f aca="false">+H61/H$50</f>
        <v>450.019171804924</v>
      </c>
      <c r="I62" s="47" t="s">
        <v>98</v>
      </c>
      <c r="J62" s="46"/>
      <c r="K62" s="46"/>
      <c r="L62" s="46"/>
      <c r="M62" s="4"/>
      <c r="N62" s="4"/>
      <c r="O62" s="4"/>
    </row>
    <row r="63" customFormat="false" ht="12.75" hidden="false" customHeight="false" outlineLevel="0" collapsed="false">
      <c r="A63" s="4"/>
      <c r="B63" s="4"/>
      <c r="C63" s="60"/>
      <c r="D63" s="61"/>
      <c r="E63" s="55"/>
      <c r="F63" s="61"/>
      <c r="G63" s="4"/>
      <c r="H63" s="54"/>
      <c r="I63" s="62"/>
      <c r="J63" s="4"/>
      <c r="K63" s="4"/>
      <c r="L63" s="4"/>
      <c r="M63" s="4"/>
      <c r="N63" s="4"/>
      <c r="O63" s="4"/>
    </row>
  </sheetData>
  <printOptions headings="false" gridLines="false" gridLinesSet="true" horizontalCentered="false" verticalCentered="false"/>
  <pageMargins left="0.747916666666667" right="0.747916666666667" top="0.479861111111111" bottom="0.5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5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G15" activeCellId="0" sqref="G15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63" width="7.14"/>
    <col collapsed="false" customWidth="false" hidden="false" outlineLevel="0" max="2" min="2" style="63" width="9.14"/>
    <col collapsed="false" customWidth="true" hidden="false" outlineLevel="0" max="3" min="3" style="63" width="25.7"/>
    <col collapsed="false" customWidth="true" hidden="false" outlineLevel="0" max="4" min="4" style="63" width="13.7"/>
    <col collapsed="false" customWidth="true" hidden="false" outlineLevel="0" max="5" min="5" style="63" width="14.28"/>
    <col collapsed="false" customWidth="true" hidden="false" outlineLevel="0" max="6" min="6" style="63" width="13.7"/>
    <col collapsed="false" customWidth="false" hidden="false" outlineLevel="0" max="257" min="7" style="63" width="9.14"/>
  </cols>
  <sheetData>
    <row r="1" customFormat="false" ht="12" hidden="false" customHeight="false" outlineLevel="0" collapsed="false">
      <c r="A1" s="64" t="s">
        <v>106</v>
      </c>
    </row>
    <row r="2" customFormat="false" ht="12" hidden="false" customHeight="false" outlineLevel="0" collapsed="false">
      <c r="A2" s="64" t="s">
        <v>107</v>
      </c>
    </row>
    <row r="3" customFormat="false" ht="12" hidden="false" customHeight="false" outlineLevel="0" collapsed="false">
      <c r="A3" s="65" t="s">
        <v>108</v>
      </c>
    </row>
    <row r="5" customFormat="false" ht="12" hidden="false" customHeight="false" outlineLevel="0" collapsed="false">
      <c r="A5" s="66" t="s">
        <v>109</v>
      </c>
    </row>
    <row r="6" customFormat="false" ht="12" hidden="false" customHeight="false" outlineLevel="0" collapsed="false">
      <c r="A6" s="67"/>
      <c r="B6" s="67"/>
      <c r="C6" s="67"/>
      <c r="D6" s="68" t="s">
        <v>110</v>
      </c>
      <c r="E6" s="68"/>
      <c r="F6" s="69" t="s">
        <v>111</v>
      </c>
    </row>
    <row r="7" customFormat="false" ht="12" hidden="false" customHeight="false" outlineLevel="0" collapsed="false">
      <c r="A7" s="67" t="s">
        <v>112</v>
      </c>
      <c r="B7" s="67"/>
      <c r="C7" s="67"/>
      <c r="D7" s="68" t="s">
        <v>113</v>
      </c>
      <c r="E7" s="68" t="s">
        <v>114</v>
      </c>
      <c r="F7" s="68" t="s">
        <v>113</v>
      </c>
    </row>
    <row r="8" customFormat="false" ht="12" hidden="false" customHeight="false" outlineLevel="0" collapsed="false">
      <c r="A8" s="67"/>
      <c r="B8" s="67"/>
      <c r="C8" s="67"/>
      <c r="D8" s="68"/>
      <c r="E8" s="68"/>
      <c r="F8" s="68"/>
    </row>
    <row r="9" customFormat="false" ht="12" hidden="false" customHeight="false" outlineLevel="0" collapsed="false">
      <c r="C9" s="63" t="s">
        <v>115</v>
      </c>
      <c r="D9" s="70" t="n">
        <v>90000</v>
      </c>
      <c r="E9" s="71" t="n">
        <v>1</v>
      </c>
      <c r="F9" s="70" t="n">
        <f aca="false">+E9*D9</f>
        <v>90000</v>
      </c>
    </row>
    <row r="10" customFormat="false" ht="12" hidden="false" customHeight="false" outlineLevel="0" collapsed="false">
      <c r="C10" s="63" t="s">
        <v>116</v>
      </c>
      <c r="D10" s="70" t="n">
        <v>65000</v>
      </c>
      <c r="E10" s="71" t="n">
        <v>2</v>
      </c>
      <c r="F10" s="70" t="n">
        <f aca="false">+E10*D10</f>
        <v>130000</v>
      </c>
    </row>
    <row r="11" customFormat="false" ht="12" hidden="false" customHeight="false" outlineLevel="0" collapsed="false">
      <c r="C11" s="63" t="s">
        <v>117</v>
      </c>
      <c r="D11" s="70" t="n">
        <v>28000</v>
      </c>
      <c r="E11" s="71" t="n">
        <v>1</v>
      </c>
      <c r="F11" s="70" t="n">
        <f aca="false">+E11*D11</f>
        <v>28000</v>
      </c>
    </row>
    <row r="12" customFormat="false" ht="12" hidden="false" customHeight="false" outlineLevel="0" collapsed="false">
      <c r="C12" s="63" t="s">
        <v>118</v>
      </c>
      <c r="D12" s="70" t="n">
        <v>50000</v>
      </c>
      <c r="E12" s="71" t="n">
        <v>12</v>
      </c>
      <c r="F12" s="70" t="n">
        <f aca="false">+E12*D12</f>
        <v>600000</v>
      </c>
    </row>
    <row r="13" customFormat="false" ht="12" hidden="false" customHeight="false" outlineLevel="0" collapsed="false">
      <c r="C13" s="63" t="s">
        <v>119</v>
      </c>
      <c r="D13" s="70" t="n">
        <v>60000</v>
      </c>
      <c r="E13" s="72" t="n">
        <v>6</v>
      </c>
      <c r="F13" s="73" t="n">
        <f aca="false">+E13*D13</f>
        <v>360000</v>
      </c>
    </row>
    <row r="14" customFormat="false" ht="12" hidden="false" customHeight="false" outlineLevel="0" collapsed="false">
      <c r="C14" s="74" t="s">
        <v>120</v>
      </c>
      <c r="E14" s="75" t="n">
        <f aca="false">SUM(E9:E13)</f>
        <v>22</v>
      </c>
      <c r="F14" s="76" t="n">
        <f aca="false">SUM(F9:F13)</f>
        <v>1208000</v>
      </c>
    </row>
    <row r="15" customFormat="false" ht="12" hidden="false" customHeight="false" outlineLevel="0" collapsed="false">
      <c r="C15" s="63" t="s">
        <v>121</v>
      </c>
      <c r="E15" s="75"/>
      <c r="F15" s="77" t="n">
        <f aca="false">+F14*0.45</f>
        <v>543600</v>
      </c>
    </row>
    <row r="16" customFormat="false" ht="12" hidden="false" customHeight="false" outlineLevel="0" collapsed="false">
      <c r="C16" s="63" t="s">
        <v>122</v>
      </c>
      <c r="E16" s="75"/>
      <c r="F16" s="76" t="n">
        <f aca="false">+F15+F14</f>
        <v>1751600</v>
      </c>
    </row>
    <row r="17" customFormat="false" ht="12" hidden="false" customHeight="false" outlineLevel="0" collapsed="false">
      <c r="C17" s="63" t="s">
        <v>123</v>
      </c>
      <c r="E17" s="75"/>
      <c r="F17" s="76" t="n">
        <f aca="false">+F16*0.15</f>
        <v>262740</v>
      </c>
    </row>
    <row r="18" customFormat="false" ht="12.75" hidden="false" customHeight="false" outlineLevel="0" collapsed="false">
      <c r="C18" s="78" t="s">
        <v>124</v>
      </c>
      <c r="D18" s="78"/>
      <c r="E18" s="79"/>
      <c r="F18" s="80" t="n">
        <v>250000</v>
      </c>
    </row>
    <row r="19" customFormat="false" ht="12.75" hidden="false" customHeight="false" outlineLevel="0" collapsed="false">
      <c r="D19" s="81" t="s">
        <v>125</v>
      </c>
      <c r="E19" s="75"/>
      <c r="F19" s="76" t="n">
        <f aca="false">+F16+F17+F18</f>
        <v>2264340</v>
      </c>
    </row>
    <row r="20" customFormat="false" ht="12" hidden="false" customHeight="false" outlineLevel="0" collapsed="false">
      <c r="E20" s="75"/>
      <c r="F20" s="82"/>
    </row>
    <row r="21" customFormat="false" ht="12" hidden="false" customHeight="false" outlineLevel="0" collapsed="false">
      <c r="A21" s="67" t="s">
        <v>126</v>
      </c>
      <c r="E21" s="75"/>
      <c r="F21" s="82"/>
    </row>
    <row r="22" customFormat="false" ht="13.5" hidden="false" customHeight="false" outlineLevel="0" collapsed="false">
      <c r="B22" s="83" t="s">
        <v>127</v>
      </c>
      <c r="E22" s="75"/>
      <c r="F22" s="82"/>
    </row>
    <row r="23" customFormat="false" ht="12" hidden="false" customHeight="false" outlineLevel="0" collapsed="false">
      <c r="C23" s="63" t="s">
        <v>128</v>
      </c>
      <c r="F23" s="70" t="n">
        <v>750000</v>
      </c>
    </row>
    <row r="24" customFormat="false" ht="12" hidden="false" customHeight="false" outlineLevel="0" collapsed="false">
      <c r="C24" s="63" t="s">
        <v>129</v>
      </c>
      <c r="F24" s="73" t="n">
        <v>250000</v>
      </c>
    </row>
    <row r="25" customFormat="false" ht="12" hidden="false" customHeight="false" outlineLevel="0" collapsed="false">
      <c r="D25" s="81" t="s">
        <v>130</v>
      </c>
      <c r="F25" s="76" t="n">
        <f aca="false">SUM(F23:F24)</f>
        <v>1000000</v>
      </c>
    </row>
    <row r="26" customFormat="false" ht="12" hidden="false" customHeight="false" outlineLevel="0" collapsed="false">
      <c r="B26" s="83" t="s">
        <v>131</v>
      </c>
      <c r="F26" s="82"/>
    </row>
    <row r="27" customFormat="false" ht="12" hidden="false" customHeight="false" outlineLevel="0" collapsed="false">
      <c r="C27" s="63" t="s">
        <v>132</v>
      </c>
      <c r="F27" s="70" t="n">
        <v>125000</v>
      </c>
    </row>
    <row r="28" customFormat="false" ht="12" hidden="false" customHeight="false" outlineLevel="0" collapsed="false">
      <c r="C28" s="63" t="s">
        <v>133</v>
      </c>
      <c r="F28" s="70" t="n">
        <v>550000</v>
      </c>
    </row>
    <row r="29" customFormat="false" ht="12" hidden="false" customHeight="false" outlineLevel="0" collapsed="false">
      <c r="C29" s="63" t="s">
        <v>134</v>
      </c>
      <c r="F29" s="70" t="n">
        <v>72000</v>
      </c>
    </row>
    <row r="30" customFormat="false" ht="12" hidden="false" customHeight="false" outlineLevel="0" collapsed="false">
      <c r="C30" s="63" t="s">
        <v>135</v>
      </c>
      <c r="F30" s="70" t="n">
        <v>25000</v>
      </c>
    </row>
    <row r="31" customFormat="false" ht="12" hidden="false" customHeight="false" outlineLevel="0" collapsed="false">
      <c r="C31" s="84" t="s">
        <v>136</v>
      </c>
      <c r="D31" s="84"/>
      <c r="E31" s="84"/>
      <c r="F31" s="73" t="n">
        <v>125000</v>
      </c>
    </row>
    <row r="32" customFormat="false" ht="12.75" hidden="false" customHeight="false" outlineLevel="0" collapsed="false">
      <c r="B32" s="78"/>
      <c r="C32" s="85"/>
      <c r="D32" s="86" t="s">
        <v>137</v>
      </c>
      <c r="E32" s="85"/>
      <c r="F32" s="87" t="n">
        <f aca="false">SUM(F27:F31)</f>
        <v>897000</v>
      </c>
    </row>
    <row r="33" customFormat="false" ht="12.75" hidden="false" customHeight="false" outlineLevel="0" collapsed="false">
      <c r="D33" s="81" t="s">
        <v>111</v>
      </c>
      <c r="F33" s="88" t="n">
        <f aca="false">F32+F25+F19</f>
        <v>4161340</v>
      </c>
    </row>
    <row r="35" customFormat="false" ht="12.75" hidden="false" customHeight="false" outlineLevel="0" collapsed="false">
      <c r="B35" s="89" t="n">
        <v>1</v>
      </c>
      <c r="C35" s="89" t="s">
        <v>138</v>
      </c>
      <c r="D35" s="0"/>
      <c r="E35" s="0"/>
      <c r="F3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139</v>
      </c>
    </row>
    <row r="3" customFormat="false" ht="12.75" hidden="false" customHeight="false" outlineLevel="0" collapsed="false">
      <c r="A3" s="36"/>
      <c r="B3" s="36"/>
      <c r="C3" s="36"/>
      <c r="D3" s="36"/>
      <c r="E3" s="36"/>
      <c r="F3" s="36"/>
      <c r="G3" s="36"/>
      <c r="H3" s="36"/>
      <c r="I3" s="36"/>
      <c r="J3" s="36"/>
    </row>
    <row r="4" customFormat="false" ht="12.75" hidden="false" customHeight="false" outlineLevel="0" collapsed="false">
      <c r="A4" s="22"/>
      <c r="E4" s="22" t="s">
        <v>140</v>
      </c>
      <c r="G4" s="22" t="s">
        <v>141</v>
      </c>
      <c r="I4" s="22" t="s">
        <v>141</v>
      </c>
      <c r="K4" s="22"/>
    </row>
    <row r="5" customFormat="false" ht="12.75" hidden="false" customHeight="false" outlineLevel="0" collapsed="false">
      <c r="A5" s="22"/>
      <c r="E5" s="35" t="s">
        <v>142</v>
      </c>
      <c r="F5" s="36"/>
      <c r="G5" s="35" t="s">
        <v>142</v>
      </c>
      <c r="H5" s="36"/>
      <c r="I5" s="35" t="s">
        <v>143</v>
      </c>
      <c r="J5" s="38"/>
      <c r="K5" s="22"/>
    </row>
    <row r="6" customFormat="false" ht="12.75" hidden="false" customHeight="false" outlineLevel="0" collapsed="false">
      <c r="A6" s="22"/>
      <c r="E6" s="90" t="s">
        <v>144</v>
      </c>
      <c r="F6" s="91" t="s">
        <v>144</v>
      </c>
      <c r="G6" s="90" t="s">
        <v>144</v>
      </c>
      <c r="H6" s="91" t="s">
        <v>144</v>
      </c>
      <c r="I6" s="90" t="s">
        <v>144</v>
      </c>
      <c r="J6" s="91" t="s">
        <v>144</v>
      </c>
      <c r="K6" s="22"/>
    </row>
    <row r="7" customFormat="false" ht="12.75" hidden="false" customHeight="false" outlineLevel="0" collapsed="false">
      <c r="A7" s="22"/>
      <c r="B7" s="91" t="s">
        <v>145</v>
      </c>
      <c r="C7" s="91" t="s">
        <v>146</v>
      </c>
      <c r="D7" s="92" t="s">
        <v>147</v>
      </c>
      <c r="E7" s="93" t="s">
        <v>148</v>
      </c>
      <c r="F7" s="94" t="s">
        <v>149</v>
      </c>
      <c r="G7" s="93" t="s">
        <v>148</v>
      </c>
      <c r="H7" s="94" t="s">
        <v>149</v>
      </c>
      <c r="I7" s="93" t="s">
        <v>148</v>
      </c>
      <c r="J7" s="94" t="s">
        <v>149</v>
      </c>
      <c r="K7" s="22"/>
    </row>
    <row r="8" customFormat="false" ht="12.75" hidden="false" customHeight="false" outlineLevel="0" collapsed="false">
      <c r="A8" s="95" t="s">
        <v>150</v>
      </c>
      <c r="B8" s="96" t="s">
        <v>151</v>
      </c>
      <c r="C8" s="96" t="s">
        <v>152</v>
      </c>
      <c r="D8" s="96" t="s">
        <v>153</v>
      </c>
      <c r="E8" s="95" t="s">
        <v>154</v>
      </c>
      <c r="F8" s="28" t="s">
        <v>155</v>
      </c>
      <c r="G8" s="95" t="s">
        <v>154</v>
      </c>
      <c r="H8" s="28" t="s">
        <v>155</v>
      </c>
      <c r="I8" s="95" t="s">
        <v>154</v>
      </c>
      <c r="J8" s="28" t="s">
        <v>155</v>
      </c>
      <c r="K8" s="22"/>
    </row>
    <row r="9" customFormat="false" ht="12.75" hidden="false" customHeight="false" outlineLevel="0" collapsed="false">
      <c r="A9" s="22"/>
      <c r="E9" s="22"/>
      <c r="G9" s="22"/>
      <c r="I9" s="22"/>
      <c r="K9" s="22"/>
    </row>
    <row r="10" customFormat="false" ht="12.75" hidden="false" customHeight="false" outlineLevel="0" collapsed="false">
      <c r="A10" s="90" t="s">
        <v>156</v>
      </c>
      <c r="B10" s="91" t="n">
        <v>-20</v>
      </c>
      <c r="C10" s="91" t="n">
        <v>60</v>
      </c>
      <c r="D10" s="91" t="s">
        <v>157</v>
      </c>
      <c r="E10" s="97" t="n">
        <f aca="false">'[1]Raytheon Data'!I8/1.06/1000</f>
        <v>541.750943396226</v>
      </c>
      <c r="F10" s="98" t="n">
        <f aca="false">'[1]Raytheon Data'!K8*1.06</f>
        <v>8445.50444401104</v>
      </c>
      <c r="G10" s="97" t="n">
        <f aca="false">'[1]with Chilling'!J8/1.06/1000</f>
        <v>541.750943396226</v>
      </c>
      <c r="H10" s="98" t="n">
        <f aca="false">'[1]with Chilling'!L8*1.06</f>
        <v>8445.50444401104</v>
      </c>
      <c r="I10" s="97" t="n">
        <f aca="false">'[1]with 105 mw stg'!J8/1.06/1000</f>
        <v>556.907791159925</v>
      </c>
      <c r="J10" s="98" t="n">
        <f aca="false">'[1]with 105 mw stg'!L8*1.06</f>
        <v>8607.95115482047</v>
      </c>
      <c r="K10" s="22"/>
    </row>
    <row r="11" customFormat="false" ht="12.75" hidden="false" customHeight="false" outlineLevel="0" collapsed="false">
      <c r="A11" s="90" t="s">
        <v>156</v>
      </c>
      <c r="B11" s="91" t="n">
        <v>20</v>
      </c>
      <c r="C11" s="91" t="n">
        <v>60</v>
      </c>
      <c r="D11" s="99" t="s">
        <v>157</v>
      </c>
      <c r="E11" s="97" t="n">
        <f aca="false">'[1]Raytheon Data'!I9/1.06/1000</f>
        <v>542.405660377359</v>
      </c>
      <c r="F11" s="98" t="n">
        <f aca="false">'[1]Raytheon Data'!K9*1.06</f>
        <v>8199.73006348378</v>
      </c>
      <c r="G11" s="97" t="n">
        <f aca="false">'[1]with Chilling'!J9/1.06/1000</f>
        <v>542.405660377359</v>
      </c>
      <c r="H11" s="98" t="n">
        <f aca="false">'[1]with Chilling'!L9*1.06</f>
        <v>8199.73006348378</v>
      </c>
      <c r="I11" s="97" t="n">
        <f aca="false">'[1]with 105 mw stg'!J9/1.06/1000</f>
        <v>557.758038849498</v>
      </c>
      <c r="J11" s="98" t="n">
        <f aca="false">'[1]with 105 mw stg'!L9*1.06</f>
        <v>8378.69453446925</v>
      </c>
      <c r="K11" s="22"/>
    </row>
    <row r="12" customFormat="false" ht="12.75" hidden="false" customHeight="false" outlineLevel="0" collapsed="false">
      <c r="A12" s="90" t="s">
        <v>156</v>
      </c>
      <c r="B12" s="91" t="n">
        <v>60</v>
      </c>
      <c r="C12" s="91" t="n">
        <v>60</v>
      </c>
      <c r="D12" s="91" t="s">
        <v>157</v>
      </c>
      <c r="E12" s="97" t="n">
        <f aca="false">'[1]Raytheon Data'!I10/1.06/1000</f>
        <v>504.635849056604</v>
      </c>
      <c r="F12" s="98" t="n">
        <f aca="false">'[1]Raytheon Data'!K10*1.06</f>
        <v>8288.98701473508</v>
      </c>
      <c r="G12" s="97" t="n">
        <f aca="false">'[1]with Chilling'!J10/1.06/1000</f>
        <v>516.781755743465</v>
      </c>
      <c r="H12" s="98" t="n">
        <f aca="false">'[1]with Chilling'!L10*1.06</f>
        <v>8253.07283205048</v>
      </c>
      <c r="I12" s="97" t="n">
        <f aca="false">'[1]with 105 mw stg'!J10/1.06/1000</f>
        <v>533.647202784115</v>
      </c>
      <c r="J12" s="98" t="n">
        <f aca="false">'[1]with 105 mw stg'!L10*1.06</f>
        <v>8456.23119359242</v>
      </c>
      <c r="K12" s="22"/>
    </row>
    <row r="13" customFormat="false" ht="12.75" hidden="false" customHeight="false" outlineLevel="0" collapsed="false">
      <c r="A13" s="90" t="s">
        <v>156</v>
      </c>
      <c r="B13" s="91" t="n">
        <v>80</v>
      </c>
      <c r="C13" s="91" t="n">
        <v>40</v>
      </c>
      <c r="D13" s="91" t="s">
        <v>157</v>
      </c>
      <c r="E13" s="97" t="n">
        <f aca="false">'[1]Raytheon Data'!I11/1.06/1000</f>
        <v>466.98679245283</v>
      </c>
      <c r="F13" s="98" t="n">
        <f aca="false">'[1]Raytheon Data'!K11*1.06</f>
        <v>8471.07469404411</v>
      </c>
      <c r="G13" s="97" t="n">
        <f aca="false">'[1]with Chilling'!J11/1.06/1000</f>
        <v>513.395217047271</v>
      </c>
      <c r="H13" s="98" t="n">
        <f aca="false">'[1]with Chilling'!L11*1.06</f>
        <v>8248.46937413887</v>
      </c>
      <c r="I13" s="97" t="n">
        <f aca="false">'[1]with 105 mw stg'!J11/1.06/1000</f>
        <v>530.435863942789</v>
      </c>
      <c r="J13" s="98" t="n">
        <f aca="false">'[1]with 105 mw stg'!L11*1.06</f>
        <v>8453.62400200131</v>
      </c>
      <c r="K13" s="22"/>
    </row>
    <row r="14" customFormat="false" ht="12.75" hidden="false" customHeight="false" outlineLevel="0" collapsed="false">
      <c r="A14" s="90" t="s">
        <v>156</v>
      </c>
      <c r="B14" s="91" t="n">
        <v>95</v>
      </c>
      <c r="C14" s="91" t="n">
        <v>34.5</v>
      </c>
      <c r="D14" s="99" t="s">
        <v>157</v>
      </c>
      <c r="E14" s="97" t="n">
        <f aca="false">'[1]Raytheon Data'!I12/1.06/1000</f>
        <v>432.056603773585</v>
      </c>
      <c r="F14" s="98" t="n">
        <f aca="false">'[1]Raytheon Data'!K12*1.06</f>
        <v>8637.86123441538</v>
      </c>
      <c r="G14" s="97" t="n">
        <f aca="false">'[1]with Chilling'!J12/1.06/1000</f>
        <v>502.422567711115</v>
      </c>
      <c r="H14" s="98" t="n">
        <f aca="false">'[1]with Chilling'!L12*1.06</f>
        <v>8323.77111580181</v>
      </c>
      <c r="I14" s="97" t="n">
        <f aca="false">'[1]with 105 mw stg'!J12/1.06/1000</f>
        <v>519.138944371109</v>
      </c>
      <c r="J14" s="98" t="n">
        <f aca="false">'[1]with 105 mw stg'!L12*1.06</f>
        <v>8530.72469705785</v>
      </c>
      <c r="K14" s="22"/>
    </row>
    <row r="15" customFormat="false" ht="12.75" hidden="false" customHeight="false" outlineLevel="0" collapsed="false">
      <c r="A15" s="90" t="s">
        <v>156</v>
      </c>
      <c r="B15" s="91" t="n">
        <v>105</v>
      </c>
      <c r="C15" s="91" t="n">
        <v>27</v>
      </c>
      <c r="D15" s="91" t="s">
        <v>157</v>
      </c>
      <c r="E15" s="97" t="n">
        <f aca="false">'[1]Raytheon Data'!I13/1.06/1000</f>
        <v>406.133962264151</v>
      </c>
      <c r="F15" s="98" t="n">
        <f aca="false">'[1]Raytheon Data'!K13*1.06</f>
        <v>8567.04114068432</v>
      </c>
      <c r="G15" s="97" t="n">
        <f aca="false">'[1]with Chilling'!J13/1.06/1000</f>
        <v>488.509793512577</v>
      </c>
      <c r="H15" s="98" t="n">
        <f aca="false">'[1]with Chilling'!L13*1.06</f>
        <v>8475.95027367093</v>
      </c>
      <c r="I15" s="97" t="n">
        <f aca="false">'[1]with 105 mw stg'!J13/1.06/1000</f>
        <v>503.148418505377</v>
      </c>
      <c r="J15" s="98" t="n">
        <f aca="false">'[1]with 105 mw stg'!L13*1.06</f>
        <v>8827.2369839394</v>
      </c>
      <c r="K15" s="22"/>
    </row>
    <row r="16" customFormat="false" ht="12.75" hidden="false" customHeight="false" outlineLevel="0" collapsed="false">
      <c r="A16" s="90"/>
      <c r="B16" s="91"/>
      <c r="C16" s="91"/>
      <c r="D16" s="91"/>
      <c r="E16" s="100"/>
      <c r="G16" s="100"/>
      <c r="I16" s="100"/>
      <c r="K16" s="22"/>
    </row>
    <row r="17" customFormat="false" ht="12.75" hidden="false" customHeight="false" outlineLevel="0" collapsed="false">
      <c r="A17" s="90" t="s">
        <v>158</v>
      </c>
      <c r="B17" s="91" t="n">
        <v>20</v>
      </c>
      <c r="C17" s="91" t="n">
        <v>60</v>
      </c>
      <c r="D17" s="99" t="s">
        <v>159</v>
      </c>
      <c r="E17" s="97" t="n">
        <f aca="false">'[1]Raytheon Data'!I15/1.06/1000</f>
        <v>444.350943396226</v>
      </c>
      <c r="F17" s="98" t="n">
        <f aca="false">'[1]Raytheon Data'!K15*1.06</f>
        <v>7229.82599169448</v>
      </c>
      <c r="G17" s="97" t="n">
        <f aca="false">'[1]with Chilling'!J15/1.06/1000</f>
        <v>444.350943396226</v>
      </c>
      <c r="H17" s="98" t="n">
        <f aca="false">'[1]with Chilling'!L15*1.06</f>
        <v>7229.82599169448</v>
      </c>
      <c r="I17" s="97" t="n">
        <f aca="false">G17</f>
        <v>444.350943396226</v>
      </c>
      <c r="J17" s="98" t="n">
        <f aca="false">H17</f>
        <v>7229.82599169448</v>
      </c>
      <c r="K17" s="22"/>
    </row>
    <row r="18" customFormat="false" ht="12.75" hidden="false" customHeight="false" outlineLevel="0" collapsed="false">
      <c r="A18" s="90" t="s">
        <v>158</v>
      </c>
      <c r="B18" s="91" t="n">
        <v>40</v>
      </c>
      <c r="C18" s="91" t="n">
        <v>60</v>
      </c>
      <c r="D18" s="91" t="s">
        <v>159</v>
      </c>
      <c r="E18" s="97" t="n">
        <f aca="false">'[1]Raytheon Data'!I16/1.06/1000</f>
        <v>438.769811320755</v>
      </c>
      <c r="F18" s="98" t="n">
        <f aca="false">'[1]Raytheon Data'!K16*1.06</f>
        <v>7220.05005418236</v>
      </c>
      <c r="G18" s="97" t="n">
        <f aca="false">'[1]with Chilling'!J16/1.06/1000</f>
        <v>438.769811320755</v>
      </c>
      <c r="H18" s="98" t="n">
        <f aca="false">'[1]with Chilling'!L16*1.06</f>
        <v>7220.20959113817</v>
      </c>
      <c r="I18" s="97" t="n">
        <f aca="false">G18</f>
        <v>438.769811320755</v>
      </c>
      <c r="J18" s="98" t="n">
        <f aca="false">H18</f>
        <v>7220.20959113817</v>
      </c>
      <c r="K18" s="22"/>
    </row>
    <row r="19" customFormat="false" ht="12.75" hidden="false" customHeight="false" outlineLevel="0" collapsed="false">
      <c r="A19" s="90" t="s">
        <v>158</v>
      </c>
      <c r="B19" s="91" t="n">
        <v>60</v>
      </c>
      <c r="C19" s="91" t="n">
        <v>60</v>
      </c>
      <c r="D19" s="99" t="s">
        <v>159</v>
      </c>
      <c r="E19" s="97" t="n">
        <f aca="false">'[1]Raytheon Data'!I17/1.06/1000</f>
        <v>407.145283018868</v>
      </c>
      <c r="F19" s="98" t="n">
        <f aca="false">'[1]Raytheon Data'!K17*1.06</f>
        <v>7284.67238526881</v>
      </c>
      <c r="G19" s="97" t="n">
        <f aca="false">'[1]with Chilling'!J17/1.06/1000</f>
        <v>419.448975995311</v>
      </c>
      <c r="H19" s="98" t="n">
        <f aca="false">'[1]with Chilling'!L17*1.06</f>
        <v>7271.33878076487</v>
      </c>
      <c r="I19" s="97" t="n">
        <f aca="false">G19</f>
        <v>419.448975995311</v>
      </c>
      <c r="J19" s="98" t="n">
        <f aca="false">H19</f>
        <v>7271.33878076487</v>
      </c>
      <c r="K19" s="22"/>
    </row>
    <row r="20" customFormat="false" ht="12.75" hidden="false" customHeight="false" outlineLevel="0" collapsed="false">
      <c r="A20" s="90" t="s">
        <v>158</v>
      </c>
      <c r="B20" s="91" t="n">
        <v>80</v>
      </c>
      <c r="C20" s="91" t="n">
        <v>40</v>
      </c>
      <c r="D20" s="99" t="s">
        <v>159</v>
      </c>
      <c r="E20" s="97" t="n">
        <f aca="false">'[1]Raytheon Data'!I18/1.06/1000</f>
        <v>367.777358490566</v>
      </c>
      <c r="F20" s="98" t="n">
        <f aca="false">'[1]Raytheon Data'!K18*1.06</f>
        <v>7394.63682909061</v>
      </c>
      <c r="G20" s="97" t="n">
        <f aca="false">'[1]with Chilling'!J18/1.06/1000</f>
        <v>415.999316290772</v>
      </c>
      <c r="H20" s="98" t="n">
        <f aca="false">'[1]with Chilling'!L18*1.06</f>
        <v>7285.5879077932</v>
      </c>
      <c r="I20" s="97" t="n">
        <f aca="false">G20</f>
        <v>415.999316290772</v>
      </c>
      <c r="J20" s="98" t="n">
        <f aca="false">H20</f>
        <v>7285.5879077932</v>
      </c>
      <c r="K20" s="22"/>
    </row>
    <row r="21" customFormat="false" ht="12.75" hidden="false" customHeight="false" outlineLevel="0" collapsed="false">
      <c r="A21" s="90" t="s">
        <v>158</v>
      </c>
      <c r="B21" s="91" t="n">
        <v>95</v>
      </c>
      <c r="C21" s="91" t="n">
        <v>34.5</v>
      </c>
      <c r="D21" s="99" t="s">
        <v>159</v>
      </c>
      <c r="E21" s="97" t="n">
        <f aca="false">'[1]Raytheon Data'!I19/1.06/1000</f>
        <v>332.81320754717</v>
      </c>
      <c r="F21" s="98" t="n">
        <f aca="false">'[1]Raytheon Data'!K19*1.06</f>
        <v>7560.81772879569</v>
      </c>
      <c r="G21" s="97" t="n">
        <f aca="false">'[1]with Chilling'!J19/1.06/1000</f>
        <v>405.843509101179</v>
      </c>
      <c r="H21" s="98" t="n">
        <f aca="false">'[1]with Chilling'!L19*1.06</f>
        <v>7326.93450248581</v>
      </c>
      <c r="I21" s="97" t="n">
        <f aca="false">G21</f>
        <v>405.843509101179</v>
      </c>
      <c r="J21" s="98" t="n">
        <f aca="false">H21</f>
        <v>7326.93450248581</v>
      </c>
      <c r="K21" s="22"/>
    </row>
    <row r="22" customFormat="false" ht="12.75" hidden="false" customHeight="false" outlineLevel="0" collapsed="false">
      <c r="A22" s="90"/>
      <c r="B22" s="91"/>
      <c r="C22" s="91"/>
      <c r="D22" s="91"/>
      <c r="E22" s="100"/>
      <c r="G22" s="100"/>
      <c r="I22" s="100"/>
      <c r="K22" s="22"/>
    </row>
    <row r="23" customFormat="false" ht="12.75" hidden="false" customHeight="false" outlineLevel="0" collapsed="false">
      <c r="A23" s="90" t="s">
        <v>160</v>
      </c>
      <c r="B23" s="91" t="n">
        <v>-20</v>
      </c>
      <c r="C23" s="91" t="n">
        <v>60</v>
      </c>
      <c r="D23" s="91" t="s">
        <v>161</v>
      </c>
      <c r="E23" s="97" t="n">
        <f aca="false">'[1]Raytheon Data'!I21/1.06/1000</f>
        <v>75.7254716981132</v>
      </c>
      <c r="F23" s="98" t="n">
        <f aca="false">'[1]Raytheon Data'!K21*1.06</f>
        <v>7370.57145348765</v>
      </c>
      <c r="G23" s="97" t="n">
        <f aca="false">'[1]with Chilling'!J21/1.06/1000</f>
        <v>75.7254716981132</v>
      </c>
      <c r="H23" s="98" t="n">
        <f aca="false">'[1]with Chilling'!L21*1.06</f>
        <v>8672.11501326789</v>
      </c>
      <c r="I23" s="97" t="n">
        <f aca="false">G23</f>
        <v>75.7254716981132</v>
      </c>
      <c r="J23" s="98" t="n">
        <f aca="false">H23</f>
        <v>8672.11501326789</v>
      </c>
      <c r="K23" s="22"/>
    </row>
    <row r="24" customFormat="false" ht="12.75" hidden="false" customHeight="false" outlineLevel="0" collapsed="false">
      <c r="A24" s="90" t="s">
        <v>160</v>
      </c>
      <c r="B24" s="91" t="n">
        <v>20</v>
      </c>
      <c r="C24" s="91" t="n">
        <v>60</v>
      </c>
      <c r="D24" s="91" t="s">
        <v>161</v>
      </c>
      <c r="E24" s="97" t="n">
        <f aca="false">'[1]Raytheon Data'!I22/1.06/1000</f>
        <v>70.7311320754717</v>
      </c>
      <c r="F24" s="98" t="n">
        <f aca="false">'[1]Raytheon Data'!K22*1.06</f>
        <v>8635.51850616872</v>
      </c>
      <c r="G24" s="97" t="n">
        <f aca="false">'[1]with Chilling'!J22/1.06/1000</f>
        <v>70.7311320754717</v>
      </c>
      <c r="H24" s="98" t="n">
        <f aca="false">'[1]with Chilling'!L22*1.06</f>
        <v>8635.51850616872</v>
      </c>
      <c r="I24" s="97" t="n">
        <f aca="false">G24</f>
        <v>70.7311320754717</v>
      </c>
      <c r="J24" s="98" t="n">
        <f aca="false">H24</f>
        <v>8635.51850616872</v>
      </c>
      <c r="K24" s="22"/>
    </row>
    <row r="25" customFormat="false" ht="12.75" hidden="false" customHeight="false" outlineLevel="0" collapsed="false">
      <c r="A25" s="90" t="s">
        <v>160</v>
      </c>
      <c r="B25" s="91" t="n">
        <v>60</v>
      </c>
      <c r="C25" s="91" t="n">
        <v>60</v>
      </c>
      <c r="D25" s="91" t="s">
        <v>161</v>
      </c>
      <c r="E25" s="97" t="n">
        <f aca="false">'[1]Raytheon Data'!I23/1.06/1000</f>
        <v>62.8311320754717</v>
      </c>
      <c r="F25" s="98" t="n">
        <f aca="false">'[1]Raytheon Data'!K23*1.06</f>
        <v>8919.14535817781</v>
      </c>
      <c r="G25" s="97" t="n">
        <f aca="false">'[1]with Chilling'!J23/1.06/1000</f>
        <v>62.7442533143066</v>
      </c>
      <c r="H25" s="98" t="n">
        <f aca="false">'[1]with Chilling'!L23*1.06</f>
        <v>9060.59073095023</v>
      </c>
      <c r="I25" s="97" t="n">
        <f aca="false">G25</f>
        <v>62.7442533143066</v>
      </c>
      <c r="J25" s="98" t="n">
        <f aca="false">H25</f>
        <v>9060.59073095023</v>
      </c>
      <c r="K25" s="22"/>
    </row>
    <row r="26" customFormat="false" ht="12.75" hidden="false" customHeight="false" outlineLevel="0" collapsed="false">
      <c r="A26" s="90" t="s">
        <v>160</v>
      </c>
      <c r="B26" s="91" t="n">
        <v>80</v>
      </c>
      <c r="C26" s="91" t="n">
        <v>40</v>
      </c>
      <c r="D26" s="91" t="s">
        <v>161</v>
      </c>
      <c r="E26" s="97" t="n">
        <f aca="false">'[1]Raytheon Data'!I24/1.06/1000</f>
        <v>59.7264150943396</v>
      </c>
      <c r="F26" s="98" t="n">
        <f aca="false">'[1]Raytheon Data'!K24*1.06</f>
        <v>8937.41904912336</v>
      </c>
      <c r="G26" s="97" t="n">
        <f aca="false">'[1]with Chilling'!J24/1.06/1000</f>
        <v>61.1329120373414</v>
      </c>
      <c r="H26" s="98" t="n">
        <f aca="false">'[1]with Chilling'!L24*1.06</f>
        <v>9080.21524740932</v>
      </c>
      <c r="I26" s="97" t="n">
        <f aca="false">G26</f>
        <v>61.1329120373414</v>
      </c>
      <c r="J26" s="98" t="n">
        <f aca="false">H26</f>
        <v>9080.21524740932</v>
      </c>
      <c r="K26" s="22"/>
    </row>
    <row r="27" customFormat="false" ht="12.75" hidden="false" customHeight="false" outlineLevel="0" collapsed="false">
      <c r="A27" s="101" t="s">
        <v>160</v>
      </c>
      <c r="B27" s="102" t="n">
        <v>95</v>
      </c>
      <c r="C27" s="102" t="n">
        <v>34.5</v>
      </c>
      <c r="D27" s="102" t="s">
        <v>161</v>
      </c>
      <c r="E27" s="103" t="n">
        <f aca="false">'[1]Raytheon Data'!I25/1.06/1000</f>
        <v>56.9122641509434</v>
      </c>
      <c r="F27" s="104" t="n">
        <f aca="false">'[1]Raytheon Data'!K25*1.06</f>
        <v>9040.23074245363</v>
      </c>
      <c r="G27" s="103" t="n">
        <f aca="false">'[1]with Chilling'!J25/1.06/1000</f>
        <v>60.1652879770583</v>
      </c>
      <c r="H27" s="105" t="n">
        <f aca="false">'[1]with Chilling'!L25*1.06</f>
        <v>9026.79964246311</v>
      </c>
      <c r="I27" s="103" t="n">
        <f aca="false">G27</f>
        <v>60.1652879770583</v>
      </c>
      <c r="J27" s="105" t="n">
        <f aca="false">H27</f>
        <v>9026.79964246311</v>
      </c>
      <c r="K27" s="22"/>
    </row>
    <row r="28" customFormat="false" ht="12.75" hidden="false" customHeight="false" outlineLevel="0" collapsed="false">
      <c r="A28" s="91"/>
      <c r="B28" s="91"/>
      <c r="C28" s="91"/>
      <c r="D28" s="91"/>
    </row>
    <row r="29" customFormat="false" ht="25.5" hidden="false" customHeight="true" outlineLevel="0" collapsed="false">
      <c r="A29" s="106" t="s">
        <v>162</v>
      </c>
      <c r="B29" s="106"/>
      <c r="C29" s="106"/>
      <c r="D29" s="106"/>
      <c r="E29" s="106"/>
      <c r="F29" s="106"/>
      <c r="G29" s="106"/>
      <c r="H29" s="106"/>
      <c r="I29" s="106"/>
      <c r="J29" s="106"/>
    </row>
  </sheetData>
  <mergeCells count="1">
    <mergeCell ref="A29:J2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M3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07" width="9.14"/>
    <col collapsed="false" customWidth="true" hidden="false" outlineLevel="0" max="2" min="2" style="107" width="29.13"/>
    <col collapsed="false" customWidth="true" hidden="false" outlineLevel="0" max="3" min="3" style="107" width="4.85"/>
    <col collapsed="false" customWidth="true" hidden="false" outlineLevel="0" max="4" min="4" style="107" width="8.7"/>
    <col collapsed="false" customWidth="true" hidden="false" outlineLevel="0" max="5" min="5" style="107" width="9.7"/>
    <col collapsed="false" customWidth="true" hidden="false" outlineLevel="0" max="6" min="6" style="107" width="9.85"/>
    <col collapsed="false" customWidth="true" hidden="false" outlineLevel="0" max="7" min="7" style="107" width="9.99"/>
    <col collapsed="false" customWidth="true" hidden="false" outlineLevel="0" max="8" min="8" style="107" width="9.85"/>
    <col collapsed="false" customWidth="true" hidden="false" outlineLevel="0" max="9" min="9" style="107" width="9.7"/>
    <col collapsed="false" customWidth="true" hidden="false" outlineLevel="0" max="10" min="10" style="107" width="10.13"/>
    <col collapsed="false" customWidth="true" hidden="false" outlineLevel="0" max="11" min="11" style="107" width="10.41"/>
    <col collapsed="false" customWidth="true" hidden="false" outlineLevel="0" max="12" min="12" style="107" width="10.13"/>
    <col collapsed="false" customWidth="true" hidden="false" outlineLevel="0" max="13" min="13" style="107" width="9.85"/>
    <col collapsed="false" customWidth="true" hidden="false" outlineLevel="0" max="14" min="14" style="107" width="9.99"/>
    <col collapsed="false" customWidth="true" hidden="false" outlineLevel="0" max="15" min="15" style="107" width="10.41"/>
    <col collapsed="false" customWidth="true" hidden="false" outlineLevel="0" max="16" min="16" style="107" width="10.28"/>
    <col collapsed="false" customWidth="true" hidden="false" outlineLevel="0" max="17" min="17" style="107" width="10.56"/>
    <col collapsed="false" customWidth="true" hidden="false" outlineLevel="0" max="18" min="18" style="107" width="10.85"/>
    <col collapsed="false" customWidth="true" hidden="false" outlineLevel="0" max="19" min="19" style="107" width="10.13"/>
    <col collapsed="false" customWidth="true" hidden="false" outlineLevel="0" max="20" min="20" style="107" width="11.13"/>
    <col collapsed="false" customWidth="true" hidden="false" outlineLevel="0" max="21" min="21" style="107" width="10.41"/>
    <col collapsed="false" customWidth="true" hidden="false" outlineLevel="0" max="22" min="22" style="107" width="10.71"/>
    <col collapsed="false" customWidth="true" hidden="false" outlineLevel="0" max="23" min="23" style="107" width="10.28"/>
    <col collapsed="false" customWidth="true" hidden="false" outlineLevel="0" max="24" min="24" style="107" width="10.41"/>
    <col collapsed="false" customWidth="true" hidden="false" outlineLevel="0" max="25" min="25" style="107" width="9.99"/>
    <col collapsed="false" customWidth="true" hidden="false" outlineLevel="0" max="26" min="26" style="107" width="10.71"/>
    <col collapsed="false" customWidth="true" hidden="false" outlineLevel="0" max="27" min="27" style="107" width="10.85"/>
    <col collapsed="false" customWidth="true" hidden="false" outlineLevel="0" max="28" min="28" style="107" width="11.42"/>
    <col collapsed="false" customWidth="false" hidden="false" outlineLevel="0" max="29" min="29" style="108" width="9.14"/>
    <col collapsed="false" customWidth="false" hidden="false" outlineLevel="0" max="257" min="30" style="107" width="9.14"/>
  </cols>
  <sheetData>
    <row r="1" customFormat="false" ht="11.25" hidden="false" customHeight="false" outlineLevel="0" collapsed="false">
      <c r="A1" s="41" t="s">
        <v>163</v>
      </c>
      <c r="J1" s="109"/>
    </row>
    <row r="3" customFormat="false" ht="12" hidden="false" customHeight="false" outlineLevel="0" collapsed="false">
      <c r="A3" s="110" t="s">
        <v>109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</row>
    <row r="4" customFormat="false" ht="11.25" hidden="false" customHeight="false" outlineLevel="0" collapsed="false">
      <c r="D4" s="112" t="n">
        <f aca="false">[2]Plant!G5</f>
        <v>1</v>
      </c>
      <c r="E4" s="112" t="n">
        <f aca="false">[2]Plant!H5</f>
        <v>2</v>
      </c>
      <c r="F4" s="112" t="n">
        <f aca="false">[2]Plant!I5</f>
        <v>3</v>
      </c>
      <c r="G4" s="112" t="n">
        <f aca="false">[2]Plant!J5</f>
        <v>4</v>
      </c>
      <c r="H4" s="112" t="n">
        <f aca="false">[2]Plant!K5</f>
        <v>5</v>
      </c>
      <c r="I4" s="112" t="n">
        <f aca="false">[2]Plant!L5</f>
        <v>6</v>
      </c>
      <c r="J4" s="112" t="n">
        <f aca="false">[2]Plant!M5</f>
        <v>7</v>
      </c>
      <c r="K4" s="112" t="n">
        <f aca="false">[2]Plant!N5</f>
        <v>8</v>
      </c>
      <c r="L4" s="112" t="n">
        <f aca="false">[2]Plant!O5</f>
        <v>9</v>
      </c>
      <c r="M4" s="112" t="n">
        <f aca="false">[2]Plant!P5</f>
        <v>10</v>
      </c>
      <c r="N4" s="112" t="n">
        <f aca="false">[2]Plant!Q5</f>
        <v>11</v>
      </c>
      <c r="O4" s="112" t="n">
        <f aca="false">[2]Plant!R5</f>
        <v>12</v>
      </c>
      <c r="P4" s="112" t="n">
        <f aca="false">[2]Plant!S5</f>
        <v>13</v>
      </c>
      <c r="Q4" s="112" t="n">
        <f aca="false">[2]Plant!T5</f>
        <v>14</v>
      </c>
      <c r="R4" s="112" t="n">
        <f aca="false">[2]Plant!U5</f>
        <v>15</v>
      </c>
      <c r="S4" s="112" t="n">
        <f aca="false">[2]Plant!V5</f>
        <v>16</v>
      </c>
      <c r="T4" s="112" t="n">
        <f aca="false">[2]Plant!W5</f>
        <v>17</v>
      </c>
      <c r="U4" s="112" t="n">
        <f aca="false">[2]Plant!X5</f>
        <v>18</v>
      </c>
      <c r="V4" s="112" t="n">
        <f aca="false">[2]Plant!Y5</f>
        <v>19</v>
      </c>
      <c r="W4" s="112" t="n">
        <f aca="false">[2]Plant!Z5</f>
        <v>20</v>
      </c>
      <c r="X4" s="112" t="n">
        <f aca="false">[2]Plant!AA5</f>
        <v>21</v>
      </c>
      <c r="Y4" s="112" t="n">
        <f aca="false">[2]Plant!AB5</f>
        <v>22</v>
      </c>
      <c r="Z4" s="112" t="n">
        <f aca="false">[2]Plant!AC5</f>
        <v>23</v>
      </c>
      <c r="AA4" s="112" t="n">
        <f aca="false">[2]Plant!AD5</f>
        <v>24</v>
      </c>
      <c r="AB4" s="112" t="n">
        <f aca="false">[2]Plant!AE5</f>
        <v>25</v>
      </c>
    </row>
    <row r="5" customFormat="false" ht="11.25" hidden="false" customHeight="false" outlineLevel="0" collapsed="false">
      <c r="A5" s="113"/>
      <c r="B5" s="113"/>
      <c r="C5" s="113"/>
      <c r="D5" s="114" t="n">
        <f aca="false">[2]Plant!G6</f>
        <v>37256</v>
      </c>
      <c r="E5" s="114" t="n">
        <f aca="false">[2]Plant!H6</f>
        <v>37621</v>
      </c>
      <c r="F5" s="114" t="n">
        <f aca="false">[2]Plant!I6</f>
        <v>37986</v>
      </c>
      <c r="G5" s="114" t="n">
        <f aca="false">[2]Plant!J6</f>
        <v>38352</v>
      </c>
      <c r="H5" s="114" t="n">
        <f aca="false">[2]Plant!K6</f>
        <v>38717</v>
      </c>
      <c r="I5" s="114" t="n">
        <f aca="false">[2]Plant!L6</f>
        <v>39082</v>
      </c>
      <c r="J5" s="114" t="n">
        <f aca="false">[2]Plant!M6</f>
        <v>39447</v>
      </c>
      <c r="K5" s="114" t="n">
        <f aca="false">[2]Plant!N6</f>
        <v>39813</v>
      </c>
      <c r="L5" s="114" t="n">
        <f aca="false">[2]Plant!O6</f>
        <v>40178</v>
      </c>
      <c r="M5" s="114" t="n">
        <f aca="false">[2]Plant!P6</f>
        <v>40543</v>
      </c>
      <c r="N5" s="114" t="n">
        <f aca="false">[2]Plant!Q6</f>
        <v>40908</v>
      </c>
      <c r="O5" s="114" t="n">
        <f aca="false">[2]Plant!R6</f>
        <v>41274</v>
      </c>
      <c r="P5" s="114" t="n">
        <f aca="false">[2]Plant!S6</f>
        <v>41639</v>
      </c>
      <c r="Q5" s="114" t="n">
        <f aca="false">[2]Plant!T6</f>
        <v>42004</v>
      </c>
      <c r="R5" s="114" t="n">
        <f aca="false">[2]Plant!U6</f>
        <v>42369</v>
      </c>
      <c r="S5" s="114" t="n">
        <f aca="false">[2]Plant!V6</f>
        <v>42735</v>
      </c>
      <c r="T5" s="114" t="n">
        <f aca="false">[2]Plant!W6</f>
        <v>43100</v>
      </c>
      <c r="U5" s="114" t="n">
        <f aca="false">[2]Plant!X6</f>
        <v>43465</v>
      </c>
      <c r="V5" s="114" t="n">
        <f aca="false">[2]Plant!Y6</f>
        <v>43830</v>
      </c>
      <c r="W5" s="114" t="n">
        <f aca="false">[2]Plant!Z6</f>
        <v>44196</v>
      </c>
      <c r="X5" s="114" t="n">
        <f aca="false">[2]Plant!AA6</f>
        <v>44561</v>
      </c>
      <c r="Y5" s="114" t="n">
        <f aca="false">[2]Plant!AB6</f>
        <v>44926</v>
      </c>
      <c r="Z5" s="114" t="n">
        <f aca="false">[2]Plant!AC6</f>
        <v>45291</v>
      </c>
      <c r="AA5" s="114" t="n">
        <f aca="false">[2]Plant!AD6</f>
        <v>45657</v>
      </c>
      <c r="AB5" s="114" t="n">
        <f aca="false">[2]Plant!AE6</f>
        <v>46022</v>
      </c>
      <c r="AC5" s="115"/>
    </row>
    <row r="6" customFormat="false" ht="11.25" hidden="false" customHeight="false" outlineLevel="0" collapsed="false">
      <c r="B6" s="116"/>
      <c r="C6" s="117"/>
      <c r="D6" s="118"/>
    </row>
    <row r="7" customFormat="false" ht="11.25" hidden="false" customHeight="false" outlineLevel="0" collapsed="false">
      <c r="A7" s="41" t="s">
        <v>164</v>
      </c>
      <c r="B7" s="117"/>
      <c r="C7" s="117"/>
      <c r="D7" s="119" t="n">
        <f aca="false">[2]Plant!G16</f>
        <v>327832.468946716</v>
      </c>
      <c r="E7" s="119" t="n">
        <f aca="false">[2]Plant!H16</f>
        <v>1049265.67651389</v>
      </c>
      <c r="F7" s="119" t="n">
        <f aca="false">[2]Plant!I16</f>
        <v>1200037.33980577</v>
      </c>
      <c r="G7" s="119" t="n">
        <f aca="false">[2]Plant!J16</f>
        <v>1350809.00309766</v>
      </c>
      <c r="H7" s="119" t="n">
        <f aca="false">[2]Plant!K16</f>
        <v>1501580.66638955</v>
      </c>
      <c r="I7" s="119" t="n">
        <f aca="false">[2]Plant!L16</f>
        <v>1614700.84385753</v>
      </c>
      <c r="J7" s="119" t="n">
        <f aca="false">[2]Plant!M16</f>
        <v>1727821.02132552</v>
      </c>
      <c r="K7" s="119" t="n">
        <f aca="false">[2]Plant!N16</f>
        <v>1840941.19879351</v>
      </c>
      <c r="L7" s="119" t="n">
        <f aca="false">[2]Plant!O16</f>
        <v>1954061.3762615</v>
      </c>
      <c r="M7" s="119" t="n">
        <f aca="false">[2]Plant!P16</f>
        <v>2067181.55372948</v>
      </c>
      <c r="N7" s="119" t="n">
        <f aca="false">[2]Plant!Q16</f>
        <v>2163865.05156538</v>
      </c>
      <c r="O7" s="119" t="n">
        <f aca="false">[2]Plant!R16</f>
        <v>2260548.54940128</v>
      </c>
      <c r="P7" s="119" t="n">
        <f aca="false">[2]Plant!S16</f>
        <v>2357232.04723717</v>
      </c>
      <c r="Q7" s="119" t="n">
        <f aca="false">[2]Plant!T16</f>
        <v>2453915.54507307</v>
      </c>
      <c r="R7" s="119" t="n">
        <f aca="false">[2]Plant!U16</f>
        <v>2550599.04290897</v>
      </c>
      <c r="S7" s="119" t="n">
        <f aca="false">[2]Plant!V16</f>
        <v>2647282.54074486</v>
      </c>
      <c r="T7" s="119" t="n">
        <f aca="false">[2]Plant!W16</f>
        <v>2743966.03858076</v>
      </c>
      <c r="U7" s="119" t="n">
        <f aca="false">[2]Plant!X16</f>
        <v>2743966.03858076</v>
      </c>
      <c r="V7" s="119" t="n">
        <f aca="false">[2]Plant!Y16</f>
        <v>2743966.03858076</v>
      </c>
      <c r="W7" s="119" t="n">
        <f aca="false">[2]Plant!Z16</f>
        <v>2743966.03858076</v>
      </c>
      <c r="X7" s="119" t="n">
        <f aca="false">[2]Plant!AA16</f>
        <v>2743966.03858076</v>
      </c>
      <c r="Y7" s="119" t="n">
        <f aca="false">[2]Plant!AB16</f>
        <v>2743966.03858076</v>
      </c>
      <c r="Z7" s="119" t="n">
        <f aca="false">[2]Plant!AC16</f>
        <v>2743966.03858076</v>
      </c>
      <c r="AA7" s="119" t="n">
        <f aca="false">[2]Plant!AD16</f>
        <v>2743966.03858076</v>
      </c>
      <c r="AB7" s="119" t="n">
        <f aca="false">[2]Plant!AE16</f>
        <v>2743966.03858076</v>
      </c>
    </row>
    <row r="8" customFormat="false" ht="11.25" hidden="false" customHeight="false" outlineLevel="0" collapsed="false">
      <c r="B8" s="116"/>
      <c r="C8" s="117"/>
      <c r="D8" s="118"/>
    </row>
    <row r="9" customFormat="false" ht="11.25" hidden="false" customHeight="false" outlineLevel="0" collapsed="false">
      <c r="B9" s="116"/>
      <c r="C9" s="117"/>
      <c r="D9" s="118"/>
    </row>
    <row r="10" customFormat="false" ht="11.25" hidden="false" customHeight="false" outlineLevel="0" collapsed="false">
      <c r="A10" s="41" t="s">
        <v>165</v>
      </c>
      <c r="C10" s="120" t="n">
        <v>0.72</v>
      </c>
      <c r="D10" s="107" t="s">
        <v>166</v>
      </c>
    </row>
    <row r="11" customFormat="false" ht="11.25" hidden="false" customHeight="false" outlineLevel="0" collapsed="false">
      <c r="B11" s="107" t="s">
        <v>167</v>
      </c>
      <c r="D11" s="121" t="n">
        <f aca="false">($C$10*1000*D7)/1000</f>
        <v>236039.377641635</v>
      </c>
      <c r="E11" s="121" t="n">
        <f aca="false">($C$10*1000*E7)/1000</f>
        <v>755471.287089997</v>
      </c>
      <c r="F11" s="121" t="n">
        <f aca="false">($C$10*1000*F7)/1000</f>
        <v>864026.884660156</v>
      </c>
      <c r="G11" s="121" t="n">
        <f aca="false">($C$10*1000*G7)/1000</f>
        <v>972582.482230314</v>
      </c>
      <c r="H11" s="121" t="n">
        <f aca="false">($C$10*1000*H7)/1000</f>
        <v>1081138.07980047</v>
      </c>
      <c r="I11" s="121" t="n">
        <f aca="false">($C$10*1000*I7)/1000</f>
        <v>1162584.60757742</v>
      </c>
      <c r="J11" s="121" t="n">
        <f aca="false">($C$10*1000*J7)/1000</f>
        <v>1244031.13535438</v>
      </c>
      <c r="K11" s="121" t="n">
        <f aca="false">($C$10*1000*K7)/1000</f>
        <v>1325477.66313133</v>
      </c>
      <c r="L11" s="121" t="n">
        <f aca="false">($C$10*1000*L7)/1000</f>
        <v>1406924.19090828</v>
      </c>
      <c r="M11" s="121" t="n">
        <f aca="false">($C$10*1000*M7)/1000</f>
        <v>1488370.71868523</v>
      </c>
      <c r="N11" s="121" t="n">
        <f aca="false">($C$10*1000*N7)/1000</f>
        <v>1557982.83712707</v>
      </c>
      <c r="O11" s="121" t="n">
        <f aca="false">($C$10*1000*O7)/1000</f>
        <v>1627594.95556892</v>
      </c>
      <c r="P11" s="121" t="n">
        <f aca="false">($C$10*1000*P7)/1000</f>
        <v>1697207.07401077</v>
      </c>
      <c r="Q11" s="121" t="n">
        <f aca="false">($C$10*1000*Q7)/1000</f>
        <v>1766819.19245261</v>
      </c>
      <c r="R11" s="121" t="n">
        <f aca="false">($C$10*1000*R7)/1000</f>
        <v>1836431.31089446</v>
      </c>
      <c r="S11" s="121" t="n">
        <f aca="false">($C$10*1000*S7)/1000</f>
        <v>1906043.4293363</v>
      </c>
      <c r="T11" s="121" t="n">
        <f aca="false">($C$10*1000*T7)/1000</f>
        <v>1975655.54777815</v>
      </c>
      <c r="U11" s="121" t="n">
        <f aca="false">($C$10*1000*U7)/1000</f>
        <v>1975655.54777815</v>
      </c>
      <c r="V11" s="121" t="n">
        <f aca="false">($C$10*1000*V7)/1000</f>
        <v>1975655.54777815</v>
      </c>
      <c r="W11" s="121" t="n">
        <f aca="false">($C$10*1000*W7)/1000</f>
        <v>1975655.54777815</v>
      </c>
      <c r="X11" s="121" t="n">
        <f aca="false">($C$10*1000*X7)/1000</f>
        <v>1975655.54777815</v>
      </c>
      <c r="Y11" s="121" t="n">
        <f aca="false">($C$10*1000*Y7)/1000</f>
        <v>1975655.54777815</v>
      </c>
      <c r="Z11" s="121" t="n">
        <f aca="false">($C$10*1000*Z7)/1000</f>
        <v>1975655.54777815</v>
      </c>
      <c r="AA11" s="121" t="n">
        <f aca="false">($C$10*1000*AA7)/1000</f>
        <v>1975655.54777815</v>
      </c>
      <c r="AB11" s="121" t="n">
        <f aca="false">($C$10*1000*AB7)/1000</f>
        <v>1975655.54777815</v>
      </c>
    </row>
    <row r="12" customFormat="false" ht="11.25" hidden="false" customHeight="false" outlineLevel="0" collapsed="false">
      <c r="B12" s="107" t="s">
        <v>168</v>
      </c>
      <c r="D12" s="122" t="n">
        <v>1</v>
      </c>
      <c r="E12" s="123" t="n">
        <f aca="false">D12*(1+$C$13)</f>
        <v>1.025</v>
      </c>
      <c r="F12" s="123" t="n">
        <f aca="false">E12*(1+$C$13)</f>
        <v>1.050625</v>
      </c>
      <c r="G12" s="123" t="n">
        <f aca="false">F12*(1+$C$13)</f>
        <v>1.076890625</v>
      </c>
      <c r="H12" s="123" t="n">
        <f aca="false">G12*(1+$C$13)</f>
        <v>1.103812890625</v>
      </c>
      <c r="I12" s="123" t="n">
        <f aca="false">H12*(1+$C$13)</f>
        <v>1.13140821289062</v>
      </c>
      <c r="J12" s="123" t="n">
        <f aca="false">I12*(1+$C$13)</f>
        <v>1.15969341821289</v>
      </c>
      <c r="K12" s="123" t="n">
        <f aca="false">J12*(1+$C$13)</f>
        <v>1.18868575366821</v>
      </c>
      <c r="L12" s="123" t="n">
        <f aca="false">K12*(1+$C$13)</f>
        <v>1.21840289750992</v>
      </c>
      <c r="M12" s="123" t="n">
        <f aca="false">L12*(1+$C$13)</f>
        <v>1.24886296994767</v>
      </c>
      <c r="N12" s="123" t="n">
        <f aca="false">M12*(1+$C$13)</f>
        <v>1.28008454419636</v>
      </c>
      <c r="O12" s="123" t="n">
        <f aca="false">N12*(1+$C$13)</f>
        <v>1.31208665780127</v>
      </c>
      <c r="P12" s="123" t="n">
        <f aca="false">O12*(1+$C$13)</f>
        <v>1.3448888242463</v>
      </c>
      <c r="Q12" s="123" t="n">
        <f aca="false">P12*(1+$C$13)</f>
        <v>1.37851104485245</v>
      </c>
      <c r="R12" s="123" t="n">
        <f aca="false">Q12*(1+$C$13)</f>
        <v>1.41297382097377</v>
      </c>
      <c r="S12" s="123" t="n">
        <f aca="false">R12*(1+$C$13)</f>
        <v>1.44829816649811</v>
      </c>
      <c r="T12" s="123" t="n">
        <f aca="false">S12*(1+$C$13)</f>
        <v>1.48450562066056</v>
      </c>
      <c r="U12" s="123" t="n">
        <f aca="false">T12*(1+$C$13)</f>
        <v>1.52161826117708</v>
      </c>
      <c r="V12" s="123" t="n">
        <f aca="false">U12*(1+$C$13)</f>
        <v>1.5596587177065</v>
      </c>
      <c r="W12" s="123" t="n">
        <f aca="false">V12*(1+$C$13)</f>
        <v>1.59865018564917</v>
      </c>
      <c r="X12" s="123" t="n">
        <f aca="false">W12*(1+$C$13)</f>
        <v>1.63861644029039</v>
      </c>
      <c r="Y12" s="123" t="n">
        <f aca="false">X12*(1+$C$13)</f>
        <v>1.67958185129765</v>
      </c>
      <c r="Z12" s="123" t="n">
        <f aca="false">Y12*(1+$C$13)</f>
        <v>1.7215713975801</v>
      </c>
      <c r="AA12" s="123" t="n">
        <f aca="false">Z12*(1+$C$13)</f>
        <v>1.7646106825196</v>
      </c>
      <c r="AB12" s="123" t="n">
        <f aca="false">AA12*(1+$C$13)</f>
        <v>1.80872594958259</v>
      </c>
    </row>
    <row r="13" customFormat="false" ht="11.25" hidden="false" customHeight="false" outlineLevel="0" collapsed="false">
      <c r="B13" s="107" t="s">
        <v>169</v>
      </c>
      <c r="C13" s="124" t="n">
        <f aca="false">[2]Drivers!B35</f>
        <v>0.025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</row>
    <row r="14" customFormat="false" ht="11.25" hidden="false" customHeight="false" outlineLevel="0" collapsed="false">
      <c r="B14" s="107" t="s">
        <v>170</v>
      </c>
      <c r="C14" s="126"/>
      <c r="D14" s="125" t="n">
        <f aca="false">D11*D12</f>
        <v>236039.377641635</v>
      </c>
      <c r="E14" s="125" t="n">
        <f aca="false">E11*E12</f>
        <v>774358.069267247</v>
      </c>
      <c r="F14" s="125" t="n">
        <f aca="false">F11*F12</f>
        <v>907768.245696076</v>
      </c>
      <c r="G14" s="125" t="n">
        <f aca="false">G11*G12</f>
        <v>1047364.95715305</v>
      </c>
      <c r="H14" s="125" t="n">
        <f aca="false">H11*H12</f>
        <v>1193374.14902932</v>
      </c>
      <c r="I14" s="125" t="n">
        <f aca="false">I11*I12</f>
        <v>1315357.77319332</v>
      </c>
      <c r="J14" s="125" t="n">
        <f aca="false">J11*J12</f>
        <v>1442694.71972238</v>
      </c>
      <c r="K14" s="125" t="n">
        <f aca="false">K11*K12</f>
        <v>1575576.41496964</v>
      </c>
      <c r="L14" s="125" t="n">
        <f aca="false">L11*L12</f>
        <v>1714200.51077944</v>
      </c>
      <c r="M14" s="125" t="n">
        <f aca="false">M11*M12</f>
        <v>1858771.07612038</v>
      </c>
      <c r="N14" s="125" t="n">
        <f aca="false">N11*N12</f>
        <v>1994349.74992956</v>
      </c>
      <c r="O14" s="125" t="n">
        <f aca="false">O11*O12</f>
        <v>2135545.62550662</v>
      </c>
      <c r="P14" s="125" t="n">
        <f aca="false">P11*P12</f>
        <v>2282554.82626884</v>
      </c>
      <c r="Q14" s="125" t="n">
        <f aca="false">Q11*Q12</f>
        <v>2435579.77105322</v>
      </c>
      <c r="R14" s="125" t="n">
        <f aca="false">R11*R12</f>
        <v>2594829.3663104</v>
      </c>
      <c r="S14" s="125" t="n">
        <f aca="false">S11*S12</f>
        <v>2760519.20397353</v>
      </c>
      <c r="T14" s="125" t="n">
        <f aca="false">T11*T12</f>
        <v>2932871.76516588</v>
      </c>
      <c r="U14" s="125" t="n">
        <f aca="false">U11*U12</f>
        <v>3006193.55929503</v>
      </c>
      <c r="V14" s="125" t="n">
        <f aca="false">V11*V12</f>
        <v>3081348.3982774</v>
      </c>
      <c r="W14" s="125" t="n">
        <f aca="false">W11*W12</f>
        <v>3158382.10823434</v>
      </c>
      <c r="X14" s="125" t="n">
        <f aca="false">X11*X12</f>
        <v>3237341.6609402</v>
      </c>
      <c r="Y14" s="125" t="n">
        <f aca="false">Y11*Y12</f>
        <v>3318275.2024637</v>
      </c>
      <c r="Z14" s="125" t="n">
        <f aca="false">Z11*Z12</f>
        <v>3401232.08252529</v>
      </c>
      <c r="AA14" s="125" t="n">
        <f aca="false">AA11*AA12</f>
        <v>3486262.88458842</v>
      </c>
      <c r="AB14" s="125" t="n">
        <f aca="false">AB11*AB12</f>
        <v>3573419.45670313</v>
      </c>
    </row>
    <row r="15" customFormat="false" ht="11.25" hidden="false" customHeight="false" outlineLevel="0" collapsed="false">
      <c r="D15" s="121"/>
    </row>
    <row r="16" customFormat="false" ht="11.25" hidden="false" customHeight="false" outlineLevel="0" collapsed="false">
      <c r="A16" s="41" t="s">
        <v>171</v>
      </c>
      <c r="C16" s="127" t="n">
        <v>0.06</v>
      </c>
      <c r="D16" s="107" t="s">
        <v>166</v>
      </c>
    </row>
    <row r="17" customFormat="false" ht="11.25" hidden="false" customHeight="false" outlineLevel="0" collapsed="false">
      <c r="B17" s="107" t="s">
        <v>167</v>
      </c>
      <c r="D17" s="121" t="n">
        <f aca="false">($C$16*1000*D7)/1000</f>
        <v>19669.948136803</v>
      </c>
      <c r="E17" s="121" t="n">
        <f aca="false">($C$16*1000*E7)/1000</f>
        <v>62955.9405908331</v>
      </c>
      <c r="F17" s="121" t="n">
        <f aca="false">($C$16*1000*F7)/1000</f>
        <v>72002.2403883463</v>
      </c>
      <c r="G17" s="121" t="n">
        <f aca="false">($C$16*1000*G7)/1000</f>
        <v>81048.5401858595</v>
      </c>
      <c r="H17" s="121" t="n">
        <f aca="false">($C$16*1000*H7)/1000</f>
        <v>90094.8399833727</v>
      </c>
      <c r="I17" s="121" t="n">
        <f aca="false">($C$16*1000*I7)/1000</f>
        <v>96882.050631452</v>
      </c>
      <c r="J17" s="121" t="n">
        <f aca="false">($C$16*1000*J7)/1000</f>
        <v>103669.261279531</v>
      </c>
      <c r="K17" s="121" t="n">
        <f aca="false">($C$16*1000*K7)/1000</f>
        <v>110456.471927611</v>
      </c>
      <c r="L17" s="121" t="n">
        <f aca="false">($C$16*1000*L7)/1000</f>
        <v>117243.68257569</v>
      </c>
      <c r="M17" s="121" t="n">
        <f aca="false">($C$16*1000*M7)/1000</f>
        <v>124030.893223769</v>
      </c>
      <c r="N17" s="121" t="n">
        <f aca="false">($C$16*1000*N7)/1000</f>
        <v>129831.903093923</v>
      </c>
      <c r="O17" s="121" t="n">
        <f aca="false">($C$16*1000*O7)/1000</f>
        <v>135632.912964077</v>
      </c>
      <c r="P17" s="121" t="n">
        <f aca="false">($C$16*1000*P7)/1000</f>
        <v>141433.92283423</v>
      </c>
      <c r="Q17" s="121" t="n">
        <f aca="false">($C$16*1000*Q7)/1000</f>
        <v>147234.932704384</v>
      </c>
      <c r="R17" s="121" t="n">
        <f aca="false">($C$16*1000*R7)/1000</f>
        <v>153035.942574538</v>
      </c>
      <c r="S17" s="121" t="n">
        <f aca="false">($C$16*1000*S7)/1000</f>
        <v>158836.952444692</v>
      </c>
      <c r="T17" s="121" t="n">
        <f aca="false">($C$16*1000*T7)/1000</f>
        <v>164637.962314846</v>
      </c>
      <c r="U17" s="121" t="n">
        <f aca="false">($C$16*1000*U7)/1000</f>
        <v>164637.962314846</v>
      </c>
      <c r="V17" s="121" t="n">
        <f aca="false">($C$16*1000*V7)/1000</f>
        <v>164637.962314846</v>
      </c>
      <c r="W17" s="121" t="n">
        <f aca="false">($C$16*1000*W7)/1000</f>
        <v>164637.962314846</v>
      </c>
      <c r="X17" s="121" t="n">
        <f aca="false">($C$16*1000*X7)/1000</f>
        <v>164637.962314846</v>
      </c>
      <c r="Y17" s="121" t="n">
        <f aca="false">($C$16*1000*Y7)/1000</f>
        <v>164637.962314846</v>
      </c>
      <c r="Z17" s="121" t="n">
        <f aca="false">($C$16*1000*Z7)/1000</f>
        <v>164637.962314846</v>
      </c>
      <c r="AA17" s="121" t="n">
        <f aca="false">($C$16*1000*AA7)/1000</f>
        <v>164637.962314846</v>
      </c>
      <c r="AB17" s="121" t="n">
        <f aca="false">($C$16*1000*AB7)/1000</f>
        <v>164637.962314846</v>
      </c>
    </row>
    <row r="18" customFormat="false" ht="11.25" hidden="false" customHeight="false" outlineLevel="0" collapsed="false">
      <c r="B18" s="107" t="s">
        <v>168</v>
      </c>
      <c r="D18" s="122" t="n">
        <v>1</v>
      </c>
      <c r="E18" s="123" t="n">
        <f aca="false">D18*(1+$C$19)</f>
        <v>1.025</v>
      </c>
      <c r="F18" s="123" t="n">
        <f aca="false">E18*(1+$C$19)</f>
        <v>1.050625</v>
      </c>
      <c r="G18" s="123" t="n">
        <f aca="false">F18*(1+$C$19)</f>
        <v>1.076890625</v>
      </c>
      <c r="H18" s="123" t="n">
        <f aca="false">G18*(1+$C$19)</f>
        <v>1.103812890625</v>
      </c>
      <c r="I18" s="123" t="n">
        <f aca="false">H18*(1+$C$19)</f>
        <v>1.13140821289062</v>
      </c>
      <c r="J18" s="123" t="n">
        <f aca="false">I18*(1+$C$19)</f>
        <v>1.15969341821289</v>
      </c>
      <c r="K18" s="123" t="n">
        <f aca="false">J18*(1+$C$19)</f>
        <v>1.18868575366821</v>
      </c>
      <c r="L18" s="123" t="n">
        <f aca="false">K18*(1+$C$19)</f>
        <v>1.21840289750992</v>
      </c>
      <c r="M18" s="123" t="n">
        <f aca="false">L18*(1+$C$19)</f>
        <v>1.24886296994767</v>
      </c>
      <c r="N18" s="123" t="n">
        <f aca="false">M18*(1+$C$19)</f>
        <v>1.28008454419636</v>
      </c>
      <c r="O18" s="123" t="n">
        <f aca="false">N18*(1+$C$19)</f>
        <v>1.31208665780127</v>
      </c>
      <c r="P18" s="123" t="n">
        <f aca="false">O18*(1+$C$19)</f>
        <v>1.3448888242463</v>
      </c>
      <c r="Q18" s="123" t="n">
        <f aca="false">P18*(1+$C$19)</f>
        <v>1.37851104485245</v>
      </c>
      <c r="R18" s="123" t="n">
        <f aca="false">Q18*(1+$C$19)</f>
        <v>1.41297382097377</v>
      </c>
      <c r="S18" s="123" t="n">
        <f aca="false">R18*(1+$C$19)</f>
        <v>1.44829816649811</v>
      </c>
      <c r="T18" s="123" t="n">
        <f aca="false">S18*(1+$C$19)</f>
        <v>1.48450562066056</v>
      </c>
      <c r="U18" s="123" t="n">
        <f aca="false">T18*(1+$C$19)</f>
        <v>1.52161826117708</v>
      </c>
      <c r="V18" s="123" t="n">
        <f aca="false">U18*(1+$C$19)</f>
        <v>1.5596587177065</v>
      </c>
      <c r="W18" s="123" t="n">
        <f aca="false">V18*(1+$C$19)</f>
        <v>1.59865018564917</v>
      </c>
      <c r="X18" s="123" t="n">
        <f aca="false">W18*(1+$C$19)</f>
        <v>1.63861644029039</v>
      </c>
      <c r="Y18" s="123" t="n">
        <f aca="false">X18*(1+$C$19)</f>
        <v>1.67958185129765</v>
      </c>
      <c r="Z18" s="123" t="n">
        <f aca="false">Y18*(1+$C$19)</f>
        <v>1.7215713975801</v>
      </c>
      <c r="AA18" s="123" t="n">
        <f aca="false">Z18*(1+$C$19)</f>
        <v>1.7646106825196</v>
      </c>
      <c r="AB18" s="123" t="n">
        <f aca="false">AA18*(1+$C$19)</f>
        <v>1.80872594958259</v>
      </c>
    </row>
    <row r="19" customFormat="false" ht="11.25" hidden="false" customHeight="false" outlineLevel="0" collapsed="false">
      <c r="B19" s="107" t="s">
        <v>169</v>
      </c>
      <c r="C19" s="124" t="n">
        <f aca="false">C13</f>
        <v>0.025</v>
      </c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</row>
    <row r="20" customFormat="false" ht="11.25" hidden="false" customHeight="false" outlineLevel="0" collapsed="false">
      <c r="B20" s="107" t="s">
        <v>172</v>
      </c>
      <c r="C20" s="126"/>
      <c r="D20" s="125" t="n">
        <f aca="false">D17*D18</f>
        <v>19669.948136803</v>
      </c>
      <c r="E20" s="125" t="n">
        <f aca="false">E17*E18</f>
        <v>64529.8391056039</v>
      </c>
      <c r="F20" s="125" t="n">
        <f aca="false">F17*F18</f>
        <v>75647.3538080063</v>
      </c>
      <c r="G20" s="125" t="n">
        <f aca="false">G17*G18</f>
        <v>87280.4130960879</v>
      </c>
      <c r="H20" s="125" t="n">
        <f aca="false">H17*H18</f>
        <v>99447.8457524435</v>
      </c>
      <c r="I20" s="125" t="n">
        <f aca="false">I17*I18</f>
        <v>109613.14776611</v>
      </c>
      <c r="J20" s="125" t="n">
        <f aca="false">J17*J18</f>
        <v>120224.559976865</v>
      </c>
      <c r="K20" s="125" t="n">
        <f aca="false">K17*K18</f>
        <v>131298.034580803</v>
      </c>
      <c r="L20" s="125" t="n">
        <f aca="false">L17*L18</f>
        <v>142850.042564953</v>
      </c>
      <c r="M20" s="125" t="n">
        <f aca="false">M17*M18</f>
        <v>154897.589676698</v>
      </c>
      <c r="N20" s="125" t="n">
        <f aca="false">N17*N18</f>
        <v>166195.81249413</v>
      </c>
      <c r="O20" s="125" t="n">
        <f aca="false">O17*O18</f>
        <v>177962.135458885</v>
      </c>
      <c r="P20" s="125" t="n">
        <f aca="false">P17*P18</f>
        <v>190212.90218907</v>
      </c>
      <c r="Q20" s="125" t="n">
        <f aca="false">Q17*Q18</f>
        <v>202964.980921101</v>
      </c>
      <c r="R20" s="125" t="n">
        <f aca="false">R17*R18</f>
        <v>216235.780525867</v>
      </c>
      <c r="S20" s="125" t="n">
        <f aca="false">S17*S18</f>
        <v>230043.266997794</v>
      </c>
      <c r="T20" s="125" t="n">
        <f aca="false">T17*T18</f>
        <v>244405.98043049</v>
      </c>
      <c r="U20" s="125" t="n">
        <f aca="false">U17*U18</f>
        <v>250516.129941252</v>
      </c>
      <c r="V20" s="125" t="n">
        <f aca="false">V17*V18</f>
        <v>256779.033189784</v>
      </c>
      <c r="W20" s="125" t="n">
        <f aca="false">W17*W18</f>
        <v>263198.509019528</v>
      </c>
      <c r="X20" s="125" t="n">
        <f aca="false">X17*X18</f>
        <v>269778.471745016</v>
      </c>
      <c r="Y20" s="125" t="n">
        <f aca="false">Y17*Y18</f>
        <v>276522.933538642</v>
      </c>
      <c r="Z20" s="125" t="n">
        <f aca="false">Z17*Z18</f>
        <v>283436.006877108</v>
      </c>
      <c r="AA20" s="125" t="n">
        <f aca="false">AA17*AA18</f>
        <v>290521.907049035</v>
      </c>
      <c r="AB20" s="125" t="n">
        <f aca="false">AB17*AB18</f>
        <v>297784.954725261</v>
      </c>
    </row>
    <row r="21" customFormat="false" ht="11.25" hidden="false" customHeight="false" outlineLevel="0" collapsed="false">
      <c r="C21" s="118"/>
    </row>
    <row r="22" customFormat="false" ht="11.25" hidden="false" customHeight="false" outlineLevel="0" collapsed="false">
      <c r="A22" s="41" t="s">
        <v>173</v>
      </c>
      <c r="C22" s="120" t="n">
        <v>0.09</v>
      </c>
      <c r="D22" s="107" t="s">
        <v>166</v>
      </c>
    </row>
    <row r="23" customFormat="false" ht="11.25" hidden="false" customHeight="false" outlineLevel="0" collapsed="false">
      <c r="B23" s="107" t="s">
        <v>167</v>
      </c>
      <c r="D23" s="121" t="n">
        <f aca="false">($C$22*1000*D7)/1000</f>
        <v>29504.9222052044</v>
      </c>
      <c r="E23" s="121" t="n">
        <f aca="false">($C$22*1000*E7)/1000</f>
        <v>94433.9108862497</v>
      </c>
      <c r="F23" s="121" t="n">
        <f aca="false">($C$22*1000*F7)/1000</f>
        <v>108003.360582519</v>
      </c>
      <c r="G23" s="121" t="n">
        <f aca="false">($C$22*1000*G7)/1000</f>
        <v>121572.810278789</v>
      </c>
      <c r="H23" s="121" t="n">
        <f aca="false">($C$22*1000*H7)/1000</f>
        <v>135142.259975059</v>
      </c>
      <c r="I23" s="121" t="n">
        <f aca="false">($C$22*1000*I7)/1000</f>
        <v>145323.075947178</v>
      </c>
      <c r="J23" s="121" t="n">
        <f aca="false">($C$22*1000*J7)/1000</f>
        <v>155503.891919297</v>
      </c>
      <c r="K23" s="121" t="n">
        <f aca="false">($C$22*1000*K7)/1000</f>
        <v>165684.707891416</v>
      </c>
      <c r="L23" s="121" t="n">
        <f aca="false">($C$22*1000*L7)/1000</f>
        <v>175865.523863535</v>
      </c>
      <c r="M23" s="121" t="n">
        <f aca="false">($C$22*1000*M7)/1000</f>
        <v>186046.339835654</v>
      </c>
      <c r="N23" s="121" t="n">
        <f aca="false">($C$22*1000*N7)/1000</f>
        <v>194747.854640884</v>
      </c>
      <c r="O23" s="121" t="n">
        <f aca="false">($C$22*1000*O7)/1000</f>
        <v>203449.369446115</v>
      </c>
      <c r="P23" s="121" t="n">
        <f aca="false">($C$22*1000*P7)/1000</f>
        <v>212150.884251346</v>
      </c>
      <c r="Q23" s="121" t="n">
        <f aca="false">($C$22*1000*Q7)/1000</f>
        <v>220852.399056576</v>
      </c>
      <c r="R23" s="121" t="n">
        <f aca="false">($C$22*1000*R7)/1000</f>
        <v>229553.913861807</v>
      </c>
      <c r="S23" s="121" t="n">
        <f aca="false">($C$22*1000*S7)/1000</f>
        <v>238255.428667038</v>
      </c>
      <c r="T23" s="121" t="n">
        <f aca="false">($C$22*1000*T7)/1000</f>
        <v>246956.943472268</v>
      </c>
      <c r="U23" s="121" t="n">
        <f aca="false">($C$22*1000*U7)/1000</f>
        <v>246956.943472268</v>
      </c>
      <c r="V23" s="121" t="n">
        <f aca="false">($C$22*1000*V7)/1000</f>
        <v>246956.943472268</v>
      </c>
      <c r="W23" s="121" t="n">
        <f aca="false">($C$22*1000*W7)/1000</f>
        <v>246956.943472268</v>
      </c>
      <c r="X23" s="121" t="n">
        <f aca="false">($C$22*1000*X7)/1000</f>
        <v>246956.943472268</v>
      </c>
      <c r="Y23" s="121" t="n">
        <f aca="false">($C$22*1000*Y7)/1000</f>
        <v>246956.943472268</v>
      </c>
      <c r="Z23" s="121" t="n">
        <f aca="false">($C$22*1000*Z7)/1000</f>
        <v>246956.943472268</v>
      </c>
      <c r="AA23" s="121" t="n">
        <f aca="false">($C$22*1000*AA7)/1000</f>
        <v>246956.943472268</v>
      </c>
      <c r="AB23" s="121" t="n">
        <f aca="false">($C$22*1000*AB7)/1000</f>
        <v>246956.943472268</v>
      </c>
    </row>
    <row r="24" customFormat="false" ht="11.25" hidden="false" customHeight="false" outlineLevel="0" collapsed="false">
      <c r="B24" s="107" t="s">
        <v>168</v>
      </c>
      <c r="D24" s="122" t="n">
        <v>0.5</v>
      </c>
      <c r="E24" s="123" t="n">
        <f aca="false">D24*(1+$C$25)</f>
        <v>0.5125</v>
      </c>
      <c r="F24" s="123" t="n">
        <f aca="false">E24*(1+$C$25)</f>
        <v>0.5253125</v>
      </c>
      <c r="G24" s="123" t="n">
        <f aca="false">F24*(1+$C$25)</f>
        <v>0.5384453125</v>
      </c>
      <c r="H24" s="123" t="n">
        <f aca="false">G24*(1+$C$25)</f>
        <v>0.5519064453125</v>
      </c>
      <c r="I24" s="123" t="n">
        <f aca="false">H24*(1+$C$25)</f>
        <v>0.565704106445312</v>
      </c>
      <c r="J24" s="123" t="n">
        <f aca="false">I24*(1+$C$25)</f>
        <v>0.579846709106445</v>
      </c>
      <c r="K24" s="123" t="n">
        <f aca="false">J24*(1+$C$25)</f>
        <v>0.594342876834106</v>
      </c>
      <c r="L24" s="123" t="n">
        <f aca="false">K24*(1+$C$25)</f>
        <v>0.609201448754959</v>
      </c>
      <c r="M24" s="123" t="n">
        <f aca="false">L24*(1+$C$25)</f>
        <v>0.624431484973833</v>
      </c>
      <c r="N24" s="123" t="n">
        <f aca="false">M24*(1+$C$25)</f>
        <v>0.640042272098178</v>
      </c>
      <c r="O24" s="123" t="n">
        <f aca="false">N24*(1+$C$25)</f>
        <v>0.656043328900633</v>
      </c>
      <c r="P24" s="123" t="n">
        <f aca="false">O24*(1+$C$25)</f>
        <v>0.672444412123149</v>
      </c>
      <c r="Q24" s="123" t="n">
        <f aca="false">P24*(1+$C$25)</f>
        <v>0.689255522426227</v>
      </c>
      <c r="R24" s="123" t="n">
        <f aca="false">Q24*(1+$C$25)</f>
        <v>0.706486910486883</v>
      </c>
      <c r="S24" s="123" t="n">
        <f aca="false">R24*(1+$C$25)</f>
        <v>0.724149083249055</v>
      </c>
      <c r="T24" s="123" t="n">
        <f aca="false">S24*(1+$C$25)</f>
        <v>0.742252810330281</v>
      </c>
      <c r="U24" s="123" t="n">
        <f aca="false">T24*(1+$C$25)</f>
        <v>0.760809130588538</v>
      </c>
      <c r="V24" s="123" t="n">
        <f aca="false">U24*(1+$C$25)</f>
        <v>0.779829358853251</v>
      </c>
      <c r="W24" s="123" t="n">
        <f aca="false">V24*(1+$C$25)</f>
        <v>0.799325092824583</v>
      </c>
      <c r="X24" s="123" t="n">
        <f aca="false">W24*(1+$C$25)</f>
        <v>0.819308220145197</v>
      </c>
      <c r="Y24" s="123" t="n">
        <f aca="false">X24*(1+$C$25)</f>
        <v>0.839790925648827</v>
      </c>
      <c r="Z24" s="123" t="n">
        <f aca="false">Y24*(1+$C$25)</f>
        <v>0.860785698790048</v>
      </c>
      <c r="AA24" s="123" t="n">
        <f aca="false">Z24*(1+$C$25)</f>
        <v>0.882305341259799</v>
      </c>
      <c r="AB24" s="123" t="n">
        <f aca="false">AA24*(1+$C$25)</f>
        <v>0.904362974791294</v>
      </c>
    </row>
    <row r="25" customFormat="false" ht="11.25" hidden="false" customHeight="false" outlineLevel="0" collapsed="false">
      <c r="B25" s="107" t="s">
        <v>169</v>
      </c>
      <c r="C25" s="124" t="n">
        <f aca="false">C19</f>
        <v>0.025</v>
      </c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</row>
    <row r="26" customFormat="false" ht="11.25" hidden="false" customHeight="false" outlineLevel="0" collapsed="false">
      <c r="B26" s="107" t="s">
        <v>174</v>
      </c>
      <c r="C26" s="126"/>
      <c r="D26" s="125" t="n">
        <f aca="false">D23*D24</f>
        <v>14752.4611026022</v>
      </c>
      <c r="E26" s="125" t="n">
        <f aca="false">E23*E24</f>
        <v>48397.3793292029</v>
      </c>
      <c r="F26" s="125" t="n">
        <f aca="false">F23*F24</f>
        <v>56735.5153560048</v>
      </c>
      <c r="G26" s="125" t="n">
        <f aca="false">G23*G24</f>
        <v>65460.3098220659</v>
      </c>
      <c r="H26" s="125" t="n">
        <f aca="false">H23*H24</f>
        <v>74585.8843143326</v>
      </c>
      <c r="I26" s="125" t="n">
        <f aca="false">I23*I24</f>
        <v>82209.8608245826</v>
      </c>
      <c r="J26" s="125" t="n">
        <f aca="false">J23*J24</f>
        <v>90168.4199826486</v>
      </c>
      <c r="K26" s="125" t="n">
        <f aca="false">K23*K24</f>
        <v>98473.5259356026</v>
      </c>
      <c r="L26" s="125" t="n">
        <f aca="false">L23*L24</f>
        <v>107137.531923715</v>
      </c>
      <c r="M26" s="125" t="n">
        <f aca="false">M23*M24</f>
        <v>116173.192257524</v>
      </c>
      <c r="N26" s="125" t="n">
        <f aca="false">N23*N24</f>
        <v>124646.859370597</v>
      </c>
      <c r="O26" s="125" t="n">
        <f aca="false">O23*O24</f>
        <v>133471.601594164</v>
      </c>
      <c r="P26" s="125" t="n">
        <f aca="false">P23*P24</f>
        <v>142659.676641802</v>
      </c>
      <c r="Q26" s="125" t="n">
        <f aca="false">Q23*Q24</f>
        <v>152223.735690826</v>
      </c>
      <c r="R26" s="125" t="n">
        <f aca="false">R23*R24</f>
        <v>162176.8353944</v>
      </c>
      <c r="S26" s="125" t="n">
        <f aca="false">S23*S24</f>
        <v>172532.450248346</v>
      </c>
      <c r="T26" s="125" t="n">
        <f aca="false">T23*T24</f>
        <v>183304.485322868</v>
      </c>
      <c r="U26" s="125" t="n">
        <f aca="false">U23*U24</f>
        <v>187887.097455939</v>
      </c>
      <c r="V26" s="125" t="n">
        <f aca="false">V23*V24</f>
        <v>192584.274892338</v>
      </c>
      <c r="W26" s="125" t="n">
        <f aca="false">W23*W24</f>
        <v>197398.881764646</v>
      </c>
      <c r="X26" s="125" t="n">
        <f aca="false">X23*X24</f>
        <v>202333.853808762</v>
      </c>
      <c r="Y26" s="125" t="n">
        <f aca="false">Y23*Y24</f>
        <v>207392.200153981</v>
      </c>
      <c r="Z26" s="125" t="n">
        <f aca="false">Z23*Z24</f>
        <v>212577.005157831</v>
      </c>
      <c r="AA26" s="125" t="n">
        <f aca="false">AA23*AA24</f>
        <v>217891.430286777</v>
      </c>
      <c r="AB26" s="125" t="n">
        <f aca="false">AB23*AB24</f>
        <v>223338.716043946</v>
      </c>
    </row>
    <row r="27" customFormat="false" ht="11.25" hidden="false" customHeight="false" outlineLevel="0" collapsed="false">
      <c r="A27" s="41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</row>
    <row r="28" customFormat="false" ht="11.25" hidden="false" customHeight="false" outlineLevel="0" collapsed="false">
      <c r="A28" s="41" t="s">
        <v>175</v>
      </c>
      <c r="D28" s="128" t="n">
        <f aca="false">D14+D20+D26</f>
        <v>270461.786881041</v>
      </c>
      <c r="E28" s="128" t="n">
        <f aca="false">E14+E20+E26</f>
        <v>887285.287702054</v>
      </c>
      <c r="F28" s="128" t="n">
        <f aca="false">F14+F20+F26</f>
        <v>1040151.11486009</v>
      </c>
      <c r="G28" s="128" t="n">
        <f aca="false">G14+G20+G26</f>
        <v>1200105.68007121</v>
      </c>
      <c r="H28" s="128" t="n">
        <f aca="false">H14+H20+H26</f>
        <v>1367407.8790961</v>
      </c>
      <c r="I28" s="128" t="n">
        <f aca="false">I14+I20+I26</f>
        <v>1507180.78178401</v>
      </c>
      <c r="J28" s="128" t="n">
        <f aca="false">J14+J20+J26</f>
        <v>1653087.69968189</v>
      </c>
      <c r="K28" s="128" t="n">
        <f aca="false">K14+K20+K26</f>
        <v>1805347.97548605</v>
      </c>
      <c r="L28" s="128" t="n">
        <f aca="false">L14+L20+L26</f>
        <v>1964188.08526811</v>
      </c>
      <c r="M28" s="128" t="n">
        <f aca="false">M14+M20+M26</f>
        <v>2129841.8580546</v>
      </c>
      <c r="N28" s="128" t="n">
        <f aca="false">N14+N20+N26</f>
        <v>2285192.42179428</v>
      </c>
      <c r="O28" s="128" t="n">
        <f aca="false">O14+O20+O26</f>
        <v>2446979.36255967</v>
      </c>
      <c r="P28" s="128" t="n">
        <f aca="false">P14+P20+P26</f>
        <v>2615427.40509971</v>
      </c>
      <c r="Q28" s="128" t="n">
        <f aca="false">Q14+Q20+Q26</f>
        <v>2790768.48766514</v>
      </c>
      <c r="R28" s="128" t="n">
        <f aca="false">R14+R20+R26</f>
        <v>2973241.98223067</v>
      </c>
      <c r="S28" s="128" t="n">
        <f aca="false">S14+S20+S26</f>
        <v>3163094.92121967</v>
      </c>
      <c r="T28" s="128" t="n">
        <f aca="false">T14+T20+T26</f>
        <v>3360582.23091924</v>
      </c>
      <c r="U28" s="128" t="n">
        <f aca="false">U14+U20+U26</f>
        <v>3444596.78669222</v>
      </c>
      <c r="V28" s="128" t="n">
        <f aca="false">V14+V20+V26</f>
        <v>3530711.70635952</v>
      </c>
      <c r="W28" s="128" t="n">
        <f aca="false">W14+W20+W26</f>
        <v>3618979.49901851</v>
      </c>
      <c r="X28" s="128" t="n">
        <f aca="false">X14+X20+X26</f>
        <v>3709453.98649397</v>
      </c>
      <c r="Y28" s="128" t="n">
        <f aca="false">Y14+Y20+Y26</f>
        <v>3802190.33615632</v>
      </c>
      <c r="Z28" s="128" t="n">
        <f aca="false">Z14+Z20+Z26</f>
        <v>3897245.09456023</v>
      </c>
      <c r="AA28" s="128" t="n">
        <f aca="false">AA14+AA20+AA26</f>
        <v>3994676.22192424</v>
      </c>
      <c r="AB28" s="128" t="n">
        <f aca="false">AB14+AB20+AB26</f>
        <v>4094543.12747234</v>
      </c>
    </row>
    <row r="29" customFormat="false" ht="11.25" hidden="false" customHeight="false" outlineLevel="0" collapsed="false">
      <c r="A29" s="41" t="s">
        <v>176</v>
      </c>
      <c r="D29" s="129" t="n">
        <f aca="false">D28/D7</f>
        <v>0.825</v>
      </c>
      <c r="E29" s="129" t="n">
        <f aca="false">E28/E7</f>
        <v>0.845625</v>
      </c>
      <c r="F29" s="129" t="n">
        <f aca="false">F28/F7</f>
        <v>0.866765625</v>
      </c>
      <c r="G29" s="129" t="n">
        <f aca="false">G28/G7</f>
        <v>0.888434765625</v>
      </c>
      <c r="H29" s="129" t="n">
        <f aca="false">H28/H7</f>
        <v>0.910645634765625</v>
      </c>
      <c r="I29" s="129" t="n">
        <f aca="false">I28/I7</f>
        <v>0.933411775634765</v>
      </c>
      <c r="J29" s="129" t="n">
        <f aca="false">J28/J7</f>
        <v>0.956747070025635</v>
      </c>
      <c r="K29" s="129" t="n">
        <f aca="false">K28/K7</f>
        <v>0.980665746776275</v>
      </c>
      <c r="L29" s="129" t="n">
        <f aca="false">L28/L7</f>
        <v>1.00518239044568</v>
      </c>
      <c r="M29" s="129" t="n">
        <f aca="false">M28/M7</f>
        <v>1.03031195020682</v>
      </c>
      <c r="N29" s="129" t="n">
        <f aca="false">N28/N7</f>
        <v>1.05606974896199</v>
      </c>
      <c r="O29" s="129" t="n">
        <f aca="false">O28/O7</f>
        <v>1.08247149268604</v>
      </c>
      <c r="P29" s="129" t="n">
        <f aca="false">P28/P7</f>
        <v>1.1095332800032</v>
      </c>
      <c r="Q29" s="129" t="n">
        <f aca="false">Q28/Q7</f>
        <v>1.13727161200327</v>
      </c>
      <c r="R29" s="129" t="n">
        <f aca="false">R28/R7</f>
        <v>1.16570340230336</v>
      </c>
      <c r="S29" s="129" t="n">
        <f aca="false">S28/S7</f>
        <v>1.19484598736094</v>
      </c>
      <c r="T29" s="129" t="n">
        <f aca="false">T28/T7</f>
        <v>1.22471713704496</v>
      </c>
      <c r="U29" s="129" t="n">
        <f aca="false">U28/U7</f>
        <v>1.25533506547109</v>
      </c>
      <c r="V29" s="129" t="n">
        <f aca="false">V28/V7</f>
        <v>1.28671844210787</v>
      </c>
      <c r="W29" s="129" t="n">
        <f aca="false">W28/W7</f>
        <v>1.31888640316056</v>
      </c>
      <c r="X29" s="129" t="n">
        <f aca="false">X28/X7</f>
        <v>1.35185856323958</v>
      </c>
      <c r="Y29" s="129" t="n">
        <f aca="false">Y28/Y7</f>
        <v>1.38565502732056</v>
      </c>
      <c r="Z29" s="129" t="n">
        <f aca="false">Z28/Z7</f>
        <v>1.42029640300358</v>
      </c>
      <c r="AA29" s="129" t="n">
        <f aca="false">AA28/AA7</f>
        <v>1.45580381307867</v>
      </c>
      <c r="AB29" s="129" t="n">
        <f aca="false">AB28/AB7</f>
        <v>1.49219890840563</v>
      </c>
    </row>
    <row r="31" customFormat="false" ht="11.25" hidden="false" customHeight="false" outlineLevel="0" collapsed="false">
      <c r="A31" s="41" t="s">
        <v>177</v>
      </c>
      <c r="D31" s="129" t="n">
        <f aca="false">[2]Drivers!B18</f>
        <v>0.17</v>
      </c>
      <c r="E31" s="129" t="n">
        <f aca="false">D31*(1+[2]Drivers!$B$36)</f>
        <v>0.17425</v>
      </c>
      <c r="F31" s="129" t="n">
        <f aca="false">E31*(1+[2]Drivers!$B$36)</f>
        <v>0.17860625</v>
      </c>
      <c r="G31" s="129" t="n">
        <f aca="false">F31*(1+[2]Drivers!$B$36)</f>
        <v>0.18307140625</v>
      </c>
      <c r="H31" s="129" t="n">
        <f aca="false">G31*(1+[2]Drivers!$B$36)</f>
        <v>0.18764819140625</v>
      </c>
      <c r="I31" s="129" t="n">
        <f aca="false">H31*(1+[2]Drivers!$B$36)</f>
        <v>0.192339396191406</v>
      </c>
      <c r="J31" s="129" t="n">
        <f aca="false">I31*(1+[2]Drivers!$B$36)</f>
        <v>0.197147881096191</v>
      </c>
      <c r="K31" s="129" t="n">
        <f aca="false">J31*(1+[2]Drivers!$B$36)</f>
        <v>0.202076578123596</v>
      </c>
      <c r="L31" s="129" t="n">
        <f aca="false">K31*(1+[2]Drivers!$B$36)</f>
        <v>0.207128492576686</v>
      </c>
      <c r="M31" s="129" t="n">
        <f aca="false">L31*(1+[2]Drivers!$B$36)</f>
        <v>0.212306704891103</v>
      </c>
      <c r="N31" s="129" t="n">
        <f aca="false">M31*(1+[2]Drivers!$B$36)</f>
        <v>0.217614372513381</v>
      </c>
      <c r="O31" s="129" t="n">
        <f aca="false">N31*(1+[2]Drivers!$B$36)</f>
        <v>0.223054731826215</v>
      </c>
      <c r="P31" s="129" t="n">
        <f aca="false">O31*(1+[2]Drivers!$B$36)</f>
        <v>0.22863110012187</v>
      </c>
      <c r="Q31" s="129" t="n">
        <f aca="false">P31*(1+[2]Drivers!$B$36)</f>
        <v>0.234346877624917</v>
      </c>
      <c r="R31" s="129" t="n">
        <f aca="false">Q31*(1+[2]Drivers!$B$36)</f>
        <v>0.24020554956554</v>
      </c>
      <c r="S31" s="129" t="n">
        <f aca="false">R31*(1+[2]Drivers!$B$36)</f>
        <v>0.246210688304679</v>
      </c>
      <c r="T31" s="129" t="n">
        <f aca="false">S31*(1+[2]Drivers!$B$36)</f>
        <v>0.252365955512296</v>
      </c>
      <c r="U31" s="129" t="n">
        <f aca="false">T31*(1+[2]Drivers!$B$36)</f>
        <v>0.258675104400103</v>
      </c>
      <c r="V31" s="129" t="n">
        <f aca="false">U31*(1+[2]Drivers!$B$36)</f>
        <v>0.265141982010105</v>
      </c>
      <c r="W31" s="129" t="n">
        <f aca="false">V31*(1+[2]Drivers!$B$36)</f>
        <v>0.271770531560358</v>
      </c>
      <c r="X31" s="129" t="n">
        <f aca="false">W31*(1+[2]Drivers!$B$36)</f>
        <v>0.278564794849367</v>
      </c>
      <c r="Y31" s="129" t="n">
        <f aca="false">X31*(1+[2]Drivers!$B$36)</f>
        <v>0.285528914720601</v>
      </c>
      <c r="Z31" s="129" t="n">
        <f aca="false">Y31*(1+[2]Drivers!$B$36)</f>
        <v>0.292667137588616</v>
      </c>
      <c r="AA31" s="129" t="n">
        <f aca="false">Z31*(1+[2]Drivers!$B$36)</f>
        <v>0.299983816028332</v>
      </c>
      <c r="AB31" s="129" t="n">
        <f aca="false">AA31*(1+[2]Drivers!$B$36)</f>
        <v>0.30748341142904</v>
      </c>
    </row>
    <row r="33" customFormat="false" ht="11.25" hidden="false" customHeight="false" outlineLevel="0" collapsed="false">
      <c r="A33" s="41" t="s">
        <v>178</v>
      </c>
      <c r="D33" s="129" t="n">
        <f aca="false">D31+D29</f>
        <v>0.995</v>
      </c>
      <c r="E33" s="129" t="n">
        <f aca="false">E31+E29</f>
        <v>1.019875</v>
      </c>
      <c r="F33" s="129" t="n">
        <f aca="false">F31+F29</f>
        <v>1.045371875</v>
      </c>
      <c r="G33" s="129" t="n">
        <f aca="false">G31+G29</f>
        <v>1.071506171875</v>
      </c>
      <c r="H33" s="129" t="n">
        <f aca="false">H31+H29</f>
        <v>1.09829382617187</v>
      </c>
      <c r="I33" s="129" t="n">
        <f aca="false">I31+I29</f>
        <v>1.12575117182617</v>
      </c>
      <c r="J33" s="129" t="n">
        <f aca="false">J31+J29</f>
        <v>1.15389495112183</v>
      </c>
      <c r="K33" s="129" t="n">
        <f aca="false">K31+K29</f>
        <v>1.18274232489987</v>
      </c>
      <c r="L33" s="129" t="n">
        <f aca="false">L31+L29</f>
        <v>1.21231088302237</v>
      </c>
      <c r="M33" s="129" t="n">
        <f aca="false">M31+M29</f>
        <v>1.24261865509793</v>
      </c>
      <c r="N33" s="129" t="n">
        <f aca="false">N31+N29</f>
        <v>1.27368412147537</v>
      </c>
      <c r="O33" s="129" t="n">
        <f aca="false">O31+O29</f>
        <v>1.30552622451226</v>
      </c>
      <c r="P33" s="129" t="n">
        <f aca="false">P31+P29</f>
        <v>1.33816438012507</v>
      </c>
      <c r="Q33" s="129" t="n">
        <f aca="false">Q31+Q29</f>
        <v>1.37161848962819</v>
      </c>
      <c r="R33" s="129" t="n">
        <f aca="false">R31+R29</f>
        <v>1.4059089518689</v>
      </c>
      <c r="S33" s="129" t="n">
        <f aca="false">S31+S29</f>
        <v>1.44105667566562</v>
      </c>
      <c r="T33" s="129" t="n">
        <f aca="false">T31+T29</f>
        <v>1.47708309255726</v>
      </c>
      <c r="U33" s="129" t="n">
        <f aca="false">U31+U29</f>
        <v>1.51401016987119</v>
      </c>
      <c r="V33" s="129" t="n">
        <f aca="false">V31+V29</f>
        <v>1.55186042411797</v>
      </c>
      <c r="W33" s="129" t="n">
        <f aca="false">W31+W29</f>
        <v>1.59065693472092</v>
      </c>
      <c r="X33" s="129" t="n">
        <f aca="false">X31+X29</f>
        <v>1.63042335808894</v>
      </c>
      <c r="Y33" s="129" t="n">
        <f aca="false">Y31+Y29</f>
        <v>1.67118394204117</v>
      </c>
      <c r="Z33" s="129" t="n">
        <f aca="false">Z31+Z29</f>
        <v>1.71296354059219</v>
      </c>
      <c r="AA33" s="129" t="n">
        <f aca="false">AA31+AA29</f>
        <v>1.755787629107</v>
      </c>
      <c r="AB33" s="129" t="n">
        <f aca="false">AB31+AB29</f>
        <v>1.79968231983467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1999-10-28T17:59:02Z</dcterms:created>
  <dc:creator>KN Energy, Inc.</dc:creator>
  <dc:description/>
  <dc:language>en-US</dc:language>
  <cp:lastModifiedBy>Ben Rogers</cp:lastModifiedBy>
  <cp:lastPrinted>1999-11-01T21:16:26Z</cp:lastPrinted>
  <cp:revision>0</cp:revision>
  <dc:subject/>
  <dc:title/>
</cp:coreProperties>
</file>