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4.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drawings/_rels/drawing1.xml.rels" ContentType="application/vnd.openxmlformats-package.relationships+xml"/>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ummary" sheetId="1" state="visible" r:id="rId3"/>
    <sheet name="CALC" sheetId="2" state="visible" r:id="rId4"/>
    <sheet name="CURVES" sheetId="3" state="visible" r:id="rId5"/>
    <sheet name="_udcgen1999" sheetId="4" state="visible" r:id="rId6"/>
    <sheet name="Treasury Input" sheetId="5" state="visible" r:id="rId7"/>
  </sheets>
  <definedNames>
    <definedName function="false" hidden="false" localSheetId="1" name="_xlnm.Print_Area" vbProcedure="false">CALC!$K$1:$AB$14</definedName>
    <definedName function="false" hidden="false" name="printrange" vbProcedure="false">#REF!</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K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11</xdr:col>
                <xdr:colOff>16</xdr:colOff>
                <xdr:row>17</xdr:row>
                <xdr:rowOff>3</xdr:rowOff>
              </xdr:from>
              <xdr:to>
                <xdr:col>15</xdr:col>
                <xdr:colOff>62</xdr:colOff>
                <xdr:row>24</xdr:row>
                <xdr:rowOff>3</xdr:rowOff>
              </xdr:to>
            </anchor>
          </commentPr>
        </mc:Choice>
        <mc:Fallback/>
      </mc:AlternateContent>
    </comment>
    <comment ref="L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12</xdr:col>
                <xdr:colOff>16</xdr:colOff>
                <xdr:row>17</xdr:row>
                <xdr:rowOff>3</xdr:rowOff>
              </xdr:from>
              <xdr:to>
                <xdr:col>16</xdr:col>
                <xdr:colOff>62</xdr:colOff>
                <xdr:row>24</xdr:row>
                <xdr:rowOff>3</xdr:rowOff>
              </xdr:to>
            </anchor>
          </commentPr>
        </mc:Choice>
        <mc:Fallback/>
      </mc:AlternateContent>
    </comment>
    <comment ref="M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 total energy (MWH) generated for this 12-month period generally agrees with amount reported for calendar year 1999 as reported in SCE's 1999 Annual Report.  Both 1999 and 2000 were roughly normal water years, so these capacities (and the annual shape) are applied going forward.</t>
        </r>
      </text>
      <mc:AlternateContent>
        <mc:Choice Requires="v2">
          <commentPr autoFill="true" autoScale="false" colHidden="false" locked="false" rowHidden="false" textHAlign="justify" textVAlign="top">
            <anchor moveWithCells="false" sizeWithCells="false">
              <xdr:from>
                <xdr:col>13</xdr:col>
                <xdr:colOff>16</xdr:colOff>
                <xdr:row>17</xdr:row>
                <xdr:rowOff>3</xdr:rowOff>
              </xdr:from>
              <xdr:to>
                <xdr:col>18</xdr:col>
                <xdr:colOff>7</xdr:colOff>
                <xdr:row>26</xdr:row>
                <xdr:rowOff>8</xdr:rowOff>
              </xdr:to>
            </anchor>
          </commentPr>
        </mc:Choice>
        <mc:Fallback/>
      </mc:AlternateContent>
    </comment>
    <comment ref="N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14</xdr:col>
                <xdr:colOff>16</xdr:colOff>
                <xdr:row>17</xdr:row>
                <xdr:rowOff>3</xdr:rowOff>
              </xdr:from>
              <xdr:to>
                <xdr:col>18</xdr:col>
                <xdr:colOff>62</xdr:colOff>
                <xdr:row>24</xdr:row>
                <xdr:rowOff>3</xdr:rowOff>
              </xdr:to>
            </anchor>
          </commentPr>
        </mc:Choice>
        <mc:Fallback/>
      </mc:AlternateContent>
    </comment>
    <comment ref="P19" authorId="0">
      <text>
        <r>
          <rPr>
            <b val="true"/>
            <sz val="10"/>
            <color rgb="FF000000"/>
            <rFont val="Tahoma"/>
            <family val="2"/>
          </rPr>
          <t xml:space="preserve">sswain:
</t>
        </r>
        <r>
          <rPr>
            <sz val="10"/>
            <color rgb="FF000000"/>
            <rFont val="Tahoma"/>
            <family val="2"/>
          </rPr>
          <t xml:space="preserve">Monthly capacity is based on total annual QF energy purchased for 1999 as reported in SCE's 1999 Annual Report.  Annual shape is derived from 1999 load (i.e., it is assumed that the QF contracts can roughly follow load).</t>
        </r>
      </text>
      <mc:AlternateContent>
        <mc:Choice Requires="v2">
          <commentPr autoFill="true" autoScale="false" colHidden="false" locked="false" rowHidden="false" textHAlign="justify" textVAlign="top">
            <anchor moveWithCells="false" sizeWithCells="false">
              <xdr:from>
                <xdr:col>16</xdr:col>
                <xdr:colOff>16</xdr:colOff>
                <xdr:row>17</xdr:row>
                <xdr:rowOff>3</xdr:rowOff>
              </xdr:from>
              <xdr:to>
                <xdr:col>20</xdr:col>
                <xdr:colOff>42</xdr:colOff>
                <xdr:row>24</xdr:row>
                <xdr:rowOff>3</xdr:rowOff>
              </xdr:to>
            </anchor>
          </commentPr>
        </mc:Choice>
        <mc:Fallback/>
      </mc:AlternateContent>
    </comment>
    <comment ref="T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20</xdr:col>
                <xdr:colOff>0</xdr:colOff>
                <xdr:row>17</xdr:row>
                <xdr:rowOff>1</xdr:rowOff>
              </xdr:from>
              <xdr:to>
                <xdr:col>22</xdr:col>
                <xdr:colOff>53</xdr:colOff>
                <xdr:row>24</xdr:row>
                <xdr:rowOff>5</xdr:rowOff>
              </xdr:to>
            </anchor>
          </commentPr>
        </mc:Choice>
        <mc:Fallback/>
      </mc:AlternateContent>
    </comment>
    <comment ref="U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20</xdr:col>
                <xdr:colOff>63</xdr:colOff>
                <xdr:row>17</xdr:row>
                <xdr:rowOff>3</xdr:rowOff>
              </xdr:from>
              <xdr:to>
                <xdr:col>22</xdr:col>
                <xdr:colOff>46</xdr:colOff>
                <xdr:row>21</xdr:row>
                <xdr:rowOff>9</xdr:rowOff>
              </xdr:to>
            </anchor>
          </commentPr>
        </mc:Choice>
        <mc:Fallback/>
      </mc:AlternateContent>
    </comment>
    <comment ref="V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21</xdr:col>
                <xdr:colOff>62</xdr:colOff>
                <xdr:row>17</xdr:row>
                <xdr:rowOff>3</xdr:rowOff>
              </xdr:from>
              <xdr:to>
                <xdr:col>23</xdr:col>
                <xdr:colOff>33</xdr:colOff>
                <xdr:row>21</xdr:row>
                <xdr:rowOff>7</xdr:rowOff>
              </xdr:to>
            </anchor>
          </commentPr>
        </mc:Choice>
        <mc:Fallback/>
      </mc:AlternateContent>
    </comment>
    <comment ref="W19" authorId="0">
      <text>
        <r>
          <rPr>
            <b val="true"/>
            <sz val="10"/>
            <color rgb="FF000000"/>
            <rFont val="Tahoma"/>
            <family val="2"/>
          </rPr>
          <t xml:space="preserve">sswain:
</t>
        </r>
        <r>
          <rPr>
            <sz val="10"/>
            <color rgb="FF000000"/>
            <rFont val="Tahoma"/>
            <family val="2"/>
          </rPr>
          <t xml:space="preserve">Based on figures provided by Roger Yang.  This is the weighted average cost of all retained generation.</t>
        </r>
      </text>
      <mc:AlternateContent>
        <mc:Choice Requires="v2">
          <commentPr autoFill="true" autoScale="false" colHidden="false" locked="false" rowHidden="false" textHAlign="justify" textVAlign="top">
            <anchor moveWithCells="false" sizeWithCells="false">
              <xdr:from>
                <xdr:col>22</xdr:col>
                <xdr:colOff>62</xdr:colOff>
                <xdr:row>17</xdr:row>
                <xdr:rowOff>3</xdr:rowOff>
              </xdr:from>
              <xdr:to>
                <xdr:col>26</xdr:col>
                <xdr:colOff>9</xdr:colOff>
                <xdr:row>24</xdr:row>
                <xdr:rowOff>3</xdr:rowOff>
              </xdr:to>
            </anchor>
          </commentPr>
        </mc:Choice>
        <mc:Fallback/>
      </mc:AlternateContent>
    </comment>
    <comment ref="Y19" authorId="0">
      <text>
        <r>
          <rPr>
            <b val="true"/>
            <sz val="10"/>
            <color rgb="FF000000"/>
            <rFont val="Tahoma"/>
            <family val="2"/>
          </rPr>
          <t xml:space="preserve">sswain:
</t>
        </r>
        <r>
          <rPr>
            <sz val="10"/>
            <color rgb="FF000000"/>
            <rFont val="Tahoma"/>
            <family val="2"/>
          </rPr>
          <t xml:space="preserve">Based on assumed heat rate and SoCal gas.  Capacity payments from curve above based on figures provided by Roger Yang.</t>
        </r>
      </text>
      <mc:AlternateContent>
        <mc:Choice Requires="v2">
          <commentPr autoFill="true" autoScale="false" colHidden="false" locked="false" rowHidden="false" textHAlign="justify" textVAlign="top">
            <anchor moveWithCells="false" sizeWithCells="false">
              <xdr:from>
                <xdr:col>24</xdr:col>
                <xdr:colOff>62</xdr:colOff>
                <xdr:row>17</xdr:row>
                <xdr:rowOff>3</xdr:rowOff>
              </xdr:from>
              <xdr:to>
                <xdr:col>32</xdr:col>
                <xdr:colOff>14</xdr:colOff>
                <xdr:row>24</xdr:row>
                <xdr:rowOff>3</xdr:rowOff>
              </xdr:to>
            </anchor>
          </commentPr>
        </mc:Choice>
        <mc:Fallback/>
      </mc:AlternateContent>
    </comment>
    <comment ref="AH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37</xdr:col>
                <xdr:colOff>37</xdr:colOff>
                <xdr:row>17</xdr:row>
                <xdr:rowOff>3</xdr:rowOff>
              </xdr:from>
              <xdr:to>
                <xdr:col>42</xdr:col>
                <xdr:colOff>16</xdr:colOff>
                <xdr:row>24</xdr:row>
                <xdr:rowOff>3</xdr:rowOff>
              </xdr:to>
            </anchor>
          </commentPr>
        </mc:Choice>
        <mc:Fallback/>
      </mc:AlternateContent>
    </comment>
    <comment ref="AI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38</xdr:col>
                <xdr:colOff>37</xdr:colOff>
                <xdr:row>17</xdr:row>
                <xdr:rowOff>3</xdr:rowOff>
              </xdr:from>
              <xdr:to>
                <xdr:col>43</xdr:col>
                <xdr:colOff>7</xdr:colOff>
                <xdr:row>24</xdr:row>
                <xdr:rowOff>3</xdr:rowOff>
              </xdr:to>
            </anchor>
          </commentPr>
        </mc:Choice>
        <mc:Fallback/>
      </mc:AlternateContent>
    </comment>
    <comment ref="AJ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 total energy (MWH) generated for this 12-month period generally agrees with amount reported for calendar year 1999 as reported in SCE's 1999 Annual Report.  Both 1999 and 2000 were roughly normal water years, so these capacities (and the annual shape) are applied going forward.</t>
        </r>
      </text>
      <mc:AlternateContent>
        <mc:Choice Requires="v2">
          <commentPr autoFill="true" autoScale="false" colHidden="false" locked="false" rowHidden="false" textHAlign="justify" textVAlign="top">
            <anchor moveWithCells="false" sizeWithCells="false">
              <xdr:from>
                <xdr:col>39</xdr:col>
                <xdr:colOff>32</xdr:colOff>
                <xdr:row>17</xdr:row>
                <xdr:rowOff>3</xdr:rowOff>
              </xdr:from>
              <xdr:to>
                <xdr:col>44</xdr:col>
                <xdr:colOff>0</xdr:colOff>
                <xdr:row>26</xdr:row>
                <xdr:rowOff>8</xdr:rowOff>
              </xdr:to>
            </anchor>
          </commentPr>
        </mc:Choice>
        <mc:Fallback/>
      </mc:AlternateContent>
    </comment>
    <comment ref="AK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40</xdr:col>
                <xdr:colOff>37</xdr:colOff>
                <xdr:row>17</xdr:row>
                <xdr:rowOff>3</xdr:rowOff>
              </xdr:from>
              <xdr:to>
                <xdr:col>44</xdr:col>
                <xdr:colOff>49</xdr:colOff>
                <xdr:row>24</xdr:row>
                <xdr:rowOff>3</xdr:rowOff>
              </xdr:to>
            </anchor>
          </commentPr>
        </mc:Choice>
        <mc:Fallback/>
      </mc:AlternateContent>
    </comment>
    <comment ref="AM19" authorId="0">
      <text>
        <r>
          <rPr>
            <b val="true"/>
            <sz val="10"/>
            <color rgb="FF000000"/>
            <rFont val="Tahoma"/>
            <family val="2"/>
          </rPr>
          <t xml:space="preserve">sswain:
</t>
        </r>
        <r>
          <rPr>
            <sz val="10"/>
            <color rgb="FF000000"/>
            <rFont val="Tahoma"/>
            <family val="2"/>
          </rPr>
          <t xml:space="preserve">Monthly capacity is based on total annual QF energy purchased for 1999 as reported in SCE's 1999 Annual Report.  Annual shape is derived from 1999 load (i.e., it is assumed that the QF contracts can roughly follow load).</t>
        </r>
      </text>
      <mc:AlternateContent>
        <mc:Choice Requires="v2">
          <commentPr autoFill="true" autoScale="false" colHidden="false" locked="false" rowHidden="false" textHAlign="justify" textVAlign="top">
            <anchor moveWithCells="false" sizeWithCells="false">
              <xdr:from>
                <xdr:col>42</xdr:col>
                <xdr:colOff>37</xdr:colOff>
                <xdr:row>17</xdr:row>
                <xdr:rowOff>3</xdr:rowOff>
              </xdr:from>
              <xdr:to>
                <xdr:col>46</xdr:col>
                <xdr:colOff>24</xdr:colOff>
                <xdr:row>24</xdr:row>
                <xdr:rowOff>3</xdr:rowOff>
              </xdr:to>
            </anchor>
          </commentPr>
        </mc:Choice>
        <mc:Fallback/>
      </mc:AlternateContent>
    </comment>
    <comment ref="AQ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43</xdr:col>
                <xdr:colOff>7</xdr:colOff>
                <xdr:row>17</xdr:row>
                <xdr:rowOff>3</xdr:rowOff>
              </xdr:from>
              <xdr:to>
                <xdr:col>45</xdr:col>
                <xdr:colOff>60</xdr:colOff>
                <xdr:row>24</xdr:row>
                <xdr:rowOff>7</xdr:rowOff>
              </xdr:to>
            </anchor>
          </commentPr>
        </mc:Choice>
        <mc:Fallback/>
      </mc:AlternateContent>
    </comment>
    <comment ref="AS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45</xdr:col>
                <xdr:colOff>17</xdr:colOff>
                <xdr:row>17</xdr:row>
                <xdr:rowOff>3</xdr:rowOff>
              </xdr:from>
              <xdr:to>
                <xdr:col>46</xdr:col>
                <xdr:colOff>55</xdr:colOff>
                <xdr:row>21</xdr:row>
                <xdr:rowOff>7</xdr:rowOff>
              </xdr:to>
            </anchor>
          </commentPr>
        </mc:Choice>
        <mc:Fallback/>
      </mc:AlternateContent>
    </comment>
    <comment ref="AT19" authorId="0">
      <text>
        <r>
          <rPr>
            <b val="true"/>
            <sz val="10"/>
            <color rgb="FF000000"/>
            <rFont val="Tahoma"/>
            <family val="2"/>
          </rPr>
          <t xml:space="preserve">sswain:
</t>
        </r>
        <r>
          <rPr>
            <sz val="10"/>
            <color rgb="FF000000"/>
            <rFont val="Tahoma"/>
            <family val="2"/>
          </rPr>
          <t xml:space="preserve">Based on figures provided by Roger Yang.  This is the weighted average cost of all retained generation.</t>
        </r>
      </text>
      <mc:AlternateContent>
        <mc:Choice Requires="v2">
          <commentPr autoFill="true" autoScale="false" colHidden="false" locked="false" rowHidden="false" textHAlign="justify" textVAlign="top">
            <anchor moveWithCells="false" sizeWithCells="false">
              <xdr:from>
                <xdr:col>46</xdr:col>
                <xdr:colOff>17</xdr:colOff>
                <xdr:row>17</xdr:row>
                <xdr:rowOff>3</xdr:rowOff>
              </xdr:from>
              <xdr:to>
                <xdr:col>49</xdr:col>
                <xdr:colOff>30</xdr:colOff>
                <xdr:row>24</xdr:row>
                <xdr:rowOff>3</xdr:rowOff>
              </xdr:to>
            </anchor>
          </commentPr>
        </mc:Choice>
        <mc:Fallback/>
      </mc:AlternateContent>
    </comment>
    <comment ref="AV19" authorId="0">
      <text>
        <r>
          <rPr>
            <b val="true"/>
            <sz val="10"/>
            <color rgb="FF000000"/>
            <rFont val="Tahoma"/>
            <family val="2"/>
          </rPr>
          <t xml:space="preserve">sswain:
</t>
        </r>
        <r>
          <rPr>
            <sz val="10"/>
            <color rgb="FF000000"/>
            <rFont val="Tahoma"/>
            <family val="2"/>
          </rPr>
          <t xml:space="preserve">Based on assumed heat rate and SoCal gas.  Capacity payments from curve above based on figures provided by Roger Yang.</t>
        </r>
      </text>
      <mc:AlternateContent>
        <mc:Choice Requires="v2">
          <commentPr autoFill="true" autoScale="false" colHidden="false" locked="false" rowHidden="false" textHAlign="justify" textVAlign="top">
            <anchor moveWithCells="false" sizeWithCells="false">
              <xdr:from>
                <xdr:col>48</xdr:col>
                <xdr:colOff>17</xdr:colOff>
                <xdr:row>17</xdr:row>
                <xdr:rowOff>3</xdr:rowOff>
              </xdr:from>
              <xdr:to>
                <xdr:col>52</xdr:col>
                <xdr:colOff>58</xdr:colOff>
                <xdr:row>24</xdr:row>
                <xdr:rowOff>3</xdr:rowOff>
              </xdr:to>
            </anchor>
          </commentPr>
        </mc:Choice>
        <mc:Fallback/>
      </mc:AlternateContent>
    </comment>
  </commentList>
</comments>
</file>

<file path=xl/sharedStrings.xml><?xml version="1.0" encoding="utf-8"?>
<sst xmlns="http://schemas.openxmlformats.org/spreadsheetml/2006/main" count="200" uniqueCount="102">
  <si>
    <t xml:space="preserve">Calculated Short Position</t>
  </si>
  <si>
    <t xml:space="preserve">Annual Load Growth</t>
  </si>
  <si>
    <t xml:space="preserve">Load (MWa)</t>
  </si>
  <si>
    <t xml:space="preserve">Retained Generation</t>
  </si>
  <si>
    <t xml:space="preserve">QF Contracts</t>
  </si>
  <si>
    <t xml:space="preserve">Wtd Avg Cost of Utility Resources ($/MWH)</t>
  </si>
  <si>
    <t xml:space="preserve">Utility Short Position (MWa)</t>
  </si>
  <si>
    <t xml:space="preserve">Market Price to Cover Short</t>
  </si>
  <si>
    <t xml:space="preserve">Added Cost for A/S ($/MWH)</t>
  </si>
  <si>
    <t xml:space="preserve">TOTAL COST $/MWH</t>
  </si>
  <si>
    <t xml:space="preserve">RETAIL RATE AFTER CPUC 1/4/01 ORDER $/MWH</t>
  </si>
  <si>
    <t xml:space="preserve">GROSS MARGIN $/MWH</t>
  </si>
  <si>
    <t xml:space="preserve">SCE</t>
  </si>
  <si>
    <t xml:space="preserve">2001-2005 (5-Yr)</t>
  </si>
  <si>
    <t xml:space="preserve">2001-2007 (7-Yr)</t>
  </si>
  <si>
    <t xml:space="preserve">2001-2010 (10-Yr)</t>
  </si>
  <si>
    <t xml:space="preserve">PG&amp;E</t>
  </si>
  <si>
    <t xml:space="preserve">Generation</t>
  </si>
  <si>
    <t xml:space="preserve">Capacity (MW)</t>
  </si>
  <si>
    <t xml:space="preserve">99 Gen</t>
  </si>
  <si>
    <t xml:space="preserve">Cap Fact</t>
  </si>
  <si>
    <t xml:space="preserve">Avg Cap'y</t>
  </si>
  <si>
    <t xml:space="preserve">QF Capacity Calc</t>
  </si>
  <si>
    <t xml:space="preserve">SWAPS</t>
  </si>
  <si>
    <t xml:space="preserve">Nuclear</t>
  </si>
  <si>
    <t xml:space="preserve">MWH sold</t>
  </si>
  <si>
    <t xml:space="preserve">Gen</t>
  </si>
  <si>
    <t xml:space="preserve">Resources</t>
  </si>
  <si>
    <t xml:space="preserve">Short</t>
  </si>
  <si>
    <t xml:space="preserve">TOTAL</t>
  </si>
  <si>
    <t xml:space="preserve">Coal</t>
  </si>
  <si>
    <t xml:space="preserve">HR</t>
  </si>
  <si>
    <t xml:space="preserve">Other Thermal</t>
  </si>
  <si>
    <t xml:space="preserve">gas</t>
  </si>
  <si>
    <t xml:space="preserve">2001-2005</t>
  </si>
  <si>
    <t xml:space="preserve">Hydro</t>
  </si>
  <si>
    <t xml:space="preserve">paymts</t>
  </si>
  <si>
    <t xml:space="preserve">2001-2007</t>
  </si>
  <si>
    <t xml:space="preserve">hr x gas</t>
  </si>
  <si>
    <t xml:space="preserve">2001-2010</t>
  </si>
  <si>
    <t xml:space="preserve">Purchases</t>
  </si>
  <si>
    <t xml:space="preserve">QF Cap Curve</t>
  </si>
  <si>
    <t xml:space="preserve">Other Util</t>
  </si>
  <si>
    <t xml:space="preserve">energy</t>
  </si>
  <si>
    <t xml:space="preserve">cap'y</t>
  </si>
  <si>
    <t xml:space="preserve">PX</t>
  </si>
  <si>
    <t xml:space="preserve">cap $/mwh</t>
  </si>
  <si>
    <t xml:space="preserve">VOLUMES</t>
  </si>
  <si>
    <t xml:space="preserve">PRICES</t>
  </si>
  <si>
    <t xml:space="preserve">MWa Load</t>
  </si>
  <si>
    <t xml:space="preserve">Annual Load Growth = </t>
  </si>
  <si>
    <t xml:space="preserve">Heat Rate</t>
  </si>
  <si>
    <t xml:space="preserve">1=Mid,2=Offer</t>
  </si>
  <si>
    <t xml:space="preserve">Interest</t>
  </si>
  <si>
    <t xml:space="preserve">Discount</t>
  </si>
  <si>
    <t xml:space="preserve">Total</t>
  </si>
  <si>
    <t xml:space="preserve">Year</t>
  </si>
  <si>
    <t xml:space="preserve">Month</t>
  </si>
  <si>
    <t xml:space="preserve">Rate</t>
  </si>
  <si>
    <t xml:space="preserve">Factor</t>
  </si>
  <si>
    <t xml:space="preserve">CAISO</t>
  </si>
  <si>
    <t xml:space="preserve">Other</t>
  </si>
  <si>
    <t xml:space="preserve">Total Gen</t>
  </si>
  <si>
    <t xml:space="preserve">QFs</t>
  </si>
  <si>
    <t xml:space="preserve">SHORT</t>
  </si>
  <si>
    <t xml:space="preserve">W.A. Gen</t>
  </si>
  <si>
    <t xml:space="preserve">W.A. Res</t>
  </si>
  <si>
    <t xml:space="preserve">W.A.</t>
  </si>
  <si>
    <t xml:space="preserve">NP15</t>
  </si>
  <si>
    <t xml:space="preserve">SP15</t>
  </si>
  <si>
    <t xml:space="preserve">Transport</t>
  </si>
  <si>
    <t xml:space="preserve">Mid</t>
  </si>
  <si>
    <t xml:space="preserve">Offer</t>
  </si>
  <si>
    <t xml:space="preserve">SoCal</t>
  </si>
  <si>
    <t xml:space="preserve">PG&amp;E City Gate</t>
  </si>
  <si>
    <t xml:space="preserve">RDI PowerDat</t>
  </si>
  <si>
    <t xml:space="preserve">Based on most recent data available (RDI, Kristian's PG&amp;E Hydro, or UMFOR)</t>
  </si>
  <si>
    <t xml:space="preserve">Company Name</t>
  </si>
  <si>
    <t xml:space="preserve">Steam</t>
  </si>
  <si>
    <t xml:space="preserve">Pumped Sto</t>
  </si>
  <si>
    <t xml:space="preserve">less MWh for PS</t>
  </si>
  <si>
    <t xml:space="preserve">Net Gen MWh</t>
  </si>
  <si>
    <t xml:space="preserve">Therm</t>
  </si>
  <si>
    <t xml:space="preserve">Pacific Gas &amp; Electric Co.</t>
  </si>
  <si>
    <t xml:space="preserve">San Diego Gas &amp; Electric Co.</t>
  </si>
  <si>
    <t xml:space="preserve">Southern California Edison Co.</t>
  </si>
  <si>
    <t xml:space="preserve">AVERAGE GENERATION BY MONTH (MW)</t>
  </si>
  <si>
    <t xml:space="preserve">SDGE</t>
  </si>
  <si>
    <t xml:space="preserve">Therm Shape</t>
  </si>
  <si>
    <t xml:space="preserve">Therm + QF</t>
  </si>
  <si>
    <t xml:space="preserve">UDCs</t>
  </si>
  <si>
    <t xml:space="preserve">PG&amp;E Hydro Gen (data from Kristian)</t>
  </si>
  <si>
    <t xml:space="preserve">total MWh generated (close to RDI)</t>
  </si>
  <si>
    <t xml:space="preserve">HYDRO</t>
  </si>
  <si>
    <t xml:space="preserve">HOURS</t>
  </si>
  <si>
    <t xml:space="preserve">Hydro Shape</t>
  </si>
  <si>
    <t xml:space="preserve">Average Generation (MW)</t>
  </si>
  <si>
    <t xml:space="preserve">QF Purchases 7/98-6/99</t>
  </si>
  <si>
    <t xml:space="preserve">SCE Monthly Gen Data from UMFOR</t>
  </si>
  <si>
    <t xml:space="preserve">Avg Generation (MW)</t>
  </si>
  <si>
    <t xml:space="preserve">QF</t>
  </si>
  <si>
    <t xml:space="preserve">Therm Shape (Apply to PG&amp;E and SDGE therms)</t>
  </si>
</sst>
</file>

<file path=xl/styles.xml><?xml version="1.0" encoding="utf-8"?>
<styleSheet xmlns="http://schemas.openxmlformats.org/spreadsheetml/2006/main">
  <numFmts count="21">
    <numFmt numFmtId="164" formatCode="General"/>
    <numFmt numFmtId="165" formatCode="\$#,##0_);[RED]&quot;($&quot;#,##0\)"/>
    <numFmt numFmtId="166" formatCode="[$-409]#,##0_);\(#,##0\)"/>
    <numFmt numFmtId="167" formatCode="0.00%"/>
    <numFmt numFmtId="168" formatCode="#,##0"/>
    <numFmt numFmtId="169" formatCode="0%"/>
    <numFmt numFmtId="170" formatCode="0.0%"/>
    <numFmt numFmtId="171" formatCode="[$-409]#,##0_);[RED]\(#,##0\)"/>
    <numFmt numFmtId="172" formatCode="\$#,##0.00_);[RED]&quot;($&quot;#,##0.00\)"/>
    <numFmt numFmtId="173" formatCode="#,##0_);[RED]\(#,##0\);\-"/>
    <numFmt numFmtId="174" formatCode="\$#,##0.00_);[RED]&quot;($&quot;#,##0.00\);\-"/>
    <numFmt numFmtId="175" formatCode="_(* #,##0.00_);_(* \(#,##0.00\);_(* \-??_);_(@_)"/>
    <numFmt numFmtId="176" formatCode="_(* #,##0_);_(* \(#,##0\);_(* \-??_);_(@_)"/>
    <numFmt numFmtId="177" formatCode="#,##0.00_);[RED]\(#,##0.00\);\-"/>
    <numFmt numFmtId="178" formatCode="_(\$* #,##0.00_);_(\$* \(#,##0.00\);_(\$* \-??_);_(@_)"/>
    <numFmt numFmtId="179" formatCode="_(\$* #,##0_);_(\$* \(#,##0\);_(\$* \-??_);_(@_)"/>
    <numFmt numFmtId="180" formatCode="[$-409]m/d/yyyy"/>
    <numFmt numFmtId="181" formatCode="0"/>
    <numFmt numFmtId="182" formatCode="[$-409]mmm\-yy"/>
    <numFmt numFmtId="183" formatCode="0.0000"/>
    <numFmt numFmtId="184" formatCode="#,##0.0000_);[RED]\(#,##0.0000\)"/>
  </numFmts>
  <fonts count="27">
    <font>
      <sz val="10"/>
      <name val="Arial"/>
      <family val="0"/>
    </font>
    <font>
      <sz val="10"/>
      <name val="Arial"/>
      <family val="0"/>
    </font>
    <font>
      <sz val="10"/>
      <name val="Arial"/>
      <family val="0"/>
    </font>
    <font>
      <sz val="10"/>
      <name val="Arial"/>
      <family val="0"/>
    </font>
    <font>
      <sz val="12"/>
      <name val="???"/>
      <family val="1"/>
      <charset val="129"/>
    </font>
    <font>
      <b val="true"/>
      <sz val="10"/>
      <name val="Arial"/>
      <family val="0"/>
    </font>
    <font>
      <sz val="11"/>
      <name val="??"/>
      <family val="3"/>
      <charset val="129"/>
    </font>
    <font>
      <sz val="8"/>
      <name val="Arial"/>
      <family val="2"/>
    </font>
    <font>
      <b val="true"/>
      <u val="single"/>
      <sz val="11"/>
      <color rgb="FF800000"/>
      <name val="Arial"/>
      <family val="2"/>
    </font>
    <font>
      <sz val="10"/>
      <color rgb="FF0000FF"/>
      <name val="Arial"/>
      <family val="2"/>
    </font>
    <font>
      <sz val="7"/>
      <name val="Small Fonts"/>
      <family val="0"/>
    </font>
    <font>
      <b val="true"/>
      <i val="true"/>
      <sz val="16"/>
      <name val="Arial"/>
      <family val="0"/>
    </font>
    <font>
      <sz val="8"/>
      <name val="Arial"/>
      <family val="0"/>
    </font>
    <font>
      <sz val="8"/>
      <color rgb="FF0000FF"/>
      <name val="Arial"/>
      <family val="2"/>
    </font>
    <font>
      <b val="true"/>
      <sz val="10"/>
      <name val="Arial"/>
      <family val="2"/>
    </font>
    <font>
      <b val="true"/>
      <sz val="9"/>
      <name val="Arial"/>
      <family val="2"/>
    </font>
    <font>
      <sz val="8.75"/>
      <color rgb="FF000000"/>
      <name val="Arial"/>
      <family val="2"/>
    </font>
    <font>
      <b val="true"/>
      <sz val="12"/>
      <name val="Arial"/>
      <family val="2"/>
    </font>
    <font>
      <b val="true"/>
      <sz val="12"/>
      <color rgb="FFFFFFFF"/>
      <name val="Arial"/>
      <family val="2"/>
    </font>
    <font>
      <b val="true"/>
      <sz val="10"/>
      <color rgb="FFC0C0C0"/>
      <name val="Arial"/>
      <family val="2"/>
    </font>
    <font>
      <sz val="10"/>
      <color rgb="FFC0C0C0"/>
      <name val="Arial"/>
      <family val="2"/>
    </font>
    <font>
      <sz val="10"/>
      <name val="Arial"/>
      <family val="2"/>
    </font>
    <font>
      <b val="true"/>
      <sz val="10"/>
      <color rgb="FFFFFFFF"/>
      <name val="Arial"/>
      <family val="2"/>
    </font>
    <font>
      <sz val="10"/>
      <color rgb="FFFFFFFF"/>
      <name val="Arial"/>
      <family val="2"/>
    </font>
    <font>
      <b val="true"/>
      <sz val="10"/>
      <color rgb="FFFF0000"/>
      <name val="Arial"/>
      <family val="2"/>
    </font>
    <font>
      <b val="true"/>
      <sz val="10"/>
      <color rgb="FF000000"/>
      <name val="Tahoma"/>
      <family val="2"/>
    </font>
    <font>
      <sz val="10"/>
      <color rgb="FF000000"/>
      <name val="Tahoma"/>
      <family val="2"/>
    </font>
  </fonts>
  <fills count="13">
    <fill>
      <patternFill patternType="none"/>
    </fill>
    <fill>
      <patternFill patternType="gray125"/>
    </fill>
    <fill>
      <patternFill patternType="solid">
        <fgColor rgb="FF99CCFF"/>
        <bgColor rgb="FFCCCCFF"/>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FFFF00"/>
        <bgColor rgb="FFFFFF00"/>
      </patternFill>
    </fill>
    <fill>
      <patternFill patternType="solid">
        <fgColor rgb="FF99CC00"/>
        <bgColor rgb="FFFFCC00"/>
      </patternFill>
    </fill>
    <fill>
      <patternFill patternType="solid">
        <fgColor rgb="FF0000FF"/>
        <bgColor rgb="FF0000FF"/>
      </patternFill>
    </fill>
    <fill>
      <patternFill patternType="solid">
        <fgColor rgb="FF000000"/>
        <bgColor rgb="FF003300"/>
      </patternFill>
    </fill>
    <fill>
      <patternFill patternType="solid">
        <fgColor rgb="FF800080"/>
        <bgColor rgb="FF800080"/>
      </patternFill>
    </fill>
    <fill>
      <patternFill patternType="solid">
        <fgColor rgb="FFFF0000"/>
        <bgColor rgb="FF993300"/>
      </patternFill>
    </fill>
    <fill>
      <patternFill patternType="solid">
        <fgColor rgb="FF00CCFF"/>
        <bgColor rgb="FF33CCCC"/>
      </patternFill>
    </fill>
  </fills>
  <borders count="29">
    <border diagonalUp="false" diagonalDown="false">
      <left/>
      <right/>
      <top/>
      <bottom/>
      <diagonal/>
    </border>
    <border diagonalUp="false" diagonalDown="false">
      <left style="double"/>
      <right/>
      <top/>
      <bottom style="hair"/>
      <diagonal/>
    </border>
    <border diagonalUp="false" diagonalDown="false">
      <left style="double"/>
      <right style="double"/>
      <top style="double"/>
      <bottom style="double"/>
      <diagonal/>
    </border>
    <border diagonalUp="false" diagonalDown="false">
      <left/>
      <right/>
      <top style="thin"/>
      <bottom style="double"/>
      <diagonal/>
    </border>
    <border diagonalUp="false" diagonalDown="false">
      <left style="thin"/>
      <right style="thin"/>
      <top style="thin"/>
      <bottom style="thin"/>
      <diagonal/>
    </border>
    <border diagonalUp="false" diagonalDown="false">
      <left/>
      <right/>
      <top/>
      <bottom style="medium"/>
      <diagonal/>
    </border>
    <border diagonalUp="false" diagonalDown="false">
      <left/>
      <right/>
      <top/>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medium"/>
      <right style="thin"/>
      <top style="medium"/>
      <bottom style="medium"/>
      <diagonal/>
    </border>
    <border diagonalUp="false" diagonalDown="false">
      <left/>
      <right style="medium"/>
      <top style="medium"/>
      <bottom style="medium"/>
      <diagonal/>
    </border>
    <border diagonalUp="false" diagonalDown="false">
      <left style="medium"/>
      <right style="thin"/>
      <top/>
      <bottom/>
      <diagonal/>
    </border>
    <border diagonalUp="false" diagonalDown="false">
      <left/>
      <right style="medium"/>
      <top/>
      <botto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thin"/>
      <top/>
      <bottom style="medium"/>
      <diagonal/>
    </border>
    <border diagonalUp="false" diagonalDown="false">
      <left/>
      <right style="medium"/>
      <top/>
      <bottom style="medium"/>
      <diagonal/>
    </border>
    <border diagonalUp="false" diagonalDown="false">
      <left style="medium"/>
      <right style="medium"/>
      <top/>
      <bottom style="mediu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diagonal/>
    </border>
    <border diagonalUp="false" diagonalDown="false">
      <left style="medium"/>
      <right/>
      <top/>
      <bottom style="thin"/>
      <diagonal/>
    </border>
    <border diagonalUp="false" diagonalDown="false">
      <left style="medium"/>
      <right style="medium"/>
      <top/>
      <bottom style="thin"/>
      <diagonal/>
    </border>
    <border diagonalUp="false" diagonalDown="false">
      <left style="medium"/>
      <right/>
      <top/>
      <bottom style="medium"/>
      <diagonal/>
    </border>
  </borders>
  <cellStyleXfs count="3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5" fontId="0" fillId="0" borderId="0" applyFont="true" applyBorder="false" applyAlignment="false" applyProtection="false"/>
    <xf numFmtId="41" fontId="1" fillId="0" borderId="0" applyFont="true" applyBorder="false" applyAlignment="false" applyProtection="false"/>
    <xf numFmtId="178" fontId="0" fillId="0" borderId="0" applyFont="true" applyBorder="false" applyAlignment="false" applyProtection="false"/>
    <xf numFmtId="42" fontId="1" fillId="0" borderId="0" applyFont="true" applyBorder="false" applyAlignment="false" applyProtection="false"/>
    <xf numFmtId="169"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2" borderId="1" applyFont="true" applyBorder="true" applyAlignment="true" applyProtection="true">
      <alignment horizontal="center" vertical="center"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false" hidden="false"/>
    </xf>
    <xf numFmtId="164" fontId="0" fillId="0" borderId="0" applyFont="true" applyBorder="true" applyAlignment="true" applyProtection="true">
      <alignment horizontal="general" vertical="bottom" textRotation="0" wrapText="false" indent="0" shrinkToFit="false"/>
      <protection locked="false" hidden="false"/>
    </xf>
    <xf numFmtId="164" fontId="7" fillId="3" borderId="0" applyFont="true" applyBorder="false" applyAlignment="false" applyProtection="false"/>
    <xf numFmtId="164" fontId="8"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false" hidden="false"/>
    </xf>
    <xf numFmtId="164" fontId="0" fillId="0" borderId="0" applyFont="true" applyBorder="true" applyAlignment="true" applyProtection="true">
      <alignment horizontal="general" vertical="bottom" textRotation="0" wrapText="false" indent="0" shrinkToFit="false"/>
      <protection locked="false" hidden="false"/>
    </xf>
    <xf numFmtId="164" fontId="9" fillId="0" borderId="2" applyFont="true" applyBorder="true" applyAlignment="false" applyProtection="false"/>
    <xf numFmtId="164" fontId="7" fillId="4" borderId="0" applyFont="true" applyBorder="false" applyAlignment="false" applyProtection="false"/>
    <xf numFmtId="166" fontId="10" fillId="0" borderId="0" applyFont="true" applyBorder="true" applyAlignment="true" applyProtection="true">
      <alignment horizontal="general" vertical="bottom" textRotation="0" wrapText="false" indent="0" shrinkToFit="false"/>
      <protection locked="true" hidden="false"/>
    </xf>
    <xf numFmtId="164" fontId="11"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false" applyProtection="false"/>
    <xf numFmtId="164" fontId="0" fillId="0" borderId="3" applyFont="true" applyBorder="true" applyAlignment="true" applyProtection="true">
      <alignment horizontal="general" vertical="bottom" textRotation="0" wrapText="false" indent="0" shrinkToFit="false"/>
      <protection locked="false" hidden="false"/>
    </xf>
    <xf numFmtId="164" fontId="7" fillId="5" borderId="0" applyFont="true" applyBorder="false" applyAlignment="false" applyProtection="false"/>
    <xf numFmtId="166" fontId="12" fillId="0" borderId="0" applyFont="true" applyBorder="true" applyAlignment="true" applyProtection="true">
      <alignment horizontal="general" vertical="bottom" textRotation="0" wrapText="false" indent="0" shrinkToFit="false"/>
      <protection locked="true" hidden="false"/>
    </xf>
    <xf numFmtId="168" fontId="13" fillId="0" borderId="2" applyFont="true" applyBorder="true" applyAlignment="true" applyProtection="false">
      <alignment horizontal="general" vertical="bottom" textRotation="0" wrapText="false" indent="0" shrinkToFit="false"/>
    </xf>
  </cellStyleXfs>
  <cellXfs count="130">
    <xf numFmtId="164" fontId="0" fillId="0" borderId="0" xfId="0" applyFont="fals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70" fontId="14" fillId="6" borderId="4" xfId="19" applyFont="true" applyBorder="true" applyAlignment="true" applyProtection="true">
      <alignment horizontal="center" vertical="bottom" textRotation="0" wrapText="false" indent="0" shrinkToFit="false"/>
      <protection locked="true" hidden="false"/>
    </xf>
    <xf numFmtId="164" fontId="0" fillId="0" borderId="5" xfId="0" applyFont="true" applyBorder="true" applyAlignment="true" applyProtection="false">
      <alignment horizontal="center" vertical="bottom" textRotation="0" wrapText="true" indent="0" shrinkToFit="false"/>
      <protection locked="true" hidden="false"/>
    </xf>
    <xf numFmtId="164" fontId="14" fillId="0" borderId="5" xfId="0" applyFont="true" applyBorder="true" applyAlignment="true" applyProtection="false">
      <alignment horizontal="center" vertical="bottom" textRotation="0" wrapText="true" indent="0" shrinkToFit="false"/>
      <protection locked="true" hidden="false"/>
    </xf>
    <xf numFmtId="164" fontId="14" fillId="0" borderId="5" xfId="0" applyFont="true" applyBorder="true" applyAlignment="true" applyProtection="false">
      <alignment horizontal="center" vertical="bottom" textRotation="0" wrapText="true" indent="0" shrinkToFit="false"/>
      <protection locked="true" hidden="false"/>
    </xf>
    <xf numFmtId="164" fontId="0" fillId="0" borderId="0" xfId="0" applyFont="false" applyBorder="false" applyAlignment="true" applyProtection="false">
      <alignment horizontal="left" vertical="bottom" textRotation="0" wrapText="false" indent="1"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14"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tru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17"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false" applyBorder="false" applyAlignment="false" applyProtection="false">
      <alignment horizontal="general" vertical="bottom" textRotation="0" wrapText="false" indent="0" shrinkToFit="false"/>
      <protection locked="true" hidden="false"/>
    </xf>
    <xf numFmtId="164" fontId="18" fillId="8" borderId="0" xfId="0" applyFont="true" applyBorder="fals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0" borderId="6" xfId="0" applyFont="true" applyBorder="true" applyAlignment="true" applyProtection="false">
      <alignment horizontal="right" vertical="bottom" textRotation="0" wrapText="false" indent="0" shrinkToFit="false"/>
      <protection locked="true" hidden="false"/>
    </xf>
    <xf numFmtId="171" fontId="0" fillId="0" borderId="6" xfId="0" applyFont="true" applyBorder="true" applyAlignment="true" applyProtection="false">
      <alignment horizontal="right" vertical="bottom" textRotation="0" wrapText="false" indent="0" shrinkToFit="false"/>
      <protection locked="tru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14" fillId="0" borderId="7" xfId="0" applyFont="true" applyBorder="true" applyAlignment="false" applyProtection="false">
      <alignment horizontal="general" vertical="bottom" textRotation="0" wrapText="false" indent="0" shrinkToFit="false"/>
      <protection locked="true" hidden="false"/>
    </xf>
    <xf numFmtId="164" fontId="0" fillId="0" borderId="8" xfId="0" applyFont="false" applyBorder="true" applyAlignment="false" applyProtection="false">
      <alignment horizontal="general"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true" applyAlignment="false" applyProtection="false">
      <alignment horizontal="general" vertical="bottom" textRotation="0" wrapText="false" indent="0" shrinkToFit="false"/>
      <protection locked="true" hidden="false"/>
    </xf>
    <xf numFmtId="170" fontId="0" fillId="0" borderId="0" xfId="19" applyFont="true" applyBorder="true" applyAlignment="true" applyProtection="true">
      <alignment horizontal="general" vertical="bottom" textRotation="0" wrapText="false" indent="0" shrinkToFit="false"/>
      <protection locked="true" hidden="false"/>
    </xf>
    <xf numFmtId="174" fontId="0" fillId="0" borderId="0" xfId="0" applyFont="false" applyBorder="true" applyAlignment="false" applyProtection="false">
      <alignment horizontal="general" vertical="bottom" textRotation="0" wrapText="false" indent="0" shrinkToFit="false"/>
      <protection locked="true" hidden="false"/>
    </xf>
    <xf numFmtId="173" fontId="20" fillId="0" borderId="0" xfId="0" applyFont="true" applyBorder="true" applyAlignment="false" applyProtection="false">
      <alignment horizontal="general" vertical="bottom" textRotation="0" wrapText="fals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73" fontId="21" fillId="0" borderId="0" xfId="0" applyFont="true" applyBorder="true" applyAlignment="false" applyProtection="fals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false" indent="0" shrinkToFit="false"/>
      <protection locked="true" hidden="false"/>
    </xf>
    <xf numFmtId="177" fontId="20" fillId="0" borderId="0" xfId="0" applyFont="true" applyBorder="true" applyAlignment="false" applyProtection="false">
      <alignment horizontal="general" vertical="bottom" textRotation="0" wrapText="false" indent="0" shrinkToFit="false"/>
      <protection locked="true" hidden="false"/>
    </xf>
    <xf numFmtId="172" fontId="0" fillId="0" borderId="0" xfId="0" applyFont="false" applyBorder="true" applyAlignment="false" applyProtection="false">
      <alignment horizontal="general" vertical="bottom" textRotation="0" wrapText="false" indent="0" shrinkToFit="false"/>
      <protection locked="true" hidden="false"/>
    </xf>
    <xf numFmtId="172" fontId="0" fillId="0" borderId="11" xfId="0" applyFont="false" applyBorder="true" applyAlignment="false" applyProtection="false">
      <alignment horizontal="general" vertical="bottom" textRotation="0" wrapText="false" indent="0" shrinkToFit="false"/>
      <protection locked="true" hidden="false"/>
    </xf>
    <xf numFmtId="177" fontId="21" fillId="0" borderId="0" xfId="0" applyFont="true" applyBorder="true" applyAlignment="false" applyProtection="false">
      <alignment horizontal="general" vertical="bottom" textRotation="0" wrapText="false" indent="0" shrinkToFit="false"/>
      <protection locked="true" hidden="false"/>
    </xf>
    <xf numFmtId="173" fontId="0" fillId="0" borderId="6" xfId="0" applyFont="false" applyBorder="true" applyAlignment="false" applyProtection="false">
      <alignment horizontal="general" vertical="bottom" textRotation="0" wrapText="false" indent="0" shrinkToFit="false"/>
      <protection locked="true" hidden="false"/>
    </xf>
    <xf numFmtId="170" fontId="0" fillId="0" borderId="6" xfId="19" applyFont="true" applyBorder="true" applyAlignment="true" applyProtection="true">
      <alignment horizontal="general" vertical="bottom" textRotation="0" wrapText="false" indent="0" shrinkToFit="false"/>
      <protection locked="true" hidden="false"/>
    </xf>
    <xf numFmtId="164" fontId="0" fillId="0" borderId="12" xfId="0" applyFont="true" applyBorder="true" applyAlignment="false" applyProtection="false">
      <alignment horizontal="general" vertical="bottom" textRotation="0" wrapText="false" indent="0" shrinkToFit="false"/>
      <protection locked="true" hidden="false"/>
    </xf>
    <xf numFmtId="172" fontId="0" fillId="0" borderId="6" xfId="0" applyFont="false" applyBorder="true" applyAlignment="false" applyProtection="false">
      <alignment horizontal="general" vertical="bottom" textRotation="0" wrapText="false" indent="0" shrinkToFit="false"/>
      <protection locked="true" hidden="false"/>
    </xf>
    <xf numFmtId="172" fontId="0" fillId="0" borderId="13" xfId="0" applyFont="false" applyBorder="tru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right" vertical="bottom" textRotation="0" wrapText="false" indent="0" shrinkToFit="false"/>
      <protection locked="true" hidden="false"/>
    </xf>
    <xf numFmtId="173" fontId="20" fillId="0" borderId="0" xfId="0" applyFont="true" applyBorder="false" applyAlignment="false" applyProtection="false">
      <alignment horizontal="general" vertical="bottom" textRotation="0" wrapText="false" indent="0" shrinkToFit="false"/>
      <protection locked="true" hidden="false"/>
    </xf>
    <xf numFmtId="173" fontId="21" fillId="0" borderId="0" xfId="0" applyFont="true" applyBorder="false" applyAlignment="false" applyProtection="false">
      <alignment horizontal="general" vertical="bottom" textRotation="0" wrapText="false" indent="0" shrinkToFit="false"/>
      <protection locked="true" hidden="false"/>
    </xf>
    <xf numFmtId="179" fontId="0" fillId="0" borderId="0" xfId="17" applyFont="true" applyBorder="true" applyAlignment="true" applyProtection="true">
      <alignment horizontal="general" vertical="bottom" textRotation="0" wrapText="false" indent="0" shrinkToFit="false"/>
      <protection locked="true" hidden="false"/>
    </xf>
    <xf numFmtId="177" fontId="20" fillId="0" borderId="0" xfId="0" applyFont="true" applyBorder="false" applyAlignment="false" applyProtection="false">
      <alignment horizontal="general" vertical="bottom" textRotation="0" wrapText="false" indent="0" shrinkToFit="false"/>
      <protection locked="true" hidden="false"/>
    </xf>
    <xf numFmtId="177" fontId="21"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22" fillId="9" borderId="0" xfId="0" applyFont="true" applyBorder="false" applyAlignment="false" applyProtection="false">
      <alignment horizontal="general" vertical="bottom" textRotation="0" wrapText="false" indent="0" shrinkToFit="false"/>
      <protection locked="true" hidden="false"/>
    </xf>
    <xf numFmtId="164" fontId="23" fillId="9" borderId="0" xfId="0" applyFont="true" applyBorder="false" applyAlignment="false" applyProtection="false">
      <alignment horizontal="general" vertical="bottom" textRotation="0" wrapText="false" indent="0" shrinkToFit="false"/>
      <protection locked="true" hidden="false"/>
    </xf>
    <xf numFmtId="173" fontId="23" fillId="9" borderId="0" xfId="0" applyFont="true" applyBorder="true" applyAlignment="false" applyProtection="false">
      <alignment horizontal="general" vertical="bottom" textRotation="0" wrapText="false" indent="0" shrinkToFit="false"/>
      <protection locked="true" hidden="false"/>
    </xf>
    <xf numFmtId="170" fontId="23" fillId="9" borderId="0" xfId="19" applyFont="true" applyBorder="true" applyAlignment="true" applyProtection="true">
      <alignment horizontal="general" vertical="bottom" textRotation="0" wrapText="false" indent="0" shrinkToFit="false"/>
      <protection locked="true" hidden="false"/>
    </xf>
    <xf numFmtId="164" fontId="22" fillId="10" borderId="0" xfId="0" applyFont="true" applyBorder="false" applyAlignment="false" applyProtection="false">
      <alignment horizontal="general" vertical="bottom" textRotation="0" wrapText="false" indent="0" shrinkToFit="false"/>
      <protection locked="true" hidden="false"/>
    </xf>
    <xf numFmtId="164" fontId="23" fillId="10" borderId="0" xfId="0" applyFont="true" applyBorder="false" applyAlignment="false" applyProtection="false">
      <alignment horizontal="general" vertical="bottom" textRotation="0" wrapText="false" indent="0" shrinkToFit="false"/>
      <protection locked="true" hidden="false"/>
    </xf>
    <xf numFmtId="164" fontId="22" fillId="11" borderId="0" xfId="0" applyFont="true" applyBorder="false" applyAlignment="false" applyProtection="false">
      <alignment horizontal="general" vertical="bottom" textRotation="0" wrapText="false" indent="0" shrinkToFit="false"/>
      <protection locked="true" hidden="false"/>
    </xf>
    <xf numFmtId="164" fontId="23" fillId="11" borderId="0" xfId="0" applyFont="true" applyBorder="false" applyAlignment="false" applyProtection="false">
      <alignment horizontal="general" vertical="bottom" textRotation="0" wrapText="false" indent="0" shrinkToFit="false"/>
      <protection locked="true" hidden="false"/>
    </xf>
    <xf numFmtId="180" fontId="14" fillId="0" borderId="4" xfId="0" applyFont="true" applyBorder="true" applyAlignment="true" applyProtection="false">
      <alignment horizontal="center" vertical="bottom" textRotation="0" wrapText="false" indent="0" shrinkToFit="false"/>
      <protection locked="true" hidden="false"/>
    </xf>
    <xf numFmtId="180" fontId="0" fillId="0" borderId="0" xfId="0" applyFont="false" applyBorder="false" applyAlignment="false" applyProtection="false">
      <alignment horizontal="general" vertical="bottom" textRotation="0" wrapText="false" indent="0" shrinkToFit="false"/>
      <protection locked="true" hidden="false"/>
    </xf>
    <xf numFmtId="170" fontId="0" fillId="6" borderId="4" xfId="0" applyFont="false" applyBorder="true" applyAlignment="true" applyProtection="false">
      <alignment horizontal="center" vertical="bottom" textRotation="0" wrapText="false" indent="0" shrinkToFit="false"/>
      <protection locked="true" hidden="false"/>
    </xf>
    <xf numFmtId="172" fontId="0" fillId="6" borderId="4" xfId="0" applyFont="false" applyBorder="true" applyAlignment="false" applyProtection="false">
      <alignment horizontal="general" vertical="bottom" textRotation="0" wrapText="false" indent="0" shrinkToFit="false"/>
      <protection locked="true" hidden="false"/>
    </xf>
    <xf numFmtId="173" fontId="0" fillId="6" borderId="4" xfId="0" applyFont="false" applyBorder="true" applyAlignment="false" applyProtection="false">
      <alignment horizontal="general" vertical="bottom" textRotation="0" wrapText="false" indent="0" shrinkToFit="false"/>
      <protection locked="true" hidden="false"/>
    </xf>
    <xf numFmtId="164" fontId="14" fillId="6" borderId="4" xfId="0" applyFont="true" applyBorder="tru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4" fontId="0" fillId="0" borderId="5" xfId="0" applyFont="false" applyBorder="true" applyAlignment="true" applyProtection="false">
      <alignment horizontal="center" vertical="bottom" textRotation="0" wrapText="false" indent="0" shrinkToFit="false"/>
      <protection locked="true" hidden="false"/>
    </xf>
    <xf numFmtId="164" fontId="0" fillId="0" borderId="5" xfId="0" applyFont="true" applyBorder="true" applyAlignment="true" applyProtection="false">
      <alignment horizontal="center" vertical="bottom" textRotation="0" wrapText="false" indent="0" shrinkToFit="false"/>
      <protection locked="true" hidden="false"/>
    </xf>
    <xf numFmtId="181" fontId="0" fillId="0" borderId="5" xfId="0" applyFont="true" applyBorder="true" applyAlignment="true" applyProtection="false">
      <alignment horizontal="center" vertical="bottom" textRotation="0" wrapText="false" indent="0" shrinkToFit="false"/>
      <protection locked="true" hidden="false"/>
    </xf>
    <xf numFmtId="164" fontId="14" fillId="0" borderId="5" xfId="0" applyFont="true" applyBorder="true" applyAlignment="true" applyProtection="false">
      <alignment horizontal="center" vertical="bottom"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64" fontId="24" fillId="0" borderId="5" xfId="0" applyFont="true" applyBorder="true" applyAlignment="true" applyProtection="false">
      <alignment horizontal="center" vertical="bottom" textRotation="0" wrapText="false" indent="0" shrinkToFit="false"/>
      <protection locked="true" hidden="false"/>
    </xf>
    <xf numFmtId="164" fontId="20" fillId="0" borderId="5" xfId="0" applyFont="true" applyBorder="true" applyAlignment="true" applyProtection="false">
      <alignment horizontal="center" vertical="bottom" textRotation="0" wrapText="false" indent="0" shrinkToFit="false"/>
      <protection locked="true" hidden="false"/>
    </xf>
    <xf numFmtId="182" fontId="0" fillId="3" borderId="0" xfId="0" applyFont="false" applyBorder="false" applyAlignment="true" applyProtection="false">
      <alignment horizontal="center" vertical="bottom" textRotation="0" wrapText="false" indent="0" shrinkToFit="false"/>
      <protection locked="true" hidden="false"/>
    </xf>
    <xf numFmtId="164" fontId="0" fillId="3" borderId="0" xfId="0" applyFont="false" applyBorder="true" applyAlignment="true" applyProtection="false">
      <alignment horizontal="center" vertical="bottom" textRotation="0" wrapText="false" indent="0" shrinkToFit="false"/>
      <protection locked="true" hidden="false"/>
    </xf>
    <xf numFmtId="167" fontId="0" fillId="3" borderId="0" xfId="0" applyFont="false" applyBorder="true" applyAlignment="false" applyProtection="false">
      <alignment horizontal="general" vertical="bottom" textRotation="0" wrapText="false" indent="0" shrinkToFit="false"/>
      <protection locked="true" hidden="false"/>
    </xf>
    <xf numFmtId="183" fontId="0" fillId="3" borderId="0" xfId="0" applyFont="false" applyBorder="tru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73" fontId="0" fillId="3" borderId="0" xfId="0" applyFont="fals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72" fontId="0" fillId="3" borderId="0" xfId="0" applyFont="false" applyBorder="false" applyAlignment="false" applyProtection="false">
      <alignment horizontal="general" vertical="bottom" textRotation="0" wrapText="false" indent="0" shrinkToFit="false"/>
      <protection locked="true" hidden="false"/>
    </xf>
    <xf numFmtId="171" fontId="0" fillId="5" borderId="0" xfId="0" applyFont="false" applyBorder="false" applyAlignment="false" applyProtection="false">
      <alignment horizontal="general" vertical="bottom" textRotation="0" wrapText="false" indent="0" shrinkToFit="false"/>
      <protection locked="true" hidden="false"/>
    </xf>
    <xf numFmtId="173" fontId="0" fillId="3" borderId="0" xfId="0" applyFont="false" applyBorder="true" applyAlignment="false" applyProtection="false">
      <alignment horizontal="general" vertical="bottom" textRotation="0" wrapText="false" indent="0" shrinkToFit="false"/>
      <protection locked="true" hidden="false"/>
    </xf>
    <xf numFmtId="171" fontId="0" fillId="3" borderId="0" xfId="0" applyFont="false" applyBorder="false" applyAlignment="false" applyProtection="false">
      <alignment horizontal="general" vertical="bottom" textRotation="0" wrapText="false" indent="0" shrinkToFit="false"/>
      <protection locked="true" hidden="false"/>
    </xf>
    <xf numFmtId="182" fontId="0" fillId="0" borderId="0" xfId="0" applyFont="false" applyBorder="false" applyAlignment="true" applyProtection="false">
      <alignment horizontal="center" vertical="bottom" textRotation="0" wrapText="false" indent="0" shrinkToFit="false"/>
      <protection locked="true" hidden="false"/>
    </xf>
    <xf numFmtId="167" fontId="0" fillId="0" borderId="0" xfId="0" applyFont="false" applyBorder="true" applyAlignment="false" applyProtection="false">
      <alignment horizontal="general" vertical="bottom" textRotation="0" wrapText="false" indent="0" shrinkToFit="false"/>
      <protection locked="true" hidden="false"/>
    </xf>
    <xf numFmtId="183" fontId="0" fillId="0" borderId="0" xfId="0" applyFont="false" applyBorder="true" applyAlignment="false" applyProtection="false">
      <alignment horizontal="general"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64" fontId="0" fillId="0" borderId="14" xfId="0" applyFont="true" applyBorder="true" applyAlignment="true" applyProtection="false">
      <alignment horizontal="center" vertical="bottom" textRotation="0" wrapText="false" indent="0" shrinkToFit="false"/>
      <protection locked="true" hidden="false"/>
    </xf>
    <xf numFmtId="164" fontId="0" fillId="0" borderId="15"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75" fontId="0" fillId="0" borderId="16" xfId="0" applyFont="false" applyBorder="true" applyAlignment="false" applyProtection="false">
      <alignment horizontal="general" vertical="bottom" textRotation="0" wrapText="false" indent="0" shrinkToFit="false"/>
      <protection locked="true" hidden="false"/>
    </xf>
    <xf numFmtId="175" fontId="0" fillId="0" borderId="17" xfId="0" applyFont="false" applyBorder="true" applyAlignment="false" applyProtection="false">
      <alignment horizontal="general" vertical="bottom" textRotation="0" wrapText="false" indent="0" shrinkToFit="false"/>
      <protection locked="true" hidden="false"/>
    </xf>
    <xf numFmtId="175" fontId="0" fillId="0" borderId="0" xfId="0" applyFont="false" applyBorder="true" applyAlignment="false" applyProtection="false">
      <alignment horizontal="general" vertical="bottom" textRotation="0" wrapText="false" indent="0" shrinkToFit="false"/>
      <protection locked="true" hidden="false"/>
    </xf>
    <xf numFmtId="183" fontId="0" fillId="0" borderId="18" xfId="0" applyFont="false" applyBorder="true" applyAlignment="fals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83" fontId="0" fillId="0" borderId="19" xfId="0" applyFont="false" applyBorder="true" applyAlignment="false" applyProtection="false">
      <alignment horizontal="general" vertical="bottom" textRotation="0" wrapText="false" indent="0" shrinkToFit="false"/>
      <protection locked="true" hidden="false"/>
    </xf>
    <xf numFmtId="175" fontId="0" fillId="0" borderId="20" xfId="0" applyFont="false" applyBorder="true" applyAlignment="false" applyProtection="false">
      <alignment horizontal="general" vertical="bottom" textRotation="0" wrapText="false" indent="0" shrinkToFit="false"/>
      <protection locked="true" hidden="false"/>
    </xf>
    <xf numFmtId="175" fontId="0" fillId="0" borderId="21" xfId="0" applyFont="false" applyBorder="true" applyAlignment="false" applyProtection="false">
      <alignment horizontal="general" vertical="bottom" textRotation="0" wrapText="false" indent="0" shrinkToFit="false"/>
      <protection locked="true" hidden="false"/>
    </xf>
    <xf numFmtId="183" fontId="0" fillId="0" borderId="22" xfId="0" applyFont="false" applyBorder="true" applyAlignment="false" applyProtection="false">
      <alignment horizontal="general"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1" fillId="0" borderId="6" xfId="0" applyFont="true" applyBorder="true" applyAlignment="true" applyProtection="false">
      <alignment horizontal="center" vertical="bottom" textRotation="0" wrapText="false" indent="0" shrinkToFit="false"/>
      <protection locked="true" hidden="false"/>
    </xf>
    <xf numFmtId="164" fontId="21" fillId="0" borderId="6" xfId="0" applyFont="true" applyBorder="true" applyAlignment="true" applyProtection="false">
      <alignment horizontal="left" vertical="bottom" textRotation="0" wrapText="false" indent="0" shrinkToFit="false"/>
      <protection locked="true" hidden="false"/>
    </xf>
    <xf numFmtId="171" fontId="0" fillId="0" borderId="6" xfId="0" applyFont="false" applyBorder="true" applyAlignment="false" applyProtection="false">
      <alignment horizontal="general" vertical="bottom" textRotation="0" wrapText="false" indent="0" shrinkToFit="false"/>
      <protection locked="true" hidden="false"/>
    </xf>
    <xf numFmtId="164" fontId="14" fillId="0" borderId="23" xfId="0" applyFont="true" applyBorder="true" applyAlignment="false" applyProtection="false">
      <alignment horizontal="general" vertical="bottom" textRotation="0" wrapText="false" indent="0" shrinkToFit="false"/>
      <protection locked="true" hidden="false"/>
    </xf>
    <xf numFmtId="164" fontId="0" fillId="0" borderId="24" xfId="0" applyFont="false" applyBorder="true" applyAlignment="false" applyProtection="false">
      <alignment horizontal="general" vertical="bottom" textRotation="0" wrapText="false" indent="0" shrinkToFit="false"/>
      <protection locked="true" hidden="false"/>
    </xf>
    <xf numFmtId="164" fontId="0" fillId="0" borderId="18" xfId="0" applyFont="false" applyBorder="true" applyAlignment="false" applyProtection="false">
      <alignment horizontal="general" vertical="bottom" textRotation="0" wrapText="false" indent="0" shrinkToFit="false"/>
      <protection locked="true" hidden="false"/>
    </xf>
    <xf numFmtId="164" fontId="0" fillId="0" borderId="25"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14" fillId="0" borderId="19" xfId="0" applyFont="true" applyBorder="true" applyAlignment="true" applyProtection="false">
      <alignment horizontal="center" vertical="bottom" textRotation="0" wrapText="false" indent="0" shrinkToFit="false"/>
      <protection locked="true" hidden="false"/>
    </xf>
    <xf numFmtId="164" fontId="0" fillId="0" borderId="26" xfId="0" applyFont="true" applyBorder="true" applyAlignment="false" applyProtection="false">
      <alignment horizontal="general" vertical="bottom" textRotation="0" wrapText="false" indent="0" shrinkToFit="false"/>
      <protection locked="true" hidden="false"/>
    </xf>
    <xf numFmtId="164" fontId="14" fillId="0" borderId="27" xfId="0" applyFont="true" applyBorder="true" applyAlignment="true" applyProtection="false">
      <alignment horizontal="center" vertical="bottom" textRotation="0" wrapText="false" indent="0" shrinkToFit="false"/>
      <protection locked="true" hidden="false"/>
    </xf>
    <xf numFmtId="171" fontId="0" fillId="0" borderId="25" xfId="0" applyFont="false" applyBorder="true" applyAlignment="false" applyProtection="false">
      <alignment horizontal="general" vertical="bottom" textRotation="0" wrapText="false" indent="0" shrinkToFit="false"/>
      <protection locked="true" hidden="false"/>
    </xf>
    <xf numFmtId="171" fontId="0" fillId="0" borderId="0" xfId="0" applyFont="false" applyBorder="true" applyAlignment="false" applyProtection="false">
      <alignment horizontal="general" vertical="bottom" textRotation="0" wrapText="false" indent="0" shrinkToFit="false"/>
      <protection locked="true" hidden="false"/>
    </xf>
    <xf numFmtId="171" fontId="14" fillId="0" borderId="19" xfId="0" applyFont="true" applyBorder="true" applyAlignment="false" applyProtection="false">
      <alignment horizontal="general" vertical="bottom" textRotation="0" wrapText="false" indent="0" shrinkToFit="false"/>
      <protection locked="true" hidden="false"/>
    </xf>
    <xf numFmtId="171" fontId="0" fillId="0" borderId="28" xfId="0" applyFont="false" applyBorder="true" applyAlignment="false" applyProtection="false">
      <alignment horizontal="general" vertical="bottom" textRotation="0" wrapText="false" indent="0" shrinkToFit="false"/>
      <protection locked="true" hidden="false"/>
    </xf>
    <xf numFmtId="171" fontId="0" fillId="0" borderId="5" xfId="0" applyFont="false" applyBorder="true" applyAlignment="false" applyProtection="false">
      <alignment horizontal="general" vertical="bottom" textRotation="0" wrapText="false" indent="0" shrinkToFit="false"/>
      <protection locked="true" hidden="false"/>
    </xf>
    <xf numFmtId="171" fontId="14" fillId="0" borderId="22" xfId="0" applyFont="true" applyBorder="true" applyAlignment="false" applyProtection="false">
      <alignment horizontal="general" vertical="bottom" textRotation="0" wrapText="false" indent="0" shrinkToFit="false"/>
      <protection locked="true" hidden="false"/>
    </xf>
    <xf numFmtId="171"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14" fillId="0" borderId="0" xfId="0" applyFont="true" applyBorder="true" applyAlignment="false" applyProtection="false">
      <alignment horizontal="general" vertical="bottom" textRotation="0" wrapText="false" indent="0" shrinkToFit="false"/>
      <protection locked="true" hidden="false"/>
    </xf>
    <xf numFmtId="171" fontId="14" fillId="6" borderId="4" xfId="0" applyFont="true" applyBorder="true" applyAlignment="false" applyProtection="false">
      <alignment horizontal="general" vertical="bottom" textRotation="0" wrapText="false" indent="0" shrinkToFit="false"/>
      <protection locked="true" hidden="false"/>
    </xf>
    <xf numFmtId="171" fontId="14" fillId="0" borderId="0" xfId="0" applyFont="true" applyBorder="tru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71" fontId="21" fillId="6" borderId="4" xfId="0" applyFont="true" applyBorder="true" applyAlignment="false" applyProtection="false">
      <alignment horizontal="general" vertical="bottom" textRotation="0" wrapText="false" indent="0" shrinkToFit="false"/>
      <protection locked="true" hidden="false"/>
    </xf>
    <xf numFmtId="171" fontId="14" fillId="0" borderId="0" xfId="0" applyFont="true" applyBorder="false" applyAlignment="false" applyProtection="false">
      <alignment horizontal="general" vertical="bottom" textRotation="0" wrapText="false" indent="0" shrinkToFit="false"/>
      <protection locked="true" hidden="false"/>
    </xf>
    <xf numFmtId="181" fontId="0" fillId="0" borderId="0" xfId="0" applyFont="false" applyBorder="false" applyAlignment="false" applyProtection="false">
      <alignment horizontal="general" vertical="bottom" textRotation="0" wrapText="false" indent="0" shrinkToFit="false"/>
      <protection locked="true" hidden="false"/>
    </xf>
    <xf numFmtId="169" fontId="0" fillId="12" borderId="4" xfId="19" applyFont="true" applyBorder="true" applyAlignment="true" applyProtection="true">
      <alignment horizontal="general" vertical="bottom" textRotation="0" wrapText="false" indent="0" shrinkToFit="false"/>
      <protection locked="true" hidden="false"/>
    </xf>
    <xf numFmtId="181" fontId="0" fillId="6" borderId="4" xfId="0" applyFont="false" applyBorder="true" applyAlignment="false" applyProtection="false">
      <alignment horizontal="general" vertical="bottom" textRotation="0" wrapText="false" indent="0" shrinkToFit="false"/>
      <protection locked="true" hidden="false"/>
    </xf>
  </cellXfs>
  <cellStyles count="23">
    <cellStyle name="Normal" xfId="0" builtinId="0"/>
    <cellStyle name="Comma" xfId="15" builtinId="3"/>
    <cellStyle name="Comma [0]" xfId="16" builtinId="6"/>
    <cellStyle name="Currency" xfId="17" builtinId="4"/>
    <cellStyle name="Currency [0]" xfId="18" builtinId="7"/>
    <cellStyle name="Percent" xfId="19" builtinId="5"/>
    <cellStyle name="??_?.????" xfId="20"/>
    <cellStyle name="Actual Date" xfId="21"/>
    <cellStyle name="Date" xfId="22"/>
    <cellStyle name="Fixed" xfId="23"/>
    <cellStyle name="Grey" xfId="24"/>
    <cellStyle name="HEADER" xfId="25"/>
    <cellStyle name="Heading 1" xfId="26"/>
    <cellStyle name="Heading2" xfId="27"/>
    <cellStyle name="HIGHLIGHT" xfId="28"/>
    <cellStyle name="Input [yellow]" xfId="29"/>
    <cellStyle name="no dec" xfId="30"/>
    <cellStyle name="Normal - Style1" xfId="31"/>
    <cellStyle name="Percent [2]" xfId="32"/>
    <cellStyle name="Total" xfId="33"/>
    <cellStyle name="Unprot" xfId="34"/>
    <cellStyle name="Unprot$" xfId="35"/>
    <cellStyle name="Unprotect" xfId="36"/>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uFillTx/>
                <a:latin typeface="Arial"/>
              </a:rPr>
              <a:t>SCE's Assumed Short Position</a:t>
            </a:r>
          </a:p>
          <a:p>
            <a:pPr>
              <a:defRPr b="0" sz="1300" strike="noStrike" u="none">
                <a:uFillTx/>
                <a:latin typeface="Arial"/>
              </a:defRPr>
            </a:pPr>
            <a:r>
              <a:rPr b="0" sz="800" strike="noStrike" u="none">
                <a:uFillTx/>
                <a:latin typeface="Arial"/>
              </a:rPr>
              <a:t>MWa for Month</a:t>
            </a:r>
          </a:p>
        </c:rich>
      </c:tx>
      <c:overlay val="0"/>
      <c:spPr>
        <a:noFill/>
        <a:ln w="0">
          <a:noFill/>
        </a:ln>
      </c:spPr>
    </c:title>
    <c:autoTitleDeleted val="0"/>
    <c:plotArea>
      <c:layout>
        <c:manualLayout>
          <c:xMode val="edge"/>
          <c:yMode val="edge"/>
          <c:x val="0.0457162798813471"/>
          <c:y val="0.15061831318605"/>
          <c:w val="0.930378642470773"/>
          <c:h val="0.814089203834931"/>
        </c:manualLayout>
      </c:layout>
      <c:barChart>
        <c:barDir val="col"/>
        <c:grouping val="clustered"/>
        <c:varyColors val="0"/>
        <c:ser>
          <c:idx val="0"/>
          <c:order val="0"/>
          <c:spPr>
            <a:solidFill>
              <a:srgbClr val="3399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CALC!$A$56:$A$67</c:f>
              <c:strCache>
                <c:ptCount val="12"/>
                <c:pt idx="0">
                  <c:v>Jan-02</c:v>
                </c:pt>
                <c:pt idx="1">
                  <c:v>Feb-02</c:v>
                </c:pt>
                <c:pt idx="2">
                  <c:v>Mar-02</c:v>
                </c:pt>
                <c:pt idx="3">
                  <c:v>Apr-02</c:v>
                </c:pt>
                <c:pt idx="4">
                  <c:v>May-02</c:v>
                </c:pt>
                <c:pt idx="5">
                  <c:v>Jun-02</c:v>
                </c:pt>
                <c:pt idx="6">
                  <c:v>Jul-02</c:v>
                </c:pt>
                <c:pt idx="7">
                  <c:v>Aug-02</c:v>
                </c:pt>
                <c:pt idx="8">
                  <c:v>Sep-02</c:v>
                </c:pt>
                <c:pt idx="9">
                  <c:v>Oct-02</c:v>
                </c:pt>
                <c:pt idx="10">
                  <c:v>Nov-02</c:v>
                </c:pt>
                <c:pt idx="11">
                  <c:v>Dec-02</c:v>
                </c:pt>
              </c:strCache>
            </c:strRef>
          </c:cat>
          <c:val>
            <c:numRef>
              <c:f>CALC!$R$56:$R$67</c:f>
              <c:numCache>
                <c:formatCode>[$-409]#,##0_);[RED]\(#,##0\)</c:formatCode>
                <c:ptCount val="12"/>
                <c:pt idx="0">
                  <c:v>4820.96002161081</c:v>
                </c:pt>
                <c:pt idx="1">
                  <c:v>4408.61517169207</c:v>
                </c:pt>
                <c:pt idx="2">
                  <c:v>4212.7178164439</c:v>
                </c:pt>
                <c:pt idx="3">
                  <c:v>4005.5581221256</c:v>
                </c:pt>
                <c:pt idx="4">
                  <c:v>4845.35375433826</c:v>
                </c:pt>
                <c:pt idx="5">
                  <c:v>5342.04755981122</c:v>
                </c:pt>
                <c:pt idx="6">
                  <c:v>5344.55096212317</c:v>
                </c:pt>
                <c:pt idx="7">
                  <c:v>6394.31357287342</c:v>
                </c:pt>
                <c:pt idx="8">
                  <c:v>5048.55209419902</c:v>
                </c:pt>
                <c:pt idx="9">
                  <c:v>4852.87246105736</c:v>
                </c:pt>
                <c:pt idx="10">
                  <c:v>4693.7877013911</c:v>
                </c:pt>
                <c:pt idx="11">
                  <c:v>4722.02102837083</c:v>
                </c:pt>
              </c:numCache>
            </c:numRef>
          </c:val>
        </c:ser>
        <c:gapWidth val="50"/>
        <c:overlap val="0"/>
        <c:axId val="97802012"/>
        <c:axId val="64160206"/>
      </c:barChart>
      <c:catAx>
        <c:axId val="97802012"/>
        <c:scaling>
          <c:orientation val="minMax"/>
        </c:scaling>
        <c:delete val="0"/>
        <c:axPos val="b"/>
        <c:numFmt formatCode="mmm" sourceLinked="0"/>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64160206"/>
        <c:crossesAt val="0"/>
        <c:auto val="1"/>
        <c:lblAlgn val="ctr"/>
        <c:lblOffset val="100"/>
        <c:noMultiLvlLbl val="0"/>
      </c:catAx>
      <c:valAx>
        <c:axId val="64160206"/>
        <c:scaling>
          <c:orientation val="minMax"/>
        </c:scaling>
        <c:delete val="0"/>
        <c:axPos val="l"/>
        <c:majorGridlines>
          <c:spPr>
            <a:ln w="0">
              <a:solidFill>
                <a:srgbClr val="000000"/>
              </a:solidFill>
            </a:ln>
          </c:spPr>
        </c:majorGridlines>
        <c:numFmt formatCode="[$-409]#,##0_);[RED]\(#,##0\)"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97802012"/>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uFillTx/>
                <a:latin typeface="Arial"/>
              </a:rPr>
              <a:t>PG&amp;E's Assumed Short Position</a:t>
            </a:r>
          </a:p>
          <a:p>
            <a:pPr>
              <a:defRPr b="0" sz="1300" strike="noStrike" u="none">
                <a:uFillTx/>
                <a:latin typeface="Arial"/>
              </a:defRPr>
            </a:pPr>
            <a:r>
              <a:rPr b="0" sz="800" strike="noStrike" u="none">
                <a:uFillTx/>
                <a:latin typeface="Arial"/>
              </a:rPr>
              <a:t>MWa for Month</a:t>
            </a:r>
          </a:p>
        </c:rich>
      </c:tx>
      <c:overlay val="0"/>
      <c:spPr>
        <a:noFill/>
        <a:ln w="0">
          <a:noFill/>
        </a:ln>
      </c:spPr>
    </c:title>
    <c:autoTitleDeleted val="0"/>
    <c:plotArea>
      <c:layout>
        <c:manualLayout>
          <c:xMode val="edge"/>
          <c:yMode val="edge"/>
          <c:x val="0.0456839540549948"/>
          <c:y val="0.149363233665559"/>
          <c:w val="0.930647406891751"/>
          <c:h val="0.815337763012182"/>
        </c:manualLayout>
      </c:layout>
      <c:barChart>
        <c:barDir val="col"/>
        <c:grouping val="clustered"/>
        <c:varyColors val="0"/>
        <c:ser>
          <c:idx val="0"/>
          <c:order val="0"/>
          <c:spPr>
            <a:solidFill>
              <a:srgbClr val="0000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CALC!$A$56:$A$67</c:f>
              <c:strCache>
                <c:ptCount val="12"/>
                <c:pt idx="0">
                  <c:v>Jan-02</c:v>
                </c:pt>
                <c:pt idx="1">
                  <c:v>Feb-02</c:v>
                </c:pt>
                <c:pt idx="2">
                  <c:v>Mar-02</c:v>
                </c:pt>
                <c:pt idx="3">
                  <c:v>Apr-02</c:v>
                </c:pt>
                <c:pt idx="4">
                  <c:v>May-02</c:v>
                </c:pt>
                <c:pt idx="5">
                  <c:v>Jun-02</c:v>
                </c:pt>
                <c:pt idx="6">
                  <c:v>Jul-02</c:v>
                </c:pt>
                <c:pt idx="7">
                  <c:v>Aug-02</c:v>
                </c:pt>
                <c:pt idx="8">
                  <c:v>Sep-02</c:v>
                </c:pt>
                <c:pt idx="9">
                  <c:v>Oct-02</c:v>
                </c:pt>
                <c:pt idx="10">
                  <c:v>Nov-02</c:v>
                </c:pt>
                <c:pt idx="11">
                  <c:v>Dec-02</c:v>
                </c:pt>
              </c:strCache>
            </c:strRef>
          </c:cat>
          <c:val>
            <c:numRef>
              <c:f>CALC!$AO$56:$AO$67</c:f>
              <c:numCache>
                <c:formatCode>[$-409]#,##0_);[RED]\(#,##0\)</c:formatCode>
                <c:ptCount val="12"/>
                <c:pt idx="0">
                  <c:v>4119.12671826557</c:v>
                </c:pt>
                <c:pt idx="1">
                  <c:v>3821.59308928555</c:v>
                </c:pt>
                <c:pt idx="2">
                  <c:v>3991.90609544672</c:v>
                </c:pt>
                <c:pt idx="3">
                  <c:v>3503.45849017593</c:v>
                </c:pt>
                <c:pt idx="4">
                  <c:v>4557.67694118006</c:v>
                </c:pt>
                <c:pt idx="5">
                  <c:v>6074.23401894434</c:v>
                </c:pt>
                <c:pt idx="6">
                  <c:v>5563.92393470425</c:v>
                </c:pt>
                <c:pt idx="7">
                  <c:v>6036.25661386725</c:v>
                </c:pt>
                <c:pt idx="8">
                  <c:v>5996.07406645148</c:v>
                </c:pt>
                <c:pt idx="9">
                  <c:v>4211.3115738013</c:v>
                </c:pt>
                <c:pt idx="10">
                  <c:v>4051.63429868089</c:v>
                </c:pt>
                <c:pt idx="11">
                  <c:v>4374.3887591264</c:v>
                </c:pt>
              </c:numCache>
            </c:numRef>
          </c:val>
        </c:ser>
        <c:gapWidth val="50"/>
        <c:overlap val="0"/>
        <c:axId val="49939293"/>
        <c:axId val="21061668"/>
      </c:barChart>
      <c:catAx>
        <c:axId val="49939293"/>
        <c:scaling>
          <c:orientation val="minMax"/>
        </c:scaling>
        <c:delete val="0"/>
        <c:axPos val="b"/>
        <c:numFmt formatCode="mmm" sourceLinked="0"/>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21061668"/>
        <c:crossesAt val="0"/>
        <c:auto val="1"/>
        <c:lblAlgn val="ctr"/>
        <c:lblOffset val="100"/>
        <c:noMultiLvlLbl val="0"/>
      </c:catAx>
      <c:valAx>
        <c:axId val="21061668"/>
        <c:scaling>
          <c:orientation val="minMax"/>
        </c:scaling>
        <c:delete val="0"/>
        <c:axPos val="l"/>
        <c:majorGridlines>
          <c:spPr>
            <a:ln w="0">
              <a:solidFill>
                <a:srgbClr val="000000"/>
              </a:solidFill>
            </a:ln>
          </c:spPr>
        </c:majorGridlines>
        <c:numFmt formatCode="[$-409]#,##0_);[RED]\(#,##0\)"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49939293"/>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drawings/_rels/drawing1.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151200</xdr:colOff>
      <xdr:row>20</xdr:row>
      <xdr:rowOff>9720</xdr:rowOff>
    </xdr:from>
    <xdr:to>
      <xdr:col>4</xdr:col>
      <xdr:colOff>634680</xdr:colOff>
      <xdr:row>36</xdr:row>
      <xdr:rowOff>9360</xdr:rowOff>
    </xdr:to>
    <xdr:graphicFrame>
      <xdr:nvGraphicFramePr>
        <xdr:cNvPr id="0" name="Chart 1"/>
        <xdr:cNvGraphicFramePr/>
      </xdr:nvGraphicFramePr>
      <xdr:xfrm>
        <a:off x="151200" y="4067280"/>
        <a:ext cx="4125960" cy="25905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0</xdr:colOff>
      <xdr:row>20</xdr:row>
      <xdr:rowOff>9720</xdr:rowOff>
    </xdr:from>
    <xdr:to>
      <xdr:col>9</xdr:col>
      <xdr:colOff>604080</xdr:colOff>
      <xdr:row>36</xdr:row>
      <xdr:rowOff>19080</xdr:rowOff>
    </xdr:to>
    <xdr:graphicFrame>
      <xdr:nvGraphicFramePr>
        <xdr:cNvPr id="1" name="Chart 2"/>
        <xdr:cNvGraphicFramePr/>
      </xdr:nvGraphicFramePr>
      <xdr:xfrm>
        <a:off x="4557960" y="4067280"/>
        <a:ext cx="4136760" cy="26002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150840</xdr:colOff>
      <xdr:row>13</xdr:row>
      <xdr:rowOff>142920</xdr:rowOff>
    </xdr:from>
    <xdr:to>
      <xdr:col>12</xdr:col>
      <xdr:colOff>494280</xdr:colOff>
      <xdr:row>27</xdr:row>
      <xdr:rowOff>162000</xdr:rowOff>
    </xdr:to>
    <xdr:sp>
      <xdr:nvSpPr>
        <xdr:cNvPr id="2" name="Text 14"/>
        <xdr:cNvSpPr/>
      </xdr:nvSpPr>
      <xdr:spPr>
        <a:xfrm>
          <a:off x="3410280" y="2257560"/>
          <a:ext cx="7023600" cy="2295360"/>
        </a:xfrm>
        <a:prstGeom prst="rect">
          <a:avLst/>
        </a:prstGeom>
        <a:solidFill>
          <a:srgbClr val="ff0000"/>
        </a:solidFill>
        <a:ln w="9360">
          <a:solidFill>
            <a:srgbClr val="000000"/>
          </a:solidFill>
          <a:miter/>
        </a:ln>
      </xdr:spPr>
      <xdr:style>
        <a:lnRef idx="0"/>
        <a:fillRef idx="0"/>
        <a:effectRef idx="0"/>
        <a:fontRef idx="minor"/>
      </xdr:style>
      <xdr:txBody>
        <a:bodyPr lIns="20160" rIns="20160" tIns="20160" bIns="20160" anchor="t">
          <a:noAutofit/>
        </a:bodyPr>
        <a:p>
          <a:r>
            <a:rPr b="1" lang="en-US" sz="1000" strike="noStrike" u="none">
              <a:solidFill>
                <a:srgbClr val="ffffff"/>
              </a:solidFill>
              <a:effectLst/>
              <a:uFillTx/>
              <a:latin typeface="Arial"/>
            </a:rPr>
            <a:t>Only portions of this page are in use -- don't waste time trying to figure it out.  Call Steve Swain if you have questions 503-464-8671.</a:t>
          </a:r>
          <a:endParaRPr b="0" lang="en-US" sz="10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M4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0" width="17.99"/>
    <col collapsed="false" customWidth="true" hidden="false" outlineLevel="0" max="2" min="2" style="0" width="10.71"/>
    <col collapsed="false" customWidth="true" hidden="false" outlineLevel="0" max="3" min="3" style="0" width="11.7"/>
    <col collapsed="false" customWidth="true" hidden="false" outlineLevel="0" max="4" min="4" style="0" width="11.28"/>
    <col collapsed="false" customWidth="true" hidden="false" outlineLevel="0" max="5" min="5" style="0" width="12.99"/>
    <col collapsed="false" customWidth="true" hidden="false" outlineLevel="0" max="8" min="6" style="0" width="12.28"/>
    <col collapsed="false" customWidth="true" hidden="false" outlineLevel="0" max="9" min="9" style="0" width="13.28"/>
    <col collapsed="false" customWidth="true" hidden="false" outlineLevel="0" max="13" min="10" style="0" width="12.28"/>
  </cols>
  <sheetData>
    <row r="2" customFormat="false" ht="12.75" hidden="false" customHeight="false" outlineLevel="0" collapsed="false">
      <c r="A2" s="1" t="s">
        <v>0</v>
      </c>
      <c r="B2" s="2"/>
    </row>
    <row r="3" customFormat="false" ht="12.75" hidden="false" customHeight="false" outlineLevel="0" collapsed="false">
      <c r="B3" s="2" t="s">
        <v>1</v>
      </c>
    </row>
    <row r="4" customFormat="false" ht="12.75" hidden="false" customHeight="false" outlineLevel="0" collapsed="false">
      <c r="B4" s="3" t="n">
        <v>0.03</v>
      </c>
    </row>
    <row r="5" customFormat="false" ht="77.25" hidden="false" customHeight="false" outlineLevel="0" collapsed="false">
      <c r="B5" s="4" t="s">
        <v>2</v>
      </c>
      <c r="C5" s="4" t="s">
        <v>3</v>
      </c>
      <c r="D5" s="4" t="s">
        <v>4</v>
      </c>
      <c r="E5" s="4" t="s">
        <v>5</v>
      </c>
      <c r="F5" s="4" t="s">
        <v>6</v>
      </c>
      <c r="G5" s="4" t="s">
        <v>7</v>
      </c>
      <c r="H5" s="4" t="s">
        <v>8</v>
      </c>
      <c r="I5" s="5" t="s">
        <v>9</v>
      </c>
      <c r="J5" s="6" t="s">
        <v>10</v>
      </c>
      <c r="K5" s="5" t="s">
        <v>11</v>
      </c>
    </row>
    <row r="6" customFormat="false" ht="12.75" hidden="false" customHeight="false" outlineLevel="0" collapsed="false">
      <c r="A6" s="1" t="s">
        <v>12</v>
      </c>
    </row>
    <row r="7" customFormat="false" ht="12.75" hidden="false" customHeight="false" outlineLevel="0" collapsed="false">
      <c r="A7" s="7" t="n">
        <v>2001</v>
      </c>
      <c r="B7" s="8" t="n">
        <f aca="false">AVERAGE(CALC!$H$45:$H55)</f>
        <v>11706.2226077033</v>
      </c>
      <c r="C7" s="8" t="n">
        <f aca="false">AVERAGE(CALC!$O$45:$O55)</f>
        <v>4062.07406117628</v>
      </c>
      <c r="D7" s="8" t="n">
        <f aca="false">AVERAGE(CALC!$P$45:$P55)</f>
        <v>3098.02702071944</v>
      </c>
      <c r="E7" s="9" t="n">
        <f aca="false">CALC!Z5</f>
        <v>72.935275355057</v>
      </c>
      <c r="F7" s="8" t="n">
        <f aca="false">AVERAGE(CALC!$R$45:$R55)</f>
        <v>4546.12152580762</v>
      </c>
      <c r="G7" s="9" t="n">
        <f aca="false">CALC!AA5</f>
        <v>127.119683573</v>
      </c>
      <c r="H7" s="9" t="n">
        <v>1.584</v>
      </c>
      <c r="I7" s="10" t="n">
        <f aca="false">CALC!AB5+H7</f>
        <v>95.5118611965305</v>
      </c>
      <c r="J7" s="10" t="n">
        <v>75.65</v>
      </c>
      <c r="K7" s="10" t="n">
        <f aca="false">J7-I7</f>
        <v>-19.8618611965305</v>
      </c>
    </row>
    <row r="8" customFormat="false" ht="12.75" hidden="false" customHeight="false" outlineLevel="0" collapsed="false">
      <c r="A8" s="7" t="s">
        <v>13</v>
      </c>
      <c r="B8" s="8" t="n">
        <f aca="false">AVERAGE(CALC!$H$45:$H103)</f>
        <v>12383.4322753949</v>
      </c>
      <c r="C8" s="8" t="n">
        <f aca="false">AVERAGE(CALC!$O$45:$O103)</f>
        <v>4031.71438361886</v>
      </c>
      <c r="D8" s="8" t="n">
        <f aca="false">AVERAGE(CALC!$P$45:$P103)</f>
        <v>3077.32454844951</v>
      </c>
      <c r="E8" s="9" t="n">
        <f aca="false">CALC!Z6</f>
        <v>60.3642170296548</v>
      </c>
      <c r="F8" s="8" t="n">
        <f aca="false">AVERAGE(CALC!$R$45:$R103)</f>
        <v>5274.39334332656</v>
      </c>
      <c r="G8" s="9" t="n">
        <f aca="false">CALC!AA6</f>
        <v>71.5221756068189</v>
      </c>
      <c r="H8" s="9" t="n">
        <v>0.856</v>
      </c>
      <c r="I8" s="10" t="n">
        <f aca="false">CALC!AB6+H8</f>
        <v>65.9494594258616</v>
      </c>
      <c r="J8" s="10" t="n">
        <v>75.65</v>
      </c>
      <c r="K8" s="10" t="n">
        <f aca="false">J8-I8</f>
        <v>9.70054057413844</v>
      </c>
    </row>
    <row r="9" customFormat="false" ht="12.75" hidden="false" customHeight="false" outlineLevel="0" collapsed="false">
      <c r="A9" s="7" t="s">
        <v>14</v>
      </c>
      <c r="B9" s="8" t="n">
        <f aca="false">AVERAGE(CALC!$H$45:$H127)</f>
        <v>12762.7709783849</v>
      </c>
      <c r="C9" s="8" t="n">
        <f aca="false">AVERAGE(CALC!$O$45:$O127)</f>
        <v>4029.70259775662</v>
      </c>
      <c r="D9" s="8" t="n">
        <f aca="false">AVERAGE(CALC!$P$45:$P127)</f>
        <v>3075.9526978774</v>
      </c>
      <c r="E9" s="9" t="n">
        <f aca="false">CALC!Z7</f>
        <v>58.9308597901595</v>
      </c>
      <c r="F9" s="8" t="n">
        <f aca="false">AVERAGE(CALC!$R$45:$R127)</f>
        <v>5657.11568275092</v>
      </c>
      <c r="G9" s="9" t="n">
        <f aca="false">CALC!AA7</f>
        <v>63.4335788897908</v>
      </c>
      <c r="H9" s="9" t="n">
        <v>0.79</v>
      </c>
      <c r="I9" s="10" t="n">
        <f aca="false">CALC!AB7+H9</f>
        <v>61.7017094019935</v>
      </c>
      <c r="J9" s="10" t="n">
        <v>75.65</v>
      </c>
      <c r="K9" s="10" t="n">
        <f aca="false">J9-I9</f>
        <v>13.9482905980065</v>
      </c>
    </row>
    <row r="10" customFormat="false" ht="12.75" hidden="false" customHeight="false" outlineLevel="0" collapsed="false">
      <c r="A10" s="7" t="s">
        <v>15</v>
      </c>
      <c r="B10" s="8" t="n">
        <f aca="false">AVERAGE(CALC!$H$45:$H163)</f>
        <v>13363.456517489</v>
      </c>
      <c r="C10" s="8" t="n">
        <f aca="false">AVERAGE(CALC!$O$45:$O163)</f>
        <v>4028.2064376826</v>
      </c>
      <c r="D10" s="8" t="n">
        <f aca="false">AVERAGE(CALC!$P$45:$P163)</f>
        <v>3074.93245606538</v>
      </c>
      <c r="E10" s="9" t="n">
        <f aca="false">CALC!Z8</f>
        <v>58.0128308568161</v>
      </c>
      <c r="F10" s="8" t="n">
        <f aca="false">AVERAGE(CALC!$R$45:$R163)</f>
        <v>6260.31762374102</v>
      </c>
      <c r="G10" s="9" t="n">
        <f aca="false">CALC!AA8</f>
        <v>57.6728703220533</v>
      </c>
      <c r="H10" s="9" t="n">
        <v>0.766</v>
      </c>
      <c r="I10" s="10" t="n">
        <f aca="false">CALC!AB8+H10</f>
        <v>58.6216507593158</v>
      </c>
      <c r="J10" s="10" t="n">
        <v>75.65</v>
      </c>
      <c r="K10" s="10" t="n">
        <f aca="false">J10-I10</f>
        <v>17.0283492406842</v>
      </c>
    </row>
    <row r="11" customFormat="false" ht="12.75" hidden="false" customHeight="false" outlineLevel="0" collapsed="false">
      <c r="H11" s="9"/>
      <c r="I11" s="1"/>
      <c r="J11" s="1"/>
    </row>
    <row r="12" customFormat="false" ht="12.75" hidden="false" customHeight="false" outlineLevel="0" collapsed="false">
      <c r="H12" s="9"/>
      <c r="I12" s="1"/>
      <c r="J12" s="1"/>
    </row>
    <row r="13" customFormat="false" ht="12.75" hidden="false" customHeight="false" outlineLevel="0" collapsed="false">
      <c r="A13" s="1" t="s">
        <v>16</v>
      </c>
      <c r="H13" s="9"/>
      <c r="I13" s="1"/>
      <c r="J13" s="1"/>
    </row>
    <row r="14" customFormat="false" ht="12.75" hidden="false" customHeight="false" outlineLevel="0" collapsed="false">
      <c r="A14" s="7" t="n">
        <v>2001</v>
      </c>
      <c r="B14" s="8" t="n">
        <f aca="false">AVERAGE(CALC!$I$45:$I62)</f>
        <v>10826.8261967624</v>
      </c>
      <c r="C14" s="8" t="n">
        <f aca="false">AVERAGE(CALC!$AL$45:$AL62)</f>
        <v>4058.88975637347</v>
      </c>
      <c r="D14" s="8" t="n">
        <f aca="false">AVERAGE(CALC!$AM$45:$AM62)</f>
        <v>2307.40014835739</v>
      </c>
      <c r="E14" s="9" t="n">
        <f aca="false">CALC!AW5</f>
        <v>63.9655684223257</v>
      </c>
      <c r="F14" s="8" t="n">
        <f aca="false">AVERAGE(CALC!$AO$45:$AO62)</f>
        <v>4460.53629203158</v>
      </c>
      <c r="G14" s="9" t="n">
        <f aca="false">CALC!AX5</f>
        <v>138.322297848297</v>
      </c>
      <c r="H14" s="9" t="n">
        <f aca="false">1.86</f>
        <v>1.86</v>
      </c>
      <c r="I14" s="10" t="n">
        <f aca="false">CALC!AY5+H14</f>
        <v>96.3794595706609</v>
      </c>
      <c r="J14" s="10" t="n">
        <v>62.8</v>
      </c>
      <c r="K14" s="10" t="n">
        <f aca="false">J14-I14</f>
        <v>-33.5794595706609</v>
      </c>
    </row>
    <row r="15" customFormat="false" ht="12.75" hidden="false" customHeight="false" outlineLevel="0" collapsed="false">
      <c r="A15" s="7" t="s">
        <v>13</v>
      </c>
      <c r="B15" s="8" t="n">
        <f aca="false">AVERAGE(CALC!$I$45:$I110)</f>
        <v>11447.4857580533</v>
      </c>
      <c r="C15" s="8" t="n">
        <f aca="false">AVERAGE(CALC!$AL$45:$AL110)</f>
        <v>4000.34157444057</v>
      </c>
      <c r="D15" s="8" t="n">
        <f aca="false">AVERAGE(CALC!$AM$45:$AM110)</f>
        <v>2304.85568052377</v>
      </c>
      <c r="E15" s="9" t="n">
        <f aca="false">CALC!AW6</f>
        <v>56.0485889879415</v>
      </c>
      <c r="F15" s="8" t="n">
        <f aca="false">AVERAGE(CALC!$AO$45:$AO110)</f>
        <v>5142.28850308901</v>
      </c>
      <c r="G15" s="9" t="n">
        <f aca="false">CALC!AX6</f>
        <v>76.3339080348771</v>
      </c>
      <c r="H15" s="9" t="n">
        <v>0.973</v>
      </c>
      <c r="I15" s="10" t="n">
        <f aca="false">CALC!AY6+H15</f>
        <v>66.0436744181869</v>
      </c>
      <c r="J15" s="10" t="n">
        <v>62.8</v>
      </c>
      <c r="K15" s="10" t="n">
        <f aca="false">J15-I15</f>
        <v>-3.24367441818688</v>
      </c>
    </row>
    <row r="16" customFormat="false" ht="12.75" hidden="false" customHeight="false" outlineLevel="0" collapsed="false">
      <c r="A16" s="7" t="s">
        <v>14</v>
      </c>
      <c r="B16" s="8" t="n">
        <f aca="false">AVERAGE(CALC!$I$45:$I134)</f>
        <v>11796.8848361891</v>
      </c>
      <c r="C16" s="8" t="n">
        <f aca="false">AVERAGE(CALC!$AL$45:$AL134)</f>
        <v>3994.48675624728</v>
      </c>
      <c r="D16" s="8" t="n">
        <f aca="false">AVERAGE(CALC!$AM$45:$AM134)</f>
        <v>2304.60123374041</v>
      </c>
      <c r="E16" s="9" t="n">
        <f aca="false">CALC!AW7</f>
        <v>54.7221744848277</v>
      </c>
      <c r="F16" s="8" t="n">
        <f aca="false">AVERAGE(CALC!$AO$45:$AO134)</f>
        <v>5497.79684620145</v>
      </c>
      <c r="G16" s="9" t="n">
        <f aca="false">CALC!AX7</f>
        <v>67.5497301171765</v>
      </c>
      <c r="H16" s="9" t="n">
        <v>0.918</v>
      </c>
      <c r="I16" s="10" t="n">
        <f aca="false">CALC!AY7+H16</f>
        <v>61.5542509006991</v>
      </c>
      <c r="J16" s="10" t="n">
        <v>62.8</v>
      </c>
      <c r="K16" s="10" t="n">
        <f aca="false">J16-I16</f>
        <v>1.24574909930089</v>
      </c>
    </row>
    <row r="17" customFormat="false" ht="12.75" hidden="false" customHeight="false" outlineLevel="0" collapsed="false">
      <c r="A17" s="7" t="s">
        <v>15</v>
      </c>
      <c r="B17" s="8" t="n">
        <f aca="false">AVERAGE(CALC!$I$45:$I170)</f>
        <v>12351.6887317192</v>
      </c>
      <c r="C17" s="8" t="n">
        <f aca="false">AVERAGE(CALC!$AL$45:$AL170)</f>
        <v>3989.88654195255</v>
      </c>
      <c r="D17" s="8" t="n">
        <f aca="false">AVERAGE(CALC!$AM$45:$AM170)</f>
        <v>2304.40131126777</v>
      </c>
      <c r="E17" s="9" t="n">
        <f aca="false">CALC!AW8</f>
        <v>53.5933207377145</v>
      </c>
      <c r="F17" s="8" t="n">
        <f aca="false">AVERAGE(CALC!$AO$45:$AO170)</f>
        <v>6057.40087849893</v>
      </c>
      <c r="G17" s="9" t="n">
        <f aca="false">CALC!AX8</f>
        <v>61.2324335654898</v>
      </c>
      <c r="H17" s="9" t="n">
        <v>0.919</v>
      </c>
      <c r="I17" s="10" t="n">
        <f aca="false">CALC!AY8+H17</f>
        <v>58.2122533500483</v>
      </c>
      <c r="J17" s="10" t="n">
        <v>62.8</v>
      </c>
      <c r="K17" s="10" t="n">
        <f aca="false">J17-I17</f>
        <v>4.58774664995166</v>
      </c>
    </row>
    <row r="18" customFormat="false" ht="12.75" hidden="false" customHeight="false" outlineLevel="0" collapsed="false">
      <c r="A18" s="7"/>
      <c r="B18" s="8"/>
      <c r="C18" s="8"/>
      <c r="D18" s="8"/>
      <c r="E18" s="9"/>
      <c r="F18" s="8"/>
      <c r="G18" s="9"/>
      <c r="H18" s="9"/>
      <c r="I18" s="10"/>
      <c r="J18" s="10"/>
      <c r="K18" s="10"/>
    </row>
    <row r="44" customFormat="false" ht="45.75" hidden="false" customHeight="true" outlineLevel="0" collapsed="false">
      <c r="L44" s="11"/>
      <c r="M44" s="11"/>
    </row>
  </sheetData>
  <printOptions headings="false" gridLines="false" gridLinesSet="true" horizontalCentered="true" verticalCentered="false"/>
  <pageMargins left="0.747916666666667" right="0.747916666666667" top="0.984027777777778" bottom="0.984027777777778" header="0.5" footer="0.511811023622047"/>
  <pageSetup paperSize="1" scale="100" fitToWidth="1" fitToHeight="2" pageOrder="downThenOver" orientation="landscape" blackAndWhite="false" draft="false" cellComments="none" horizontalDpi="300" verticalDpi="300" copies="1"/>
  <headerFooter differentFirst="false" differentOddEven="false">
    <oddHeader>&amp;CGROSS MARGIN CALCULATION</oddHeader>
    <oddFooter/>
  </headerFooter>
  <rowBreaks count="1" manualBreakCount="1">
    <brk id="37" man="true" max="16383" min="0"/>
  </rowBreak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Y52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1" ySplit="19" topLeftCell="AK20" activePane="bottomRight" state="frozen"/>
      <selection pane="topLeft" activeCell="A1" activeCellId="0" sqref="A1"/>
      <selection pane="topRight" activeCell="AK1" activeCellId="0" sqref="AK1"/>
      <selection pane="bottomLeft" activeCell="A20" activeCellId="0" sqref="A20"/>
      <selection pane="bottomRight" activeCell="AY8" activeCellId="0" sqref="AY8"/>
    </sheetView>
  </sheetViews>
  <sheetFormatPr defaultColWidth="9.0546875" defaultRowHeight="12.75" customHeight="true" zeroHeight="false" outlineLevelRow="1" outlineLevelCol="0"/>
  <cols>
    <col collapsed="false" customWidth="true" hidden="false" outlineLevel="0" max="1" min="1" style="12" width="9.28"/>
    <col collapsed="false" customWidth="true" hidden="false" outlineLevel="0" max="21" min="21" style="0" width="11.85"/>
    <col collapsed="false" customWidth="true" hidden="false" outlineLevel="0" max="26" min="26" style="0" width="9.99"/>
    <col collapsed="false" customWidth="true" hidden="false" outlineLevel="0" max="33" min="29" style="0" width="2.99"/>
    <col collapsed="false" customWidth="true" hidden="false" outlineLevel="0" max="37" min="37" style="0" width="9.7"/>
    <col collapsed="false" customWidth="true" hidden="false" outlineLevel="0" max="43" min="43" style="0" width="10.28"/>
    <col collapsed="false" customWidth="true" hidden="false" outlineLevel="0" max="44" min="44" style="0" width="11.85"/>
    <col collapsed="false" customWidth="true" hidden="false" outlineLevel="0" max="49" min="49" style="0" width="10.28"/>
  </cols>
  <sheetData>
    <row r="1" customFormat="false" ht="15.75" hidden="false" customHeight="false" outlineLevel="0" collapsed="false">
      <c r="K1" s="13" t="s">
        <v>12</v>
      </c>
      <c r="L1" s="14"/>
      <c r="M1" s="14"/>
      <c r="N1" s="14"/>
      <c r="O1" s="14"/>
      <c r="P1" s="14"/>
      <c r="Q1" s="14"/>
      <c r="R1" s="14"/>
      <c r="S1" s="14"/>
      <c r="T1" s="14"/>
      <c r="U1" s="14"/>
      <c r="V1" s="14"/>
      <c r="W1" s="14"/>
      <c r="X1" s="14"/>
      <c r="Y1" s="14"/>
      <c r="Z1" s="14"/>
      <c r="AA1" s="14"/>
      <c r="AB1" s="14"/>
      <c r="AH1" s="15" t="s">
        <v>16</v>
      </c>
      <c r="AI1" s="16"/>
      <c r="AJ1" s="16"/>
      <c r="AK1" s="16"/>
      <c r="AL1" s="16"/>
      <c r="AM1" s="16"/>
      <c r="AN1" s="16"/>
      <c r="AO1" s="16"/>
      <c r="AP1" s="16"/>
      <c r="AQ1" s="16"/>
      <c r="AR1" s="16"/>
      <c r="AS1" s="16"/>
      <c r="AT1" s="16"/>
      <c r="AU1" s="16"/>
      <c r="AV1" s="16"/>
      <c r="AW1" s="16"/>
      <c r="AX1" s="16"/>
      <c r="AY1" s="16"/>
    </row>
    <row r="2" customFormat="false" ht="12.75" hidden="false" customHeight="false" outlineLevel="0" collapsed="false">
      <c r="K2" s="14"/>
      <c r="L2" s="14"/>
      <c r="M2" s="14"/>
      <c r="N2" s="14"/>
      <c r="O2" s="14"/>
      <c r="P2" s="14"/>
      <c r="Q2" s="14"/>
      <c r="R2" s="14"/>
      <c r="S2" s="14"/>
      <c r="T2" s="14"/>
      <c r="U2" s="14"/>
      <c r="V2" s="14"/>
      <c r="W2" s="14"/>
      <c r="X2" s="14"/>
      <c r="Y2" s="14"/>
      <c r="Z2" s="14"/>
      <c r="AA2" s="14"/>
      <c r="AB2" s="14"/>
      <c r="AH2" s="16"/>
      <c r="AI2" s="16"/>
      <c r="AJ2" s="16"/>
      <c r="AK2" s="16"/>
      <c r="AL2" s="16"/>
      <c r="AM2" s="16"/>
      <c r="AN2" s="16"/>
      <c r="AO2" s="16"/>
      <c r="AP2" s="16"/>
      <c r="AQ2" s="16"/>
      <c r="AR2" s="16"/>
      <c r="AS2" s="16"/>
      <c r="AT2" s="16"/>
      <c r="AU2" s="16"/>
      <c r="AV2" s="16"/>
      <c r="AW2" s="16"/>
      <c r="AX2" s="16"/>
      <c r="AY2" s="16"/>
    </row>
    <row r="3" customFormat="false" ht="12.75" hidden="false" customHeight="false" outlineLevel="0" collapsed="false">
      <c r="K3" s="1" t="s">
        <v>17</v>
      </c>
      <c r="M3" s="17" t="s">
        <v>18</v>
      </c>
      <c r="N3" s="18" t="s">
        <v>19</v>
      </c>
      <c r="O3" s="18"/>
      <c r="P3" s="17" t="s">
        <v>20</v>
      </c>
      <c r="Q3" s="17"/>
      <c r="R3" s="19" t="s">
        <v>21</v>
      </c>
      <c r="T3" s="20" t="s">
        <v>22</v>
      </c>
      <c r="U3" s="21"/>
      <c r="X3" s="22" t="s">
        <v>23</v>
      </c>
      <c r="Y3" s="23"/>
      <c r="Z3" s="23"/>
      <c r="AA3" s="23"/>
      <c r="AB3" s="24"/>
      <c r="AH3" s="1" t="s">
        <v>17</v>
      </c>
      <c r="AJ3" s="17" t="s">
        <v>18</v>
      </c>
      <c r="AK3" s="18" t="s">
        <v>19</v>
      </c>
      <c r="AL3" s="18"/>
      <c r="AM3" s="17" t="s">
        <v>20</v>
      </c>
      <c r="AN3" s="17"/>
      <c r="AO3" s="19" t="s">
        <v>21</v>
      </c>
      <c r="AQ3" s="1" t="s">
        <v>22</v>
      </c>
      <c r="AR3" s="25"/>
      <c r="AU3" s="22" t="s">
        <v>23</v>
      </c>
      <c r="AV3" s="23"/>
      <c r="AW3" s="23"/>
      <c r="AX3" s="23"/>
      <c r="AY3" s="24"/>
    </row>
    <row r="4" customFormat="false" ht="12.75" hidden="false" customHeight="false" outlineLevel="0" collapsed="false">
      <c r="K4" s="7" t="s">
        <v>24</v>
      </c>
      <c r="M4" s="26" t="n">
        <v>2204</v>
      </c>
      <c r="N4" s="26" t="n">
        <v>17300</v>
      </c>
      <c r="O4" s="26"/>
      <c r="P4" s="27" t="n">
        <f aca="false">(N4*1000)/(M4*8760)</f>
        <v>0.896046209051206</v>
      </c>
      <c r="Q4" s="27"/>
      <c r="R4" s="26" t="n">
        <f aca="false">P4*M4</f>
        <v>1974.88584474886</v>
      </c>
      <c r="S4" s="28"/>
      <c r="T4" s="21" t="s">
        <v>25</v>
      </c>
      <c r="U4" s="29" t="n">
        <v>26990000</v>
      </c>
      <c r="X4" s="30"/>
      <c r="Y4" s="0" t="s">
        <v>26</v>
      </c>
      <c r="Z4" s="31" t="s">
        <v>27</v>
      </c>
      <c r="AA4" s="31" t="s">
        <v>28</v>
      </c>
      <c r="AB4" s="32" t="s">
        <v>29</v>
      </c>
      <c r="AH4" s="7" t="s">
        <v>24</v>
      </c>
      <c r="AJ4" s="26" t="n">
        <v>2160</v>
      </c>
      <c r="AK4" s="26" t="n">
        <v>16641</v>
      </c>
      <c r="AL4" s="26"/>
      <c r="AM4" s="27" t="n">
        <f aca="false">(AK4*1000)/(AJ4*8760)</f>
        <v>0.879471080669711</v>
      </c>
      <c r="AN4" s="27"/>
      <c r="AO4" s="26" t="n">
        <f aca="false">AM4*AJ4</f>
        <v>1899.65753424658</v>
      </c>
      <c r="AP4" s="28"/>
      <c r="AQ4" s="25" t="s">
        <v>25</v>
      </c>
      <c r="AR4" s="33" t="n">
        <v>20796000</v>
      </c>
      <c r="AS4" s="34" t="n">
        <v>20464000</v>
      </c>
      <c r="AU4" s="30"/>
      <c r="AV4" s="31" t="s">
        <v>26</v>
      </c>
      <c r="AW4" s="31" t="s">
        <v>27</v>
      </c>
      <c r="AX4" s="31" t="s">
        <v>28</v>
      </c>
      <c r="AY4" s="32" t="s">
        <v>29</v>
      </c>
    </row>
    <row r="5" customFormat="false" ht="12.75" hidden="false" customHeight="false" outlineLevel="0" collapsed="false">
      <c r="K5" s="7" t="s">
        <v>30</v>
      </c>
      <c r="M5" s="26" t="n">
        <v>1573</v>
      </c>
      <c r="N5" s="26" t="n">
        <v>10671</v>
      </c>
      <c r="O5" s="26"/>
      <c r="P5" s="27" t="n">
        <f aca="false">(N5*1000)/(M5*8760)</f>
        <v>0.774412387114753</v>
      </c>
      <c r="Q5" s="27"/>
      <c r="R5" s="26" t="n">
        <f aca="false">P5*M5</f>
        <v>1218.15068493151</v>
      </c>
      <c r="S5" s="28"/>
      <c r="T5" s="21" t="s">
        <v>31</v>
      </c>
      <c r="U5" s="35" t="n">
        <v>10.5</v>
      </c>
      <c r="X5" s="30" t="n">
        <v>2001</v>
      </c>
      <c r="Y5" s="36" t="n">
        <f aca="false" t="array" ref="Y5:Y5">SUM(O$45:O$55*$E$45:$E$55*X$45:X$55)/SUM(O$45:O$55*$E$45:$E$55)</f>
        <v>38.6682220190344</v>
      </c>
      <c r="Z5" s="36" t="n">
        <f aca="false" t="array" ref="Z5:Z5">SUM(Q$45:Q$55*$E$45:$E$55*Z$45:Z$55)/SUM(Q$45:Q$55*$E$45:$E$55)</f>
        <v>72.935275355057</v>
      </c>
      <c r="AA5" s="36" t="n">
        <f aca="false" t="array" ref="AA5:AA5">SUM(R$45:R$55*$E$45:$E$55*AA$45:AA$55)/SUM(R$45:R$55*$E$45:$E$55)</f>
        <v>127.119683573</v>
      </c>
      <c r="AB5" s="37" t="n">
        <f aca="false" t="array" ref="AB5:AB5">SUM($H$45:$H$55*$E$45:$E$55*AB$45:AB$55)/SUM($H$45:$H$55*$E$45:$E$55)</f>
        <v>93.9278611965305</v>
      </c>
      <c r="AH5" s="7" t="s">
        <v>30</v>
      </c>
      <c r="AJ5" s="26" t="n">
        <v>0</v>
      </c>
      <c r="AK5" s="26" t="n">
        <v>0</v>
      </c>
      <c r="AL5" s="26"/>
      <c r="AM5" s="27"/>
      <c r="AN5" s="27"/>
      <c r="AO5" s="26"/>
      <c r="AP5" s="28"/>
      <c r="AQ5" s="25" t="s">
        <v>31</v>
      </c>
      <c r="AR5" s="38" t="n">
        <v>10.5</v>
      </c>
      <c r="AU5" s="30" t="n">
        <v>2001</v>
      </c>
      <c r="AV5" s="36" t="n">
        <f aca="false" t="array" ref="AV5:AV5">SUM(AL$45:AL$55*$E$45:$E$55*AU$45:AU$55)/SUM(AL$45:AL$55*$E$45:$E$55)</f>
        <v>37.3106350492284</v>
      </c>
      <c r="AW5" s="36" t="n">
        <f aca="false" t="array" ref="AW5:AW5">SUM(AN$45:AN$55*$E$45:$E$55*AW$45:AW$55)/SUM(AN$45:AN$55*$E$45:$E$55)</f>
        <v>63.9655684223257</v>
      </c>
      <c r="AX5" s="36" t="n">
        <f aca="false" t="array" ref="AX5:AX5">SUM(AO$45:AO$55*$E$45:$E$55*AX$45:AX$55)/SUM(AO$45:AO$55*$E$45:$E$55)</f>
        <v>138.322297848297</v>
      </c>
      <c r="AY5" s="37" t="n">
        <f aca="false" t="array" ref="AY5:AY5">SUM($H$45:$H$55*$E$45:$E$55*AY$45:AY$55)/SUM($H$45:$H$55*$E$45:$E$55)</f>
        <v>94.5194595706609</v>
      </c>
    </row>
    <row r="6" customFormat="false" ht="12.75" hidden="false" customHeight="false" outlineLevel="0" collapsed="false">
      <c r="K6" s="7" t="s">
        <v>32</v>
      </c>
      <c r="M6" s="26" t="n">
        <v>9</v>
      </c>
      <c r="N6" s="26" t="n">
        <v>29</v>
      </c>
      <c r="O6" s="26"/>
      <c r="P6" s="27" t="n">
        <f aca="false">(N6*1000)/(M6*8760)</f>
        <v>0.367833587011669</v>
      </c>
      <c r="Q6" s="27"/>
      <c r="R6" s="26" t="n">
        <f aca="false">P6*M6</f>
        <v>3.31050228310502</v>
      </c>
      <c r="S6" s="28"/>
      <c r="T6" s="21" t="s">
        <v>33</v>
      </c>
      <c r="U6" s="35" t="n">
        <v>3.5</v>
      </c>
      <c r="X6" s="30" t="s">
        <v>34</v>
      </c>
      <c r="Y6" s="36" t="n">
        <f aca="false" t="array" ref="Y6:Y6">SUM(O$45:O$103*$E$45:$E$103*X$45:X$103)/SUM(O$45:O$103*$E$45:$E$103)</f>
        <v>38.6884412022091</v>
      </c>
      <c r="Z6" s="36" t="n">
        <f aca="false" t="array" ref="Z6:Z6">SUM(Q$45:Q$103*$E$45:$E$103*Z$45:Z$103)/SUM(Q$45:Q$103*$E$45:$E$103)</f>
        <v>60.3642170296548</v>
      </c>
      <c r="AA6" s="36" t="n">
        <f aca="false" t="array" ref="AA6:AA6">SUM(R$45:R$103*$E$45:$E$103*AA$45:AA$103)/SUM(R$45:R$103*$E$45:$E$103)</f>
        <v>71.5221756068189</v>
      </c>
      <c r="AB6" s="37" t="n">
        <f aca="false" t="array" ref="AB6:AB6">SUM($H$45:$H$103*$E$45:$E$103*AB$45:AB$103)/SUM($H$45:$H$103*$E$45:$E$103)</f>
        <v>65.0934594258616</v>
      </c>
      <c r="AH6" s="7" t="s">
        <v>32</v>
      </c>
      <c r="AJ6" s="26" t="n">
        <f aca="false">482+97</f>
        <v>579</v>
      </c>
      <c r="AK6" s="26" t="n">
        <f aca="false">(_udcgen1999!D4+_udcgen1999!H4)/1000</f>
        <v>4932.422</v>
      </c>
      <c r="AL6" s="26"/>
      <c r="AM6" s="27" t="n">
        <f aca="false">(AK6*1000)/(AJ6*8760)</f>
        <v>0.972473008887943</v>
      </c>
      <c r="AN6" s="27"/>
      <c r="AO6" s="26" t="n">
        <f aca="false">AM6*AJ6</f>
        <v>563.061872146119</v>
      </c>
      <c r="AP6" s="28"/>
      <c r="AQ6" s="25" t="s">
        <v>33</v>
      </c>
      <c r="AR6" s="38" t="n">
        <v>3.5</v>
      </c>
      <c r="AU6" s="30" t="s">
        <v>34</v>
      </c>
      <c r="AV6" s="36" t="n">
        <f aca="false" t="array" ref="AV6:AV6">SUM(AL$45:AL$103*$E$45:$E$103*AU$45:AU$103)/SUM(AL$45:AL$103*$E$45:$E$103)</f>
        <v>37.3030027632133</v>
      </c>
      <c r="AW6" s="36" t="n">
        <f aca="false" t="array" ref="AW6:AW6">SUM(AN$45:AN$103*$E$45:$E$103*AW$45:AW$103)/SUM(AN$45:AN$103*$E$45:$E$103)</f>
        <v>56.0485889879415</v>
      </c>
      <c r="AX6" s="36" t="n">
        <f aca="false" t="array" ref="AX6:AX6">SUM(AO$45:AO$103*$E$45:$E$103*AX$45:AX$103)/SUM(AO$45:AO$103*$E$45:$E$103)</f>
        <v>76.3339080348771</v>
      </c>
      <c r="AY6" s="37" t="n">
        <f aca="false" t="array" ref="AY6:AY6">SUM($H$45:$H$103*$E$45:$E$103*AY$45:AY$103)/SUM($H$45:$H$103*$E$45:$E$103)</f>
        <v>65.0706744181869</v>
      </c>
    </row>
    <row r="7" customFormat="false" ht="12.75" hidden="false" customHeight="false" outlineLevel="0" collapsed="false">
      <c r="K7" s="7" t="s">
        <v>35</v>
      </c>
      <c r="M7" s="39" t="n">
        <v>1156</v>
      </c>
      <c r="N7" s="39" t="n">
        <v>4383</v>
      </c>
      <c r="O7" s="39"/>
      <c r="P7" s="40" t="n">
        <f aca="false">(N7*1000)/(M7*8760)</f>
        <v>0.432822202208845</v>
      </c>
      <c r="Q7" s="40"/>
      <c r="R7" s="39" t="n">
        <f aca="false">P7*M7</f>
        <v>500.342465753425</v>
      </c>
      <c r="S7" s="28"/>
      <c r="T7" s="21" t="s">
        <v>36</v>
      </c>
      <c r="U7" s="29" t="n">
        <v>2141000000</v>
      </c>
      <c r="X7" s="30" t="s">
        <v>37</v>
      </c>
      <c r="Y7" s="36" t="n">
        <f aca="false" t="array" ref="Y7:Y7">SUM(O$45:O$127*$E$45:$E$127*X$45:X$127)/SUM(O$45:O$127*$E$45:$E$127)</f>
        <v>38.6898400112528</v>
      </c>
      <c r="Z7" s="36" t="n">
        <f aca="false" t="array" ref="Z7:Z7">SUM(Q$45:Q$127*$E$45:$E$127*Z$45:Z$127)/SUM(Q$45:Q$127*$E$45:$E$127)</f>
        <v>58.9308597901595</v>
      </c>
      <c r="AA7" s="36" t="n">
        <f aca="false" t="array" ref="AA7:AA7">SUM(R$45:R$127*$E$45:$E$127*AA$45:AA$127)/SUM(R$45:R$127*$E$45:$E$127)</f>
        <v>63.4335788897908</v>
      </c>
      <c r="AB7" s="37" t="n">
        <f aca="false" t="array" ref="AB7:AB7">SUM($H$45:$H$127*$E$45:$E$127*AB$45:AB$127)/SUM($H$45:$H$127*$E$45:$E$127)</f>
        <v>60.9117094019935</v>
      </c>
      <c r="AH7" s="7" t="s">
        <v>35</v>
      </c>
      <c r="AJ7" s="39" t="n">
        <v>3896</v>
      </c>
      <c r="AK7" s="39" t="n">
        <f aca="false">_udcgen1999!I29/1000</f>
        <v>13391.819</v>
      </c>
      <c r="AL7" s="39"/>
      <c r="AM7" s="40" t="n">
        <f aca="false">(AK7*1000)/(AJ7*8760)</f>
        <v>0.39238872207064</v>
      </c>
      <c r="AN7" s="40"/>
      <c r="AO7" s="39" t="n">
        <f aca="false">AM7*AJ7</f>
        <v>1528.74646118721</v>
      </c>
      <c r="AP7" s="28"/>
      <c r="AQ7" s="25" t="s">
        <v>36</v>
      </c>
      <c r="AR7" s="33" t="n">
        <v>1376000000</v>
      </c>
      <c r="AU7" s="30" t="s">
        <v>37</v>
      </c>
      <c r="AV7" s="36" t="n">
        <f aca="false" t="array" ref="AV7:AV7">SUM(AL$45:AL$127*$E$45:$E$127*AU$45:AU$127)/SUM(AL$45:AL$127*$E$45:$E$127)</f>
        <v>37.302292922222</v>
      </c>
      <c r="AW7" s="36" t="n">
        <f aca="false" t="array" ref="AW7:AW7">SUM(AN$45:AN$127*$E$45:$E$127*AW$45:AW$127)/SUM(AN$45:AN$127*$E$45:$E$127)</f>
        <v>54.7221744848277</v>
      </c>
      <c r="AX7" s="36" t="n">
        <f aca="false" t="array" ref="AX7:AX7">SUM(AO$45:AO$127*$E$45:$E$127*AX$45:AX$127)/SUM(AO$45:AO$127*$E$45:$E$127)</f>
        <v>67.5497301171765</v>
      </c>
      <c r="AY7" s="37" t="n">
        <f aca="false" t="array" ref="AY7:AY7">SUM($H$45:$H$127*$E$45:$E$127*AY$45:AY$127)/SUM($H$45:$H$127*$E$45:$E$127)</f>
        <v>60.6362509006991</v>
      </c>
    </row>
    <row r="8" customFormat="false" ht="12.75" hidden="false" customHeight="false" outlineLevel="0" collapsed="false">
      <c r="M8" s="26" t="n">
        <f aca="false">SUM(M4:M7)</f>
        <v>4942</v>
      </c>
      <c r="N8" s="26" t="n">
        <f aca="false">SUM(N4:N7)</f>
        <v>32383</v>
      </c>
      <c r="O8" s="26"/>
      <c r="P8" s="27"/>
      <c r="Q8" s="27"/>
      <c r="R8" s="26"/>
      <c r="S8" s="28"/>
      <c r="T8" s="21" t="s">
        <v>38</v>
      </c>
      <c r="U8" s="35" t="n">
        <f aca="false">U5*U6</f>
        <v>36.75</v>
      </c>
      <c r="X8" s="41" t="s">
        <v>39</v>
      </c>
      <c r="Y8" s="42" t="n">
        <f aca="false" t="array" ref="Y8:Y8">SUM(O$45:O$163*$E$45:$E$163*X$45:X$163)/SUM(O$45:O$163*$E$45:$E$163)</f>
        <v>38.6908685599209</v>
      </c>
      <c r="Z8" s="42" t="n">
        <f aca="false" t="array" ref="Z8:Z8">SUM(Q$45:Q$163*$E$45:$E$163*Z$45:Z$163)/SUM(Q$45:Q$163*$E$45:$E$163)</f>
        <v>58.0128308568161</v>
      </c>
      <c r="AA8" s="42" t="n">
        <f aca="false" t="array" ref="AA8:AA8">SUM(R$45:R$163*$E$45:$E$163*AA$45:AA$163)/SUM(R$45:R$163*$E$45:$E$163)</f>
        <v>57.6728703220533</v>
      </c>
      <c r="AB8" s="43" t="n">
        <f aca="false" t="array" ref="AB8:AB8">SUM($H$45:$H$163*$E$45:$E$163*AB$45:AB$163)/SUM($H$45:$H$163*$E$45:$E$163)</f>
        <v>57.8556507593158</v>
      </c>
      <c r="AJ8" s="26" t="n">
        <f aca="false">SUM(AJ4:AJ7)</f>
        <v>6635</v>
      </c>
      <c r="AK8" s="26" t="n">
        <f aca="false">SUM(AK4:AK7)</f>
        <v>34965.241</v>
      </c>
      <c r="AL8" s="26"/>
      <c r="AM8" s="27"/>
      <c r="AN8" s="27"/>
      <c r="AO8" s="26"/>
      <c r="AP8" s="28"/>
      <c r="AQ8" s="25" t="s">
        <v>38</v>
      </c>
      <c r="AR8" s="38" t="n">
        <f aca="false">AR10/AR4</f>
        <v>40.2481246393537</v>
      </c>
      <c r="AU8" s="41" t="s">
        <v>39</v>
      </c>
      <c r="AV8" s="42" t="n">
        <f aca="false" t="array" ref="AV8:AV8">SUM(AL$45:AL$163*$E$45:$E$163*AU$45:AU$163)/SUM(AL$45:AL$163*$E$45:$E$163)</f>
        <v>37.3016447811254</v>
      </c>
      <c r="AW8" s="42" t="n">
        <f aca="false" t="array" ref="AW8:AW8">SUM(AN$45:AN$163*$E$45:$E$163*AW$45:AW$163)/SUM(AN$45:AN$163*$E$45:$E$163)</f>
        <v>53.5933207377145</v>
      </c>
      <c r="AX8" s="42" t="n">
        <f aca="false" t="array" ref="AX8:AX8">SUM(AO$45:AO$163*$E$45:$E$163*AX$45:AX$163)/SUM(AO$45:AO$163*$E$45:$E$163)</f>
        <v>61.2324335654898</v>
      </c>
      <c r="AY8" s="43" t="n">
        <f aca="false" t="array" ref="AY8:AY8">SUM($H$45:$H$163*$E$45:$E$163*AY$45:AY$163)/SUM($H$45:$H$163*$E$45:$E$163)</f>
        <v>57.2932533500483</v>
      </c>
    </row>
    <row r="9" customFormat="false" ht="12.75" hidden="false" customHeight="false" outlineLevel="0" collapsed="false">
      <c r="K9" s="1" t="s">
        <v>40</v>
      </c>
      <c r="M9" s="26"/>
      <c r="N9" s="26"/>
      <c r="O9" s="26"/>
      <c r="S9" s="28"/>
      <c r="T9" s="21"/>
      <c r="U9" s="21"/>
      <c r="Y9" s="44" t="s">
        <v>41</v>
      </c>
      <c r="AA9" s="9"/>
      <c r="AH9" s="1" t="s">
        <v>40</v>
      </c>
      <c r="AJ9" s="26"/>
      <c r="AK9" s="26"/>
      <c r="AL9" s="26"/>
      <c r="AP9" s="28"/>
      <c r="AQ9" s="25"/>
      <c r="AR9" s="25"/>
      <c r="AV9" s="44" t="s">
        <v>41</v>
      </c>
      <c r="AX9" s="9"/>
    </row>
    <row r="10" customFormat="false" ht="12.75" hidden="false" customHeight="false" outlineLevel="0" collapsed="false">
      <c r="K10" s="7" t="s">
        <v>42</v>
      </c>
      <c r="M10" s="26" t="n">
        <v>1987</v>
      </c>
      <c r="N10" s="26" t="n">
        <v>2805</v>
      </c>
      <c r="O10" s="26"/>
      <c r="P10" s="27" t="n">
        <f aca="false">(N10*1000)/(M10*8760)</f>
        <v>0.161150216130878</v>
      </c>
      <c r="Q10" s="27"/>
      <c r="R10" s="26" t="n">
        <f aca="false">P10*M10</f>
        <v>320.205479452055</v>
      </c>
      <c r="S10" s="28"/>
      <c r="T10" s="21" t="s">
        <v>43</v>
      </c>
      <c r="U10" s="29" t="n">
        <f aca="false">U8*U4</f>
        <v>991882500</v>
      </c>
      <c r="X10" s="0" t="n">
        <v>2001</v>
      </c>
      <c r="Y10" s="9" t="n">
        <v>31.8979712939955</v>
      </c>
      <c r="AH10" s="7" t="s">
        <v>42</v>
      </c>
      <c r="AJ10" s="26"/>
      <c r="AK10" s="26"/>
      <c r="AL10" s="26"/>
      <c r="AM10" s="27"/>
      <c r="AN10" s="27"/>
      <c r="AO10" s="26"/>
      <c r="AP10" s="28"/>
      <c r="AQ10" s="25" t="s">
        <v>43</v>
      </c>
      <c r="AR10" s="33" t="n">
        <v>837000000</v>
      </c>
      <c r="AU10" s="0" t="n">
        <v>2001</v>
      </c>
      <c r="AV10" s="9" t="n">
        <v>25.6285183737295</v>
      </c>
    </row>
    <row r="11" customFormat="false" ht="12.75" hidden="false" customHeight="false" outlineLevel="0" collapsed="false">
      <c r="K11" s="7" t="s">
        <v>4</v>
      </c>
      <c r="M11" s="26" t="n">
        <v>3502</v>
      </c>
      <c r="N11" s="26" t="n">
        <f aca="false">15338+1935+203+2354+6323+835</f>
        <v>26988</v>
      </c>
      <c r="O11" s="26"/>
      <c r="P11" s="27" t="n">
        <f aca="false">(N11*1000)/(M11*8760)</f>
        <v>0.879732129585442</v>
      </c>
      <c r="Q11" s="27"/>
      <c r="R11" s="26" t="n">
        <f aca="false">P11*M11</f>
        <v>3080.82191780822</v>
      </c>
      <c r="S11" s="28"/>
      <c r="T11" s="21" t="s">
        <v>44</v>
      </c>
      <c r="U11" s="45" t="n">
        <f aca="false">U7-U10</f>
        <v>1149117500</v>
      </c>
      <c r="X11" s="0" t="n">
        <v>2002</v>
      </c>
      <c r="Y11" s="9" t="n">
        <v>21.6807106034195</v>
      </c>
      <c r="AH11" s="7" t="s">
        <v>4</v>
      </c>
      <c r="AJ11" s="26" t="n">
        <v>4500</v>
      </c>
      <c r="AK11" s="26" t="n">
        <v>20796</v>
      </c>
      <c r="AL11" s="26"/>
      <c r="AM11" s="27" t="n">
        <f aca="false">(AK11*1000)/(AJ11*8760)</f>
        <v>0.527549467275495</v>
      </c>
      <c r="AN11" s="27"/>
      <c r="AO11" s="26" t="n">
        <f aca="false">AM11*AJ11</f>
        <v>2373.97260273973</v>
      </c>
      <c r="AP11" s="28"/>
      <c r="AQ11" s="25" t="s">
        <v>44</v>
      </c>
      <c r="AR11" s="46" t="n">
        <f aca="false">AR7-AR10</f>
        <v>539000000</v>
      </c>
      <c r="AS11" s="47" t="n">
        <v>524462</v>
      </c>
      <c r="AU11" s="0" t="n">
        <v>2002</v>
      </c>
      <c r="AV11" s="9" t="n">
        <v>25.7265570848599</v>
      </c>
    </row>
    <row r="12" customFormat="false" ht="12.75" hidden="false" customHeight="false" outlineLevel="0" collapsed="false">
      <c r="K12" s="7" t="s">
        <v>45</v>
      </c>
      <c r="M12" s="39" t="n">
        <v>0</v>
      </c>
      <c r="N12" s="39" t="n">
        <v>16576</v>
      </c>
      <c r="O12" s="39"/>
      <c r="P12" s="39" t="n">
        <v>0</v>
      </c>
      <c r="Q12" s="39"/>
      <c r="R12" s="19"/>
      <c r="S12" s="28"/>
      <c r="T12" s="45" t="s">
        <v>46</v>
      </c>
      <c r="U12" s="48" t="n">
        <f aca="false">U11/U4</f>
        <v>42.5756761763616</v>
      </c>
      <c r="X12" s="0" t="n">
        <v>2003</v>
      </c>
      <c r="Y12" s="9" t="n">
        <v>22.2348712487163</v>
      </c>
      <c r="AH12" s="7" t="s">
        <v>45</v>
      </c>
      <c r="AJ12" s="39" t="n">
        <v>0</v>
      </c>
      <c r="AK12" s="39" t="n">
        <v>0</v>
      </c>
      <c r="AL12" s="39"/>
      <c r="AM12" s="39" t="n">
        <v>0</v>
      </c>
      <c r="AN12" s="39"/>
      <c r="AO12" s="19"/>
      <c r="AP12" s="28"/>
      <c r="AQ12" s="46" t="s">
        <v>46</v>
      </c>
      <c r="AR12" s="49" t="n">
        <f aca="false">AR11/AR4</f>
        <v>25.9184458549721</v>
      </c>
      <c r="AS12" s="49" t="n">
        <f aca="false">AS11/AS4*1000</f>
        <v>25.6285183737295</v>
      </c>
      <c r="AU12" s="0" t="n">
        <v>2003</v>
      </c>
      <c r="AV12" s="9" t="n">
        <v>25.78289802862</v>
      </c>
    </row>
    <row r="13" customFormat="false" ht="12.75" hidden="false" customHeight="false" outlineLevel="0" collapsed="false">
      <c r="M13" s="26" t="n">
        <f aca="false">SUM(M10:M12)</f>
        <v>5489</v>
      </c>
      <c r="N13" s="26" t="n">
        <f aca="false">SUM(N10:N12)</f>
        <v>46369</v>
      </c>
      <c r="O13" s="26"/>
      <c r="P13" s="27"/>
      <c r="Q13" s="27"/>
      <c r="S13" s="28"/>
      <c r="U13" s="50"/>
      <c r="X13" s="0" t="n">
        <v>2004</v>
      </c>
      <c r="Y13" s="9" t="n">
        <v>22.9986511683263</v>
      </c>
      <c r="AJ13" s="26"/>
      <c r="AK13" s="26"/>
      <c r="AL13" s="26"/>
      <c r="AM13" s="27"/>
      <c r="AN13" s="27"/>
      <c r="AP13" s="28"/>
      <c r="AR13" s="50"/>
      <c r="AU13" s="0" t="n">
        <v>2004</v>
      </c>
      <c r="AV13" s="9" t="n">
        <v>25.8084037919549</v>
      </c>
    </row>
    <row r="14" customFormat="false" ht="12.75" hidden="false" customHeight="false" outlineLevel="0" collapsed="false">
      <c r="S14" s="28"/>
      <c r="X14" s="0" t="n">
        <v>2005</v>
      </c>
      <c r="Y14" s="9" t="n">
        <v>23.1051327284946</v>
      </c>
      <c r="AP14" s="28"/>
      <c r="AU14" s="0" t="n">
        <v>2005</v>
      </c>
      <c r="AV14" s="9" t="n">
        <v>26.0221192880192</v>
      </c>
    </row>
    <row r="15" customFormat="false" ht="12.75" hidden="false" customHeight="false" outlineLevel="0" collapsed="false">
      <c r="K15" s="51" t="s">
        <v>47</v>
      </c>
      <c r="L15" s="52"/>
      <c r="M15" s="53"/>
      <c r="N15" s="53"/>
      <c r="O15" s="53"/>
      <c r="P15" s="54"/>
      <c r="Q15" s="54"/>
      <c r="R15" s="52"/>
      <c r="S15" s="28"/>
      <c r="T15" s="55" t="s">
        <v>48</v>
      </c>
      <c r="U15" s="56"/>
      <c r="V15" s="56"/>
      <c r="W15" s="56"/>
      <c r="X15" s="56"/>
      <c r="Y15" s="56"/>
      <c r="Z15" s="56"/>
      <c r="AA15" s="56"/>
      <c r="AB15" s="56"/>
      <c r="AH15" s="51" t="s">
        <v>47</v>
      </c>
      <c r="AI15" s="52"/>
      <c r="AJ15" s="53"/>
      <c r="AK15" s="53"/>
      <c r="AL15" s="53"/>
      <c r="AM15" s="54"/>
      <c r="AN15" s="54"/>
      <c r="AO15" s="52"/>
      <c r="AP15" s="28"/>
      <c r="AQ15" s="55" t="s">
        <v>48</v>
      </c>
      <c r="AR15" s="56"/>
      <c r="AS15" s="56"/>
      <c r="AT15" s="56"/>
      <c r="AU15" s="56"/>
      <c r="AV15" s="56"/>
      <c r="AW15" s="56"/>
      <c r="AX15" s="56"/>
      <c r="AY15" s="56"/>
    </row>
    <row r="16" customFormat="false" ht="12.75" hidden="false" customHeight="false" outlineLevel="0" collapsed="false">
      <c r="G16" s="57" t="s">
        <v>49</v>
      </c>
      <c r="H16" s="58"/>
      <c r="I16" s="58"/>
      <c r="K16" s="52"/>
      <c r="L16" s="52"/>
      <c r="M16" s="53"/>
      <c r="N16" s="53"/>
      <c r="O16" s="53"/>
      <c r="P16" s="54"/>
      <c r="Q16" s="54"/>
      <c r="R16" s="52"/>
      <c r="S16" s="28"/>
      <c r="T16" s="56"/>
      <c r="U16" s="56"/>
      <c r="V16" s="56"/>
      <c r="W16" s="56"/>
      <c r="X16" s="56"/>
      <c r="Y16" s="56"/>
      <c r="Z16" s="56"/>
      <c r="AA16" s="56"/>
      <c r="AB16" s="56"/>
      <c r="AH16" s="52"/>
      <c r="AI16" s="52"/>
      <c r="AJ16" s="53"/>
      <c r="AK16" s="53"/>
      <c r="AL16" s="53"/>
      <c r="AM16" s="54"/>
      <c r="AN16" s="54"/>
      <c r="AO16" s="52"/>
      <c r="AP16" s="28"/>
      <c r="AQ16" s="56"/>
      <c r="AR16" s="56"/>
      <c r="AS16" s="56"/>
      <c r="AT16" s="56"/>
      <c r="AU16" s="56"/>
      <c r="AV16" s="56"/>
      <c r="AW16" s="56"/>
      <c r="AX16" s="56"/>
      <c r="AY16" s="56"/>
    </row>
    <row r="17" customFormat="false" ht="12.75" hidden="false" customHeight="false" outlineLevel="0" collapsed="false">
      <c r="E17" s="59" t="n">
        <f aca="true">TODAY()</f>
        <v>45926</v>
      </c>
      <c r="F17" s="60"/>
      <c r="G17" s="0" t="s">
        <v>50</v>
      </c>
      <c r="I17" s="61" t="n">
        <f aca="false">Summary!B4</f>
        <v>0.03</v>
      </c>
      <c r="Y17" s="0" t="s">
        <v>51</v>
      </c>
      <c r="AA17" s="0" t="s">
        <v>52</v>
      </c>
      <c r="AV17" s="0" t="s">
        <v>51</v>
      </c>
      <c r="AX17" s="0" t="s">
        <v>52</v>
      </c>
    </row>
    <row r="18" customFormat="false" ht="12.75" hidden="false" customHeight="false" outlineLevel="0" collapsed="false">
      <c r="D18" s="31" t="s">
        <v>53</v>
      </c>
      <c r="E18" s="0" t="s">
        <v>54</v>
      </c>
      <c r="Q18" s="12" t="s">
        <v>55</v>
      </c>
      <c r="T18" s="62" t="n">
        <v>48.72</v>
      </c>
      <c r="U18" s="62" t="n">
        <v>23</v>
      </c>
      <c r="V18" s="62" t="n">
        <v>34</v>
      </c>
      <c r="W18" s="62" t="n">
        <v>38</v>
      </c>
      <c r="Y18" s="63" t="n">
        <v>10500</v>
      </c>
      <c r="AA18" s="64" t="n">
        <v>1</v>
      </c>
      <c r="AB18" s="65" t="s">
        <v>29</v>
      </c>
      <c r="AN18" s="12" t="s">
        <v>55</v>
      </c>
      <c r="AQ18" s="62" t="n">
        <v>43</v>
      </c>
      <c r="AR18" s="62"/>
      <c r="AS18" s="62" t="n">
        <v>30</v>
      </c>
      <c r="AT18" s="62" t="n">
        <v>38</v>
      </c>
      <c r="AV18" s="63" t="n">
        <v>10500</v>
      </c>
      <c r="AX18" s="64" t="n">
        <v>1</v>
      </c>
      <c r="AY18" s="65" t="s">
        <v>29</v>
      </c>
    </row>
    <row r="19" customFormat="false" ht="13.5" hidden="false" customHeight="false" outlineLevel="0" collapsed="false">
      <c r="A19" s="66"/>
      <c r="B19" s="67" t="s">
        <v>56</v>
      </c>
      <c r="C19" s="67" t="s">
        <v>57</v>
      </c>
      <c r="D19" s="68" t="s">
        <v>58</v>
      </c>
      <c r="E19" s="68" t="s">
        <v>59</v>
      </c>
      <c r="F19" s="68"/>
      <c r="G19" s="69" t="s">
        <v>60</v>
      </c>
      <c r="H19" s="69" t="s">
        <v>12</v>
      </c>
      <c r="I19" s="69" t="s">
        <v>16</v>
      </c>
      <c r="J19" s="70"/>
      <c r="K19" s="66" t="s">
        <v>24</v>
      </c>
      <c r="L19" s="66" t="s">
        <v>30</v>
      </c>
      <c r="M19" s="66" t="s">
        <v>35</v>
      </c>
      <c r="N19" s="66" t="s">
        <v>61</v>
      </c>
      <c r="O19" s="66" t="s">
        <v>62</v>
      </c>
      <c r="P19" s="66" t="s">
        <v>63</v>
      </c>
      <c r="Q19" s="66" t="s">
        <v>27</v>
      </c>
      <c r="R19" s="71" t="s">
        <v>64</v>
      </c>
      <c r="S19" s="70"/>
      <c r="T19" s="66" t="s">
        <v>24</v>
      </c>
      <c r="U19" s="66" t="s">
        <v>30</v>
      </c>
      <c r="V19" s="66" t="s">
        <v>35</v>
      </c>
      <c r="W19" s="66" t="s">
        <v>61</v>
      </c>
      <c r="X19" s="66" t="s">
        <v>65</v>
      </c>
      <c r="Y19" s="66" t="s">
        <v>63</v>
      </c>
      <c r="Z19" s="66" t="s">
        <v>66</v>
      </c>
      <c r="AA19" s="71" t="s">
        <v>64</v>
      </c>
      <c r="AB19" s="69" t="s">
        <v>67</v>
      </c>
      <c r="AH19" s="66" t="s">
        <v>24</v>
      </c>
      <c r="AI19" s="66" t="s">
        <v>30</v>
      </c>
      <c r="AJ19" s="66" t="s">
        <v>35</v>
      </c>
      <c r="AK19" s="66" t="s">
        <v>61</v>
      </c>
      <c r="AL19" s="66" t="s">
        <v>62</v>
      </c>
      <c r="AM19" s="66" t="s">
        <v>63</v>
      </c>
      <c r="AN19" s="66" t="s">
        <v>27</v>
      </c>
      <c r="AO19" s="71" t="s">
        <v>64</v>
      </c>
      <c r="AP19" s="70"/>
      <c r="AQ19" s="66" t="s">
        <v>24</v>
      </c>
      <c r="AR19" s="72" t="s">
        <v>30</v>
      </c>
      <c r="AS19" s="66" t="s">
        <v>35</v>
      </c>
      <c r="AT19" s="66" t="s">
        <v>61</v>
      </c>
      <c r="AU19" s="66" t="s">
        <v>65</v>
      </c>
      <c r="AV19" s="66" t="s">
        <v>63</v>
      </c>
      <c r="AW19" s="66" t="s">
        <v>66</v>
      </c>
      <c r="AX19" s="71" t="s">
        <v>64</v>
      </c>
      <c r="AY19" s="69" t="s">
        <v>67</v>
      </c>
    </row>
    <row r="20" customFormat="false" ht="12.75" hidden="false" customHeight="false" outlineLevel="1" collapsed="false">
      <c r="A20" s="73" t="n">
        <v>36161</v>
      </c>
      <c r="B20" s="74" t="n">
        <f aca="false">YEAR(A20)</f>
        <v>1999</v>
      </c>
      <c r="C20" s="74" t="n">
        <f aca="false">MONTH(A20)</f>
        <v>1</v>
      </c>
      <c r="D20" s="75"/>
      <c r="E20" s="76"/>
      <c r="F20" s="76"/>
      <c r="G20" s="77" t="n">
        <v>24043.9864130434</v>
      </c>
      <c r="H20" s="77" t="n">
        <v>9972.88037634408</v>
      </c>
      <c r="I20" s="77" t="n">
        <v>9480.46639784946</v>
      </c>
      <c r="J20" s="78"/>
      <c r="K20" s="79"/>
      <c r="L20" s="79"/>
      <c r="M20" s="79"/>
      <c r="N20" s="79"/>
      <c r="O20" s="79"/>
      <c r="P20" s="80" t="n">
        <f aca="false">H20/SUM($H$20:$H$31)*$N$11/_udcgen1999!B47*1000</f>
        <v>2792.6655547379</v>
      </c>
      <c r="Q20" s="79"/>
      <c r="R20" s="78"/>
      <c r="S20" s="78"/>
      <c r="T20" s="81"/>
      <c r="U20" s="81"/>
      <c r="V20" s="81"/>
      <c r="W20" s="81"/>
      <c r="X20" s="81"/>
      <c r="Y20" s="81"/>
      <c r="Z20" s="81"/>
      <c r="AA20" s="81"/>
      <c r="AB20" s="78"/>
      <c r="AC20" s="78"/>
      <c r="AD20" s="81"/>
      <c r="AE20" s="78"/>
      <c r="AF20" s="78"/>
      <c r="AG20" s="78"/>
      <c r="AH20" s="79"/>
      <c r="AI20" s="79"/>
      <c r="AJ20" s="79"/>
      <c r="AK20" s="79"/>
      <c r="AL20" s="79"/>
      <c r="AM20" s="80" t="n">
        <f aca="false">_udcgen1999!O30</f>
        <v>2445.3687016129</v>
      </c>
      <c r="AN20" s="79"/>
      <c r="AO20" s="78"/>
      <c r="AP20" s="78"/>
      <c r="AQ20" s="81"/>
      <c r="AR20" s="81"/>
      <c r="AS20" s="81"/>
      <c r="AT20" s="81"/>
      <c r="AU20" s="81"/>
      <c r="AV20" s="81"/>
      <c r="AW20" s="81"/>
      <c r="AX20" s="81"/>
    </row>
    <row r="21" customFormat="false" ht="12.75" hidden="false" customHeight="false" outlineLevel="1" collapsed="false">
      <c r="A21" s="73" t="n">
        <v>36192</v>
      </c>
      <c r="B21" s="74" t="n">
        <f aca="false">YEAR(A21)</f>
        <v>1999</v>
      </c>
      <c r="C21" s="74" t="n">
        <f aca="false">MONTH(A21)</f>
        <v>2</v>
      </c>
      <c r="D21" s="75"/>
      <c r="E21" s="76"/>
      <c r="F21" s="76"/>
      <c r="G21" s="77" t="n">
        <v>24257.542042042</v>
      </c>
      <c r="H21" s="77" t="n">
        <v>10061.4375</v>
      </c>
      <c r="I21" s="77" t="n">
        <v>9526.27976190476</v>
      </c>
      <c r="J21" s="78"/>
      <c r="K21" s="79"/>
      <c r="L21" s="79"/>
      <c r="M21" s="79"/>
      <c r="N21" s="79"/>
      <c r="O21" s="79"/>
      <c r="P21" s="80" t="n">
        <f aca="false">H21/SUM($H$20:$H$31)*$N$11/_udcgen1999!B48*1000</f>
        <v>3011.77170136767</v>
      </c>
      <c r="Q21" s="79"/>
      <c r="R21" s="78"/>
      <c r="S21" s="78"/>
      <c r="T21" s="81"/>
      <c r="U21" s="81"/>
      <c r="V21" s="81"/>
      <c r="W21" s="81"/>
      <c r="X21" s="81"/>
      <c r="Y21" s="81"/>
      <c r="Z21" s="81"/>
      <c r="AA21" s="81"/>
      <c r="AB21" s="78"/>
      <c r="AC21" s="78"/>
      <c r="AD21" s="81"/>
      <c r="AE21" s="78"/>
      <c r="AF21" s="78"/>
      <c r="AG21" s="78"/>
      <c r="AH21" s="79"/>
      <c r="AI21" s="79"/>
      <c r="AJ21" s="79"/>
      <c r="AK21" s="79"/>
      <c r="AL21" s="79"/>
      <c r="AM21" s="80" t="n">
        <f aca="false">_udcgen1999!O31</f>
        <v>2161.54564434524</v>
      </c>
      <c r="AN21" s="79"/>
      <c r="AO21" s="78"/>
      <c r="AP21" s="78"/>
      <c r="AQ21" s="81"/>
      <c r="AR21" s="81"/>
      <c r="AS21" s="81"/>
      <c r="AT21" s="81"/>
      <c r="AU21" s="81"/>
      <c r="AV21" s="81"/>
      <c r="AW21" s="81"/>
      <c r="AX21" s="81"/>
    </row>
    <row r="22" customFormat="false" ht="12.75" hidden="false" customHeight="false" outlineLevel="1" collapsed="false">
      <c r="A22" s="73" t="n">
        <v>36220</v>
      </c>
      <c r="B22" s="74" t="n">
        <f aca="false">YEAR(A22)</f>
        <v>1999</v>
      </c>
      <c r="C22" s="74" t="n">
        <f aca="false">MONTH(A22)</f>
        <v>3</v>
      </c>
      <c r="D22" s="75"/>
      <c r="E22" s="76"/>
      <c r="F22" s="76"/>
      <c r="G22" s="77" t="n">
        <v>24487.1648648648</v>
      </c>
      <c r="H22" s="77" t="n">
        <v>10121.9086021505</v>
      </c>
      <c r="I22" s="77" t="n">
        <v>9422.93817204301</v>
      </c>
      <c r="J22" s="78"/>
      <c r="K22" s="79"/>
      <c r="L22" s="79"/>
      <c r="M22" s="79"/>
      <c r="N22" s="79"/>
      <c r="O22" s="79"/>
      <c r="P22" s="80" t="n">
        <f aca="false">H22/SUM($H$20:$H$31)*$N$11/_udcgen1999!B49*1000</f>
        <v>2834.39732902856</v>
      </c>
      <c r="Q22" s="79"/>
      <c r="R22" s="78"/>
      <c r="S22" s="78"/>
      <c r="T22" s="81"/>
      <c r="U22" s="81"/>
      <c r="V22" s="81"/>
      <c r="W22" s="81"/>
      <c r="X22" s="81"/>
      <c r="Y22" s="81"/>
      <c r="Z22" s="81"/>
      <c r="AA22" s="81"/>
      <c r="AB22" s="78"/>
      <c r="AC22" s="78"/>
      <c r="AD22" s="81"/>
      <c r="AE22" s="78"/>
      <c r="AF22" s="78"/>
      <c r="AG22" s="78"/>
      <c r="AH22" s="79"/>
      <c r="AI22" s="79"/>
      <c r="AJ22" s="79"/>
      <c r="AK22" s="79"/>
      <c r="AL22" s="79"/>
      <c r="AM22" s="80" t="n">
        <f aca="false">_udcgen1999!O32</f>
        <v>2044.22227284946</v>
      </c>
      <c r="AN22" s="79"/>
      <c r="AO22" s="78"/>
      <c r="AP22" s="78"/>
      <c r="AQ22" s="81"/>
      <c r="AR22" s="81"/>
      <c r="AS22" s="81"/>
      <c r="AT22" s="81"/>
      <c r="AU22" s="81"/>
      <c r="AV22" s="81"/>
      <c r="AW22" s="81"/>
      <c r="AX22" s="81"/>
    </row>
    <row r="23" customFormat="false" ht="12.75" hidden="false" customHeight="false" outlineLevel="1" collapsed="false">
      <c r="A23" s="73" t="n">
        <v>36251</v>
      </c>
      <c r="B23" s="74" t="n">
        <f aca="false">YEAR(A23)</f>
        <v>1999</v>
      </c>
      <c r="C23" s="74" t="n">
        <f aca="false">MONTH(A23)</f>
        <v>4</v>
      </c>
      <c r="D23" s="75"/>
      <c r="E23" s="76"/>
      <c r="F23" s="76"/>
      <c r="G23" s="77" t="n">
        <v>24146.1534170153</v>
      </c>
      <c r="H23" s="77" t="n">
        <v>10102.9611111111</v>
      </c>
      <c r="I23" s="77" t="n">
        <v>9147.41666666666</v>
      </c>
      <c r="J23" s="78"/>
      <c r="K23" s="79"/>
      <c r="L23" s="79"/>
      <c r="M23" s="79"/>
      <c r="N23" s="79"/>
      <c r="O23" s="79"/>
      <c r="P23" s="80" t="n">
        <f aca="false">H23/SUM($H$20:$H$31)*$N$11/_udcgen1999!B50*1000</f>
        <v>2923.39459068154</v>
      </c>
      <c r="Q23" s="79"/>
      <c r="R23" s="78"/>
      <c r="S23" s="78"/>
      <c r="T23" s="81"/>
      <c r="U23" s="81"/>
      <c r="V23" s="81"/>
      <c r="W23" s="81"/>
      <c r="X23" s="81"/>
      <c r="Y23" s="81"/>
      <c r="Z23" s="81"/>
      <c r="AA23" s="81"/>
      <c r="AB23" s="78"/>
      <c r="AC23" s="78"/>
      <c r="AD23" s="81"/>
      <c r="AE23" s="78"/>
      <c r="AF23" s="78"/>
      <c r="AG23" s="78"/>
      <c r="AH23" s="79"/>
      <c r="AI23" s="79"/>
      <c r="AJ23" s="79"/>
      <c r="AK23" s="79"/>
      <c r="AL23" s="79"/>
      <c r="AM23" s="80" t="n">
        <f aca="false">_udcgen1999!O33</f>
        <v>2152.99685890411</v>
      </c>
      <c r="AN23" s="79"/>
      <c r="AO23" s="78"/>
      <c r="AP23" s="78"/>
      <c r="AQ23" s="81"/>
      <c r="AR23" s="81"/>
      <c r="AS23" s="81"/>
      <c r="AT23" s="81"/>
      <c r="AU23" s="81"/>
      <c r="AV23" s="81"/>
      <c r="AW23" s="81"/>
      <c r="AX23" s="81"/>
    </row>
    <row r="24" customFormat="false" ht="12.75" hidden="false" customHeight="false" outlineLevel="1" collapsed="false">
      <c r="A24" s="73" t="n">
        <v>36281</v>
      </c>
      <c r="B24" s="74" t="n">
        <f aca="false">YEAR(A24)</f>
        <v>1999</v>
      </c>
      <c r="C24" s="74" t="n">
        <f aca="false">MONTH(A24)</f>
        <v>5</v>
      </c>
      <c r="D24" s="75"/>
      <c r="E24" s="76"/>
      <c r="F24" s="76"/>
      <c r="G24" s="77" t="n">
        <v>24270.5371120107</v>
      </c>
      <c r="H24" s="77" t="n">
        <v>10111.5994623655</v>
      </c>
      <c r="I24" s="77" t="n">
        <v>9437.41935483871</v>
      </c>
      <c r="J24" s="78"/>
      <c r="K24" s="79"/>
      <c r="L24" s="79"/>
      <c r="M24" s="79"/>
      <c r="N24" s="79"/>
      <c r="O24" s="79"/>
      <c r="P24" s="80" t="n">
        <f aca="false">H24/SUM($H$20:$H$31)*$N$11/_udcgen1999!B51*1000</f>
        <v>2831.51050210493</v>
      </c>
      <c r="Q24" s="79"/>
      <c r="R24" s="78"/>
      <c r="S24" s="78"/>
      <c r="T24" s="81"/>
      <c r="U24" s="81"/>
      <c r="V24" s="81"/>
      <c r="W24" s="81"/>
      <c r="X24" s="81"/>
      <c r="Y24" s="81"/>
      <c r="Z24" s="81"/>
      <c r="AA24" s="81"/>
      <c r="AB24" s="78"/>
      <c r="AC24" s="78"/>
      <c r="AD24" s="81"/>
      <c r="AE24" s="78"/>
      <c r="AF24" s="78"/>
      <c r="AG24" s="78"/>
      <c r="AH24" s="79"/>
      <c r="AI24" s="79"/>
      <c r="AJ24" s="79"/>
      <c r="AK24" s="79"/>
      <c r="AL24" s="79"/>
      <c r="AM24" s="80" t="n">
        <f aca="false">_udcgen1999!O34</f>
        <v>2186.84183198925</v>
      </c>
      <c r="AN24" s="79"/>
      <c r="AO24" s="78"/>
      <c r="AP24" s="78"/>
      <c r="AQ24" s="81"/>
      <c r="AR24" s="81"/>
      <c r="AS24" s="81"/>
      <c r="AT24" s="81"/>
      <c r="AU24" s="81"/>
      <c r="AV24" s="81"/>
      <c r="AW24" s="81"/>
      <c r="AX24" s="81"/>
    </row>
    <row r="25" customFormat="false" ht="12.75" hidden="false" customHeight="false" outlineLevel="1" collapsed="false">
      <c r="A25" s="73" t="n">
        <v>36312</v>
      </c>
      <c r="B25" s="74" t="n">
        <f aca="false">YEAR(A25)</f>
        <v>1999</v>
      </c>
      <c r="C25" s="74" t="n">
        <f aca="false">MONTH(A25)</f>
        <v>6</v>
      </c>
      <c r="D25" s="75"/>
      <c r="E25" s="76"/>
      <c r="F25" s="76"/>
      <c r="G25" s="77" t="n">
        <v>26609.2416666666</v>
      </c>
      <c r="H25" s="77" t="n">
        <v>10975.0458333333</v>
      </c>
      <c r="I25" s="77" t="n">
        <v>10451.8875</v>
      </c>
      <c r="J25" s="78"/>
      <c r="K25" s="79"/>
      <c r="L25" s="79"/>
      <c r="M25" s="79"/>
      <c r="N25" s="79"/>
      <c r="O25" s="79"/>
      <c r="P25" s="80" t="n">
        <f aca="false">H25/SUM($H$20:$H$31)*$N$11/_udcgen1999!B52*1000</f>
        <v>3175.74117813466</v>
      </c>
      <c r="Q25" s="79"/>
      <c r="R25" s="78"/>
      <c r="S25" s="78"/>
      <c r="T25" s="81"/>
      <c r="U25" s="81"/>
      <c r="V25" s="81"/>
      <c r="W25" s="81"/>
      <c r="X25" s="81"/>
      <c r="Y25" s="81"/>
      <c r="Z25" s="81"/>
      <c r="AA25" s="81"/>
      <c r="AB25" s="78"/>
      <c r="AC25" s="78"/>
      <c r="AD25" s="81"/>
      <c r="AE25" s="78"/>
      <c r="AF25" s="78"/>
      <c r="AG25" s="78"/>
      <c r="AH25" s="79"/>
      <c r="AI25" s="79"/>
      <c r="AJ25" s="79"/>
      <c r="AK25" s="79"/>
      <c r="AL25" s="79"/>
      <c r="AM25" s="80" t="n">
        <f aca="false">_udcgen1999!O35</f>
        <v>2754.04614109589</v>
      </c>
      <c r="AN25" s="79"/>
      <c r="AO25" s="78"/>
      <c r="AP25" s="78"/>
      <c r="AQ25" s="81"/>
      <c r="AR25" s="81"/>
      <c r="AS25" s="81"/>
      <c r="AT25" s="81"/>
      <c r="AU25" s="81"/>
      <c r="AV25" s="81"/>
      <c r="AW25" s="81"/>
      <c r="AX25" s="81"/>
    </row>
    <row r="26" customFormat="false" ht="12.75" hidden="false" customHeight="false" outlineLevel="1" collapsed="false">
      <c r="A26" s="73" t="n">
        <v>36342</v>
      </c>
      <c r="B26" s="74" t="n">
        <f aca="false">YEAR(A26)</f>
        <v>1999</v>
      </c>
      <c r="C26" s="74" t="n">
        <f aca="false">MONTH(A26)</f>
        <v>7</v>
      </c>
      <c r="D26" s="75"/>
      <c r="E26" s="76"/>
      <c r="F26" s="76"/>
      <c r="G26" s="77" t="n">
        <v>28877.7674731182</v>
      </c>
      <c r="H26" s="77" t="n">
        <v>11960.9959677419</v>
      </c>
      <c r="I26" s="77" t="n">
        <v>10955.7231182795</v>
      </c>
      <c r="J26" s="78"/>
      <c r="K26" s="79"/>
      <c r="L26" s="79"/>
      <c r="M26" s="79"/>
      <c r="N26" s="79"/>
      <c r="O26" s="79"/>
      <c r="P26" s="80" t="n">
        <f aca="false">H26/SUM($H$20:$H$31)*$N$11/_udcgen1999!B53*1000</f>
        <v>3349.38956238808</v>
      </c>
      <c r="Q26" s="79"/>
      <c r="R26" s="78"/>
      <c r="S26" s="78"/>
      <c r="T26" s="81"/>
      <c r="U26" s="81"/>
      <c r="V26" s="81"/>
      <c r="W26" s="81"/>
      <c r="X26" s="81"/>
      <c r="Y26" s="81"/>
      <c r="Z26" s="81"/>
      <c r="AA26" s="81"/>
      <c r="AB26" s="78"/>
      <c r="AC26" s="78"/>
      <c r="AD26" s="81"/>
      <c r="AE26" s="78"/>
      <c r="AF26" s="78"/>
      <c r="AG26" s="78"/>
      <c r="AH26" s="79"/>
      <c r="AI26" s="79"/>
      <c r="AJ26" s="79"/>
      <c r="AK26" s="79"/>
      <c r="AL26" s="79"/>
      <c r="AM26" s="80" t="n">
        <f aca="false">_udcgen1999!O36</f>
        <v>2586.73186021505</v>
      </c>
      <c r="AN26" s="79"/>
      <c r="AO26" s="78"/>
      <c r="AP26" s="78"/>
      <c r="AQ26" s="81"/>
      <c r="AR26" s="81"/>
      <c r="AS26" s="81"/>
      <c r="AT26" s="81"/>
      <c r="AU26" s="81"/>
      <c r="AV26" s="81"/>
      <c r="AW26" s="81"/>
      <c r="AX26" s="81"/>
    </row>
    <row r="27" customFormat="false" ht="12.75" hidden="false" customHeight="false" outlineLevel="1" collapsed="false">
      <c r="A27" s="73" t="n">
        <v>36373</v>
      </c>
      <c r="B27" s="74" t="n">
        <f aca="false">YEAR(A27)</f>
        <v>1999</v>
      </c>
      <c r="C27" s="74" t="n">
        <f aca="false">MONTH(A27)</f>
        <v>8</v>
      </c>
      <c r="D27" s="75"/>
      <c r="E27" s="76"/>
      <c r="F27" s="76"/>
      <c r="G27" s="77" t="n">
        <v>29055.1117092866</v>
      </c>
      <c r="H27" s="77" t="n">
        <v>12235.4825268817</v>
      </c>
      <c r="I27" s="77" t="n">
        <v>10839.2056451612</v>
      </c>
      <c r="J27" s="78"/>
      <c r="K27" s="79"/>
      <c r="L27" s="79"/>
      <c r="M27" s="79"/>
      <c r="N27" s="79"/>
      <c r="O27" s="79"/>
      <c r="P27" s="80" t="n">
        <f aca="false">H27/SUM($H$20:$H$31)*$N$11/_udcgen1999!B54*1000</f>
        <v>3426.25292884001</v>
      </c>
      <c r="Q27" s="79"/>
      <c r="R27" s="78"/>
      <c r="S27" s="78"/>
      <c r="T27" s="81"/>
      <c r="U27" s="81"/>
      <c r="V27" s="81"/>
      <c r="W27" s="81"/>
      <c r="X27" s="81"/>
      <c r="Y27" s="81"/>
      <c r="Z27" s="81"/>
      <c r="AA27" s="81"/>
      <c r="AB27" s="78"/>
      <c r="AC27" s="78"/>
      <c r="AD27" s="81"/>
      <c r="AE27" s="78"/>
      <c r="AF27" s="78"/>
      <c r="AG27" s="78"/>
      <c r="AH27" s="79"/>
      <c r="AI27" s="79"/>
      <c r="AJ27" s="79"/>
      <c r="AK27" s="79"/>
      <c r="AL27" s="79"/>
      <c r="AM27" s="80" t="n">
        <f aca="false">_udcgen1999!O37</f>
        <v>2208.28901612903</v>
      </c>
      <c r="AN27" s="79"/>
      <c r="AO27" s="78"/>
      <c r="AP27" s="78"/>
      <c r="AQ27" s="81"/>
      <c r="AR27" s="81"/>
      <c r="AS27" s="81"/>
      <c r="AT27" s="81"/>
      <c r="AU27" s="81"/>
      <c r="AV27" s="81"/>
      <c r="AW27" s="81"/>
      <c r="AX27" s="81"/>
    </row>
    <row r="28" customFormat="false" ht="12.75" hidden="false" customHeight="false" outlineLevel="1" collapsed="false">
      <c r="A28" s="73" t="n">
        <v>36404</v>
      </c>
      <c r="B28" s="74" t="n">
        <f aca="false">YEAR(A28)</f>
        <v>1999</v>
      </c>
      <c r="C28" s="74" t="n">
        <f aca="false">MONTH(A28)</f>
        <v>9</v>
      </c>
      <c r="D28" s="75"/>
      <c r="E28" s="76"/>
      <c r="F28" s="76"/>
      <c r="G28" s="77" t="n">
        <v>27930.3527777777</v>
      </c>
      <c r="H28" s="77" t="n">
        <v>11570.8180555555</v>
      </c>
      <c r="I28" s="77" t="n">
        <v>10659.1805555555</v>
      </c>
      <c r="J28" s="78"/>
      <c r="K28" s="80" t="n">
        <f aca="false">_udcgen1999!F55/_udcgen1999!B55</f>
        <v>2263.63333333333</v>
      </c>
      <c r="L28" s="80" t="n">
        <f aca="false">_udcgen1999!E55/_udcgen1999!B55</f>
        <v>1380.73611111111</v>
      </c>
      <c r="M28" s="80" t="n">
        <f aca="false">_udcgen1999!G55/_udcgen1999!B55</f>
        <v>542.602777777778</v>
      </c>
      <c r="N28" s="80" t="n">
        <f aca="false">_udcgen1999!H55/_udcgen1999!B55</f>
        <v>3.41944444444444</v>
      </c>
      <c r="O28" s="79" t="n">
        <f aca="false">SUM(K28:N28)</f>
        <v>4190.39166666667</v>
      </c>
      <c r="P28" s="80" t="n">
        <f aca="false">H28/SUM($H$20:$H$31)*$N$11/_udcgen1999!B55*1000</f>
        <v>3348.13393235473</v>
      </c>
      <c r="Q28" s="79"/>
      <c r="R28" s="78"/>
      <c r="S28" s="78"/>
      <c r="T28" s="81"/>
      <c r="U28" s="81"/>
      <c r="V28" s="81"/>
      <c r="W28" s="81"/>
      <c r="X28" s="81"/>
      <c r="Y28" s="81"/>
      <c r="Z28" s="81"/>
      <c r="AA28" s="81"/>
      <c r="AB28" s="78"/>
      <c r="AC28" s="78"/>
      <c r="AD28" s="81"/>
      <c r="AE28" s="78"/>
      <c r="AF28" s="78"/>
      <c r="AG28" s="78"/>
      <c r="AH28" s="80" t="n">
        <f aca="false">K28/SUM($K$28:$K$39)*$AK$4*1000/_udcgen1999!P30</f>
        <v>1890.97734163897</v>
      </c>
      <c r="AI28" s="80" t="n">
        <v>0</v>
      </c>
      <c r="AJ28" s="80" t="n">
        <f aca="false">_udcgen1999!J30</f>
        <v>765.820605438213</v>
      </c>
      <c r="AK28" s="80" t="n">
        <f aca="false">I28/SUM($I$28:$I$39)*$AK$6*1000/_udcgen1999!P30</f>
        <v>570.922545092046</v>
      </c>
      <c r="AL28" s="79" t="n">
        <f aca="false">SUM(AH28:AK28)</f>
        <v>3227.72049216923</v>
      </c>
      <c r="AM28" s="80" t="n">
        <f aca="false">_udcgen1999!O38</f>
        <v>2371.57693150685</v>
      </c>
      <c r="AN28" s="79"/>
      <c r="AO28" s="78"/>
      <c r="AP28" s="78"/>
      <c r="AQ28" s="81"/>
      <c r="AR28" s="81"/>
      <c r="AS28" s="81"/>
      <c r="AT28" s="81"/>
      <c r="AU28" s="81"/>
      <c r="AV28" s="81"/>
      <c r="AW28" s="81"/>
      <c r="AX28" s="81"/>
    </row>
    <row r="29" customFormat="false" ht="12.75" hidden="false" customHeight="false" outlineLevel="1" collapsed="false">
      <c r="A29" s="73" t="n">
        <v>36434</v>
      </c>
      <c r="B29" s="74" t="n">
        <f aca="false">YEAR(A29)</f>
        <v>1999</v>
      </c>
      <c r="C29" s="74" t="n">
        <f aca="false">MONTH(A29)</f>
        <v>10</v>
      </c>
      <c r="D29" s="75"/>
      <c r="E29" s="76"/>
      <c r="F29" s="76"/>
      <c r="G29" s="77" t="n">
        <v>26822.2029569892</v>
      </c>
      <c r="H29" s="77" t="n">
        <v>11324.2190860215</v>
      </c>
      <c r="I29" s="77" t="n">
        <v>9719.77150537634</v>
      </c>
      <c r="J29" s="78"/>
      <c r="K29" s="80" t="n">
        <f aca="false">_udcgen1999!F56/_udcgen1999!B56</f>
        <v>2069.29166666667</v>
      </c>
      <c r="L29" s="80" t="n">
        <f aca="false">_udcgen1999!E56/_udcgen1999!B56</f>
        <v>1227.52419354839</v>
      </c>
      <c r="M29" s="80" t="n">
        <f aca="false">_udcgen1999!G56/_udcgen1999!B56</f>
        <v>369.340053763441</v>
      </c>
      <c r="N29" s="80" t="n">
        <f aca="false">_udcgen1999!H56/_udcgen1999!B56</f>
        <v>3.27822580645161</v>
      </c>
      <c r="O29" s="79" t="n">
        <f aca="false">SUM(K29:N29)</f>
        <v>3669.43413978495</v>
      </c>
      <c r="P29" s="80" t="n">
        <f aca="false">H29/SUM($H$20:$H$31)*$N$11/_udcgen1999!B56*1000</f>
        <v>3171.07549498463</v>
      </c>
      <c r="Q29" s="79"/>
      <c r="R29" s="78"/>
      <c r="S29" s="78"/>
      <c r="T29" s="81"/>
      <c r="U29" s="81"/>
      <c r="V29" s="81"/>
      <c r="W29" s="81"/>
      <c r="X29" s="81"/>
      <c r="Y29" s="81"/>
      <c r="Z29" s="81"/>
      <c r="AA29" s="81"/>
      <c r="AB29" s="78"/>
      <c r="AC29" s="78"/>
      <c r="AD29" s="81"/>
      <c r="AE29" s="78"/>
      <c r="AF29" s="78"/>
      <c r="AG29" s="78"/>
      <c r="AH29" s="80" t="n">
        <f aca="false">K29/SUM($K$28:$K$39)*$AK$4*1000/_udcgen1999!P31</f>
        <v>1913.83994918903</v>
      </c>
      <c r="AI29" s="80" t="n">
        <v>0</v>
      </c>
      <c r="AJ29" s="80" t="n">
        <f aca="false">_udcgen1999!J31</f>
        <v>1075.38011608834</v>
      </c>
      <c r="AK29" s="80" t="n">
        <f aca="false">I29/SUM($I$28:$I$39)*$AK$6*1000/_udcgen1999!P31</f>
        <v>576.385560502926</v>
      </c>
      <c r="AL29" s="79" t="n">
        <f aca="false">SUM(AH29:AK29)</f>
        <v>3565.6056257803</v>
      </c>
      <c r="AM29" s="80" t="n">
        <f aca="false">_udcgen1999!O39</f>
        <v>2259.71325</v>
      </c>
      <c r="AN29" s="79"/>
      <c r="AO29" s="78"/>
      <c r="AP29" s="78"/>
      <c r="AQ29" s="81"/>
      <c r="AR29" s="81"/>
      <c r="AS29" s="81"/>
      <c r="AT29" s="81"/>
      <c r="AU29" s="81"/>
      <c r="AV29" s="81"/>
      <c r="AW29" s="81"/>
      <c r="AX29" s="81"/>
    </row>
    <row r="30" customFormat="false" ht="12.75" hidden="false" customHeight="false" outlineLevel="1" collapsed="false">
      <c r="A30" s="73" t="n">
        <v>36465</v>
      </c>
      <c r="B30" s="74" t="n">
        <f aca="false">YEAR(A30)</f>
        <v>1999</v>
      </c>
      <c r="C30" s="74" t="n">
        <f aca="false">MONTH(A30)</f>
        <v>11</v>
      </c>
      <c r="D30" s="75"/>
      <c r="E30" s="76"/>
      <c r="F30" s="76"/>
      <c r="G30" s="77" t="n">
        <v>25157.4741980474</v>
      </c>
      <c r="H30" s="77" t="n">
        <v>10468.0375</v>
      </c>
      <c r="I30" s="77" t="n">
        <v>9324.57777777777</v>
      </c>
      <c r="J30" s="78"/>
      <c r="K30" s="80" t="n">
        <f aca="false">_udcgen1999!F57/_udcgen1999!B57</f>
        <v>2201.15833333333</v>
      </c>
      <c r="L30" s="80" t="n">
        <f aca="false">_udcgen1999!E57/_udcgen1999!B57</f>
        <v>1270.02777777778</v>
      </c>
      <c r="M30" s="80" t="n">
        <f aca="false">_udcgen1999!G57/_udcgen1999!B57</f>
        <v>241.311111111111</v>
      </c>
      <c r="N30" s="80" t="n">
        <f aca="false">_udcgen1999!H57/_udcgen1999!B57</f>
        <v>3.11944444444444</v>
      </c>
      <c r="O30" s="79" t="n">
        <f aca="false">SUM(K30:N30)</f>
        <v>3715.61666666667</v>
      </c>
      <c r="P30" s="80" t="n">
        <f aca="false">H30/SUM($H$20:$H$31)*$N$11/_udcgen1999!B57*1000</f>
        <v>3029.03315829808</v>
      </c>
      <c r="Q30" s="79"/>
      <c r="R30" s="78"/>
      <c r="S30" s="78"/>
      <c r="T30" s="81"/>
      <c r="U30" s="81"/>
      <c r="V30" s="81"/>
      <c r="W30" s="81"/>
      <c r="X30" s="81"/>
      <c r="Y30" s="81"/>
      <c r="Z30" s="81"/>
      <c r="AA30" s="81"/>
      <c r="AB30" s="78"/>
      <c r="AC30" s="78"/>
      <c r="AD30" s="81"/>
      <c r="AE30" s="78"/>
      <c r="AF30" s="78"/>
      <c r="AG30" s="78"/>
      <c r="AH30" s="80" t="n">
        <f aca="false">K30/SUM($K$28:$K$39)*$AK$4*1000/_udcgen1999!P32</f>
        <v>1838.78743628671</v>
      </c>
      <c r="AI30" s="80" t="n">
        <v>0</v>
      </c>
      <c r="AJ30" s="80" t="n">
        <f aca="false">_udcgen1999!J32</f>
        <v>1347.87918472112</v>
      </c>
      <c r="AK30" s="80" t="n">
        <f aca="false">I30/SUM($I$28:$I$39)*$AK$6*1000/_udcgen1999!P32</f>
        <v>499.439112514422</v>
      </c>
      <c r="AL30" s="79" t="n">
        <f aca="false">SUM(AH30:AK30)</f>
        <v>3686.10573352225</v>
      </c>
      <c r="AM30" s="80" t="n">
        <f aca="false">_udcgen1999!O40</f>
        <v>2451.23764109589</v>
      </c>
      <c r="AN30" s="79"/>
      <c r="AO30" s="78"/>
      <c r="AP30" s="78"/>
      <c r="AQ30" s="81"/>
      <c r="AR30" s="81"/>
      <c r="AS30" s="81"/>
      <c r="AT30" s="81"/>
      <c r="AU30" s="81"/>
      <c r="AV30" s="81"/>
      <c r="AW30" s="81"/>
      <c r="AX30" s="81"/>
    </row>
    <row r="31" customFormat="false" ht="12.75" hidden="false" customHeight="false" outlineLevel="1" collapsed="false">
      <c r="A31" s="73" t="n">
        <v>36495</v>
      </c>
      <c r="B31" s="74" t="n">
        <f aca="false">YEAR(A31)</f>
        <v>1999</v>
      </c>
      <c r="C31" s="74" t="n">
        <f aca="false">MONTH(A31)</f>
        <v>12</v>
      </c>
      <c r="D31" s="75"/>
      <c r="E31" s="76"/>
      <c r="F31" s="76"/>
      <c r="G31" s="77" t="n">
        <v>25918.5954301075</v>
      </c>
      <c r="H31" s="77" t="n">
        <v>10633.2880215343</v>
      </c>
      <c r="I31" s="77" t="n">
        <v>9518.79946164199</v>
      </c>
      <c r="J31" s="78"/>
      <c r="K31" s="80" t="n">
        <f aca="false">_udcgen1999!F58/_udcgen1999!B58</f>
        <v>2256.4126344086</v>
      </c>
      <c r="L31" s="80" t="n">
        <f aca="false">_udcgen1999!E58/_udcgen1999!B58</f>
        <v>1157.21505376344</v>
      </c>
      <c r="M31" s="80" t="n">
        <f aca="false">_udcgen1999!G58/_udcgen1999!B58</f>
        <v>239.860215053763</v>
      </c>
      <c r="N31" s="80" t="n">
        <f aca="false">_udcgen1999!H58/_udcgen1999!B58</f>
        <v>2.96908602150538</v>
      </c>
      <c r="O31" s="79" t="n">
        <f aca="false">SUM(K31:N31)</f>
        <v>3656.45698924731</v>
      </c>
      <c r="P31" s="80" t="n">
        <f aca="false">H31/SUM($H$20:$H$31)*$N$11/_udcgen1999!B58*1000</f>
        <v>2977.59684973097</v>
      </c>
      <c r="Q31" s="79"/>
      <c r="R31" s="78"/>
      <c r="S31" s="78"/>
      <c r="T31" s="81"/>
      <c r="U31" s="81"/>
      <c r="V31" s="81"/>
      <c r="W31" s="81"/>
      <c r="X31" s="81"/>
      <c r="Y31" s="81"/>
      <c r="Z31" s="81"/>
      <c r="AA31" s="81"/>
      <c r="AB31" s="78"/>
      <c r="AC31" s="78"/>
      <c r="AD31" s="81"/>
      <c r="AE31" s="78"/>
      <c r="AF31" s="78"/>
      <c r="AG31" s="78"/>
      <c r="AH31" s="80" t="n">
        <f aca="false">K31/SUM($K$28:$K$39)*$AK$4*1000/_udcgen1999!P33</f>
        <v>1921.09500453605</v>
      </c>
      <c r="AI31" s="80" t="n">
        <v>0</v>
      </c>
      <c r="AJ31" s="80" t="n">
        <f aca="false">_udcgen1999!J33</f>
        <v>1326.47869273451</v>
      </c>
      <c r="AK31" s="80" t="n">
        <f aca="false">I31/SUM($I$28:$I$39)*$AK$6*1000/_udcgen1999!P33</f>
        <v>519.619723134563</v>
      </c>
      <c r="AL31" s="79" t="n">
        <f aca="false">SUM(AH31:AK31)</f>
        <v>3767.19342040512</v>
      </c>
      <c r="AM31" s="80" t="n">
        <f aca="false">_udcgen1999!O41</f>
        <v>2024.24791129032</v>
      </c>
      <c r="AN31" s="79"/>
      <c r="AO31" s="78"/>
      <c r="AP31" s="78"/>
      <c r="AQ31" s="81"/>
      <c r="AR31" s="81"/>
      <c r="AS31" s="81"/>
      <c r="AT31" s="81"/>
      <c r="AU31" s="81"/>
      <c r="AV31" s="81"/>
      <c r="AW31" s="81"/>
      <c r="AX31" s="81"/>
    </row>
    <row r="32" customFormat="false" ht="12.75" hidden="false" customHeight="false" outlineLevel="1" collapsed="false">
      <c r="A32" s="73" t="n">
        <v>36526</v>
      </c>
      <c r="B32" s="74" t="n">
        <f aca="false">YEAR(A32)</f>
        <v>2000</v>
      </c>
      <c r="C32" s="74" t="n">
        <f aca="false">MONTH(A32)</f>
        <v>1</v>
      </c>
      <c r="D32" s="75"/>
      <c r="E32" s="76"/>
      <c r="F32" s="76"/>
      <c r="G32" s="77" t="n">
        <v>25515.8319892473</v>
      </c>
      <c r="H32" s="82" t="n">
        <f aca="false">(H20/$G20)*$G32</f>
        <v>10583.3673235489</v>
      </c>
      <c r="I32" s="82" t="n">
        <f aca="false">(I20/$G20)*$G32</f>
        <v>10060.8103677851</v>
      </c>
      <c r="J32" s="78"/>
      <c r="K32" s="80" t="n">
        <f aca="false">_udcgen1999!F47/_udcgen1999!B47</f>
        <v>2185.91801075269</v>
      </c>
      <c r="L32" s="80" t="n">
        <f aca="false">_udcgen1999!E47/_udcgen1999!B47</f>
        <v>1282.33064516129</v>
      </c>
      <c r="M32" s="80" t="n">
        <f aca="false">_udcgen1999!G47/_udcgen1999!B47</f>
        <v>142.852150537634</v>
      </c>
      <c r="N32" s="80" t="n">
        <f aca="false">_udcgen1999!H47/_udcgen1999!B47</f>
        <v>3.16801075268817</v>
      </c>
      <c r="O32" s="79" t="n">
        <f aca="false">SUM(K32:N32)</f>
        <v>3614.2688172043</v>
      </c>
      <c r="P32" s="79" t="n">
        <f aca="false">P20</f>
        <v>2792.6655547379</v>
      </c>
      <c r="Q32" s="79"/>
      <c r="R32" s="78"/>
      <c r="S32" s="83"/>
      <c r="T32" s="81"/>
      <c r="U32" s="81"/>
      <c r="V32" s="81"/>
      <c r="W32" s="81"/>
      <c r="X32" s="81"/>
      <c r="Y32" s="81"/>
      <c r="Z32" s="81"/>
      <c r="AA32" s="81"/>
      <c r="AB32" s="78"/>
      <c r="AC32" s="78"/>
      <c r="AD32" s="81"/>
      <c r="AE32" s="78"/>
      <c r="AF32" s="78"/>
      <c r="AG32" s="78"/>
      <c r="AH32" s="80" t="n">
        <f aca="false">K32/SUM($K$28:$K$39)*$AK$4*1000/_udcgen1999!P34</f>
        <v>1826.05608785899</v>
      </c>
      <c r="AI32" s="80" t="n">
        <v>0</v>
      </c>
      <c r="AJ32" s="80" t="n">
        <f aca="false">_udcgen1999!J34</f>
        <v>1744.08931864439</v>
      </c>
      <c r="AK32" s="80" t="n">
        <f aca="false">I32/SUM($I$28:$I$39)*$AK$6*1000/_udcgen1999!P34</f>
        <v>538.872892801371</v>
      </c>
      <c r="AL32" s="79" t="n">
        <f aca="false">SUM(AH32:AK32)</f>
        <v>4109.01829930475</v>
      </c>
      <c r="AM32" s="79" t="n">
        <f aca="false">AM20</f>
        <v>2445.3687016129</v>
      </c>
      <c r="AN32" s="79"/>
      <c r="AO32" s="78"/>
      <c r="AP32" s="83"/>
      <c r="AQ32" s="81"/>
      <c r="AR32" s="81"/>
      <c r="AS32" s="81"/>
      <c r="AT32" s="81"/>
      <c r="AU32" s="81"/>
      <c r="AV32" s="81"/>
      <c r="AW32" s="81"/>
      <c r="AX32" s="81"/>
    </row>
    <row r="33" customFormat="false" ht="12.75" hidden="false" customHeight="false" outlineLevel="1" collapsed="false">
      <c r="A33" s="73" t="n">
        <v>36557</v>
      </c>
      <c r="B33" s="74" t="n">
        <f aca="false">YEAR(A33)</f>
        <v>2000</v>
      </c>
      <c r="C33" s="74" t="n">
        <f aca="false">MONTH(A33)</f>
        <v>2</v>
      </c>
      <c r="D33" s="75"/>
      <c r="E33" s="76"/>
      <c r="F33" s="76"/>
      <c r="G33" s="77" t="n">
        <v>25584.5172413793</v>
      </c>
      <c r="H33" s="82" t="n">
        <f aca="false">(H21/$G21)*$G33</f>
        <v>10611.8344861844</v>
      </c>
      <c r="I33" s="82" t="n">
        <f aca="false">(I21/$G21)*$G33</f>
        <v>10047.401686133</v>
      </c>
      <c r="J33" s="78"/>
      <c r="K33" s="80" t="n">
        <f aca="false">_udcgen1999!F48/_udcgen1999!B48</f>
        <v>2261.87643678161</v>
      </c>
      <c r="L33" s="80" t="n">
        <f aca="false">_udcgen1999!E48/_udcgen1999!B48</f>
        <v>1335.97988505747</v>
      </c>
      <c r="M33" s="80" t="n">
        <f aca="false">_udcgen1999!G48/_udcgen1999!B48</f>
        <v>236.002873563218</v>
      </c>
      <c r="N33" s="80" t="n">
        <f aca="false">_udcgen1999!H48/_udcgen1999!B48</f>
        <v>3.84913793103448</v>
      </c>
      <c r="O33" s="79" t="n">
        <f aca="false">SUM(K33:N33)</f>
        <v>3837.70833333333</v>
      </c>
      <c r="P33" s="79" t="n">
        <f aca="false">P21</f>
        <v>3011.77170136767</v>
      </c>
      <c r="Q33" s="79"/>
      <c r="R33" s="78"/>
      <c r="S33" s="78"/>
      <c r="T33" s="81"/>
      <c r="U33" s="81"/>
      <c r="V33" s="81"/>
      <c r="W33" s="81"/>
      <c r="X33" s="81"/>
      <c r="Y33" s="81"/>
      <c r="Z33" s="81"/>
      <c r="AA33" s="81"/>
      <c r="AB33" s="78"/>
      <c r="AC33" s="78"/>
      <c r="AD33" s="81"/>
      <c r="AE33" s="78"/>
      <c r="AF33" s="78"/>
      <c r="AG33" s="78"/>
      <c r="AH33" s="80" t="n">
        <f aca="false">K33/SUM($K$28:$K$39)*$AK$4*1000/_udcgen1999!P35</f>
        <v>1925.74685025101</v>
      </c>
      <c r="AI33" s="80" t="n">
        <v>0</v>
      </c>
      <c r="AJ33" s="80" t="n">
        <f aca="false">_udcgen1999!J35</f>
        <v>2201.92738718254</v>
      </c>
      <c r="AK33" s="80" t="n">
        <f aca="false">I33/SUM($I$28:$I$39)*$AK$6*1000/_udcgen1999!P35</f>
        <v>548.475477754164</v>
      </c>
      <c r="AL33" s="79" t="n">
        <f aca="false">SUM(AH33:AK33)</f>
        <v>4676.14971518771</v>
      </c>
      <c r="AM33" s="79" t="n">
        <f aca="false">AM21</f>
        <v>2161.54564434524</v>
      </c>
      <c r="AN33" s="79"/>
      <c r="AO33" s="78"/>
      <c r="AP33" s="78"/>
      <c r="AQ33" s="81"/>
      <c r="AR33" s="81"/>
      <c r="AS33" s="81"/>
      <c r="AT33" s="81"/>
      <c r="AU33" s="81"/>
      <c r="AV33" s="81"/>
      <c r="AW33" s="81"/>
      <c r="AX33" s="81"/>
    </row>
    <row r="34" customFormat="false" ht="12.75" hidden="false" customHeight="false" outlineLevel="1" collapsed="false">
      <c r="A34" s="73" t="n">
        <v>36586</v>
      </c>
      <c r="B34" s="74" t="n">
        <f aca="false">YEAR(A34)</f>
        <v>2000</v>
      </c>
      <c r="C34" s="74" t="n">
        <f aca="false">MONTH(A34)</f>
        <v>3</v>
      </c>
      <c r="D34" s="75"/>
      <c r="E34" s="76"/>
      <c r="F34" s="76"/>
      <c r="G34" s="77" t="n">
        <v>25523.7836021505</v>
      </c>
      <c r="H34" s="82" t="n">
        <f aca="false">(H22/$G22)*$G34</f>
        <v>10550.4008417375</v>
      </c>
      <c r="I34" s="82" t="n">
        <f aca="false">(I22/$G22)*$G34</f>
        <v>9821.84079402192</v>
      </c>
      <c r="J34" s="78"/>
      <c r="K34" s="80" t="n">
        <f aca="false">_udcgen1999!F49/_udcgen1999!B49</f>
        <v>2263.94623655914</v>
      </c>
      <c r="L34" s="80" t="n">
        <f aca="false">_udcgen1999!E49/_udcgen1999!B49</f>
        <v>1258.63037634409</v>
      </c>
      <c r="M34" s="80" t="n">
        <f aca="false">_udcgen1999!G49/_udcgen1999!B49</f>
        <v>620.646505376344</v>
      </c>
      <c r="N34" s="80" t="n">
        <f aca="false">_udcgen1999!H49/_udcgen1999!B49</f>
        <v>2.58198924731183</v>
      </c>
      <c r="O34" s="79" t="n">
        <f aca="false">SUM(K34:N34)</f>
        <v>4145.80510752688</v>
      </c>
      <c r="P34" s="79" t="n">
        <f aca="false">P22</f>
        <v>2834.39732902856</v>
      </c>
      <c r="Q34" s="79"/>
      <c r="R34" s="78"/>
      <c r="S34" s="78"/>
      <c r="T34" s="81"/>
      <c r="U34" s="81"/>
      <c r="V34" s="81"/>
      <c r="W34" s="81"/>
      <c r="X34" s="81"/>
      <c r="Y34" s="81"/>
      <c r="Z34" s="81"/>
      <c r="AA34" s="81"/>
      <c r="AB34" s="78"/>
      <c r="AC34" s="78"/>
      <c r="AD34" s="81"/>
      <c r="AE34" s="78"/>
      <c r="AF34" s="78"/>
      <c r="AG34" s="78"/>
      <c r="AH34" s="80" t="n">
        <f aca="false">K34/SUM($K$28:$K$39)*$AK$4*1000/_udcgen1999!P36</f>
        <v>1891.23873243112</v>
      </c>
      <c r="AI34" s="80" t="n">
        <v>0</v>
      </c>
      <c r="AJ34" s="80" t="n">
        <f aca="false">_udcgen1999!J36</f>
        <v>1966.55049263563</v>
      </c>
      <c r="AK34" s="80" t="n">
        <f aca="false">I34/SUM($I$28:$I$39)*$AK$6*1000/_udcgen1999!P36</f>
        <v>526.073305014923</v>
      </c>
      <c r="AL34" s="79" t="n">
        <f aca="false">SUM(AH34:AK34)</f>
        <v>4383.86253008167</v>
      </c>
      <c r="AM34" s="79" t="n">
        <f aca="false">AM22</f>
        <v>2044.22227284946</v>
      </c>
      <c r="AN34" s="79"/>
      <c r="AO34" s="78"/>
      <c r="AP34" s="78"/>
      <c r="AQ34" s="81"/>
      <c r="AR34" s="81"/>
      <c r="AS34" s="81"/>
      <c r="AT34" s="81"/>
      <c r="AU34" s="81"/>
      <c r="AV34" s="81"/>
      <c r="AW34" s="81"/>
      <c r="AX34" s="81"/>
    </row>
    <row r="35" customFormat="false" ht="12.75" hidden="false" customHeight="false" outlineLevel="1" collapsed="false">
      <c r="A35" s="73" t="n">
        <v>36617</v>
      </c>
      <c r="B35" s="74" t="n">
        <f aca="false">YEAR(A35)</f>
        <v>2000</v>
      </c>
      <c r="C35" s="74" t="n">
        <f aca="false">MONTH(A35)</f>
        <v>4</v>
      </c>
      <c r="D35" s="75"/>
      <c r="E35" s="76"/>
      <c r="F35" s="76"/>
      <c r="G35" s="77" t="n">
        <v>25327.4269819193</v>
      </c>
      <c r="H35" s="82" t="n">
        <f aca="false">(H23/$G23)*$G35</f>
        <v>10597.2162697567</v>
      </c>
      <c r="I35" s="82" t="n">
        <f aca="false">(I23/$G23)*$G35</f>
        <v>9594.92486016141</v>
      </c>
      <c r="J35" s="78"/>
      <c r="K35" s="80" t="n">
        <f aca="false">_udcgen1999!F50/_udcgen1999!B50</f>
        <v>2319.84027777778</v>
      </c>
      <c r="L35" s="80" t="n">
        <f aca="false">_udcgen1999!E50/_udcgen1999!B50</f>
        <v>1179.16597222222</v>
      </c>
      <c r="M35" s="80" t="n">
        <f aca="false">_udcgen1999!G50/_udcgen1999!B50</f>
        <v>811.586111111111</v>
      </c>
      <c r="N35" s="80" t="n">
        <f aca="false">_udcgen1999!H50/_udcgen1999!B50</f>
        <v>3.04166666666667</v>
      </c>
      <c r="O35" s="79" t="n">
        <f aca="false">SUM(K35:N35)</f>
        <v>4313.63402777778</v>
      </c>
      <c r="P35" s="79" t="n">
        <f aca="false">P23</f>
        <v>2923.39459068154</v>
      </c>
      <c r="Q35" s="79"/>
      <c r="R35" s="78"/>
      <c r="S35" s="78"/>
      <c r="T35" s="81"/>
      <c r="U35" s="81"/>
      <c r="V35" s="81"/>
      <c r="W35" s="81"/>
      <c r="X35" s="81"/>
      <c r="Y35" s="81"/>
      <c r="Z35" s="81"/>
      <c r="AA35" s="81"/>
      <c r="AB35" s="78"/>
      <c r="AC35" s="78"/>
      <c r="AD35" s="81"/>
      <c r="AE35" s="78"/>
      <c r="AF35" s="78"/>
      <c r="AG35" s="78"/>
      <c r="AH35" s="80" t="n">
        <f aca="false">K35/SUM($K$28:$K$39)*$AK$4*1000/_udcgen1999!P37</f>
        <v>1937.93108490741</v>
      </c>
      <c r="AI35" s="80" t="n">
        <v>0</v>
      </c>
      <c r="AJ35" s="80" t="n">
        <f aca="false">_udcgen1999!J37</f>
        <v>2070.95002093926</v>
      </c>
      <c r="AK35" s="80" t="n">
        <f aca="false">I35/SUM($I$28:$I$39)*$AK$6*1000/_udcgen1999!P37</f>
        <v>513.919329218532</v>
      </c>
      <c r="AL35" s="79" t="n">
        <f aca="false">SUM(AH35:AK35)</f>
        <v>4522.8004350652</v>
      </c>
      <c r="AM35" s="79" t="n">
        <f aca="false">AM23</f>
        <v>2152.99685890411</v>
      </c>
      <c r="AN35" s="79"/>
      <c r="AO35" s="78"/>
      <c r="AP35" s="78"/>
      <c r="AQ35" s="81"/>
      <c r="AR35" s="81"/>
      <c r="AS35" s="81"/>
      <c r="AT35" s="81"/>
      <c r="AU35" s="81"/>
      <c r="AV35" s="81"/>
      <c r="AW35" s="81"/>
      <c r="AX35" s="81"/>
    </row>
    <row r="36" customFormat="false" ht="12.75" hidden="false" customHeight="false" outlineLevel="1" collapsed="false">
      <c r="A36" s="73" t="n">
        <v>36647</v>
      </c>
      <c r="B36" s="74" t="n">
        <f aca="false">YEAR(A36)</f>
        <v>2000</v>
      </c>
      <c r="C36" s="74" t="n">
        <f aca="false">MONTH(A36)</f>
        <v>5</v>
      </c>
      <c r="D36" s="75"/>
      <c r="E36" s="76"/>
      <c r="F36" s="76"/>
      <c r="G36" s="77" t="n">
        <v>26878.3467741935</v>
      </c>
      <c r="H36" s="82" t="n">
        <f aca="false">(H24/$G24)*$G36</f>
        <v>11198.0660146459</v>
      </c>
      <c r="I36" s="82" t="n">
        <f aca="false">(I24/$G24)*$G36</f>
        <v>10451.4469087423</v>
      </c>
      <c r="J36" s="78"/>
      <c r="K36" s="80" t="n">
        <f aca="false">_udcgen1999!F51/_udcgen1999!B51</f>
        <v>2226.06720430108</v>
      </c>
      <c r="L36" s="80" t="n">
        <f aca="false">_udcgen1999!E51/_udcgen1999!B51</f>
        <v>1023.62634408602</v>
      </c>
      <c r="M36" s="80" t="n">
        <f aca="false">_udcgen1999!G51/_udcgen1999!B51</f>
        <v>950.165322580645</v>
      </c>
      <c r="N36" s="80" t="n">
        <f aca="false">_udcgen1999!H51/_udcgen1999!B51</f>
        <v>3.30510752688172</v>
      </c>
      <c r="O36" s="79" t="n">
        <f aca="false">SUM(K36:N36)</f>
        <v>4203.16397849462</v>
      </c>
      <c r="P36" s="79" t="n">
        <f aca="false">P24</f>
        <v>2831.51050210493</v>
      </c>
      <c r="Q36" s="79"/>
      <c r="R36" s="78"/>
      <c r="S36" s="78"/>
      <c r="T36" s="81"/>
      <c r="U36" s="81"/>
      <c r="V36" s="81"/>
      <c r="W36" s="81"/>
      <c r="X36" s="81"/>
      <c r="Y36" s="81"/>
      <c r="Z36" s="81"/>
      <c r="AA36" s="81"/>
      <c r="AB36" s="78"/>
      <c r="AC36" s="78"/>
      <c r="AD36" s="81"/>
      <c r="AE36" s="78"/>
      <c r="AF36" s="78"/>
      <c r="AG36" s="78"/>
      <c r="AH36" s="80" t="n">
        <f aca="false">K36/SUM($K$28:$K$39)*$AK$4*1000/_udcgen1999!P38</f>
        <v>1895.25910320262</v>
      </c>
      <c r="AI36" s="80" t="n">
        <v>0</v>
      </c>
      <c r="AJ36" s="80" t="n">
        <f aca="false">_udcgen1999!J38</f>
        <v>1877.63033247346</v>
      </c>
      <c r="AK36" s="80" t="n">
        <f aca="false">I36/SUM($I$28:$I$39)*$AK$6*1000/_udcgen1999!P38</f>
        <v>570.53181663935</v>
      </c>
      <c r="AL36" s="79" t="n">
        <f aca="false">SUM(AH36:AK36)</f>
        <v>4343.42125231544</v>
      </c>
      <c r="AM36" s="79" t="n">
        <f aca="false">AM24</f>
        <v>2186.84183198925</v>
      </c>
      <c r="AN36" s="79"/>
      <c r="AO36" s="78"/>
      <c r="AP36" s="78"/>
      <c r="AQ36" s="81"/>
      <c r="AR36" s="81"/>
      <c r="AS36" s="81"/>
      <c r="AT36" s="81"/>
      <c r="AU36" s="81"/>
      <c r="AV36" s="81"/>
      <c r="AW36" s="81"/>
      <c r="AX36" s="81"/>
    </row>
    <row r="37" customFormat="false" ht="12.75" hidden="false" customHeight="false" outlineLevel="1" collapsed="false">
      <c r="A37" s="73" t="n">
        <v>36678</v>
      </c>
      <c r="B37" s="74" t="n">
        <f aca="false">YEAR(A37)</f>
        <v>2000</v>
      </c>
      <c r="C37" s="74" t="n">
        <f aca="false">MONTH(A37)</f>
        <v>6</v>
      </c>
      <c r="D37" s="75"/>
      <c r="E37" s="76"/>
      <c r="F37" s="76"/>
      <c r="G37" s="77" t="n">
        <v>30004.0166666666</v>
      </c>
      <c r="H37" s="82" t="n">
        <f aca="false">(H25/$G25)*$G37</f>
        <v>12375.2289608941</v>
      </c>
      <c r="I37" s="82" t="n">
        <f aca="false">(I25/$G25)*$G37</f>
        <v>11785.326717558</v>
      </c>
      <c r="J37" s="78"/>
      <c r="K37" s="80" t="n">
        <f aca="false">_udcgen1999!F52/_udcgen1999!B52</f>
        <v>2252.13333333333</v>
      </c>
      <c r="L37" s="80" t="n">
        <f aca="false">_udcgen1999!E52/_udcgen1999!B52</f>
        <v>1398.39166666667</v>
      </c>
      <c r="M37" s="80" t="n">
        <f aca="false">_udcgen1999!G52/_udcgen1999!B52</f>
        <v>957.040277777778</v>
      </c>
      <c r="N37" s="80" t="n">
        <f aca="false">_udcgen1999!H52/_udcgen1999!B52</f>
        <v>3.52638888888889</v>
      </c>
      <c r="O37" s="79" t="n">
        <f aca="false">SUM(K37:N37)</f>
        <v>4611.09166666667</v>
      </c>
      <c r="P37" s="79" t="n">
        <f aca="false">P25</f>
        <v>3175.74117813466</v>
      </c>
      <c r="Q37" s="79"/>
      <c r="R37" s="78"/>
      <c r="S37" s="78"/>
      <c r="T37" s="81"/>
      <c r="U37" s="81"/>
      <c r="V37" s="81"/>
      <c r="W37" s="81"/>
      <c r="X37" s="81"/>
      <c r="Y37" s="81"/>
      <c r="Z37" s="81"/>
      <c r="AA37" s="81"/>
      <c r="AB37" s="78"/>
      <c r="AC37" s="78"/>
      <c r="AD37" s="81"/>
      <c r="AE37" s="78"/>
      <c r="AF37" s="78"/>
      <c r="AG37" s="78"/>
      <c r="AH37" s="80" t="n">
        <f aca="false">K37/SUM($K$28:$K$39)*$AK$4*1000/_udcgen1999!P39</f>
        <v>1881.37055634004</v>
      </c>
      <c r="AI37" s="80" t="n">
        <v>0</v>
      </c>
      <c r="AJ37" s="80" t="n">
        <f aca="false">_udcgen1999!J39</f>
        <v>1162.16168617347</v>
      </c>
      <c r="AK37" s="80" t="n">
        <f aca="false">I37/SUM($I$28:$I$39)*$AK$6*1000/_udcgen1999!P39</f>
        <v>631.240712103584</v>
      </c>
      <c r="AL37" s="79" t="n">
        <f aca="false">SUM(AH37:AK37)</f>
        <v>3674.77295461709</v>
      </c>
      <c r="AM37" s="79" t="n">
        <f aca="false">AM25</f>
        <v>2754.04614109589</v>
      </c>
      <c r="AN37" s="79"/>
      <c r="AO37" s="78"/>
      <c r="AP37" s="78"/>
      <c r="AQ37" s="81"/>
      <c r="AR37" s="81"/>
      <c r="AS37" s="81"/>
      <c r="AT37" s="81"/>
      <c r="AU37" s="81"/>
      <c r="AV37" s="81"/>
      <c r="AW37" s="81"/>
      <c r="AX37" s="81"/>
    </row>
    <row r="38" customFormat="false" ht="12.75" hidden="false" customHeight="false" outlineLevel="1" collapsed="false">
      <c r="A38" s="73" t="n">
        <v>36708</v>
      </c>
      <c r="B38" s="74" t="n">
        <f aca="false">YEAR(A38)</f>
        <v>2000</v>
      </c>
      <c r="C38" s="74" t="n">
        <f aca="false">MONTH(A38)</f>
        <v>7</v>
      </c>
      <c r="D38" s="75"/>
      <c r="E38" s="76"/>
      <c r="F38" s="76"/>
      <c r="G38" s="77" t="n">
        <v>29489.2301480484</v>
      </c>
      <c r="H38" s="82" t="n">
        <f aca="false">(H26/$G26)*$G38</f>
        <v>12214.260095451</v>
      </c>
      <c r="I38" s="82" t="n">
        <f aca="false">(I26/$G26)*$G38</f>
        <v>11187.7014306589</v>
      </c>
      <c r="J38" s="78"/>
      <c r="K38" s="80" t="n">
        <f aca="false">_udcgen1999!F53/_udcgen1999!B53</f>
        <v>2248.45698924731</v>
      </c>
      <c r="L38" s="80" t="n">
        <f aca="false">_udcgen1999!E53/_udcgen1999!B53</f>
        <v>1358.32258064516</v>
      </c>
      <c r="M38" s="80" t="n">
        <f aca="false">_udcgen1999!G53/_udcgen1999!B53</f>
        <v>653.551075268817</v>
      </c>
      <c r="N38" s="80" t="n">
        <f aca="false">_udcgen1999!H53/_udcgen1999!B53</f>
        <v>3.83736559139785</v>
      </c>
      <c r="O38" s="79" t="n">
        <f aca="false">SUM(K38:N38)</f>
        <v>4264.16801075269</v>
      </c>
      <c r="P38" s="79" t="n">
        <f aca="false">P26</f>
        <v>3349.38956238808</v>
      </c>
      <c r="Q38" s="79"/>
      <c r="R38" s="78"/>
      <c r="S38" s="78"/>
      <c r="T38" s="81"/>
      <c r="U38" s="81"/>
      <c r="V38" s="81"/>
      <c r="W38" s="81"/>
      <c r="X38" s="81"/>
      <c r="Y38" s="81"/>
      <c r="Z38" s="81"/>
      <c r="AA38" s="81"/>
      <c r="AB38" s="78"/>
      <c r="AC38" s="78"/>
      <c r="AD38" s="81"/>
      <c r="AE38" s="78"/>
      <c r="AF38" s="78"/>
      <c r="AG38" s="78"/>
      <c r="AH38" s="80" t="n">
        <f aca="false">K38/SUM($K$28:$K$39)*$AK$4*1000/_udcgen1999!P40</f>
        <v>1914.32162011861</v>
      </c>
      <c r="AI38" s="80" t="n">
        <v>0</v>
      </c>
      <c r="AJ38" s="80" t="n">
        <f aca="false">_udcgen1999!J40</f>
        <v>1193.33197430598</v>
      </c>
      <c r="AK38" s="80" t="n">
        <f aca="false">I38/SUM($I$28:$I$39)*$AK$6*1000/_udcgen1999!P40</f>
        <v>610.723058442111</v>
      </c>
      <c r="AL38" s="79" t="n">
        <f aca="false">SUM(AH38:AK38)</f>
        <v>3718.37665286669</v>
      </c>
      <c r="AM38" s="79" t="n">
        <f aca="false">AM26</f>
        <v>2586.73186021505</v>
      </c>
      <c r="AN38" s="79"/>
      <c r="AO38" s="78"/>
      <c r="AP38" s="78"/>
      <c r="AQ38" s="81"/>
      <c r="AR38" s="81"/>
      <c r="AS38" s="81"/>
      <c r="AT38" s="81"/>
      <c r="AU38" s="81"/>
      <c r="AV38" s="81"/>
      <c r="AW38" s="81"/>
      <c r="AX38" s="81"/>
    </row>
    <row r="39" customFormat="false" ht="12.75" hidden="false" customHeight="false" outlineLevel="1" collapsed="false">
      <c r="A39" s="73" t="n">
        <v>36739</v>
      </c>
      <c r="B39" s="74" t="n">
        <f aca="false">YEAR(A39)</f>
        <v>2000</v>
      </c>
      <c r="C39" s="74" t="n">
        <f aca="false">MONTH(A39)</f>
        <v>8</v>
      </c>
      <c r="D39" s="75"/>
      <c r="E39" s="76"/>
      <c r="F39" s="76"/>
      <c r="G39" s="77" t="n">
        <v>31103.8400537634</v>
      </c>
      <c r="H39" s="82" t="n">
        <f aca="false">(H27/$G27)*$G39</f>
        <v>13098.2284736874</v>
      </c>
      <c r="I39" s="82" t="n">
        <f aca="false">(I27/$G27)*$G39</f>
        <v>11603.4975900363</v>
      </c>
      <c r="J39" s="78"/>
      <c r="K39" s="80" t="n">
        <f aca="false">_udcgen1999!F54/_udcgen1999!B54</f>
        <v>2226.06586021505</v>
      </c>
      <c r="L39" s="80" t="n">
        <f aca="false">_udcgen1999!E54/_udcgen1999!B54</f>
        <v>1361.98924731183</v>
      </c>
      <c r="M39" s="80" t="n">
        <f aca="false">_udcgen1999!G54/_udcgen1999!B54</f>
        <v>483.364247311828</v>
      </c>
      <c r="N39" s="80" t="n">
        <f aca="false">_udcgen1999!H54/_udcgen1999!B54</f>
        <v>3.9247311827957</v>
      </c>
      <c r="O39" s="79" t="n">
        <f aca="false">SUM(K39:N39)</f>
        <v>4075.34408602151</v>
      </c>
      <c r="P39" s="79" t="n">
        <f aca="false">P27</f>
        <v>3426.25292884001</v>
      </c>
      <c r="Q39" s="79"/>
      <c r="R39" s="78"/>
      <c r="S39" s="78"/>
      <c r="T39" s="81"/>
      <c r="U39" s="81"/>
      <c r="V39" s="81"/>
      <c r="W39" s="81"/>
      <c r="X39" s="81"/>
      <c r="Y39" s="81"/>
      <c r="Z39" s="81"/>
      <c r="AA39" s="81"/>
      <c r="AB39" s="78"/>
      <c r="AC39" s="78"/>
      <c r="AD39" s="81"/>
      <c r="AE39" s="78"/>
      <c r="AF39" s="78"/>
      <c r="AG39" s="78"/>
      <c r="AH39" s="80" t="n">
        <f aca="false">K39/SUM($K$28:$K$39)*$AK$4*1000/_udcgen1999!P41</f>
        <v>1859.59450264151</v>
      </c>
      <c r="AI39" s="80" t="n">
        <v>0</v>
      </c>
      <c r="AJ39" s="80" t="n">
        <f aca="false">_udcgen1999!J41</f>
        <v>1584.50880376937</v>
      </c>
      <c r="AK39" s="80" t="n">
        <f aca="false">I39/SUM($I$28:$I$39)*$AK$6*1000/_udcgen1999!P41</f>
        <v>621.501656862376</v>
      </c>
      <c r="AL39" s="79" t="n">
        <f aca="false">SUM(AH39:AK39)</f>
        <v>4065.60496327325</v>
      </c>
      <c r="AM39" s="79" t="n">
        <f aca="false">AM27</f>
        <v>2208.28901612903</v>
      </c>
      <c r="AN39" s="79"/>
      <c r="AO39" s="78"/>
      <c r="AP39" s="78"/>
      <c r="AQ39" s="81"/>
      <c r="AR39" s="81"/>
      <c r="AS39" s="81"/>
      <c r="AT39" s="81"/>
      <c r="AU39" s="81"/>
      <c r="AV39" s="81"/>
      <c r="AW39" s="81"/>
      <c r="AX39" s="81"/>
    </row>
    <row r="40" customFormat="false" ht="12.75" hidden="false" customHeight="false" outlineLevel="1" collapsed="false">
      <c r="A40" s="73" t="n">
        <v>36770</v>
      </c>
      <c r="B40" s="74" t="n">
        <f aca="false">YEAR(A40)</f>
        <v>2000</v>
      </c>
      <c r="C40" s="74" t="n">
        <f aca="false">MONTH(A40)</f>
        <v>9</v>
      </c>
      <c r="D40" s="75"/>
      <c r="E40" s="76"/>
      <c r="F40" s="76"/>
      <c r="G40" s="77" t="n">
        <v>28639.3277777777</v>
      </c>
      <c r="H40" s="82" t="n">
        <f aca="false">(H28/$G28)*$G40</f>
        <v>11864.5279415783</v>
      </c>
      <c r="I40" s="82" t="n">
        <f aca="false">(I28/$G28)*$G40</f>
        <v>10929.7497314804</v>
      </c>
      <c r="J40" s="78"/>
      <c r="K40" s="79" t="n">
        <f aca="false">K28</f>
        <v>2263.63333333333</v>
      </c>
      <c r="L40" s="79" t="n">
        <f aca="false">L28</f>
        <v>1380.73611111111</v>
      </c>
      <c r="M40" s="79" t="n">
        <f aca="false">M28</f>
        <v>542.602777777778</v>
      </c>
      <c r="N40" s="79" t="n">
        <f aca="false">N28</f>
        <v>3.41944444444444</v>
      </c>
      <c r="O40" s="79" t="n">
        <f aca="false">SUM(K40:N40)</f>
        <v>4190.39166666667</v>
      </c>
      <c r="P40" s="79" t="n">
        <f aca="false">P28</f>
        <v>3348.13393235473</v>
      </c>
      <c r="Q40" s="79"/>
      <c r="R40" s="78"/>
      <c r="S40" s="78"/>
      <c r="T40" s="81"/>
      <c r="U40" s="81"/>
      <c r="V40" s="81"/>
      <c r="W40" s="81"/>
      <c r="X40" s="81"/>
      <c r="Y40" s="81"/>
      <c r="Z40" s="81"/>
      <c r="AA40" s="81"/>
      <c r="AB40" s="78"/>
      <c r="AC40" s="78"/>
      <c r="AD40" s="81"/>
      <c r="AE40" s="78"/>
      <c r="AF40" s="78"/>
      <c r="AG40" s="78"/>
      <c r="AH40" s="79" t="n">
        <f aca="false">AH28</f>
        <v>1890.97734163897</v>
      </c>
      <c r="AI40" s="79" t="n">
        <f aca="false">AI28</f>
        <v>0</v>
      </c>
      <c r="AJ40" s="79" t="n">
        <f aca="false">AJ28</f>
        <v>765.820605438213</v>
      </c>
      <c r="AK40" s="79" t="n">
        <f aca="false">AK28</f>
        <v>570.922545092046</v>
      </c>
      <c r="AL40" s="79" t="n">
        <f aca="false">SUM(AH40:AK40)</f>
        <v>3227.72049216923</v>
      </c>
      <c r="AM40" s="79" t="n">
        <f aca="false">AM28</f>
        <v>2371.57693150685</v>
      </c>
      <c r="AN40" s="79"/>
      <c r="AO40" s="78"/>
      <c r="AP40" s="78"/>
      <c r="AQ40" s="81"/>
      <c r="AR40" s="81"/>
      <c r="AS40" s="81"/>
      <c r="AT40" s="81"/>
      <c r="AU40" s="81"/>
      <c r="AV40" s="81"/>
      <c r="AW40" s="81"/>
      <c r="AX40" s="81"/>
    </row>
    <row r="41" customFormat="false" ht="12.75" hidden="false" customHeight="false" outlineLevel="1" collapsed="false">
      <c r="A41" s="73" t="n">
        <v>36800</v>
      </c>
      <c r="B41" s="74" t="n">
        <f aca="false">YEAR(A41)</f>
        <v>2000</v>
      </c>
      <c r="C41" s="74" t="n">
        <f aca="false">MONTH(A41)</f>
        <v>10</v>
      </c>
      <c r="D41" s="75"/>
      <c r="E41" s="76"/>
      <c r="F41" s="76"/>
      <c r="G41" s="77" t="n">
        <v>26106.6936572199</v>
      </c>
      <c r="H41" s="82" t="n">
        <f aca="false">(H29/$G29)*$G41</f>
        <v>11022.1341274644</v>
      </c>
      <c r="I41" s="82" t="n">
        <f aca="false">(I29/$G29)*$G41</f>
        <v>9460.48680326289</v>
      </c>
      <c r="J41" s="78"/>
      <c r="K41" s="79" t="n">
        <f aca="false">K29</f>
        <v>2069.29166666667</v>
      </c>
      <c r="L41" s="79" t="n">
        <f aca="false">L29</f>
        <v>1227.52419354839</v>
      </c>
      <c r="M41" s="79" t="n">
        <f aca="false">M29</f>
        <v>369.340053763441</v>
      </c>
      <c r="N41" s="79" t="n">
        <f aca="false">N29</f>
        <v>3.27822580645161</v>
      </c>
      <c r="O41" s="79" t="n">
        <f aca="false">SUM(K41:N41)</f>
        <v>3669.43413978495</v>
      </c>
      <c r="P41" s="79" t="n">
        <f aca="false">P29</f>
        <v>3171.07549498463</v>
      </c>
      <c r="Q41" s="79"/>
      <c r="R41" s="78"/>
      <c r="S41" s="78"/>
      <c r="T41" s="81"/>
      <c r="U41" s="81"/>
      <c r="V41" s="81"/>
      <c r="W41" s="81"/>
      <c r="X41" s="81"/>
      <c r="Y41" s="81"/>
      <c r="Z41" s="81"/>
      <c r="AA41" s="81"/>
      <c r="AB41" s="78"/>
      <c r="AC41" s="78"/>
      <c r="AD41" s="81"/>
      <c r="AE41" s="78"/>
      <c r="AF41" s="78"/>
      <c r="AG41" s="78"/>
      <c r="AH41" s="79" t="n">
        <f aca="false">AH29</f>
        <v>1913.83994918903</v>
      </c>
      <c r="AI41" s="79" t="n">
        <f aca="false">AI29</f>
        <v>0</v>
      </c>
      <c r="AJ41" s="79" t="n">
        <f aca="false">AJ29</f>
        <v>1075.38011608834</v>
      </c>
      <c r="AK41" s="79" t="n">
        <f aca="false">AK29</f>
        <v>576.385560502926</v>
      </c>
      <c r="AL41" s="79" t="n">
        <f aca="false">SUM(AH41:AK41)</f>
        <v>3565.6056257803</v>
      </c>
      <c r="AM41" s="79" t="n">
        <f aca="false">AM29</f>
        <v>2259.71325</v>
      </c>
      <c r="AN41" s="79"/>
      <c r="AO41" s="78"/>
      <c r="AP41" s="78"/>
      <c r="AQ41" s="81"/>
      <c r="AR41" s="81"/>
      <c r="AS41" s="81"/>
      <c r="AT41" s="81"/>
      <c r="AU41" s="81"/>
      <c r="AV41" s="81"/>
      <c r="AW41" s="81"/>
      <c r="AX41" s="81"/>
    </row>
    <row r="42" customFormat="false" ht="12.75" hidden="false" customHeight="false" outlineLevel="1" collapsed="false">
      <c r="A42" s="73" t="n">
        <v>36831</v>
      </c>
      <c r="B42" s="74" t="n">
        <f aca="false">YEAR(A42)</f>
        <v>2000</v>
      </c>
      <c r="C42" s="74" t="n">
        <f aca="false">MONTH(A42)</f>
        <v>11</v>
      </c>
      <c r="D42" s="75"/>
      <c r="E42" s="76"/>
      <c r="F42" s="76"/>
      <c r="G42" s="77" t="n">
        <v>25911.5875</v>
      </c>
      <c r="H42" s="82" t="n">
        <f aca="false">(H30/$G30)*$G42</f>
        <v>10781.824419225</v>
      </c>
      <c r="I42" s="82" t="n">
        <f aca="false">(I30/$G30)*$G42</f>
        <v>9604.08867310683</v>
      </c>
      <c r="J42" s="78"/>
      <c r="K42" s="79" t="n">
        <f aca="false">K30</f>
        <v>2201.15833333333</v>
      </c>
      <c r="L42" s="79" t="n">
        <f aca="false">L30</f>
        <v>1270.02777777778</v>
      </c>
      <c r="M42" s="79" t="n">
        <f aca="false">M30</f>
        <v>241.311111111111</v>
      </c>
      <c r="N42" s="79" t="n">
        <f aca="false">N30</f>
        <v>3.11944444444444</v>
      </c>
      <c r="O42" s="79" t="n">
        <f aca="false">SUM(K42:N42)</f>
        <v>3715.61666666667</v>
      </c>
      <c r="P42" s="79" t="n">
        <f aca="false">P30</f>
        <v>3029.03315829808</v>
      </c>
      <c r="Q42" s="79"/>
      <c r="R42" s="78"/>
      <c r="S42" s="78"/>
      <c r="T42" s="81"/>
      <c r="U42" s="81"/>
      <c r="V42" s="81"/>
      <c r="W42" s="81"/>
      <c r="X42" s="81"/>
      <c r="Y42" s="81"/>
      <c r="Z42" s="81"/>
      <c r="AA42" s="81"/>
      <c r="AB42" s="78"/>
      <c r="AC42" s="78"/>
      <c r="AD42" s="81"/>
      <c r="AE42" s="78"/>
      <c r="AF42" s="78"/>
      <c r="AG42" s="78"/>
      <c r="AH42" s="79" t="n">
        <f aca="false">AH30</f>
        <v>1838.78743628671</v>
      </c>
      <c r="AI42" s="79" t="n">
        <f aca="false">AI30</f>
        <v>0</v>
      </c>
      <c r="AJ42" s="79" t="n">
        <f aca="false">AJ30</f>
        <v>1347.87918472112</v>
      </c>
      <c r="AK42" s="79" t="n">
        <f aca="false">AK30</f>
        <v>499.439112514422</v>
      </c>
      <c r="AL42" s="79" t="n">
        <f aca="false">SUM(AH42:AK42)</f>
        <v>3686.10573352225</v>
      </c>
      <c r="AM42" s="79" t="n">
        <f aca="false">AM30</f>
        <v>2451.23764109589</v>
      </c>
      <c r="AN42" s="79"/>
      <c r="AO42" s="78"/>
      <c r="AP42" s="78"/>
      <c r="AQ42" s="81"/>
      <c r="AR42" s="81"/>
      <c r="AS42" s="81"/>
      <c r="AT42" s="81"/>
      <c r="AU42" s="81"/>
      <c r="AV42" s="81"/>
      <c r="AW42" s="81"/>
      <c r="AX42" s="81"/>
    </row>
    <row r="43" customFormat="false" ht="12.75" hidden="false" customHeight="false" outlineLevel="1" collapsed="false">
      <c r="A43" s="73" t="n">
        <v>36861</v>
      </c>
      <c r="B43" s="74" t="n">
        <f aca="false">YEAR(A43)</f>
        <v>2000</v>
      </c>
      <c r="C43" s="74" t="n">
        <f aca="false">MONTH(A43)</f>
        <v>12</v>
      </c>
      <c r="D43" s="75"/>
      <c r="E43" s="76"/>
      <c r="F43" s="76"/>
      <c r="G43" s="77" t="n">
        <v>26091.4180107526</v>
      </c>
      <c r="H43" s="82" t="n">
        <f aca="false">(H31/$G31)*$G43</f>
        <v>10704.1897137799</v>
      </c>
      <c r="I43" s="82" t="n">
        <f aca="false">(I31/$G31)*$G43</f>
        <v>9582.2698565575</v>
      </c>
      <c r="J43" s="78"/>
      <c r="K43" s="79" t="n">
        <f aca="false">K31</f>
        <v>2256.4126344086</v>
      </c>
      <c r="L43" s="79" t="n">
        <f aca="false">L31</f>
        <v>1157.21505376344</v>
      </c>
      <c r="M43" s="79" t="n">
        <f aca="false">M31</f>
        <v>239.860215053763</v>
      </c>
      <c r="N43" s="79" t="n">
        <f aca="false">N31</f>
        <v>2.96908602150538</v>
      </c>
      <c r="O43" s="79" t="n">
        <f aca="false">SUM(K43:N43)</f>
        <v>3656.45698924731</v>
      </c>
      <c r="P43" s="79" t="n">
        <f aca="false">P31</f>
        <v>2977.59684973097</v>
      </c>
      <c r="Q43" s="79"/>
      <c r="R43" s="78"/>
      <c r="S43" s="78"/>
      <c r="T43" s="81"/>
      <c r="U43" s="81"/>
      <c r="V43" s="81"/>
      <c r="W43" s="81"/>
      <c r="X43" s="81"/>
      <c r="Y43" s="81"/>
      <c r="Z43" s="81"/>
      <c r="AA43" s="81"/>
      <c r="AB43" s="78"/>
      <c r="AC43" s="78"/>
      <c r="AD43" s="81"/>
      <c r="AE43" s="78"/>
      <c r="AF43" s="78"/>
      <c r="AG43" s="78"/>
      <c r="AH43" s="79" t="n">
        <f aca="false">AH31</f>
        <v>1921.09500453605</v>
      </c>
      <c r="AI43" s="79" t="n">
        <f aca="false">AI31</f>
        <v>0</v>
      </c>
      <c r="AJ43" s="79" t="n">
        <f aca="false">AJ31</f>
        <v>1326.47869273451</v>
      </c>
      <c r="AK43" s="79" t="n">
        <f aca="false">AK31</f>
        <v>519.619723134563</v>
      </c>
      <c r="AL43" s="79" t="n">
        <f aca="false">SUM(AH43:AK43)</f>
        <v>3767.19342040512</v>
      </c>
      <c r="AM43" s="79" t="n">
        <f aca="false">AM31</f>
        <v>2024.24791129032</v>
      </c>
      <c r="AN43" s="79"/>
      <c r="AO43" s="78"/>
      <c r="AP43" s="78"/>
      <c r="AQ43" s="81"/>
      <c r="AR43" s="81"/>
      <c r="AS43" s="81"/>
      <c r="AT43" s="81"/>
      <c r="AU43" s="81"/>
      <c r="AV43" s="81"/>
      <c r="AW43" s="81"/>
      <c r="AX43" s="81"/>
    </row>
    <row r="44" customFormat="false" ht="12.75" hidden="false" customHeight="false" outlineLevel="1" collapsed="false">
      <c r="A44" s="73" t="n">
        <v>36892</v>
      </c>
      <c r="B44" s="74" t="n">
        <f aca="false">YEAR(A44)</f>
        <v>2001</v>
      </c>
      <c r="C44" s="74" t="n">
        <f aca="false">MONTH(A44)</f>
        <v>1</v>
      </c>
      <c r="D44" s="75"/>
      <c r="E44" s="76"/>
      <c r="F44" s="76"/>
      <c r="G44" s="84"/>
      <c r="H44" s="84" t="n">
        <f aca="false">(1+$I$17)*H32</f>
        <v>10900.8683432554</v>
      </c>
      <c r="I44" s="84" t="n">
        <f aca="false">(1+$I$17)*I32</f>
        <v>10362.6346788187</v>
      </c>
      <c r="J44" s="78"/>
      <c r="K44" s="79" t="n">
        <f aca="false">K32</f>
        <v>2185.91801075269</v>
      </c>
      <c r="L44" s="79" t="n">
        <f aca="false">L32</f>
        <v>1282.33064516129</v>
      </c>
      <c r="M44" s="79" t="n">
        <f aca="false">M32</f>
        <v>142.852150537634</v>
      </c>
      <c r="N44" s="79" t="n">
        <f aca="false">N32</f>
        <v>3.16801075268817</v>
      </c>
      <c r="O44" s="79" t="n">
        <f aca="false">SUM(K44:N44)</f>
        <v>3614.2688172043</v>
      </c>
      <c r="P44" s="79" t="n">
        <f aca="false">P32</f>
        <v>2792.6655547379</v>
      </c>
      <c r="Q44" s="79"/>
      <c r="R44" s="78"/>
      <c r="S44" s="78"/>
      <c r="T44" s="81"/>
      <c r="U44" s="81"/>
      <c r="V44" s="81"/>
      <c r="W44" s="81"/>
      <c r="X44" s="81"/>
      <c r="Y44" s="81"/>
      <c r="Z44" s="81"/>
      <c r="AA44" s="81"/>
      <c r="AB44" s="78"/>
      <c r="AC44" s="78"/>
      <c r="AD44" s="81"/>
      <c r="AE44" s="78"/>
      <c r="AF44" s="78"/>
      <c r="AG44" s="78"/>
      <c r="AH44" s="79" t="n">
        <f aca="false">AH32</f>
        <v>1826.05608785899</v>
      </c>
      <c r="AI44" s="79" t="n">
        <f aca="false">AI32</f>
        <v>0</v>
      </c>
      <c r="AJ44" s="79" t="n">
        <f aca="false">AJ32</f>
        <v>1744.08931864439</v>
      </c>
      <c r="AK44" s="79" t="n">
        <f aca="false">AK32</f>
        <v>538.872892801371</v>
      </c>
      <c r="AL44" s="79" t="n">
        <f aca="false">SUM(AH44:AK44)</f>
        <v>4109.01829930475</v>
      </c>
      <c r="AM44" s="79" t="n">
        <f aca="false">AM32</f>
        <v>2445.3687016129</v>
      </c>
      <c r="AN44" s="79"/>
      <c r="AO44" s="78"/>
      <c r="AP44" s="78"/>
      <c r="AQ44" s="81"/>
      <c r="AR44" s="81"/>
      <c r="AS44" s="81"/>
      <c r="AT44" s="81"/>
      <c r="AU44" s="81"/>
      <c r="AV44" s="81"/>
      <c r="AW44" s="81"/>
      <c r="AX44" s="81"/>
    </row>
    <row r="45" customFormat="false" ht="12.75" hidden="false" customHeight="false" outlineLevel="0" collapsed="false">
      <c r="A45" s="85" t="n">
        <v>36923</v>
      </c>
      <c r="B45" s="31" t="n">
        <f aca="false">YEAR(A45)</f>
        <v>2001</v>
      </c>
      <c r="C45" s="31" t="n">
        <f aca="false">MONTH(A45)</f>
        <v>2</v>
      </c>
      <c r="D45" s="86" t="n">
        <v>0.061210621866435</v>
      </c>
      <c r="E45" s="87" t="n">
        <f aca="false">(1+D45/2)^(-2*(DATE($B46,$C46,20)-$E$17)/365.25)</f>
        <v>4.38586383635008</v>
      </c>
      <c r="F45" s="87"/>
      <c r="G45" s="8"/>
      <c r="H45" s="8" t="n">
        <f aca="false">(1+$I$17)*H33</f>
        <v>10930.18952077</v>
      </c>
      <c r="I45" s="8" t="n">
        <f aca="false">(1+$I$17)*I33</f>
        <v>10348.823736717</v>
      </c>
      <c r="K45" s="50" t="n">
        <f aca="false">K33</f>
        <v>2261.87643678161</v>
      </c>
      <c r="L45" s="50" t="n">
        <f aca="false">L33</f>
        <v>1335.97988505747</v>
      </c>
      <c r="M45" s="50" t="n">
        <f aca="false">M33</f>
        <v>236.002873563218</v>
      </c>
      <c r="N45" s="50" t="n">
        <f aca="false">N33</f>
        <v>3.84913793103448</v>
      </c>
      <c r="O45" s="50" t="n">
        <f aca="false">SUM(K45:N45)</f>
        <v>3837.70833333333</v>
      </c>
      <c r="P45" s="50" t="n">
        <f aca="false">P33</f>
        <v>3011.77170136767</v>
      </c>
      <c r="Q45" s="50" t="n">
        <f aca="false">O45+P45</f>
        <v>6849.48003470101</v>
      </c>
      <c r="R45" s="8" t="n">
        <f aca="false">H45-O45-P45</f>
        <v>4080.70948606897</v>
      </c>
      <c r="T45" s="9" t="n">
        <f aca="false">$T$18</f>
        <v>48.72</v>
      </c>
      <c r="U45" s="9" t="n">
        <f aca="false">U$18</f>
        <v>23</v>
      </c>
      <c r="V45" s="9" t="n">
        <f aca="false">V$18</f>
        <v>34</v>
      </c>
      <c r="W45" s="9" t="n">
        <f aca="false">W$18</f>
        <v>38</v>
      </c>
      <c r="X45" s="9" t="n">
        <f aca="false">SUMPRODUCT(K45:N45,T45:W45)/O45</f>
        <v>38.8504048116</v>
      </c>
      <c r="Y45" s="9" t="n">
        <f aca="false">$Y$18/1000*CURVES!K4+VLOOKUP($B45,$X$10:$Y$14,2,FALSE())</f>
        <v>139.081971293995</v>
      </c>
      <c r="Z45" s="9" t="n">
        <f aca="false">(O45*X45+P45*Y45)/Q45</f>
        <v>82.9230342646485</v>
      </c>
      <c r="AA45" s="9" t="n">
        <f aca="false">CHOOSE(AA$18,CURVES!F4,CURVES!G4)</f>
        <v>135.19387755102</v>
      </c>
      <c r="AB45" s="9" t="n">
        <f aca="false">(Q45*Z45+R45*AA45)/H45</f>
        <v>102.437986465449</v>
      </c>
      <c r="AD45" s="9"/>
      <c r="AH45" s="50" t="n">
        <f aca="false">AH33</f>
        <v>1925.74685025101</v>
      </c>
      <c r="AI45" s="50" t="n">
        <f aca="false">AI33</f>
        <v>0</v>
      </c>
      <c r="AJ45" s="50" t="n">
        <f aca="false">AJ33</f>
        <v>2201.92738718254</v>
      </c>
      <c r="AK45" s="50" t="n">
        <f aca="false">AK33</f>
        <v>548.475477754164</v>
      </c>
      <c r="AL45" s="50" t="n">
        <f aca="false">SUM(AH45:AK45)</f>
        <v>4676.14971518771</v>
      </c>
      <c r="AM45" s="50" t="n">
        <f aca="false">AM33</f>
        <v>2161.54564434524</v>
      </c>
      <c r="AN45" s="50" t="n">
        <f aca="false">AL45+AM45</f>
        <v>6837.69535953295</v>
      </c>
      <c r="AO45" s="8" t="n">
        <f aca="false">I45-AL45-AM45</f>
        <v>3511.12837718404</v>
      </c>
      <c r="AQ45" s="9" t="n">
        <f aca="false">$AQ$18</f>
        <v>43</v>
      </c>
      <c r="AR45" s="9"/>
      <c r="AS45" s="9" t="n">
        <f aca="false">AS$18</f>
        <v>30</v>
      </c>
      <c r="AT45" s="9" t="n">
        <f aca="false">AT$18</f>
        <v>38</v>
      </c>
      <c r="AU45" s="9" t="n">
        <f aca="false">SUMPRODUCT(AH45:AK45,AQ45:AT45)/AL45</f>
        <v>36.2920382509856</v>
      </c>
      <c r="AV45" s="9" t="n">
        <f aca="false">$Y$18/1000*CURVES!O4+VLOOKUP($B45,$AU$10:$AV$14,2,FALSE())</f>
        <v>132.812518373729</v>
      </c>
      <c r="AW45" s="9" t="n">
        <f aca="false">(AL45*AU45+AM45*AV45)/AN45</f>
        <v>66.8042814015314</v>
      </c>
      <c r="AX45" s="9" t="n">
        <f aca="false">CHOOSE(AX$18,CURVES!B4,CURVES!C4)</f>
        <v>172.091836734694</v>
      </c>
      <c r="AY45" s="9" t="n">
        <f aca="false">(AN45*AW45+AO45*AX45)/I45</f>
        <v>102.526034201611</v>
      </c>
    </row>
    <row r="46" customFormat="false" ht="12.75" hidden="false" customHeight="false" outlineLevel="0" collapsed="false">
      <c r="A46" s="85" t="n">
        <v>36951</v>
      </c>
      <c r="B46" s="31" t="n">
        <f aca="false">YEAR(A46)</f>
        <v>2001</v>
      </c>
      <c r="C46" s="31" t="n">
        <f aca="false">MONTH(A46)</f>
        <v>3</v>
      </c>
      <c r="D46" s="86" t="n">
        <v>0.059682982997529</v>
      </c>
      <c r="E46" s="87" t="n">
        <f aca="false">(1+D46/2)^(-2*(DATE($B47,$C47,20)-$E$17)/365.25)</f>
        <v>4.20820467914465</v>
      </c>
      <c r="F46" s="87"/>
      <c r="G46" s="8"/>
      <c r="H46" s="8" t="n">
        <f aca="false">(1+$I$17)*H34</f>
        <v>10866.9128669896</v>
      </c>
      <c r="I46" s="8" t="n">
        <f aca="false">(1+$I$17)*I34</f>
        <v>10116.4960178426</v>
      </c>
      <c r="K46" s="50" t="n">
        <f aca="false">K34</f>
        <v>2263.94623655914</v>
      </c>
      <c r="L46" s="50" t="n">
        <f aca="false">L34</f>
        <v>1258.63037634409</v>
      </c>
      <c r="M46" s="50" t="n">
        <f aca="false">M34</f>
        <v>620.646505376344</v>
      </c>
      <c r="N46" s="50" t="n">
        <f aca="false">N34</f>
        <v>2.58198924731183</v>
      </c>
      <c r="O46" s="50" t="n">
        <f aca="false">SUM(K46:N46)</f>
        <v>4145.80510752688</v>
      </c>
      <c r="P46" s="50" t="n">
        <f aca="false">P34</f>
        <v>2834.39732902856</v>
      </c>
      <c r="Q46" s="50" t="n">
        <f aca="false">O46+P46</f>
        <v>6980.20243655544</v>
      </c>
      <c r="R46" s="8" t="n">
        <f aca="false">H46-O46-P46</f>
        <v>3886.71043043421</v>
      </c>
      <c r="T46" s="9" t="n">
        <f aca="false">$T$18</f>
        <v>48.72</v>
      </c>
      <c r="U46" s="9" t="n">
        <f aca="false">U$18</f>
        <v>23</v>
      </c>
      <c r="V46" s="9" t="n">
        <f aca="false">V$18</f>
        <v>34</v>
      </c>
      <c r="W46" s="9" t="n">
        <f aca="false">W$18</f>
        <v>38</v>
      </c>
      <c r="X46" s="9" t="n">
        <f aca="false">SUMPRODUCT(K46:N46,T46:W46)/O46</f>
        <v>38.7013021388701</v>
      </c>
      <c r="Y46" s="9" t="n">
        <f aca="false">$Y$18/1000*CURVES!K5+VLOOKUP($B46,$X$10:$Y$14,2,FALSE())</f>
        <v>129.810471293995</v>
      </c>
      <c r="Z46" s="9" t="n">
        <f aca="false">(O46*X46+P46*Y46)/Q46</f>
        <v>75.6973044827124</v>
      </c>
      <c r="AA46" s="9" t="n">
        <f aca="false">CHOOSE(AA$18,CURVES!F5,CURVES!G5)</f>
        <v>125.956295525494</v>
      </c>
      <c r="AB46" s="9" t="n">
        <f aca="false">(Q46*Z46+R46*AA46)/H46</f>
        <v>93.6731681985676</v>
      </c>
      <c r="AD46" s="9"/>
      <c r="AH46" s="50" t="n">
        <f aca="false">AH34</f>
        <v>1891.23873243112</v>
      </c>
      <c r="AI46" s="50" t="n">
        <f aca="false">AI34</f>
        <v>0</v>
      </c>
      <c r="AJ46" s="50" t="n">
        <f aca="false">AJ34</f>
        <v>1966.55049263563</v>
      </c>
      <c r="AK46" s="50" t="n">
        <f aca="false">AK34</f>
        <v>526.073305014923</v>
      </c>
      <c r="AL46" s="50" t="n">
        <f aca="false">SUM(AH46:AK46)</f>
        <v>4383.86253008167</v>
      </c>
      <c r="AM46" s="50" t="n">
        <f aca="false">AM34</f>
        <v>2044.22227284946</v>
      </c>
      <c r="AN46" s="50" t="n">
        <f aca="false">AL46+AM46</f>
        <v>6428.08480293113</v>
      </c>
      <c r="AO46" s="8" t="n">
        <f aca="false">I46-AL46-AM46</f>
        <v>3688.41121491145</v>
      </c>
      <c r="AQ46" s="9" t="n">
        <f aca="false">$AQ$18</f>
        <v>43</v>
      </c>
      <c r="AR46" s="9"/>
      <c r="AS46" s="9" t="n">
        <f aca="false">AS$18</f>
        <v>30</v>
      </c>
      <c r="AT46" s="9" t="n">
        <f aca="false">AT$18</f>
        <v>38</v>
      </c>
      <c r="AU46" s="9" t="n">
        <f aca="false">SUMPRODUCT(AH46:AK46,AQ46:AT46)/AL46</f>
        <v>36.5683377989472</v>
      </c>
      <c r="AV46" s="9" t="n">
        <f aca="false">$Y$18/1000*CURVES!O5+VLOOKUP($B46,$AU$10:$AV$14,2,FALSE())</f>
        <v>123.541018373729</v>
      </c>
      <c r="AW46" s="9" t="n">
        <f aca="false">(AL46*AU46+AM46*AV46)/AN46</f>
        <v>64.2268855952241</v>
      </c>
      <c r="AX46" s="9" t="n">
        <f aca="false">CHOOSE(AX$18,CURVES!B5,CURVES!C5)</f>
        <v>156.415192507804</v>
      </c>
      <c r="AY46" s="9" t="n">
        <f aca="false">(AN46*AW46+AO46*AX46)/I46</f>
        <v>97.8381660722141</v>
      </c>
    </row>
    <row r="47" customFormat="false" ht="12.75" hidden="false" customHeight="false" outlineLevel="0" collapsed="false">
      <c r="A47" s="85" t="n">
        <v>36982</v>
      </c>
      <c r="B47" s="31" t="n">
        <f aca="false">YEAR(A47)</f>
        <v>2001</v>
      </c>
      <c r="C47" s="31" t="n">
        <f aca="false">MONTH(A47)</f>
        <v>4</v>
      </c>
      <c r="D47" s="86" t="n">
        <v>0.058415947446133</v>
      </c>
      <c r="E47" s="87" t="n">
        <f aca="false">(1+D47/2)^(-2*(DATE($B48,$C48,20)-$E$17)/365.25)</f>
        <v>4.06427059300448</v>
      </c>
      <c r="F47" s="87"/>
      <c r="G47" s="8"/>
      <c r="H47" s="8" t="n">
        <f aca="false">(1+$I$17)*H35</f>
        <v>10915.1327578494</v>
      </c>
      <c r="I47" s="8" t="n">
        <f aca="false">(1+$I$17)*I35</f>
        <v>9882.77260596625</v>
      </c>
      <c r="K47" s="50" t="n">
        <f aca="false">K35</f>
        <v>2319.84027777778</v>
      </c>
      <c r="L47" s="50" t="n">
        <f aca="false">L35</f>
        <v>1179.16597222222</v>
      </c>
      <c r="M47" s="50" t="n">
        <f aca="false">M35</f>
        <v>811.586111111111</v>
      </c>
      <c r="N47" s="50" t="n">
        <f aca="false">N35</f>
        <v>3.04166666666667</v>
      </c>
      <c r="O47" s="50" t="n">
        <f aca="false">SUM(K47:N47)</f>
        <v>4313.63402777778</v>
      </c>
      <c r="P47" s="50" t="n">
        <f aca="false">P35</f>
        <v>2923.39459068154</v>
      </c>
      <c r="Q47" s="50" t="n">
        <f aca="false">O47+P47</f>
        <v>7237.02861845932</v>
      </c>
      <c r="R47" s="8" t="n">
        <f aca="false">H47-O47-P47</f>
        <v>3678.10413939011</v>
      </c>
      <c r="T47" s="9" t="n">
        <f aca="false">$T$18</f>
        <v>48.72</v>
      </c>
      <c r="U47" s="9" t="n">
        <f aca="false">U$18</f>
        <v>23</v>
      </c>
      <c r="V47" s="9" t="n">
        <f aca="false">V$18</f>
        <v>34</v>
      </c>
      <c r="W47" s="9" t="n">
        <f aca="false">W$18</f>
        <v>38</v>
      </c>
      <c r="X47" s="9" t="n">
        <f aca="false">SUMPRODUCT(K47:N47,T47:W47)/O47</f>
        <v>38.9121899828918</v>
      </c>
      <c r="Y47" s="9" t="n">
        <f aca="false">$Y$18/1000*CURVES!K6+VLOOKUP($B47,$X$10:$Y$14,2,FALSE())</f>
        <v>110.595471293995</v>
      </c>
      <c r="Z47" s="9" t="n">
        <f aca="false">(O47*X47+P47*Y47)/Q47</f>
        <v>67.8686205672158</v>
      </c>
      <c r="AA47" s="9" t="n">
        <f aca="false">CHOOSE(AA$18,CURVES!F6,CURVES!G6)</f>
        <v>111.703703703704</v>
      </c>
      <c r="AB47" s="9" t="n">
        <f aca="false">(Q47*Z47+R47*AA47)/H47</f>
        <v>82.6398564570294</v>
      </c>
      <c r="AD47" s="9"/>
      <c r="AH47" s="50" t="n">
        <f aca="false">AH35</f>
        <v>1937.93108490741</v>
      </c>
      <c r="AI47" s="50" t="n">
        <f aca="false">AI35</f>
        <v>0</v>
      </c>
      <c r="AJ47" s="50" t="n">
        <f aca="false">AJ35</f>
        <v>2070.95002093926</v>
      </c>
      <c r="AK47" s="50" t="n">
        <f aca="false">AK35</f>
        <v>513.919329218532</v>
      </c>
      <c r="AL47" s="50" t="n">
        <f aca="false">SUM(AH47:AK47)</f>
        <v>4522.8004350652</v>
      </c>
      <c r="AM47" s="50" t="n">
        <f aca="false">AM35</f>
        <v>2152.99685890411</v>
      </c>
      <c r="AN47" s="50" t="n">
        <f aca="false">AL47+AM47</f>
        <v>6675.79729396931</v>
      </c>
      <c r="AO47" s="8" t="n">
        <f aca="false">I47-AL47-AM47</f>
        <v>3206.97531199695</v>
      </c>
      <c r="AQ47" s="9" t="n">
        <f aca="false">$AQ$18</f>
        <v>43</v>
      </c>
      <c r="AR47" s="9"/>
      <c r="AS47" s="9" t="n">
        <f aca="false">AS$18</f>
        <v>30</v>
      </c>
      <c r="AT47" s="9" t="n">
        <f aca="false">AT$18</f>
        <v>38</v>
      </c>
      <c r="AU47" s="9" t="n">
        <f aca="false">SUMPRODUCT(AH47:AK47,AQ47:AT47)/AL47</f>
        <v>36.4792729987261</v>
      </c>
      <c r="AV47" s="9" t="n">
        <f aca="false">$Y$18/1000*CURVES!O6+VLOOKUP($B47,$AU$10:$AV$14,2,FALSE())</f>
        <v>103.276018373729</v>
      </c>
      <c r="AW47" s="9" t="n">
        <f aca="false">(AL47*AU47+AM47*AV47)/AN47</f>
        <v>58.0217460015112</v>
      </c>
      <c r="AX47" s="9" t="n">
        <f aca="false">CHOOSE(AX$18,CURVES!B6,CURVES!C6)</f>
        <v>119.555555555556</v>
      </c>
      <c r="AY47" s="9" t="n">
        <f aca="false">(AN47*AW47+AO47*AX47)/I47</f>
        <v>77.9895643416609</v>
      </c>
    </row>
    <row r="48" customFormat="false" ht="12.75" hidden="false" customHeight="false" outlineLevel="0" collapsed="false">
      <c r="A48" s="85" t="n">
        <v>37012</v>
      </c>
      <c r="B48" s="31" t="n">
        <f aca="false">YEAR(A48)</f>
        <v>2001</v>
      </c>
      <c r="C48" s="31" t="n">
        <f aca="false">MONTH(A48)</f>
        <v>5</v>
      </c>
      <c r="D48" s="86" t="n">
        <v>0.057620465192262</v>
      </c>
      <c r="E48" s="87" t="n">
        <f aca="false">(1+D48/2)^(-2*(DATE($B49,$C49,20)-$E$17)/365.25)</f>
        <v>3.96928739964365</v>
      </c>
      <c r="F48" s="87"/>
      <c r="G48" s="8"/>
      <c r="H48" s="8" t="n">
        <f aca="false">(1+$I$17)*H36</f>
        <v>11534.0079950853</v>
      </c>
      <c r="I48" s="8" t="n">
        <f aca="false">(1+$I$17)*I36</f>
        <v>10764.9903160046</v>
      </c>
      <c r="K48" s="50" t="n">
        <f aca="false">K36</f>
        <v>2226.06720430108</v>
      </c>
      <c r="L48" s="50" t="n">
        <f aca="false">L36</f>
        <v>1023.62634408602</v>
      </c>
      <c r="M48" s="50" t="n">
        <f aca="false">M36</f>
        <v>950.165322580645</v>
      </c>
      <c r="N48" s="50" t="n">
        <f aca="false">N36</f>
        <v>3.30510752688172</v>
      </c>
      <c r="O48" s="50" t="n">
        <f aca="false">SUM(K48:N48)</f>
        <v>4203.16397849462</v>
      </c>
      <c r="P48" s="50" t="n">
        <f aca="false">P36</f>
        <v>2831.51050210493</v>
      </c>
      <c r="Q48" s="50" t="n">
        <f aca="false">O48+P48</f>
        <v>7034.67448059955</v>
      </c>
      <c r="R48" s="8" t="n">
        <f aca="false">H48-O48-P48</f>
        <v>4499.3335144857</v>
      </c>
      <c r="T48" s="9" t="n">
        <f aca="false">$T$18</f>
        <v>48.72</v>
      </c>
      <c r="U48" s="9" t="n">
        <f aca="false">U$18</f>
        <v>23</v>
      </c>
      <c r="V48" s="9" t="n">
        <f aca="false">V$18</f>
        <v>34</v>
      </c>
      <c r="W48" s="9" t="n">
        <f aca="false">W$18</f>
        <v>38</v>
      </c>
      <c r="X48" s="9" t="n">
        <f aca="false">SUMPRODUCT(K48:N48,T48:W48)/O48</f>
        <v>39.1201999261949</v>
      </c>
      <c r="Y48" s="9" t="n">
        <f aca="false">$Y$18/1000*CURVES!K7+VLOOKUP($B48,$X$10:$Y$14,2,FALSE())</f>
        <v>109.492971293995</v>
      </c>
      <c r="Z48" s="9" t="n">
        <f aca="false">(O48*X48+P48*Y48)/Q48</f>
        <v>67.445780838245</v>
      </c>
      <c r="AA48" s="9" t="n">
        <f aca="false">CHOOSE(AA$18,CURVES!F7,CURVES!G7)</f>
        <v>113.612903225806</v>
      </c>
      <c r="AB48" s="9" t="n">
        <f aca="false">(Q48*Z48+R48*AA48)/H48</f>
        <v>85.4552430403026</v>
      </c>
      <c r="AD48" s="9"/>
      <c r="AH48" s="50" t="n">
        <f aca="false">AH36</f>
        <v>1895.25910320262</v>
      </c>
      <c r="AI48" s="50" t="n">
        <f aca="false">AI36</f>
        <v>0</v>
      </c>
      <c r="AJ48" s="50" t="n">
        <f aca="false">AJ36</f>
        <v>1877.63033247346</v>
      </c>
      <c r="AK48" s="50" t="n">
        <f aca="false">AK36</f>
        <v>570.53181663935</v>
      </c>
      <c r="AL48" s="50" t="n">
        <f aca="false">SUM(AH48:AK48)</f>
        <v>4343.42125231544</v>
      </c>
      <c r="AM48" s="50" t="n">
        <f aca="false">AM36</f>
        <v>2186.84183198925</v>
      </c>
      <c r="AN48" s="50" t="n">
        <f aca="false">AL48+AM48</f>
        <v>6530.26308430469</v>
      </c>
      <c r="AO48" s="8" t="n">
        <f aca="false">I48-AL48-AM48</f>
        <v>4234.72723169992</v>
      </c>
      <c r="AQ48" s="9" t="n">
        <f aca="false">$AQ$18</f>
        <v>43</v>
      </c>
      <c r="AR48" s="9"/>
      <c r="AS48" s="9" t="n">
        <f aca="false">AS$18</f>
        <v>30</v>
      </c>
      <c r="AT48" s="9" t="n">
        <f aca="false">AT$18</f>
        <v>38</v>
      </c>
      <c r="AU48" s="9" t="n">
        <f aca="false">SUMPRODUCT(AH48:AK48,AQ48:AT48)/AL48</f>
        <v>36.7234148332219</v>
      </c>
      <c r="AV48" s="9" t="n">
        <f aca="false">$Y$18/1000*CURVES!O7+VLOOKUP($B48,$AU$10:$AV$14,2,FALSE())</f>
        <v>102.173518373729</v>
      </c>
      <c r="AW48" s="9" t="n">
        <f aca="false">(AL48*AU48+AM48*AV48)/AN48</f>
        <v>58.641218523921</v>
      </c>
      <c r="AX48" s="9" t="n">
        <f aca="false">CHOOSE(AX$18,CURVES!B7,CURVES!C7)</f>
        <v>122.750780437045</v>
      </c>
      <c r="AY48" s="9" t="n">
        <f aca="false">(AN48*AW48+AO48*AX48)/I48</f>
        <v>83.8606102443418</v>
      </c>
    </row>
    <row r="49" customFormat="false" ht="12.75" hidden="false" customHeight="false" outlineLevel="0" collapsed="false">
      <c r="A49" s="85" t="n">
        <v>37043</v>
      </c>
      <c r="B49" s="31" t="n">
        <f aca="false">YEAR(A49)</f>
        <v>2001</v>
      </c>
      <c r="C49" s="31" t="n">
        <f aca="false">MONTH(A49)</f>
        <v>6</v>
      </c>
      <c r="D49" s="86" t="n">
        <v>0.056951683570872</v>
      </c>
      <c r="E49" s="87" t="n">
        <f aca="false">(1+D49/2)^(-2*(DATE($B50,$C50,20)-$E$17)/365.25)</f>
        <v>3.88917062285887</v>
      </c>
      <c r="F49" s="87"/>
      <c r="G49" s="8"/>
      <c r="H49" s="8" t="n">
        <f aca="false">(1+$I$17)*H37</f>
        <v>12746.4858297209</v>
      </c>
      <c r="I49" s="8" t="n">
        <f aca="false">(1+$I$17)*I37</f>
        <v>12138.8865190848</v>
      </c>
      <c r="K49" s="50" t="n">
        <f aca="false">K37</f>
        <v>2252.13333333333</v>
      </c>
      <c r="L49" s="50" t="n">
        <f aca="false">L37</f>
        <v>1398.39166666667</v>
      </c>
      <c r="M49" s="50" t="n">
        <f aca="false">M37</f>
        <v>957.040277777778</v>
      </c>
      <c r="N49" s="50" t="n">
        <f aca="false">N37</f>
        <v>3.52638888888889</v>
      </c>
      <c r="O49" s="50" t="n">
        <f aca="false">SUM(K49:N49)</f>
        <v>4611.09166666667</v>
      </c>
      <c r="P49" s="50" t="n">
        <f aca="false">P37</f>
        <v>3175.74117813466</v>
      </c>
      <c r="Q49" s="50" t="n">
        <f aca="false">O49+P49</f>
        <v>7786.83284480132</v>
      </c>
      <c r="R49" s="8" t="n">
        <f aca="false">H49-O49-P49</f>
        <v>4959.65298491959</v>
      </c>
      <c r="T49" s="9" t="n">
        <f aca="false">$T$18</f>
        <v>48.72</v>
      </c>
      <c r="U49" s="9" t="n">
        <f aca="false">U$18</f>
        <v>23</v>
      </c>
      <c r="V49" s="9" t="n">
        <f aca="false">V$18</f>
        <v>34</v>
      </c>
      <c r="W49" s="9" t="n">
        <f aca="false">W$18</f>
        <v>38</v>
      </c>
      <c r="X49" s="9" t="n">
        <f aca="false">SUMPRODUCT(K49:N49,T49:W49)/O49</f>
        <v>37.8566138290945</v>
      </c>
      <c r="Y49" s="9" t="n">
        <f aca="false">$Y$18/1000*CURVES!K8+VLOOKUP($B49,$X$10:$Y$14,2,FALSE())</f>
        <v>113.167971293995</v>
      </c>
      <c r="Z49" s="9" t="n">
        <f aca="false">(O49*X49+P49*Y49)/Q49</f>
        <v>68.5712039390106</v>
      </c>
      <c r="AA49" s="9" t="n">
        <f aca="false">CHOOSE(AA$18,CURVES!F8,CURVES!G8)</f>
        <v>138.413333333333</v>
      </c>
      <c r="AB49" s="9" t="n">
        <f aca="false">(Q49*Z49+R49*AA49)/H49</f>
        <v>95.7467509996766</v>
      </c>
      <c r="AD49" s="9"/>
      <c r="AH49" s="50" t="n">
        <f aca="false">AH37</f>
        <v>1881.37055634004</v>
      </c>
      <c r="AI49" s="50" t="n">
        <f aca="false">AI37</f>
        <v>0</v>
      </c>
      <c r="AJ49" s="50" t="n">
        <f aca="false">AJ37</f>
        <v>1162.16168617347</v>
      </c>
      <c r="AK49" s="50" t="n">
        <f aca="false">AK37</f>
        <v>631.240712103584</v>
      </c>
      <c r="AL49" s="50" t="n">
        <f aca="false">SUM(AH49:AK49)</f>
        <v>3674.77295461709</v>
      </c>
      <c r="AM49" s="50" t="n">
        <f aca="false">AM37</f>
        <v>2754.04614109589</v>
      </c>
      <c r="AN49" s="50" t="n">
        <f aca="false">AL49+AM49</f>
        <v>6428.81909571298</v>
      </c>
      <c r="AO49" s="8" t="n">
        <f aca="false">I49-AL49-AM49</f>
        <v>5710.0674233718</v>
      </c>
      <c r="AQ49" s="9" t="n">
        <f aca="false">$AQ$18</f>
        <v>43</v>
      </c>
      <c r="AR49" s="9"/>
      <c r="AS49" s="9" t="n">
        <f aca="false">AS$18</f>
        <v>30</v>
      </c>
      <c r="AT49" s="9" t="n">
        <f aca="false">AT$18</f>
        <v>38</v>
      </c>
      <c r="AU49" s="9" t="n">
        <f aca="false">SUMPRODUCT(AH49:AK49,AQ49:AT49)/AL49</f>
        <v>38.0298138942638</v>
      </c>
      <c r="AV49" s="9" t="n">
        <f aca="false">$Y$18/1000*CURVES!O8+VLOOKUP($B49,$AU$10:$AV$14,2,FALSE())</f>
        <v>105.848518373729</v>
      </c>
      <c r="AW49" s="9" t="n">
        <f aca="false">(AL49*AU49+AM49*AV49)/AN49</f>
        <v>67.0827143702385</v>
      </c>
      <c r="AX49" s="9" t="n">
        <f aca="false">CHOOSE(AX$18,CURVES!B8,CURVES!C8)</f>
        <v>132.414814814815</v>
      </c>
      <c r="AY49" s="9" t="n">
        <f aca="false">(AN49*AW49+AO49*AX49)/I49</f>
        <v>97.8145856882971</v>
      </c>
    </row>
    <row r="50" customFormat="false" ht="12.75" hidden="false" customHeight="false" outlineLevel="0" collapsed="false">
      <c r="A50" s="85" t="n">
        <v>37073</v>
      </c>
      <c r="B50" s="31" t="n">
        <f aca="false">YEAR(A50)</f>
        <v>2001</v>
      </c>
      <c r="C50" s="31" t="n">
        <f aca="false">MONTH(A50)</f>
        <v>7</v>
      </c>
      <c r="D50" s="86" t="n">
        <v>0.056350655408428</v>
      </c>
      <c r="E50" s="87" t="n">
        <f aca="false">(1+D50/2)^(-2*(DATE($B51,$C51,20)-$E$17)/365.25)</f>
        <v>3.81653612443557</v>
      </c>
      <c r="F50" s="87"/>
      <c r="G50" s="8"/>
      <c r="H50" s="8" t="n">
        <f aca="false">(1+$I$17)*H38</f>
        <v>12580.6878983145</v>
      </c>
      <c r="I50" s="8" t="n">
        <f aca="false">(1+$I$17)*I38</f>
        <v>11523.3324735786</v>
      </c>
      <c r="K50" s="50" t="n">
        <f aca="false">K38</f>
        <v>2248.45698924731</v>
      </c>
      <c r="L50" s="50" t="n">
        <f aca="false">L38</f>
        <v>1358.32258064516</v>
      </c>
      <c r="M50" s="50" t="n">
        <f aca="false">M38</f>
        <v>653.551075268817</v>
      </c>
      <c r="N50" s="50" t="n">
        <f aca="false">N38</f>
        <v>3.83736559139785</v>
      </c>
      <c r="O50" s="50" t="n">
        <f aca="false">SUM(K50:N50)</f>
        <v>4264.16801075269</v>
      </c>
      <c r="P50" s="50" t="n">
        <f aca="false">P38</f>
        <v>3349.38956238808</v>
      </c>
      <c r="Q50" s="50" t="n">
        <f aca="false">O50+P50</f>
        <v>7613.55757314076</v>
      </c>
      <c r="R50" s="8" t="n">
        <f aca="false">H50-O50-P50</f>
        <v>4967.13032517374</v>
      </c>
      <c r="T50" s="9" t="n">
        <f aca="false">$T$18</f>
        <v>48.72</v>
      </c>
      <c r="U50" s="9" t="n">
        <f aca="false">U$18</f>
        <v>23</v>
      </c>
      <c r="V50" s="9" t="n">
        <f aca="false">V$18</f>
        <v>34</v>
      </c>
      <c r="W50" s="9" t="n">
        <f aca="false">W$18</f>
        <v>38</v>
      </c>
      <c r="X50" s="9" t="n">
        <f aca="false">SUMPRODUCT(K50:N50,T50:W50)/O50</f>
        <v>38.2613442789234</v>
      </c>
      <c r="Y50" s="9" t="n">
        <f aca="false">$Y$18/1000*CURVES!K9+VLOOKUP($B50,$X$10:$Y$14,2,FALSE())</f>
        <v>118.627971293995</v>
      </c>
      <c r="Z50" s="9" t="n">
        <f aca="false">(O50*X50+P50*Y50)/Q50</f>
        <v>73.6165824974184</v>
      </c>
      <c r="AA50" s="9" t="n">
        <f aca="false">CHOOSE(AA$18,CURVES!F9,CURVES!G9)</f>
        <v>144.173083593479</v>
      </c>
      <c r="AB50" s="9" t="n">
        <f aca="false">(Q50*Z50+R50*AA50)/H50</f>
        <v>101.473829975861</v>
      </c>
      <c r="AD50" s="9"/>
      <c r="AH50" s="50" t="n">
        <f aca="false">AH38</f>
        <v>1914.32162011861</v>
      </c>
      <c r="AI50" s="50" t="n">
        <f aca="false">AI38</f>
        <v>0</v>
      </c>
      <c r="AJ50" s="50" t="n">
        <f aca="false">AJ38</f>
        <v>1193.33197430598</v>
      </c>
      <c r="AK50" s="50" t="n">
        <f aca="false">AK38</f>
        <v>610.723058442111</v>
      </c>
      <c r="AL50" s="50" t="n">
        <f aca="false">SUM(AH50:AK50)</f>
        <v>3718.37665286669</v>
      </c>
      <c r="AM50" s="50" t="n">
        <f aca="false">AM38</f>
        <v>2586.73186021505</v>
      </c>
      <c r="AN50" s="50" t="n">
        <f aca="false">AL50+AM50</f>
        <v>6305.10851308175</v>
      </c>
      <c r="AO50" s="8" t="n">
        <f aca="false">I50-AL50-AM50</f>
        <v>5218.22396049689</v>
      </c>
      <c r="AQ50" s="9" t="n">
        <f aca="false">$AQ$18</f>
        <v>43</v>
      </c>
      <c r="AR50" s="9"/>
      <c r="AS50" s="9" t="n">
        <f aca="false">AS$18</f>
        <v>30</v>
      </c>
      <c r="AT50" s="9" t="n">
        <f aca="false">AT$18</f>
        <v>38</v>
      </c>
      <c r="AU50" s="9" t="n">
        <f aca="false">SUMPRODUCT(AH50:AK50,AQ50:AT50)/AL50</f>
        <v>38.0067105375476</v>
      </c>
      <c r="AV50" s="9" t="n">
        <f aca="false">$Y$18/1000*CURVES!O9+VLOOKUP($B50,$AU$10:$AV$14,2,FALSE())</f>
        <v>109.208518373729</v>
      </c>
      <c r="AW50" s="9" t="n">
        <f aca="false">(AL50*AU50+AM50*AV50)/AN50</f>
        <v>67.2179421051927</v>
      </c>
      <c r="AX50" s="9" t="n">
        <f aca="false">CHOOSE(AX$18,CURVES!B9,CURVES!C9)</f>
        <v>147.928199791883</v>
      </c>
      <c r="AY50" s="9" t="n">
        <f aca="false">(AN50*AW50+AO50*AX50)/I50</f>
        <v>103.766761770358</v>
      </c>
    </row>
    <row r="51" customFormat="false" ht="12.75" hidden="false" customHeight="false" outlineLevel="0" collapsed="false">
      <c r="A51" s="85" t="n">
        <v>37104</v>
      </c>
      <c r="B51" s="31" t="n">
        <f aca="false">YEAR(A51)</f>
        <v>2001</v>
      </c>
      <c r="C51" s="31" t="n">
        <f aca="false">MONTH(A51)</f>
        <v>8</v>
      </c>
      <c r="D51" s="86" t="n">
        <v>0.055818790797591</v>
      </c>
      <c r="E51" s="87" t="n">
        <f aca="false">(1+D51/2)^(-2*(DATE($B52,$C52,20)-$E$17)/365.25)</f>
        <v>3.75167214072835</v>
      </c>
      <c r="F51" s="87"/>
      <c r="G51" s="8"/>
      <c r="H51" s="8" t="n">
        <f aca="false">(1+$I$17)*H39</f>
        <v>13491.175327898</v>
      </c>
      <c r="I51" s="8" t="n">
        <f aca="false">(1+$I$17)*I39</f>
        <v>11951.6025177374</v>
      </c>
      <c r="K51" s="50" t="n">
        <f aca="false">K39</f>
        <v>2226.06586021505</v>
      </c>
      <c r="L51" s="50" t="n">
        <f aca="false">L39</f>
        <v>1361.98924731183</v>
      </c>
      <c r="M51" s="50" t="n">
        <f aca="false">M39</f>
        <v>483.364247311828</v>
      </c>
      <c r="N51" s="50" t="n">
        <f aca="false">N39</f>
        <v>3.9247311827957</v>
      </c>
      <c r="O51" s="50" t="n">
        <f aca="false">SUM(K51:N51)</f>
        <v>4075.34408602151</v>
      </c>
      <c r="P51" s="50" t="n">
        <f aca="false">P39</f>
        <v>3426.25292884001</v>
      </c>
      <c r="Q51" s="50" t="n">
        <f aca="false">O51+P51</f>
        <v>7501.59701486152</v>
      </c>
      <c r="R51" s="8" t="n">
        <f aca="false">H51-O51-P51</f>
        <v>5989.57831303648</v>
      </c>
      <c r="T51" s="9" t="n">
        <f aca="false">$T$18</f>
        <v>48.72</v>
      </c>
      <c r="U51" s="9" t="n">
        <f aca="false">U$18</f>
        <v>23</v>
      </c>
      <c r="V51" s="9" t="n">
        <f aca="false">V$18</f>
        <v>34</v>
      </c>
      <c r="W51" s="9" t="n">
        <f aca="false">W$18</f>
        <v>38</v>
      </c>
      <c r="X51" s="9" t="n">
        <f aca="false">SUMPRODUCT(K51:N51,T51:W51)/O51</f>
        <v>38.3680990588564</v>
      </c>
      <c r="Y51" s="9" t="n">
        <f aca="false">$Y$18/1000*CURVES!K10+VLOOKUP($B51,$X$10:$Y$14,2,FALSE())</f>
        <v>119.677971293995</v>
      </c>
      <c r="Z51" s="9" t="n">
        <f aca="false">(O51*X51+P51*Y51)/Q51</f>
        <v>75.5052829594762</v>
      </c>
      <c r="AA51" s="9" t="n">
        <f aca="false">CHOOSE(AA$18,CURVES!F10,CURVES!G10)</f>
        <v>181.62330905307</v>
      </c>
      <c r="AB51" s="9" t="n">
        <f aca="false">(Q51*Z51+R51*AA51)/H51</f>
        <v>122.617725890826</v>
      </c>
      <c r="AD51" s="9"/>
      <c r="AH51" s="50" t="n">
        <f aca="false">AH39</f>
        <v>1859.59450264151</v>
      </c>
      <c r="AI51" s="50" t="n">
        <f aca="false">AI39</f>
        <v>0</v>
      </c>
      <c r="AJ51" s="50" t="n">
        <f aca="false">AJ39</f>
        <v>1584.50880376937</v>
      </c>
      <c r="AK51" s="50" t="n">
        <f aca="false">AK39</f>
        <v>621.501656862376</v>
      </c>
      <c r="AL51" s="50" t="n">
        <f aca="false">SUM(AH51:AK51)</f>
        <v>4065.60496327325</v>
      </c>
      <c r="AM51" s="50" t="n">
        <f aca="false">AM39</f>
        <v>2208.28901612903</v>
      </c>
      <c r="AN51" s="50" t="n">
        <f aca="false">AL51+AM51</f>
        <v>6273.89397940229</v>
      </c>
      <c r="AO51" s="8" t="n">
        <f aca="false">I51-AL51-AM51</f>
        <v>5677.70853833513</v>
      </c>
      <c r="AQ51" s="9" t="n">
        <f aca="false">$AQ$18</f>
        <v>43</v>
      </c>
      <c r="AR51" s="9"/>
      <c r="AS51" s="9" t="n">
        <f aca="false">AS$18</f>
        <v>30</v>
      </c>
      <c r="AT51" s="9" t="n">
        <f aca="false">AT$18</f>
        <v>38</v>
      </c>
      <c r="AU51" s="9" t="n">
        <f aca="false">SUMPRODUCT(AH51:AK51,AQ51:AT51)/AL51</f>
        <v>37.1691032583186</v>
      </c>
      <c r="AV51" s="9" t="n">
        <f aca="false">$Y$18/1000*CURVES!O10+VLOOKUP($B51,$AU$10:$AV$14,2,FALSE())</f>
        <v>110.258518373729</v>
      </c>
      <c r="AW51" s="9" t="n">
        <f aca="false">(AL51*AU51+AM51*AV51)/AN51</f>
        <v>62.8951600142273</v>
      </c>
      <c r="AX51" s="9" t="n">
        <f aca="false">CHOOSE(AX$18,CURVES!B10,CURVES!C10)</f>
        <v>181.073881373569</v>
      </c>
      <c r="AY51" s="9" t="n">
        <f aca="false">(AN51*AW51+AO51*AX51)/I51</f>
        <v>119.036948056095</v>
      </c>
    </row>
    <row r="52" customFormat="false" ht="12.75" hidden="false" customHeight="false" outlineLevel="0" collapsed="false">
      <c r="A52" s="85" t="n">
        <v>37135</v>
      </c>
      <c r="B52" s="31" t="n">
        <f aca="false">YEAR(A52)</f>
        <v>2001</v>
      </c>
      <c r="C52" s="31" t="n">
        <f aca="false">MONTH(A52)</f>
        <v>9</v>
      </c>
      <c r="D52" s="86" t="n">
        <v>0.055286926280937</v>
      </c>
      <c r="E52" s="87" t="n">
        <f aca="false">(1+D52/2)^(-2*(DATE($B53,$C53,20)-$E$17)/365.25)</f>
        <v>3.68877337192991</v>
      </c>
      <c r="F52" s="87"/>
      <c r="G52" s="8"/>
      <c r="H52" s="8" t="n">
        <f aca="false">(1+$I$17)*H40</f>
        <v>12220.4637798256</v>
      </c>
      <c r="I52" s="8" t="n">
        <f aca="false">(1+$I$17)*I40</f>
        <v>11257.6422234248</v>
      </c>
      <c r="K52" s="50" t="n">
        <f aca="false">K40</f>
        <v>2263.63333333333</v>
      </c>
      <c r="L52" s="50" t="n">
        <f aca="false">L40</f>
        <v>1380.73611111111</v>
      </c>
      <c r="M52" s="50" t="n">
        <f aca="false">M40</f>
        <v>542.602777777778</v>
      </c>
      <c r="N52" s="50" t="n">
        <f aca="false">N40</f>
        <v>3.41944444444444</v>
      </c>
      <c r="O52" s="50" t="n">
        <f aca="false">SUM(K52:N52)</f>
        <v>4190.39166666667</v>
      </c>
      <c r="P52" s="50" t="n">
        <f aca="false">P40</f>
        <v>3348.13393235473</v>
      </c>
      <c r="Q52" s="50" t="n">
        <f aca="false">O52+P52</f>
        <v>7538.52559902139</v>
      </c>
      <c r="R52" s="8" t="n">
        <f aca="false">H52-O52-P52</f>
        <v>4681.93818080425</v>
      </c>
      <c r="T52" s="9" t="n">
        <f aca="false">$T$18</f>
        <v>48.72</v>
      </c>
      <c r="U52" s="9" t="n">
        <f aca="false">U$18</f>
        <v>23</v>
      </c>
      <c r="V52" s="9" t="n">
        <f aca="false">V$18</f>
        <v>34</v>
      </c>
      <c r="W52" s="9" t="n">
        <f aca="false">W$18</f>
        <v>38</v>
      </c>
      <c r="X52" s="9" t="n">
        <f aca="false">SUMPRODUCT(K52:N52,T52:W52)/O52</f>
        <v>38.3304456159959</v>
      </c>
      <c r="Y52" s="9" t="n">
        <f aca="false">$Y$18/1000*CURVES!K11+VLOOKUP($B52,$X$10:$Y$14,2,FALSE())</f>
        <v>118.281471293995</v>
      </c>
      <c r="Z52" s="9" t="n">
        <f aca="false">(O52*X52+P52*Y52)/Q52</f>
        <v>73.8396096405664</v>
      </c>
      <c r="AA52" s="9" t="n">
        <f aca="false">CHOOSE(AA$18,CURVES!F11,CURVES!G11)</f>
        <v>134.18</v>
      </c>
      <c r="AB52" s="9" t="n">
        <f aca="false">(Q52*Z52+R52*AA52)/H52</f>
        <v>96.9573883565306</v>
      </c>
      <c r="AD52" s="9"/>
      <c r="AH52" s="50" t="n">
        <f aca="false">AH40</f>
        <v>1890.97734163897</v>
      </c>
      <c r="AI52" s="50" t="n">
        <f aca="false">AI40</f>
        <v>0</v>
      </c>
      <c r="AJ52" s="50" t="n">
        <f aca="false">AJ40</f>
        <v>765.820605438213</v>
      </c>
      <c r="AK52" s="50" t="n">
        <f aca="false">AK40</f>
        <v>570.922545092046</v>
      </c>
      <c r="AL52" s="50" t="n">
        <f aca="false">SUM(AH52:AK52)</f>
        <v>3227.72049216923</v>
      </c>
      <c r="AM52" s="50" t="n">
        <f aca="false">AM40</f>
        <v>2371.57693150685</v>
      </c>
      <c r="AN52" s="50" t="n">
        <f aca="false">AL52+AM52</f>
        <v>5599.29742367608</v>
      </c>
      <c r="AO52" s="8" t="n">
        <f aca="false">I52-AL52-AM52</f>
        <v>5658.34479974873</v>
      </c>
      <c r="AQ52" s="9" t="n">
        <f aca="false">$AQ$18</f>
        <v>43</v>
      </c>
      <c r="AR52" s="9"/>
      <c r="AS52" s="9" t="n">
        <f aca="false">AS$18</f>
        <v>30</v>
      </c>
      <c r="AT52" s="9" t="n">
        <f aca="false">AT$18</f>
        <v>38</v>
      </c>
      <c r="AU52" s="9" t="n">
        <f aca="false">SUMPRODUCT(AH52:AK52,AQ52:AT52)/AL52</f>
        <v>39.0311679319086</v>
      </c>
      <c r="AV52" s="9" t="n">
        <f aca="false">$Y$18/1000*CURVES!O11+VLOOKUP($B52,$AU$10:$AV$14,2,FALSE())</f>
        <v>108.862018373729</v>
      </c>
      <c r="AW52" s="9" t="n">
        <f aca="false">(AL52*AU52+AM52*AV52)/AN52</f>
        <v>68.607956140205</v>
      </c>
      <c r="AX52" s="9" t="n">
        <f aca="false">CHOOSE(AX$18,CURVES!B11,CURVES!C11)</f>
        <v>143.986666666667</v>
      </c>
      <c r="AY52" s="9" t="n">
        <f aca="false">(AN52*AW52+AO52*AX52)/I52</f>
        <v>106.494995562338</v>
      </c>
    </row>
    <row r="53" customFormat="false" ht="12.75" hidden="false" customHeight="false" outlineLevel="0" collapsed="false">
      <c r="A53" s="85" t="n">
        <v>37165</v>
      </c>
      <c r="B53" s="31" t="n">
        <f aca="false">YEAR(A53)</f>
        <v>2001</v>
      </c>
      <c r="C53" s="31" t="n">
        <f aca="false">MONTH(A53)</f>
        <v>10</v>
      </c>
      <c r="D53" s="86" t="n">
        <v>0.054847843829286</v>
      </c>
      <c r="E53" s="87" t="n">
        <f aca="false">(1+D53/2)^(-2*(DATE($B54,$C54,20)-$E$17)/365.25)</f>
        <v>3.63450898870028</v>
      </c>
      <c r="F53" s="87"/>
      <c r="G53" s="8"/>
      <c r="H53" s="8" t="n">
        <f aca="false">(1+$I$17)*H41</f>
        <v>11352.7981512883</v>
      </c>
      <c r="I53" s="8" t="n">
        <f aca="false">(1+$I$17)*I41</f>
        <v>9744.30140736078</v>
      </c>
      <c r="K53" s="50" t="n">
        <f aca="false">K41</f>
        <v>2069.29166666667</v>
      </c>
      <c r="L53" s="50" t="n">
        <f aca="false">L41</f>
        <v>1227.52419354839</v>
      </c>
      <c r="M53" s="50" t="n">
        <f aca="false">M41</f>
        <v>369.340053763441</v>
      </c>
      <c r="N53" s="50" t="n">
        <f aca="false">N41</f>
        <v>3.27822580645161</v>
      </c>
      <c r="O53" s="50" t="n">
        <f aca="false">SUM(K53:N53)</f>
        <v>3669.43413978495</v>
      </c>
      <c r="P53" s="50" t="n">
        <f aca="false">P41</f>
        <v>3171.07549498463</v>
      </c>
      <c r="Q53" s="50" t="n">
        <f aca="false">O53+P53</f>
        <v>6840.50963476957</v>
      </c>
      <c r="R53" s="8" t="n">
        <f aca="false">H53-O53-P53</f>
        <v>4512.28851651872</v>
      </c>
      <c r="T53" s="9" t="n">
        <f aca="false">$T$18</f>
        <v>48.72</v>
      </c>
      <c r="U53" s="9" t="n">
        <f aca="false">U$18</f>
        <v>23</v>
      </c>
      <c r="V53" s="9" t="n">
        <f aca="false">V$18</f>
        <v>34</v>
      </c>
      <c r="W53" s="9" t="n">
        <f aca="false">W$18</f>
        <v>38</v>
      </c>
      <c r="X53" s="9" t="n">
        <f aca="false">SUMPRODUCT(K53:N53,T53:W53)/O53</f>
        <v>38.624778497461</v>
      </c>
      <c r="Y53" s="9" t="n">
        <f aca="false">$Y$18/1000*CURVES!K12+VLOOKUP($B53,$X$10:$Y$14,2,FALSE())</f>
        <v>109.198971293996</v>
      </c>
      <c r="Z53" s="9" t="n">
        <f aca="false">(O53*X53+P53*Y53)/Q53</f>
        <v>71.3410679706721</v>
      </c>
      <c r="AA53" s="9" t="n">
        <f aca="false">CHOOSE(AA$18,CURVES!F12,CURVES!G12)</f>
        <v>102.474505723205</v>
      </c>
      <c r="AB53" s="9" t="n">
        <f aca="false">(Q53*Z53+R53*AA53)/H53</f>
        <v>83.715378847904</v>
      </c>
      <c r="AD53" s="9"/>
      <c r="AH53" s="50" t="n">
        <f aca="false">AH41</f>
        <v>1913.83994918903</v>
      </c>
      <c r="AI53" s="50" t="n">
        <f aca="false">AI41</f>
        <v>0</v>
      </c>
      <c r="AJ53" s="50" t="n">
        <f aca="false">AJ41</f>
        <v>1075.38011608834</v>
      </c>
      <c r="AK53" s="50" t="n">
        <f aca="false">AK41</f>
        <v>576.385560502926</v>
      </c>
      <c r="AL53" s="50" t="n">
        <f aca="false">SUM(AH53:AK53)</f>
        <v>3565.6056257803</v>
      </c>
      <c r="AM53" s="50" t="n">
        <f aca="false">AM41</f>
        <v>2259.71325</v>
      </c>
      <c r="AN53" s="50" t="n">
        <f aca="false">AL53+AM53</f>
        <v>5825.3188757803</v>
      </c>
      <c r="AO53" s="8" t="n">
        <f aca="false">I53-AL53-AM53</f>
        <v>3918.98253158048</v>
      </c>
      <c r="AQ53" s="9" t="n">
        <f aca="false">$AQ$18</f>
        <v>43</v>
      </c>
      <c r="AR53" s="9"/>
      <c r="AS53" s="9" t="n">
        <f aca="false">AS$18</f>
        <v>30</v>
      </c>
      <c r="AT53" s="9" t="n">
        <f aca="false">AT$18</f>
        <v>38</v>
      </c>
      <c r="AU53" s="9" t="n">
        <f aca="false">SUMPRODUCT(AH53:AK53,AQ53:AT53)/AL53</f>
        <v>38.2709662589303</v>
      </c>
      <c r="AV53" s="9" t="n">
        <f aca="false">$Y$18/1000*CURVES!O12+VLOOKUP($B53,$AU$10:$AV$14,2,FALSE())</f>
        <v>101.354518373729</v>
      </c>
      <c r="AW53" s="9" t="n">
        <f aca="false">(AL53*AU53+AM53*AV53)/AN53</f>
        <v>62.7418564557837</v>
      </c>
      <c r="AX53" s="9" t="n">
        <f aca="false">CHOOSE(AX$18,CURVES!B12,CURVES!C12)</f>
        <v>111.914672216441</v>
      </c>
      <c r="AY53" s="9" t="n">
        <f aca="false">(AN53*AW53+AO53*AX53)/I53</f>
        <v>82.5182773543688</v>
      </c>
    </row>
    <row r="54" customFormat="false" ht="12.75" hidden="false" customHeight="false" outlineLevel="0" collapsed="false">
      <c r="A54" s="85" t="n">
        <v>37196</v>
      </c>
      <c r="B54" s="31" t="n">
        <f aca="false">YEAR(A54)</f>
        <v>2001</v>
      </c>
      <c r="C54" s="31" t="n">
        <f aca="false">MONTH(A54)</f>
        <v>11</v>
      </c>
      <c r="D54" s="86" t="n">
        <v>0.05451670929084</v>
      </c>
      <c r="E54" s="87" t="n">
        <f aca="false">(1+D54/2)^(-2*(DATE($B55,$C55,20)-$E$17)/365.25)</f>
        <v>3.59077844620612</v>
      </c>
      <c r="F54" s="87"/>
      <c r="G54" s="8"/>
      <c r="H54" s="8" t="n">
        <f aca="false">(1+$I$17)*H42</f>
        <v>11105.2791518018</v>
      </c>
      <c r="I54" s="8" t="n">
        <f aca="false">(1+$I$17)*I42</f>
        <v>9892.21133330003</v>
      </c>
      <c r="K54" s="50" t="n">
        <f aca="false">K42</f>
        <v>2201.15833333333</v>
      </c>
      <c r="L54" s="50" t="n">
        <f aca="false">L42</f>
        <v>1270.02777777778</v>
      </c>
      <c r="M54" s="50" t="n">
        <f aca="false">M42</f>
        <v>241.311111111111</v>
      </c>
      <c r="N54" s="50" t="n">
        <f aca="false">N42</f>
        <v>3.11944444444444</v>
      </c>
      <c r="O54" s="50" t="n">
        <f aca="false">SUM(K54:N54)</f>
        <v>3715.61666666667</v>
      </c>
      <c r="P54" s="50" t="n">
        <f aca="false">P42</f>
        <v>3029.03315829808</v>
      </c>
      <c r="Q54" s="50" t="n">
        <f aca="false">O54+P54</f>
        <v>6744.64982496475</v>
      </c>
      <c r="R54" s="8" t="n">
        <f aca="false">H54-O54-P54</f>
        <v>4360.62932683704</v>
      </c>
      <c r="T54" s="9" t="n">
        <f aca="false">$T$18</f>
        <v>48.72</v>
      </c>
      <c r="U54" s="9" t="n">
        <f aca="false">U$18</f>
        <v>23</v>
      </c>
      <c r="V54" s="9" t="n">
        <f aca="false">V$18</f>
        <v>34</v>
      </c>
      <c r="W54" s="9" t="n">
        <f aca="false">W$18</f>
        <v>38</v>
      </c>
      <c r="X54" s="9" t="n">
        <f aca="false">SUMPRODUCT(K54:N54,T54:W54)/O54</f>
        <v>38.9637044247179</v>
      </c>
      <c r="Y54" s="9" t="n">
        <f aca="false">$Y$18/1000*CURVES!K13+VLOOKUP($B54,$X$10:$Y$14,2,FALSE())</f>
        <v>112.432971293995</v>
      </c>
      <c r="Z54" s="9" t="n">
        <f aca="false">(O54*X54+P54*Y54)/Q54</f>
        <v>71.9588711477072</v>
      </c>
      <c r="AA54" s="9" t="n">
        <f aca="false">CHOOSE(AA$18,CURVES!F13,CURVES!G13)</f>
        <v>93.037037037037</v>
      </c>
      <c r="AB54" s="9" t="n">
        <f aca="false">(Q54*Z54+R54*AA54)/H54</f>
        <v>80.2354814946011</v>
      </c>
      <c r="AD54" s="9"/>
      <c r="AH54" s="50" t="n">
        <f aca="false">AH42</f>
        <v>1838.78743628671</v>
      </c>
      <c r="AI54" s="50" t="n">
        <f aca="false">AI42</f>
        <v>0</v>
      </c>
      <c r="AJ54" s="50" t="n">
        <f aca="false">AJ42</f>
        <v>1347.87918472112</v>
      </c>
      <c r="AK54" s="50" t="n">
        <f aca="false">AK42</f>
        <v>499.439112514422</v>
      </c>
      <c r="AL54" s="50" t="n">
        <f aca="false">SUM(AH54:AK54)</f>
        <v>3686.10573352225</v>
      </c>
      <c r="AM54" s="50" t="n">
        <f aca="false">AM42</f>
        <v>2451.23764109589</v>
      </c>
      <c r="AN54" s="50" t="n">
        <f aca="false">AL54+AM54</f>
        <v>6137.34337461814</v>
      </c>
      <c r="AO54" s="8" t="n">
        <f aca="false">I54-AL54-AM54</f>
        <v>3754.86795868189</v>
      </c>
      <c r="AQ54" s="9" t="n">
        <f aca="false">$AQ$18</f>
        <v>43</v>
      </c>
      <c r="AR54" s="9"/>
      <c r="AS54" s="9" t="n">
        <f aca="false">AS$18</f>
        <v>30</v>
      </c>
      <c r="AT54" s="9" t="n">
        <f aca="false">AT$18</f>
        <v>38</v>
      </c>
      <c r="AU54" s="9" t="n">
        <f aca="false">SUMPRODUCT(AH54:AK54,AQ54:AT54)/AL54</f>
        <v>37.5688956282822</v>
      </c>
      <c r="AV54" s="9" t="n">
        <f aca="false">$Y$18/1000*CURVES!O13+VLOOKUP($B54,$AU$10:$AV$14,2,FALSE())</f>
        <v>107.528518373729</v>
      </c>
      <c r="AW54" s="9" t="n">
        <f aca="false">(AL54*AU54+AM54*AV54)/AN54</f>
        <v>65.5105717189048</v>
      </c>
      <c r="AX54" s="9" t="n">
        <f aca="false">CHOOSE(AX$18,CURVES!B13,CURVES!C13)</f>
        <v>101.777777777778</v>
      </c>
      <c r="AY54" s="9" t="n">
        <f aca="false">(AN54*AW54+AO54*AX54)/I54</f>
        <v>79.2768131984979</v>
      </c>
    </row>
    <row r="55" customFormat="false" ht="12.75" hidden="false" customHeight="false" outlineLevel="0" collapsed="false">
      <c r="A55" s="85" t="n">
        <v>37226</v>
      </c>
      <c r="B55" s="31" t="n">
        <f aca="false">YEAR(A55)</f>
        <v>2001</v>
      </c>
      <c r="C55" s="31" t="n">
        <f aca="false">MONTH(A55)</f>
        <v>12</v>
      </c>
      <c r="D55" s="86" t="n">
        <v>0.05419625654648</v>
      </c>
      <c r="E55" s="87" t="n">
        <f aca="false">(1+D55/2)^(-2*(DATE($B56,$C56,20)-$E$17)/365.25)</f>
        <v>3.54811205453224</v>
      </c>
      <c r="F55" s="87"/>
      <c r="G55" s="8"/>
      <c r="H55" s="8" t="n">
        <f aca="false">(1+$I$17)*H43</f>
        <v>11025.3154051933</v>
      </c>
      <c r="I55" s="8" t="n">
        <f aca="false">(1+$I$17)*I43</f>
        <v>9869.73795225422</v>
      </c>
      <c r="K55" s="50" t="n">
        <f aca="false">K43</f>
        <v>2256.4126344086</v>
      </c>
      <c r="L55" s="50" t="n">
        <f aca="false">L43</f>
        <v>1157.21505376344</v>
      </c>
      <c r="M55" s="50" t="n">
        <f aca="false">M43</f>
        <v>239.860215053763</v>
      </c>
      <c r="N55" s="50" t="n">
        <f aca="false">N43</f>
        <v>2.96908602150538</v>
      </c>
      <c r="O55" s="50" t="n">
        <f aca="false">SUM(K55:N55)</f>
        <v>3656.45698924731</v>
      </c>
      <c r="P55" s="50" t="n">
        <f aca="false">P43</f>
        <v>2977.59684973097</v>
      </c>
      <c r="Q55" s="50" t="n">
        <f aca="false">O55+P55</f>
        <v>6634.05383897828</v>
      </c>
      <c r="R55" s="8" t="n">
        <f aca="false">H55-O55-P55</f>
        <v>4391.26156621503</v>
      </c>
      <c r="T55" s="9" t="n">
        <f aca="false">$T$18</f>
        <v>48.72</v>
      </c>
      <c r="U55" s="9" t="n">
        <f aca="false">U$18</f>
        <v>23</v>
      </c>
      <c r="V55" s="9" t="n">
        <f aca="false">V$18</f>
        <v>34</v>
      </c>
      <c r="W55" s="9" t="n">
        <f aca="false">W$18</f>
        <v>38</v>
      </c>
      <c r="X55" s="9" t="n">
        <f aca="false">SUMPRODUCT(K55:N55,T55:W55)/O55</f>
        <v>39.6056736867024</v>
      </c>
      <c r="Y55" s="9" t="n">
        <f aca="false">$Y$18/1000*CURVES!K14+VLOOKUP($B55,$X$10:$Y$14,2,FALSE())</f>
        <v>113.797971293995</v>
      </c>
      <c r="Z55" s="9" t="n">
        <f aca="false">(O55*X55+P55*Y55)/Q55</f>
        <v>72.9057880650027</v>
      </c>
      <c r="AA55" s="9" t="n">
        <f aca="false">CHOOSE(AA$18,CURVES!F14,CURVES!G14)</f>
        <v>88.3683662851197</v>
      </c>
      <c r="AB55" s="9" t="n">
        <f aca="false">(Q55*Z55+R55*AA55)/H55</f>
        <v>79.0643624873371</v>
      </c>
      <c r="AD55" s="9"/>
      <c r="AH55" s="50" t="n">
        <f aca="false">AH43</f>
        <v>1921.09500453605</v>
      </c>
      <c r="AI55" s="50" t="n">
        <f aca="false">AI43</f>
        <v>0</v>
      </c>
      <c r="AJ55" s="50" t="n">
        <f aca="false">AJ43</f>
        <v>1326.47869273451</v>
      </c>
      <c r="AK55" s="50" t="n">
        <f aca="false">AK43</f>
        <v>519.619723134563</v>
      </c>
      <c r="AL55" s="50" t="n">
        <f aca="false">SUM(AH55:AK55)</f>
        <v>3767.19342040512</v>
      </c>
      <c r="AM55" s="50" t="n">
        <f aca="false">AM43</f>
        <v>2024.24791129032</v>
      </c>
      <c r="AN55" s="50" t="n">
        <f aca="false">AL55+AM55</f>
        <v>5791.44133169545</v>
      </c>
      <c r="AO55" s="8" t="n">
        <f aca="false">I55-AL55-AM55</f>
        <v>4078.29662055878</v>
      </c>
      <c r="AQ55" s="9" t="n">
        <f aca="false">$AQ$18</f>
        <v>43</v>
      </c>
      <c r="AR55" s="9"/>
      <c r="AS55" s="9" t="n">
        <f aca="false">AS$18</f>
        <v>30</v>
      </c>
      <c r="AT55" s="9" t="n">
        <f aca="false">AT$18</f>
        <v>38</v>
      </c>
      <c r="AU55" s="9" t="n">
        <f aca="false">SUMPRODUCT(AH55:AK55,AQ55:AT55)/AL55</f>
        <v>37.7328635918334</v>
      </c>
      <c r="AV55" s="9" t="n">
        <f aca="false">$Y$18/1000*CURVES!O14+VLOOKUP($B55,$AU$10:$AV$14,2,FALSE())</f>
        <v>108.893518373729</v>
      </c>
      <c r="AW55" s="9" t="n">
        <f aca="false">(AL55*AU55+AM55*AV55)/AN55</f>
        <v>62.6052223982611</v>
      </c>
      <c r="AX55" s="9" t="n">
        <f aca="false">CHOOSE(AX$18,CURVES!B14,CURVES!C14)</f>
        <v>102.756850502948</v>
      </c>
      <c r="AY55" s="9" t="n">
        <f aca="false">(AN55*AW55+AO55*AX55)/I55</f>
        <v>79.19636696577</v>
      </c>
    </row>
    <row r="56" customFormat="false" ht="12.75" hidden="false" customHeight="false" outlineLevel="0" collapsed="false">
      <c r="A56" s="85" t="n">
        <v>37257</v>
      </c>
      <c r="B56" s="31" t="n">
        <f aca="false">YEAR(A56)</f>
        <v>2002</v>
      </c>
      <c r="C56" s="31" t="n">
        <f aca="false">MONTH(A56)</f>
        <v>1</v>
      </c>
      <c r="D56" s="86" t="n">
        <v>0.053977796992254</v>
      </c>
      <c r="E56" s="87" t="n">
        <f aca="false">(1+D56/2)^(-2*(DATE($B57,$C57,20)-$E$17)/365.25)</f>
        <v>3.5143608757929</v>
      </c>
      <c r="F56" s="87"/>
      <c r="G56" s="8"/>
      <c r="H56" s="8" t="n">
        <f aca="false">(1+$I$17)*H44</f>
        <v>11227.894393553</v>
      </c>
      <c r="I56" s="8" t="n">
        <f aca="false">(1+$I$17)*I44</f>
        <v>10673.5137191832</v>
      </c>
      <c r="K56" s="50" t="n">
        <f aca="false">K44</f>
        <v>2185.91801075269</v>
      </c>
      <c r="L56" s="50" t="n">
        <f aca="false">L44</f>
        <v>1282.33064516129</v>
      </c>
      <c r="M56" s="50" t="n">
        <f aca="false">M44</f>
        <v>142.852150537634</v>
      </c>
      <c r="N56" s="50" t="n">
        <f aca="false">N44</f>
        <v>3.16801075268817</v>
      </c>
      <c r="O56" s="50" t="n">
        <f aca="false">SUM(K56:N56)</f>
        <v>3614.2688172043</v>
      </c>
      <c r="P56" s="50" t="n">
        <f aca="false">P44</f>
        <v>2792.6655547379</v>
      </c>
      <c r="Q56" s="50" t="n">
        <f aca="false">O56+P56</f>
        <v>6406.9343719422</v>
      </c>
      <c r="R56" s="8" t="n">
        <f aca="false">H56-O56-P56</f>
        <v>4820.96002161081</v>
      </c>
      <c r="T56" s="9" t="n">
        <f aca="false">$T$18</f>
        <v>48.72</v>
      </c>
      <c r="U56" s="9" t="n">
        <f aca="false">U$18</f>
        <v>23</v>
      </c>
      <c r="V56" s="9" t="n">
        <f aca="false">V$18</f>
        <v>34</v>
      </c>
      <c r="W56" s="9" t="n">
        <f aca="false">W$18</f>
        <v>38</v>
      </c>
      <c r="X56" s="9" t="n">
        <f aca="false">SUMPRODUCT(K56:N56,T56:W56)/O56</f>
        <v>39.0034319468534</v>
      </c>
      <c r="Y56" s="9" t="n">
        <f aca="false">$Y$18/1000*CURVES!K15+VLOOKUP($B56,$X$10:$Y$14,2,FALSE())</f>
        <v>103.55446060342</v>
      </c>
      <c r="Z56" s="9" t="n">
        <f aca="false">(O56*X56+P56*Y56)/Q56</f>
        <v>67.140045151687</v>
      </c>
      <c r="AA56" s="9" t="n">
        <f aca="false">CHOOSE(AA$18,CURVES!F15,CURVES!G15)</f>
        <v>77.5874089490114</v>
      </c>
      <c r="AB56" s="9" t="n">
        <f aca="false">(Q56*Z56+R56*AA56)/H56</f>
        <v>71.6258660396217</v>
      </c>
      <c r="AD56" s="9"/>
      <c r="AH56" s="50" t="n">
        <f aca="false">AH44</f>
        <v>1826.05608785899</v>
      </c>
      <c r="AI56" s="50" t="n">
        <f aca="false">AI44</f>
        <v>0</v>
      </c>
      <c r="AJ56" s="50" t="n">
        <f aca="false">AJ44</f>
        <v>1744.08931864439</v>
      </c>
      <c r="AK56" s="50" t="n">
        <f aca="false">AK44</f>
        <v>538.872892801371</v>
      </c>
      <c r="AL56" s="50" t="n">
        <f aca="false">SUM(AH56:AK56)</f>
        <v>4109.01829930475</v>
      </c>
      <c r="AM56" s="50" t="n">
        <f aca="false">AM44</f>
        <v>2445.3687016129</v>
      </c>
      <c r="AN56" s="50" t="n">
        <f aca="false">AL56+AM56</f>
        <v>6554.38700091765</v>
      </c>
      <c r="AO56" s="8" t="n">
        <f aca="false">I56-AL56-AM56</f>
        <v>4119.12671826557</v>
      </c>
      <c r="AQ56" s="9" t="n">
        <f aca="false">$AQ$18</f>
        <v>43</v>
      </c>
      <c r="AR56" s="9"/>
      <c r="AS56" s="9" t="n">
        <f aca="false">AS$18</f>
        <v>30</v>
      </c>
      <c r="AT56" s="9" t="n">
        <f aca="false">AT$18</f>
        <v>38</v>
      </c>
      <c r="AU56" s="9" t="n">
        <f aca="false">SUMPRODUCT(AH56:AK56,AQ56:AT56)/AL56</f>
        <v>36.8263780400598</v>
      </c>
      <c r="AV56" s="9" t="n">
        <f aca="false">$Y$18/1000*CURVES!O15+VLOOKUP($B56,$AU$10:$AV$14,2,FALSE())</f>
        <v>108.97055708486</v>
      </c>
      <c r="AW56" s="9" t="n">
        <f aca="false">(AL56*AU56+AM56*AV56)/AN56</f>
        <v>63.7425667568707</v>
      </c>
      <c r="AX56" s="9" t="n">
        <f aca="false">CHOOSE(AX$18,CURVES!B15,CURVES!C15)</f>
        <v>84.5143947277142</v>
      </c>
      <c r="AY56" s="9" t="n">
        <f aca="false">(AN56*AW56+AO56*AX56)/I56</f>
        <v>71.7588389829643</v>
      </c>
    </row>
    <row r="57" customFormat="false" ht="12.75" hidden="false" customHeight="false" outlineLevel="0" collapsed="false">
      <c r="A57" s="85" t="n">
        <v>37288</v>
      </c>
      <c r="B57" s="31" t="n">
        <f aca="false">YEAR(A57)</f>
        <v>2002</v>
      </c>
      <c r="C57" s="31" t="n">
        <f aca="false">MONTH(A57)</f>
        <v>2</v>
      </c>
      <c r="D57" s="86" t="n">
        <v>0.053915348866635</v>
      </c>
      <c r="E57" s="87" t="n">
        <f aca="false">(1+D57/2)^(-2*(DATE($B58,$C58,20)-$E$17)/365.25)</f>
        <v>3.49503835935627</v>
      </c>
      <c r="F57" s="87"/>
      <c r="G57" s="8"/>
      <c r="H57" s="8" t="n">
        <f aca="false">(1+$I$17)*H45</f>
        <v>11258.0952063931</v>
      </c>
      <c r="I57" s="8" t="n">
        <f aca="false">(1+$I$17)*I45</f>
        <v>10659.2884488185</v>
      </c>
      <c r="K57" s="50" t="n">
        <f aca="false">K45</f>
        <v>2261.87643678161</v>
      </c>
      <c r="L57" s="50" t="n">
        <f aca="false">L45</f>
        <v>1335.97988505747</v>
      </c>
      <c r="M57" s="50" t="n">
        <f aca="false">M45</f>
        <v>236.002873563218</v>
      </c>
      <c r="N57" s="50" t="n">
        <f aca="false">N45</f>
        <v>3.84913793103448</v>
      </c>
      <c r="O57" s="50" t="n">
        <f aca="false">SUM(K57:N57)</f>
        <v>3837.70833333333</v>
      </c>
      <c r="P57" s="50" t="n">
        <f aca="false">P45</f>
        <v>3011.77170136767</v>
      </c>
      <c r="Q57" s="50" t="n">
        <f aca="false">O57+P57</f>
        <v>6849.48003470101</v>
      </c>
      <c r="R57" s="8" t="n">
        <f aca="false">H57-O57-P57</f>
        <v>4408.61517169207</v>
      </c>
      <c r="T57" s="9" t="n">
        <f aca="false">$T$18</f>
        <v>48.72</v>
      </c>
      <c r="U57" s="9" t="n">
        <f aca="false">U$18</f>
        <v>23</v>
      </c>
      <c r="V57" s="9" t="n">
        <f aca="false">V$18</f>
        <v>34</v>
      </c>
      <c r="W57" s="9" t="n">
        <f aca="false">W$18</f>
        <v>38</v>
      </c>
      <c r="X57" s="9" t="n">
        <f aca="false">SUMPRODUCT(K57:N57,T57:W57)/O57</f>
        <v>38.8504048116</v>
      </c>
      <c r="Y57" s="9" t="n">
        <f aca="false">$Y$18/1000*CURVES!K16+VLOOKUP($B57,$X$10:$Y$14,2,FALSE())</f>
        <v>100.87696060342</v>
      </c>
      <c r="Z57" s="9" t="n">
        <f aca="false">(O57*X57+P57*Y57)/Q57</f>
        <v>66.1239824438705</v>
      </c>
      <c r="AA57" s="9" t="n">
        <f aca="false">CHOOSE(AA$18,CURVES!F16,CURVES!G16)</f>
        <v>70.5663265306122</v>
      </c>
      <c r="AB57" s="9" t="n">
        <f aca="false">(Q57*Z57+R57*AA57)/H57</f>
        <v>67.8635827207952</v>
      </c>
      <c r="AD57" s="9"/>
      <c r="AH57" s="50" t="n">
        <f aca="false">AH45</f>
        <v>1925.74685025101</v>
      </c>
      <c r="AI57" s="50" t="n">
        <f aca="false">AI45</f>
        <v>0</v>
      </c>
      <c r="AJ57" s="50" t="n">
        <f aca="false">AJ45</f>
        <v>2201.92738718254</v>
      </c>
      <c r="AK57" s="50" t="n">
        <f aca="false">AK45</f>
        <v>548.475477754164</v>
      </c>
      <c r="AL57" s="50" t="n">
        <f aca="false">SUM(AH57:AK57)</f>
        <v>4676.14971518771</v>
      </c>
      <c r="AM57" s="50" t="n">
        <f aca="false">AM45</f>
        <v>2161.54564434524</v>
      </c>
      <c r="AN57" s="50" t="n">
        <f aca="false">AL57+AM57</f>
        <v>6837.69535953295</v>
      </c>
      <c r="AO57" s="8" t="n">
        <f aca="false">I57-AL57-AM57</f>
        <v>3821.59308928555</v>
      </c>
      <c r="AQ57" s="9" t="n">
        <f aca="false">$AQ$18</f>
        <v>43</v>
      </c>
      <c r="AR57" s="9"/>
      <c r="AS57" s="9" t="n">
        <f aca="false">AS$18</f>
        <v>30</v>
      </c>
      <c r="AT57" s="9" t="n">
        <f aca="false">AT$18</f>
        <v>38</v>
      </c>
      <c r="AU57" s="9" t="n">
        <f aca="false">SUMPRODUCT(AH57:AK57,AQ57:AT57)/AL57</f>
        <v>36.2920382509856</v>
      </c>
      <c r="AV57" s="9" t="n">
        <f aca="false">$Y$18/1000*CURVES!O16+VLOOKUP($B57,$AU$10:$AV$14,2,FALSE())</f>
        <v>106.29305708486</v>
      </c>
      <c r="AW57" s="9" t="n">
        <f aca="false">(AL57*AU57+AM57*AV57)/AN57</f>
        <v>58.4208973773485</v>
      </c>
      <c r="AX57" s="9" t="n">
        <f aca="false">CHOOSE(AX$18,CURVES!B16,CURVES!C16)</f>
        <v>77.0612244897959</v>
      </c>
      <c r="AY57" s="9" t="n">
        <f aca="false">(AN57*AW57+AO57*AX57)/I57</f>
        <v>65.1038711627935</v>
      </c>
    </row>
    <row r="58" customFormat="false" ht="12.75" hidden="false" customHeight="false" outlineLevel="0" collapsed="false">
      <c r="A58" s="85" t="n">
        <v>37316</v>
      </c>
      <c r="B58" s="31" t="n">
        <f aca="false">YEAR(A58)</f>
        <v>2002</v>
      </c>
      <c r="C58" s="31" t="n">
        <f aca="false">MONTH(A58)</f>
        <v>3</v>
      </c>
      <c r="D58" s="86" t="n">
        <v>0.053858944109129</v>
      </c>
      <c r="E58" s="87" t="n">
        <f aca="false">(1+D58/2)^(-2*(DATE($B59,$C59,20)-$E$17)/365.25)</f>
        <v>3.47481675793056</v>
      </c>
      <c r="F58" s="87"/>
      <c r="G58" s="8"/>
      <c r="H58" s="8" t="n">
        <f aca="false">(1+$I$17)*H46</f>
        <v>11192.9202529993</v>
      </c>
      <c r="I58" s="8" t="n">
        <f aca="false">(1+$I$17)*I46</f>
        <v>10419.9908983779</v>
      </c>
      <c r="K58" s="50" t="n">
        <f aca="false">K46</f>
        <v>2263.94623655914</v>
      </c>
      <c r="L58" s="50" t="n">
        <f aca="false">L46</f>
        <v>1258.63037634409</v>
      </c>
      <c r="M58" s="50" t="n">
        <f aca="false">M46</f>
        <v>620.646505376344</v>
      </c>
      <c r="N58" s="50" t="n">
        <f aca="false">N46</f>
        <v>2.58198924731183</v>
      </c>
      <c r="O58" s="50" t="n">
        <f aca="false">SUM(K58:N58)</f>
        <v>4145.80510752688</v>
      </c>
      <c r="P58" s="50" t="n">
        <f aca="false">P46</f>
        <v>2834.39732902856</v>
      </c>
      <c r="Q58" s="50" t="n">
        <f aca="false">O58+P58</f>
        <v>6980.20243655544</v>
      </c>
      <c r="R58" s="8" t="n">
        <f aca="false">H58-O58-P58</f>
        <v>4212.7178164439</v>
      </c>
      <c r="T58" s="9" t="n">
        <f aca="false">$T$18</f>
        <v>48.72</v>
      </c>
      <c r="U58" s="9" t="n">
        <f aca="false">U$18</f>
        <v>23</v>
      </c>
      <c r="V58" s="9" t="n">
        <f aca="false">V$18</f>
        <v>34</v>
      </c>
      <c r="W58" s="9" t="n">
        <f aca="false">W$18</f>
        <v>38</v>
      </c>
      <c r="X58" s="9" t="n">
        <f aca="false">SUMPRODUCT(K58:N58,T58:W58)/O58</f>
        <v>38.7013021388701</v>
      </c>
      <c r="Y58" s="9" t="n">
        <f aca="false">$Y$18/1000*CURVES!K17+VLOOKUP($B58,$X$10:$Y$14,2,FALSE())</f>
        <v>97.3069606034195</v>
      </c>
      <c r="Z58" s="9" t="n">
        <f aca="false">(O58*X58+P58*Y58)/Q58</f>
        <v>62.4988529015742</v>
      </c>
      <c r="AA58" s="9" t="n">
        <f aca="false">CHOOSE(AA$18,CURVES!F17,CURVES!G17)</f>
        <v>69.1116892126257</v>
      </c>
      <c r="AB58" s="9" t="n">
        <f aca="false">(Q58*Z58+R58*AA58)/H58</f>
        <v>64.9877488031892</v>
      </c>
      <c r="AD58" s="9"/>
      <c r="AH58" s="50" t="n">
        <f aca="false">AH46</f>
        <v>1891.23873243112</v>
      </c>
      <c r="AI58" s="50" t="n">
        <f aca="false">AI46</f>
        <v>0</v>
      </c>
      <c r="AJ58" s="50" t="n">
        <f aca="false">AJ46</f>
        <v>1966.55049263563</v>
      </c>
      <c r="AK58" s="50" t="n">
        <f aca="false">AK46</f>
        <v>526.073305014923</v>
      </c>
      <c r="AL58" s="50" t="n">
        <f aca="false">SUM(AH58:AK58)</f>
        <v>4383.86253008167</v>
      </c>
      <c r="AM58" s="50" t="n">
        <f aca="false">AM46</f>
        <v>2044.22227284946</v>
      </c>
      <c r="AN58" s="50" t="n">
        <f aca="false">AL58+AM58</f>
        <v>6428.08480293113</v>
      </c>
      <c r="AO58" s="8" t="n">
        <f aca="false">I58-AL58-AM58</f>
        <v>3991.90609544672</v>
      </c>
      <c r="AQ58" s="9" t="n">
        <f aca="false">$AQ$18</f>
        <v>43</v>
      </c>
      <c r="AR58" s="9"/>
      <c r="AS58" s="9" t="n">
        <f aca="false">AS$18</f>
        <v>30</v>
      </c>
      <c r="AT58" s="9" t="n">
        <f aca="false">AT$18</f>
        <v>38</v>
      </c>
      <c r="AU58" s="9" t="n">
        <f aca="false">SUMPRODUCT(AH58:AK58,AQ58:AT58)/AL58</f>
        <v>36.5683377989472</v>
      </c>
      <c r="AV58" s="9" t="n">
        <f aca="false">$Y$18/1000*CURVES!O17+VLOOKUP($B58,$AU$10:$AV$14,2,FALSE())</f>
        <v>102.72305708486</v>
      </c>
      <c r="AW58" s="9" t="n">
        <f aca="false">(AL58*AU58+AM58*AV58)/AN58</f>
        <v>57.6064782038002</v>
      </c>
      <c r="AX58" s="9" t="n">
        <f aca="false">CHOOSE(AX$18,CURVES!B17,CURVES!C17)</f>
        <v>69.6248699271592</v>
      </c>
      <c r="AY58" s="9" t="n">
        <f aca="false">(AN58*AW58+AO58*AX58)/I58</f>
        <v>62.2107328183999</v>
      </c>
    </row>
    <row r="59" customFormat="false" ht="12.75" hidden="false" customHeight="false" outlineLevel="0" collapsed="false">
      <c r="A59" s="85" t="n">
        <v>37347</v>
      </c>
      <c r="B59" s="31" t="n">
        <f aca="false">YEAR(A59)</f>
        <v>2002</v>
      </c>
      <c r="C59" s="31" t="n">
        <f aca="false">MONTH(A59)</f>
        <v>4</v>
      </c>
      <c r="D59" s="86" t="n">
        <v>0.053811179361892</v>
      </c>
      <c r="E59" s="87" t="n">
        <f aca="false">(1+D59/2)^(-2*(DATE($B60,$C60,20)-$E$17)/365.25)</f>
        <v>3.45592544251221</v>
      </c>
      <c r="F59" s="87"/>
      <c r="G59" s="8"/>
      <c r="H59" s="8" t="n">
        <f aca="false">(1+$I$17)*H47</f>
        <v>11242.5867405849</v>
      </c>
      <c r="I59" s="8" t="n">
        <f aca="false">(1+$I$17)*I47</f>
        <v>10179.2557841452</v>
      </c>
      <c r="K59" s="50" t="n">
        <f aca="false">K47</f>
        <v>2319.84027777778</v>
      </c>
      <c r="L59" s="50" t="n">
        <f aca="false">L47</f>
        <v>1179.16597222222</v>
      </c>
      <c r="M59" s="50" t="n">
        <f aca="false">M47</f>
        <v>811.586111111111</v>
      </c>
      <c r="N59" s="50" t="n">
        <f aca="false">N47</f>
        <v>3.04166666666667</v>
      </c>
      <c r="O59" s="50" t="n">
        <f aca="false">SUM(K59:N59)</f>
        <v>4313.63402777778</v>
      </c>
      <c r="P59" s="50" t="n">
        <f aca="false">P47</f>
        <v>2923.39459068154</v>
      </c>
      <c r="Q59" s="50" t="n">
        <f aca="false">O59+P59</f>
        <v>7237.02861845932</v>
      </c>
      <c r="R59" s="8" t="n">
        <f aca="false">H59-O59-P59</f>
        <v>4005.5581221256</v>
      </c>
      <c r="T59" s="9" t="n">
        <f aca="false">$T$18</f>
        <v>48.72</v>
      </c>
      <c r="U59" s="9" t="n">
        <f aca="false">U$18</f>
        <v>23</v>
      </c>
      <c r="V59" s="9" t="n">
        <f aca="false">V$18</f>
        <v>34</v>
      </c>
      <c r="W59" s="9" t="n">
        <f aca="false">W$18</f>
        <v>38</v>
      </c>
      <c r="X59" s="9" t="n">
        <f aca="false">SUMPRODUCT(K59:N59,T59:W59)/O59</f>
        <v>38.9121899828918</v>
      </c>
      <c r="Y59" s="9" t="n">
        <f aca="false">$Y$18/1000*CURVES!K18+VLOOKUP($B59,$X$10:$Y$14,2,FALSE())</f>
        <v>87.5682106034195</v>
      </c>
      <c r="Z59" s="9" t="n">
        <f aca="false">(O59*X59+P59*Y59)/Q59</f>
        <v>58.5667685378709</v>
      </c>
      <c r="AA59" s="9" t="n">
        <f aca="false">CHOOSE(AA$18,CURVES!F18,CURVES!G18)</f>
        <v>65.4281481481481</v>
      </c>
      <c r="AB59" s="9" t="n">
        <f aca="false">(Q59*Z59+R59*AA59)/H59</f>
        <v>61.0113709644387</v>
      </c>
      <c r="AD59" s="9"/>
      <c r="AH59" s="50" t="n">
        <f aca="false">AH47</f>
        <v>1937.93108490741</v>
      </c>
      <c r="AI59" s="50" t="n">
        <f aca="false">AI47</f>
        <v>0</v>
      </c>
      <c r="AJ59" s="50" t="n">
        <f aca="false">AJ47</f>
        <v>2070.95002093926</v>
      </c>
      <c r="AK59" s="50" t="n">
        <f aca="false">AK47</f>
        <v>513.919329218532</v>
      </c>
      <c r="AL59" s="50" t="n">
        <f aca="false">SUM(AH59:AK59)</f>
        <v>4522.8004350652</v>
      </c>
      <c r="AM59" s="50" t="n">
        <f aca="false">AM47</f>
        <v>2152.99685890411</v>
      </c>
      <c r="AN59" s="50" t="n">
        <f aca="false">AL59+AM59</f>
        <v>6675.79729396931</v>
      </c>
      <c r="AO59" s="8" t="n">
        <f aca="false">I59-AL59-AM59</f>
        <v>3503.45849017593</v>
      </c>
      <c r="AQ59" s="9" t="n">
        <f aca="false">$AQ$18</f>
        <v>43</v>
      </c>
      <c r="AR59" s="9"/>
      <c r="AS59" s="9" t="n">
        <f aca="false">AS$18</f>
        <v>30</v>
      </c>
      <c r="AT59" s="9" t="n">
        <f aca="false">AT$18</f>
        <v>38</v>
      </c>
      <c r="AU59" s="9" t="n">
        <f aca="false">SUMPRODUCT(AH59:AK59,AQ59:AT59)/AL59</f>
        <v>36.4792729987261</v>
      </c>
      <c r="AV59" s="9" t="n">
        <f aca="false">$Y$18/1000*CURVES!O18+VLOOKUP($B59,$AU$10:$AV$14,2,FALSE())</f>
        <v>90.5640570848599</v>
      </c>
      <c r="AW59" s="9" t="n">
        <f aca="false">(AL59*AU59+AM59*AV59)/AN59</f>
        <v>53.9220390271591</v>
      </c>
      <c r="AX59" s="9" t="n">
        <f aca="false">CHOOSE(AX$18,CURVES!B18,CURVES!C18)</f>
        <v>68.1</v>
      </c>
      <c r="AY59" s="9" t="n">
        <f aca="false">(AN59*AW59+AO59*AX59)/I59</f>
        <v>58.8017570337593</v>
      </c>
    </row>
    <row r="60" customFormat="false" ht="12.75" hidden="false" customHeight="false" outlineLevel="0" collapsed="false">
      <c r="A60" s="85" t="n">
        <v>37377</v>
      </c>
      <c r="B60" s="31" t="n">
        <f aca="false">YEAR(A60)</f>
        <v>2002</v>
      </c>
      <c r="C60" s="31" t="n">
        <f aca="false">MONTH(A60)</f>
        <v>5</v>
      </c>
      <c r="D60" s="86" t="n">
        <v>0.053783211531939</v>
      </c>
      <c r="E60" s="87" t="n">
        <f aca="false">(1+D60/2)^(-2*(DATE($B61,$C61,20)-$E$17)/365.25)</f>
        <v>3.43820579743086</v>
      </c>
      <c r="F60" s="87"/>
      <c r="G60" s="8"/>
      <c r="H60" s="8" t="n">
        <f aca="false">(1+$I$17)*H48</f>
        <v>11880.0282349378</v>
      </c>
      <c r="I60" s="8" t="n">
        <f aca="false">(1+$I$17)*I48</f>
        <v>11087.9400254847</v>
      </c>
      <c r="K60" s="50" t="n">
        <f aca="false">K48</f>
        <v>2226.06720430108</v>
      </c>
      <c r="L60" s="50" t="n">
        <f aca="false">L48</f>
        <v>1023.62634408602</v>
      </c>
      <c r="M60" s="50" t="n">
        <f aca="false">M48</f>
        <v>950.165322580645</v>
      </c>
      <c r="N60" s="50" t="n">
        <f aca="false">N48</f>
        <v>3.30510752688172</v>
      </c>
      <c r="O60" s="50" t="n">
        <f aca="false">SUM(K60:N60)</f>
        <v>4203.16397849462</v>
      </c>
      <c r="P60" s="50" t="n">
        <f aca="false">P48</f>
        <v>2831.51050210493</v>
      </c>
      <c r="Q60" s="50" t="n">
        <f aca="false">O60+P60</f>
        <v>7034.67448059955</v>
      </c>
      <c r="R60" s="8" t="n">
        <f aca="false">H60-O60-P60</f>
        <v>4845.35375433826</v>
      </c>
      <c r="T60" s="9" t="n">
        <f aca="false">$T$18</f>
        <v>48.72</v>
      </c>
      <c r="U60" s="9" t="n">
        <f aca="false">U$18</f>
        <v>23</v>
      </c>
      <c r="V60" s="9" t="n">
        <f aca="false">V$18</f>
        <v>34</v>
      </c>
      <c r="W60" s="9" t="n">
        <f aca="false">W$18</f>
        <v>38</v>
      </c>
      <c r="X60" s="9" t="n">
        <f aca="false">SUMPRODUCT(K60:N60,T60:W60)/O60</f>
        <v>39.1201999261949</v>
      </c>
      <c r="Y60" s="9" t="n">
        <f aca="false">$Y$18/1000*CURVES!K19+VLOOKUP($B60,$X$10:$Y$14,2,FALSE())</f>
        <v>85.3947106034195</v>
      </c>
      <c r="Z60" s="9" t="n">
        <f aca="false">(O60*X60+P60*Y60)/Q60</f>
        <v>57.7460458446774</v>
      </c>
      <c r="AA60" s="9" t="n">
        <f aca="false">CHOOSE(AA$18,CURVES!F19,CURVES!G19)</f>
        <v>66.522806104752</v>
      </c>
      <c r="AB60" s="9" t="n">
        <f aca="false">(Q60*Z60+R60*AA60)/H60</f>
        <v>61.3257097508635</v>
      </c>
      <c r="AD60" s="9"/>
      <c r="AH60" s="50" t="n">
        <f aca="false">AH48</f>
        <v>1895.25910320262</v>
      </c>
      <c r="AI60" s="50" t="n">
        <f aca="false">AI48</f>
        <v>0</v>
      </c>
      <c r="AJ60" s="50" t="n">
        <f aca="false">AJ48</f>
        <v>1877.63033247346</v>
      </c>
      <c r="AK60" s="50" t="n">
        <f aca="false">AK48</f>
        <v>570.53181663935</v>
      </c>
      <c r="AL60" s="50" t="n">
        <f aca="false">SUM(AH60:AK60)</f>
        <v>4343.42125231544</v>
      </c>
      <c r="AM60" s="50" t="n">
        <f aca="false">AM48</f>
        <v>2186.84183198925</v>
      </c>
      <c r="AN60" s="50" t="n">
        <f aca="false">AL60+AM60</f>
        <v>6530.26308430469</v>
      </c>
      <c r="AO60" s="8" t="n">
        <f aca="false">I60-AL60-AM60</f>
        <v>4557.67694118006</v>
      </c>
      <c r="AQ60" s="9" t="n">
        <f aca="false">$AQ$18</f>
        <v>43</v>
      </c>
      <c r="AR60" s="9"/>
      <c r="AS60" s="9" t="n">
        <f aca="false">AS$18</f>
        <v>30</v>
      </c>
      <c r="AT60" s="9" t="n">
        <f aca="false">AT$18</f>
        <v>38</v>
      </c>
      <c r="AU60" s="9" t="n">
        <f aca="false">SUMPRODUCT(AH60:AK60,AQ60:AT60)/AL60</f>
        <v>36.7234148332219</v>
      </c>
      <c r="AV60" s="9" t="n">
        <f aca="false">$Y$18/1000*CURVES!O19+VLOOKUP($B60,$AU$10:$AV$14,2,FALSE())</f>
        <v>88.3905570848599</v>
      </c>
      <c r="AW60" s="9" t="n">
        <f aca="false">(AL60*AU60+AM60*AV60)/AN60</f>
        <v>54.0256071885015</v>
      </c>
      <c r="AX60" s="9" t="n">
        <f aca="false">CHOOSE(AX$18,CURVES!B19,CURVES!C19)</f>
        <v>67.6843565730142</v>
      </c>
      <c r="AY60" s="9" t="n">
        <f aca="false">(AN60*AW60+AO60*AX60)/I60</f>
        <v>59.6400104926382</v>
      </c>
    </row>
    <row r="61" customFormat="false" ht="12.75" hidden="false" customHeight="false" outlineLevel="0" collapsed="false">
      <c r="A61" s="85" t="n">
        <v>37408</v>
      </c>
      <c r="B61" s="31" t="n">
        <f aca="false">YEAR(A61)</f>
        <v>2002</v>
      </c>
      <c r="C61" s="31" t="n">
        <f aca="false">MONTH(A61)</f>
        <v>6</v>
      </c>
      <c r="D61" s="86" t="n">
        <v>0.053754311441261</v>
      </c>
      <c r="E61" s="87" t="n">
        <f aca="false">(1+D61/2)^(-2*(DATE($B62,$C62,20)-$E$17)/365.25)</f>
        <v>3.42101758763634</v>
      </c>
      <c r="F61" s="87"/>
      <c r="G61" s="8"/>
      <c r="H61" s="8" t="n">
        <f aca="false">(1+$I$17)*H49</f>
        <v>13128.8804046125</v>
      </c>
      <c r="I61" s="8" t="n">
        <f aca="false">(1+$I$17)*I49</f>
        <v>12503.0531146573</v>
      </c>
      <c r="K61" s="50" t="n">
        <f aca="false">K49</f>
        <v>2252.13333333333</v>
      </c>
      <c r="L61" s="50" t="n">
        <f aca="false">L49</f>
        <v>1398.39166666667</v>
      </c>
      <c r="M61" s="50" t="n">
        <f aca="false">M49</f>
        <v>957.040277777778</v>
      </c>
      <c r="N61" s="50" t="n">
        <f aca="false">N49</f>
        <v>3.52638888888889</v>
      </c>
      <c r="O61" s="50" t="n">
        <f aca="false">SUM(K61:N61)</f>
        <v>4611.09166666667</v>
      </c>
      <c r="P61" s="50" t="n">
        <f aca="false">P49</f>
        <v>3175.74117813466</v>
      </c>
      <c r="Q61" s="50" t="n">
        <f aca="false">O61+P61</f>
        <v>7786.83284480132</v>
      </c>
      <c r="R61" s="8" t="n">
        <f aca="false">H61-O61-P61</f>
        <v>5342.04755981122</v>
      </c>
      <c r="T61" s="9" t="n">
        <f aca="false">$T$18</f>
        <v>48.72</v>
      </c>
      <c r="U61" s="9" t="n">
        <f aca="false">U$18</f>
        <v>23</v>
      </c>
      <c r="V61" s="9" t="n">
        <f aca="false">V$18</f>
        <v>34</v>
      </c>
      <c r="W61" s="9" t="n">
        <f aca="false">W$18</f>
        <v>38</v>
      </c>
      <c r="X61" s="9" t="n">
        <f aca="false">SUMPRODUCT(K61:N61,T61:W61)/O61</f>
        <v>37.8566138290945</v>
      </c>
      <c r="Y61" s="9" t="n">
        <f aca="false">$Y$18/1000*CURVES!K20+VLOOKUP($B61,$X$10:$Y$14,2,FALSE())</f>
        <v>84.9747106034195</v>
      </c>
      <c r="Z61" s="9" t="n">
        <f aca="false">(O61*X61+P61*Y61)/Q61</f>
        <v>57.0730119647572</v>
      </c>
      <c r="AA61" s="9" t="n">
        <f aca="false">CHOOSE(AA$18,CURVES!F20,CURVES!G20)</f>
        <v>76</v>
      </c>
      <c r="AB61" s="9" t="n">
        <f aca="false">(Q61*Z61+R61*AA61)/H61</f>
        <v>64.7742680606481</v>
      </c>
      <c r="AD61" s="9"/>
      <c r="AH61" s="50" t="n">
        <f aca="false">AH49</f>
        <v>1881.37055634004</v>
      </c>
      <c r="AI61" s="50" t="n">
        <f aca="false">AI49</f>
        <v>0</v>
      </c>
      <c r="AJ61" s="50" t="n">
        <f aca="false">AJ49</f>
        <v>1162.16168617347</v>
      </c>
      <c r="AK61" s="50" t="n">
        <f aca="false">AK49</f>
        <v>631.240712103584</v>
      </c>
      <c r="AL61" s="50" t="n">
        <f aca="false">SUM(AH61:AK61)</f>
        <v>3674.77295461709</v>
      </c>
      <c r="AM61" s="50" t="n">
        <f aca="false">AM49</f>
        <v>2754.04614109589</v>
      </c>
      <c r="AN61" s="50" t="n">
        <f aca="false">AL61+AM61</f>
        <v>6428.81909571298</v>
      </c>
      <c r="AO61" s="8" t="n">
        <f aca="false">I61-AL61-AM61</f>
        <v>6074.23401894434</v>
      </c>
      <c r="AQ61" s="9" t="n">
        <f aca="false">$AQ$18</f>
        <v>43</v>
      </c>
      <c r="AR61" s="9"/>
      <c r="AS61" s="9" t="n">
        <f aca="false">AS$18</f>
        <v>30</v>
      </c>
      <c r="AT61" s="9" t="n">
        <f aca="false">AT$18</f>
        <v>38</v>
      </c>
      <c r="AU61" s="9" t="n">
        <f aca="false">SUMPRODUCT(AH61:AK61,AQ61:AT61)/AL61</f>
        <v>38.0298138942638</v>
      </c>
      <c r="AV61" s="9" t="n">
        <f aca="false">$Y$18/1000*CURVES!O20+VLOOKUP($B61,$AU$10:$AV$14,2,FALSE())</f>
        <v>87.9705570848599</v>
      </c>
      <c r="AW61" s="9" t="n">
        <f aca="false">(AL61*AU61+AM61*AV61)/AN61</f>
        <v>59.4239624960248</v>
      </c>
      <c r="AX61" s="9" t="n">
        <f aca="false">CHOOSE(AX$18,CURVES!B20,CURVES!C20)</f>
        <v>71.037037037037</v>
      </c>
      <c r="AY61" s="9" t="n">
        <f aca="false">(AN61*AW61+AO61*AX61)/I61</f>
        <v>65.0658270705948</v>
      </c>
    </row>
    <row r="62" customFormat="false" ht="12.75" hidden="false" customHeight="false" outlineLevel="0" collapsed="false">
      <c r="A62" s="85" t="n">
        <v>37438</v>
      </c>
      <c r="B62" s="31" t="n">
        <f aca="false">YEAR(A62)</f>
        <v>2002</v>
      </c>
      <c r="C62" s="31" t="n">
        <f aca="false">MONTH(A62)</f>
        <v>7</v>
      </c>
      <c r="D62" s="86" t="n">
        <v>0.053753867875072</v>
      </c>
      <c r="E62" s="87" t="n">
        <f aca="false">(1+D62/2)^(-2*(DATE($B63,$C63,20)-$E$17)/365.25)</f>
        <v>3.40561654014354</v>
      </c>
      <c r="F62" s="87"/>
      <c r="G62" s="8"/>
      <c r="H62" s="8" t="n">
        <f aca="false">(1+$I$17)*H50</f>
        <v>12958.1085352639</v>
      </c>
      <c r="I62" s="8" t="n">
        <f aca="false">(1+$I$17)*I50</f>
        <v>11869.032447786</v>
      </c>
      <c r="K62" s="50" t="n">
        <f aca="false">K50</f>
        <v>2248.45698924731</v>
      </c>
      <c r="L62" s="50" t="n">
        <f aca="false">L50</f>
        <v>1358.32258064516</v>
      </c>
      <c r="M62" s="50" t="n">
        <f aca="false">M50</f>
        <v>653.551075268817</v>
      </c>
      <c r="N62" s="50" t="n">
        <f aca="false">N50</f>
        <v>3.83736559139785</v>
      </c>
      <c r="O62" s="50" t="n">
        <f aca="false">SUM(K62:N62)</f>
        <v>4264.16801075269</v>
      </c>
      <c r="P62" s="50" t="n">
        <f aca="false">P50</f>
        <v>3349.38956238808</v>
      </c>
      <c r="Q62" s="50" t="n">
        <f aca="false">O62+P62</f>
        <v>7613.55757314076</v>
      </c>
      <c r="R62" s="8" t="n">
        <f aca="false">H62-O62-P62</f>
        <v>5344.55096212317</v>
      </c>
      <c r="T62" s="9" t="n">
        <f aca="false">$T$18</f>
        <v>48.72</v>
      </c>
      <c r="U62" s="9" t="n">
        <f aca="false">U$18</f>
        <v>23</v>
      </c>
      <c r="V62" s="9" t="n">
        <f aca="false">V$18</f>
        <v>34</v>
      </c>
      <c r="W62" s="9" t="n">
        <f aca="false">W$18</f>
        <v>38</v>
      </c>
      <c r="X62" s="9" t="n">
        <f aca="false">SUMPRODUCT(K62:N62,T62:W62)/O62</f>
        <v>38.2613442789234</v>
      </c>
      <c r="Y62" s="9" t="n">
        <f aca="false">$Y$18/1000*CURVES!K21+VLOOKUP($B62,$X$10:$Y$14,2,FALSE())</f>
        <v>92.2197106034195</v>
      </c>
      <c r="Z62" s="9" t="n">
        <f aca="false">(O62*X62+P62*Y62)/Q62</f>
        <v>61.9989448992108</v>
      </c>
      <c r="AA62" s="9" t="n">
        <f aca="false">CHOOSE(AA$18,CURVES!F21,CURVES!G21)</f>
        <v>102.759365244537</v>
      </c>
      <c r="AB62" s="9" t="n">
        <f aca="false">(Q62*Z62+R62*AA62)/H62</f>
        <v>78.8105145183659</v>
      </c>
      <c r="AD62" s="9"/>
      <c r="AH62" s="50" t="n">
        <f aca="false">AH50</f>
        <v>1914.32162011861</v>
      </c>
      <c r="AI62" s="50" t="n">
        <f aca="false">AI50</f>
        <v>0</v>
      </c>
      <c r="AJ62" s="50" t="n">
        <f aca="false">AJ50</f>
        <v>1193.33197430598</v>
      </c>
      <c r="AK62" s="50" t="n">
        <f aca="false">AK50</f>
        <v>610.723058442111</v>
      </c>
      <c r="AL62" s="50" t="n">
        <f aca="false">SUM(AH62:AK62)</f>
        <v>3718.37665286669</v>
      </c>
      <c r="AM62" s="50" t="n">
        <f aca="false">AM50</f>
        <v>2586.73186021505</v>
      </c>
      <c r="AN62" s="50" t="n">
        <f aca="false">AL62+AM62</f>
        <v>6305.10851308175</v>
      </c>
      <c r="AO62" s="8" t="n">
        <f aca="false">I62-AL62-AM62</f>
        <v>5563.92393470425</v>
      </c>
      <c r="AQ62" s="9" t="n">
        <f aca="false">$AQ$18</f>
        <v>43</v>
      </c>
      <c r="AR62" s="9"/>
      <c r="AS62" s="9" t="n">
        <f aca="false">AS$18</f>
        <v>30</v>
      </c>
      <c r="AT62" s="9" t="n">
        <f aca="false">AT$18</f>
        <v>38</v>
      </c>
      <c r="AU62" s="9" t="n">
        <f aca="false">SUMPRODUCT(AH62:AK62,AQ62:AT62)/AL62</f>
        <v>38.0067105375476</v>
      </c>
      <c r="AV62" s="9" t="n">
        <f aca="false">$Y$18/1000*CURVES!O21+VLOOKUP($B62,$AU$10:$AV$14,2,FALSE())</f>
        <v>95.2155570848599</v>
      </c>
      <c r="AW62" s="9" t="n">
        <f aca="false">(AL62*AU62+AM62*AV62)/AN62</f>
        <v>61.4771941530241</v>
      </c>
      <c r="AX62" s="9" t="n">
        <f aca="false">CHOOSE(AX$18,CURVES!B21,CURVES!C21)</f>
        <v>102.004769337496</v>
      </c>
      <c r="AY62" s="9" t="n">
        <f aca="false">(AN62*AW62+AO62*AX62)/I62</f>
        <v>80.4755705224872</v>
      </c>
    </row>
    <row r="63" customFormat="false" ht="12.75" hidden="false" customHeight="false" outlineLevel="0" collapsed="false">
      <c r="A63" s="85" t="n">
        <v>37469</v>
      </c>
      <c r="B63" s="31" t="n">
        <f aca="false">YEAR(A63)</f>
        <v>2002</v>
      </c>
      <c r="C63" s="31" t="n">
        <f aca="false">MONTH(A63)</f>
        <v>8</v>
      </c>
      <c r="D63" s="86" t="n">
        <v>0.053798596544218</v>
      </c>
      <c r="E63" s="87" t="n">
        <f aca="false">(1+D63/2)^(-2*(DATE($B64,$C64,20)-$E$17)/365.25)</f>
        <v>3.39371951103277</v>
      </c>
      <c r="F63" s="87"/>
      <c r="G63" s="8"/>
      <c r="H63" s="8" t="n">
        <f aca="false">(1+$I$17)*H51</f>
        <v>13895.9105877349</v>
      </c>
      <c r="I63" s="8" t="n">
        <f aca="false">(1+$I$17)*I51</f>
        <v>12310.1505932695</v>
      </c>
      <c r="K63" s="50" t="n">
        <f aca="false">K51</f>
        <v>2226.06586021505</v>
      </c>
      <c r="L63" s="50" t="n">
        <f aca="false">L51</f>
        <v>1361.98924731183</v>
      </c>
      <c r="M63" s="50" t="n">
        <f aca="false">M51</f>
        <v>483.364247311828</v>
      </c>
      <c r="N63" s="50" t="n">
        <f aca="false">N51</f>
        <v>3.9247311827957</v>
      </c>
      <c r="O63" s="50" t="n">
        <f aca="false">SUM(K63:N63)</f>
        <v>4075.34408602151</v>
      </c>
      <c r="P63" s="50" t="n">
        <f aca="false">P51</f>
        <v>3426.25292884001</v>
      </c>
      <c r="Q63" s="50" t="n">
        <f aca="false">O63+P63</f>
        <v>7501.59701486152</v>
      </c>
      <c r="R63" s="8" t="n">
        <f aca="false">H63-O63-P63</f>
        <v>6394.31357287342</v>
      </c>
      <c r="T63" s="9" t="n">
        <f aca="false">$T$18</f>
        <v>48.72</v>
      </c>
      <c r="U63" s="9" t="n">
        <f aca="false">U$18</f>
        <v>23</v>
      </c>
      <c r="V63" s="9" t="n">
        <f aca="false">V$18</f>
        <v>34</v>
      </c>
      <c r="W63" s="9" t="n">
        <f aca="false">W$18</f>
        <v>38</v>
      </c>
      <c r="X63" s="9" t="n">
        <f aca="false">SUMPRODUCT(K63:N63,T63:W63)/O63</f>
        <v>38.3680990588564</v>
      </c>
      <c r="Y63" s="9" t="n">
        <f aca="false">$Y$18/1000*CURVES!K22+VLOOKUP($B63,$X$10:$Y$14,2,FALSE())</f>
        <v>92.1672106034195</v>
      </c>
      <c r="Z63" s="9" t="n">
        <f aca="false">(O63*X63+P63*Y63)/Q63</f>
        <v>62.9401152753197</v>
      </c>
      <c r="AA63" s="9" t="n">
        <f aca="false">CHOOSE(AA$18,CURVES!F22,CURVES!G22)</f>
        <v>112.671696149844</v>
      </c>
      <c r="AB63" s="9" t="n">
        <f aca="false">(Q63*Z63+R63*AA63)/H63</f>
        <v>85.8244970204859</v>
      </c>
      <c r="AD63" s="9"/>
      <c r="AH63" s="50" t="n">
        <f aca="false">AH51</f>
        <v>1859.59450264151</v>
      </c>
      <c r="AI63" s="50" t="n">
        <f aca="false">AI51</f>
        <v>0</v>
      </c>
      <c r="AJ63" s="50" t="n">
        <f aca="false">AJ51</f>
        <v>1584.50880376937</v>
      </c>
      <c r="AK63" s="50" t="n">
        <f aca="false">AK51</f>
        <v>621.501656862376</v>
      </c>
      <c r="AL63" s="50" t="n">
        <f aca="false">SUM(AH63:AK63)</f>
        <v>4065.60496327325</v>
      </c>
      <c r="AM63" s="50" t="n">
        <f aca="false">AM51</f>
        <v>2208.28901612903</v>
      </c>
      <c r="AN63" s="50" t="n">
        <f aca="false">AL63+AM63</f>
        <v>6273.89397940229</v>
      </c>
      <c r="AO63" s="8" t="n">
        <f aca="false">I63-AL63-AM63</f>
        <v>6036.25661386725</v>
      </c>
      <c r="AQ63" s="9" t="n">
        <f aca="false">$AQ$18</f>
        <v>43</v>
      </c>
      <c r="AR63" s="9"/>
      <c r="AS63" s="9" t="n">
        <f aca="false">AS$18</f>
        <v>30</v>
      </c>
      <c r="AT63" s="9" t="n">
        <f aca="false">AT$18</f>
        <v>38</v>
      </c>
      <c r="AU63" s="9" t="n">
        <f aca="false">SUMPRODUCT(AH63:AK63,AQ63:AT63)/AL63</f>
        <v>37.1691032583186</v>
      </c>
      <c r="AV63" s="9" t="n">
        <f aca="false">$Y$18/1000*CURVES!O22+VLOOKUP($B63,$AU$10:$AV$14,2,FALSE())</f>
        <v>95.1630570848599</v>
      </c>
      <c r="AW63" s="9" t="n">
        <f aca="false">(AL63*AU63+AM63*AV63)/AN63</f>
        <v>57.5818503747827</v>
      </c>
      <c r="AX63" s="9" t="n">
        <f aca="false">CHOOSE(AX$18,CURVES!B22,CURVES!C22)</f>
        <v>113.60353798127</v>
      </c>
      <c r="AY63" s="9" t="n">
        <f aca="false">(AN63*AW63+AO63*AX63)/I63</f>
        <v>85.0519678012541</v>
      </c>
    </row>
    <row r="64" customFormat="false" ht="12.75" hidden="false" customHeight="false" outlineLevel="0" collapsed="false">
      <c r="A64" s="85" t="n">
        <v>37500</v>
      </c>
      <c r="B64" s="31" t="n">
        <f aca="false">YEAR(A64)</f>
        <v>2002</v>
      </c>
      <c r="C64" s="31" t="n">
        <f aca="false">MONTH(A64)</f>
        <v>9</v>
      </c>
      <c r="D64" s="86" t="n">
        <v>0.053843325214032</v>
      </c>
      <c r="E64" s="87" t="n">
        <f aca="false">(1+D64/2)^(-2*(DATE($B65,$C65,20)-$E$17)/365.25)</f>
        <v>3.38233094134</v>
      </c>
      <c r="F64" s="87"/>
      <c r="G64" s="8"/>
      <c r="H64" s="8" t="n">
        <f aca="false">(1+$I$17)*H52</f>
        <v>12587.0776932204</v>
      </c>
      <c r="I64" s="8" t="n">
        <f aca="false">(1+$I$17)*I52</f>
        <v>11595.3714901276</v>
      </c>
      <c r="K64" s="50" t="n">
        <f aca="false">K52</f>
        <v>2263.63333333333</v>
      </c>
      <c r="L64" s="50" t="n">
        <f aca="false">L52</f>
        <v>1380.73611111111</v>
      </c>
      <c r="M64" s="50" t="n">
        <f aca="false">M52</f>
        <v>542.602777777778</v>
      </c>
      <c r="N64" s="50" t="n">
        <f aca="false">N52</f>
        <v>3.41944444444444</v>
      </c>
      <c r="O64" s="50" t="n">
        <f aca="false">SUM(K64:N64)</f>
        <v>4190.39166666667</v>
      </c>
      <c r="P64" s="50" t="n">
        <f aca="false">P52</f>
        <v>3348.13393235473</v>
      </c>
      <c r="Q64" s="50" t="n">
        <f aca="false">O64+P64</f>
        <v>7538.52559902139</v>
      </c>
      <c r="R64" s="8" t="n">
        <f aca="false">H64-O64-P64</f>
        <v>5048.55209419902</v>
      </c>
      <c r="T64" s="9" t="n">
        <f aca="false">$T$18</f>
        <v>48.72</v>
      </c>
      <c r="U64" s="9" t="n">
        <f aca="false">U$18</f>
        <v>23</v>
      </c>
      <c r="V64" s="9" t="n">
        <f aca="false">V$18</f>
        <v>34</v>
      </c>
      <c r="W64" s="9" t="n">
        <f aca="false">W$18</f>
        <v>38</v>
      </c>
      <c r="X64" s="9" t="n">
        <f aca="false">SUMPRODUCT(K64:N64,T64:W64)/O64</f>
        <v>38.3304456159959</v>
      </c>
      <c r="Y64" s="9" t="n">
        <f aca="false">$Y$18/1000*CURVES!K23+VLOOKUP($B64,$X$10:$Y$14,2,FALSE())</f>
        <v>92.0307106034195</v>
      </c>
      <c r="Z64" s="9" t="n">
        <f aca="false">(O64*X64+P64*Y64)/Q64</f>
        <v>62.1806902054914</v>
      </c>
      <c r="AA64" s="9" t="n">
        <f aca="false">CHOOSE(AA$18,CURVES!F23,CURVES!G23)</f>
        <v>98.8933333333333</v>
      </c>
      <c r="AB64" s="9" t="n">
        <f aca="false">(Q64*Z64+R64*AA64)/H64</f>
        <v>76.9057674524903</v>
      </c>
      <c r="AD64" s="9"/>
      <c r="AH64" s="50" t="n">
        <f aca="false">AH52</f>
        <v>1890.97734163897</v>
      </c>
      <c r="AI64" s="50" t="n">
        <f aca="false">AI52</f>
        <v>0</v>
      </c>
      <c r="AJ64" s="50" t="n">
        <f aca="false">AJ52</f>
        <v>765.820605438213</v>
      </c>
      <c r="AK64" s="50" t="n">
        <f aca="false">AK52</f>
        <v>570.922545092046</v>
      </c>
      <c r="AL64" s="50" t="n">
        <f aca="false">SUM(AH64:AK64)</f>
        <v>3227.72049216923</v>
      </c>
      <c r="AM64" s="50" t="n">
        <f aca="false">AM52</f>
        <v>2371.57693150685</v>
      </c>
      <c r="AN64" s="50" t="n">
        <f aca="false">AL64+AM64</f>
        <v>5599.29742367608</v>
      </c>
      <c r="AO64" s="8" t="n">
        <f aca="false">I64-AL64-AM64</f>
        <v>5996.07406645148</v>
      </c>
      <c r="AQ64" s="9" t="n">
        <f aca="false">$AQ$18</f>
        <v>43</v>
      </c>
      <c r="AR64" s="9"/>
      <c r="AS64" s="9" t="n">
        <f aca="false">AS$18</f>
        <v>30</v>
      </c>
      <c r="AT64" s="9" t="n">
        <f aca="false">AT$18</f>
        <v>38</v>
      </c>
      <c r="AU64" s="9" t="n">
        <f aca="false">SUMPRODUCT(AH64:AK64,AQ64:AT64)/AL64</f>
        <v>39.0311679319086</v>
      </c>
      <c r="AV64" s="9" t="n">
        <f aca="false">$Y$18/1000*CURVES!O23+VLOOKUP($B64,$AU$10:$AV$14,2,FALSE())</f>
        <v>95.0265570848599</v>
      </c>
      <c r="AW64" s="9" t="n">
        <f aca="false">(AL64*AU64+AM64*AV64)/AN64</f>
        <v>62.7479600823608</v>
      </c>
      <c r="AX64" s="9" t="n">
        <f aca="false">CHOOSE(AX$18,CURVES!B23,CURVES!C23)</f>
        <v>102.093333333333</v>
      </c>
      <c r="AY64" s="9" t="n">
        <f aca="false">(AN64*AW64+AO64*AX64)/I64</f>
        <v>83.0938172535496</v>
      </c>
    </row>
    <row r="65" customFormat="false" ht="12.75" hidden="false" customHeight="false" outlineLevel="0" collapsed="false">
      <c r="A65" s="85" t="n">
        <v>37530</v>
      </c>
      <c r="B65" s="31" t="n">
        <f aca="false">YEAR(A65)</f>
        <v>2002</v>
      </c>
      <c r="C65" s="31" t="n">
        <f aca="false">MONTH(A65)</f>
        <v>10</v>
      </c>
      <c r="D65" s="86" t="n">
        <v>0.053898883775665</v>
      </c>
      <c r="E65" s="87" t="n">
        <f aca="false">(1+D65/2)^(-2*(DATE($B66,$C66,20)-$E$17)/365.25)</f>
        <v>3.371277953734</v>
      </c>
      <c r="F65" s="87"/>
      <c r="G65" s="8"/>
      <c r="H65" s="8" t="n">
        <f aca="false">(1+$I$17)*H53</f>
        <v>11693.3820958269</v>
      </c>
      <c r="I65" s="8" t="n">
        <f aca="false">(1+$I$17)*I53</f>
        <v>10036.6304495816</v>
      </c>
      <c r="K65" s="50" t="n">
        <f aca="false">K53</f>
        <v>2069.29166666667</v>
      </c>
      <c r="L65" s="50" t="n">
        <f aca="false">L53</f>
        <v>1227.52419354839</v>
      </c>
      <c r="M65" s="50" t="n">
        <f aca="false">M53</f>
        <v>369.340053763441</v>
      </c>
      <c r="N65" s="50" t="n">
        <f aca="false">N53</f>
        <v>3.27822580645161</v>
      </c>
      <c r="O65" s="50" t="n">
        <f aca="false">SUM(K65:N65)</f>
        <v>3669.43413978495</v>
      </c>
      <c r="P65" s="50" t="n">
        <f aca="false">P53</f>
        <v>3171.07549498463</v>
      </c>
      <c r="Q65" s="50" t="n">
        <f aca="false">O65+P65</f>
        <v>6840.50963476957</v>
      </c>
      <c r="R65" s="8" t="n">
        <f aca="false">H65-O65-P65</f>
        <v>4852.87246105736</v>
      </c>
      <c r="T65" s="9" t="n">
        <f aca="false">$T$18</f>
        <v>48.72</v>
      </c>
      <c r="U65" s="9" t="n">
        <f aca="false">U$18</f>
        <v>23</v>
      </c>
      <c r="V65" s="9" t="n">
        <f aca="false">V$18</f>
        <v>34</v>
      </c>
      <c r="W65" s="9" t="n">
        <f aca="false">W$18</f>
        <v>38</v>
      </c>
      <c r="X65" s="9" t="n">
        <f aca="false">SUMPRODUCT(K65:N65,T65:W65)/O65</f>
        <v>38.624778497461</v>
      </c>
      <c r="Y65" s="9" t="n">
        <f aca="false">$Y$18/1000*CURVES!K24+VLOOKUP($B65,$X$10:$Y$14,2,FALSE())</f>
        <v>86.0457106034195</v>
      </c>
      <c r="Z65" s="9" t="n">
        <f aca="false">(O65*X65+P65*Y65)/Q65</f>
        <v>60.6078417163465</v>
      </c>
      <c r="AA65" s="9" t="n">
        <f aca="false">CHOOSE(AA$18,CURVES!F24,CURVES!G24)</f>
        <v>76.4110301768991</v>
      </c>
      <c r="AB65" s="9" t="n">
        <f aca="false">(Q65*Z65+R65*AA65)/H65</f>
        <v>67.1663256048089</v>
      </c>
      <c r="AD65" s="9"/>
      <c r="AH65" s="50" t="n">
        <f aca="false">AH53</f>
        <v>1913.83994918903</v>
      </c>
      <c r="AI65" s="50" t="n">
        <f aca="false">AI53</f>
        <v>0</v>
      </c>
      <c r="AJ65" s="50" t="n">
        <f aca="false">AJ53</f>
        <v>1075.38011608834</v>
      </c>
      <c r="AK65" s="50" t="n">
        <f aca="false">AK53</f>
        <v>576.385560502926</v>
      </c>
      <c r="AL65" s="50" t="n">
        <f aca="false">SUM(AH65:AK65)</f>
        <v>3565.6056257803</v>
      </c>
      <c r="AM65" s="50" t="n">
        <f aca="false">AM53</f>
        <v>2259.71325</v>
      </c>
      <c r="AN65" s="50" t="n">
        <f aca="false">AL65+AM65</f>
        <v>5825.3188757803</v>
      </c>
      <c r="AO65" s="8" t="n">
        <f aca="false">I65-AL65-AM65</f>
        <v>4211.3115738013</v>
      </c>
      <c r="AQ65" s="9" t="n">
        <f aca="false">$AQ$18</f>
        <v>43</v>
      </c>
      <c r="AR65" s="9"/>
      <c r="AS65" s="9" t="n">
        <f aca="false">AS$18</f>
        <v>30</v>
      </c>
      <c r="AT65" s="9" t="n">
        <f aca="false">AT$18</f>
        <v>38</v>
      </c>
      <c r="AU65" s="9" t="n">
        <f aca="false">SUMPRODUCT(AH65:AK65,AQ65:AT65)/AL65</f>
        <v>38.2709662589303</v>
      </c>
      <c r="AV65" s="9" t="n">
        <f aca="false">$Y$18/1000*CURVES!O24+VLOOKUP($B65,$AU$10:$AV$14,2,FALSE())</f>
        <v>89.0415570848599</v>
      </c>
      <c r="AW65" s="9" t="n">
        <f aca="false">(AL65*AU65+AM65*AV65)/AN65</f>
        <v>57.9655064628455</v>
      </c>
      <c r="AX65" s="9" t="n">
        <f aca="false">CHOOSE(AX$18,CURVES!B24,CURVES!C24)</f>
        <v>76.579604578564</v>
      </c>
      <c r="AY65" s="9" t="n">
        <f aca="false">(AN65*AW65+AO65*AX65)/I65</f>
        <v>65.7758734205994</v>
      </c>
    </row>
    <row r="66" customFormat="false" ht="12.75" hidden="false" customHeight="false" outlineLevel="0" collapsed="false">
      <c r="A66" s="85" t="n">
        <v>37561</v>
      </c>
      <c r="B66" s="31" t="n">
        <f aca="false">YEAR(A66)</f>
        <v>2002</v>
      </c>
      <c r="C66" s="31" t="n">
        <f aca="false">MONTH(A66)</f>
        <v>11</v>
      </c>
      <c r="D66" s="86" t="n">
        <v>0.053973871330399</v>
      </c>
      <c r="E66" s="87" t="n">
        <f aca="false">(1+D66/2)^(-2*(DATE($B67,$C67,20)-$E$17)/365.25)</f>
        <v>3.36216784043289</v>
      </c>
      <c r="F66" s="87"/>
      <c r="G66" s="8"/>
      <c r="H66" s="8" t="n">
        <f aca="false">(1+$I$17)*H54</f>
        <v>11438.4375263558</v>
      </c>
      <c r="I66" s="8" t="n">
        <f aca="false">(1+$I$17)*I54</f>
        <v>10188.977673299</v>
      </c>
      <c r="K66" s="50" t="n">
        <f aca="false">K54</f>
        <v>2201.15833333333</v>
      </c>
      <c r="L66" s="50" t="n">
        <f aca="false">L54</f>
        <v>1270.02777777778</v>
      </c>
      <c r="M66" s="50" t="n">
        <f aca="false">M54</f>
        <v>241.311111111111</v>
      </c>
      <c r="N66" s="50" t="n">
        <f aca="false">N54</f>
        <v>3.11944444444444</v>
      </c>
      <c r="O66" s="50" t="n">
        <f aca="false">SUM(K66:N66)</f>
        <v>3715.61666666667</v>
      </c>
      <c r="P66" s="50" t="n">
        <f aca="false">P54</f>
        <v>3029.03315829808</v>
      </c>
      <c r="Q66" s="50" t="n">
        <f aca="false">O66+P66</f>
        <v>6744.64982496475</v>
      </c>
      <c r="R66" s="8" t="n">
        <f aca="false">H66-O66-P66</f>
        <v>4693.7877013911</v>
      </c>
      <c r="T66" s="9" t="n">
        <f aca="false">$T$18</f>
        <v>48.72</v>
      </c>
      <c r="U66" s="9" t="n">
        <f aca="false">U$18</f>
        <v>23</v>
      </c>
      <c r="V66" s="9" t="n">
        <f aca="false">V$18</f>
        <v>34</v>
      </c>
      <c r="W66" s="9" t="n">
        <f aca="false">W$18</f>
        <v>38</v>
      </c>
      <c r="X66" s="9" t="n">
        <f aca="false">SUMPRODUCT(K66:N66,T66:W66)/O66</f>
        <v>38.9637044247179</v>
      </c>
      <c r="Y66" s="9" t="n">
        <f aca="false">$Y$18/1000*CURVES!K25+VLOOKUP($B66,$X$10:$Y$14,2,FALSE())</f>
        <v>84.1032106034195</v>
      </c>
      <c r="Z66" s="9" t="n">
        <f aca="false">(O66*X66+P66*Y66)/Q66</f>
        <v>59.2359297459491</v>
      </c>
      <c r="AA66" s="9" t="n">
        <f aca="false">CHOOSE(AA$18,CURVES!F25,CURVES!G25)</f>
        <v>65.1851851851852</v>
      </c>
      <c r="AB66" s="9" t="n">
        <f aca="false">(Q66*Z66+R66*AA66)/H66</f>
        <v>61.6772196466701</v>
      </c>
      <c r="AD66" s="9"/>
      <c r="AH66" s="50" t="n">
        <f aca="false">AH54</f>
        <v>1838.78743628671</v>
      </c>
      <c r="AI66" s="50" t="n">
        <f aca="false">AI54</f>
        <v>0</v>
      </c>
      <c r="AJ66" s="50" t="n">
        <f aca="false">AJ54</f>
        <v>1347.87918472112</v>
      </c>
      <c r="AK66" s="50" t="n">
        <f aca="false">AK54</f>
        <v>499.439112514422</v>
      </c>
      <c r="AL66" s="50" t="n">
        <f aca="false">SUM(AH66:AK66)</f>
        <v>3686.10573352225</v>
      </c>
      <c r="AM66" s="50" t="n">
        <f aca="false">AM54</f>
        <v>2451.23764109589</v>
      </c>
      <c r="AN66" s="50" t="n">
        <f aca="false">AL66+AM66</f>
        <v>6137.34337461814</v>
      </c>
      <c r="AO66" s="8" t="n">
        <f aca="false">I66-AL66-AM66</f>
        <v>4051.63429868089</v>
      </c>
      <c r="AQ66" s="9" t="n">
        <f aca="false">$AQ$18</f>
        <v>43</v>
      </c>
      <c r="AR66" s="9"/>
      <c r="AS66" s="9" t="n">
        <f aca="false">AS$18</f>
        <v>30</v>
      </c>
      <c r="AT66" s="9" t="n">
        <f aca="false">AT$18</f>
        <v>38</v>
      </c>
      <c r="AU66" s="9" t="n">
        <f aca="false">SUMPRODUCT(AH66:AK66,AQ66:AT66)/AL66</f>
        <v>37.5688956282822</v>
      </c>
      <c r="AV66" s="9" t="n">
        <f aca="false">$Y$18/1000*CURVES!O25+VLOOKUP($B66,$AU$10:$AV$14,2,FALSE())</f>
        <v>87.6765570848599</v>
      </c>
      <c r="AW66" s="9" t="n">
        <f aca="false">(AL66*AU66+AM66*AV66)/AN66</f>
        <v>57.581754347841</v>
      </c>
      <c r="AX66" s="9" t="n">
        <f aca="false">CHOOSE(AX$18,CURVES!B25,CURVES!C25)</f>
        <v>70.2962962962963</v>
      </c>
      <c r="AY66" s="9" t="n">
        <f aca="false">(AN66*AW66+AO66*AX66)/I66</f>
        <v>62.637676139227</v>
      </c>
    </row>
    <row r="67" customFormat="false" ht="12.75" hidden="false" customHeight="false" outlineLevel="0" collapsed="false">
      <c r="A67" s="85" t="n">
        <v>37591</v>
      </c>
      <c r="B67" s="31" t="n">
        <f aca="false">YEAR(A67)</f>
        <v>2002</v>
      </c>
      <c r="C67" s="31" t="n">
        <f aca="false">MONTH(A67)</f>
        <v>12</v>
      </c>
      <c r="D67" s="86" t="n">
        <v>0.054046439933537</v>
      </c>
      <c r="E67" s="87" t="n">
        <f aca="false">(1+D67/2)^(-2*(DATE($B68,$C68,20)-$E$17)/365.25)</f>
        <v>3.35237326220282</v>
      </c>
      <c r="F67" s="87"/>
      <c r="G67" s="8"/>
      <c r="H67" s="8" t="n">
        <f aca="false">(1+$I$17)*H55</f>
        <v>11356.0748673491</v>
      </c>
      <c r="I67" s="8" t="n">
        <f aca="false">(1+$I$17)*I55</f>
        <v>10165.8300908218</v>
      </c>
      <c r="K67" s="50" t="n">
        <f aca="false">K55</f>
        <v>2256.4126344086</v>
      </c>
      <c r="L67" s="50" t="n">
        <f aca="false">L55</f>
        <v>1157.21505376344</v>
      </c>
      <c r="M67" s="50" t="n">
        <f aca="false">M55</f>
        <v>239.860215053763</v>
      </c>
      <c r="N67" s="50" t="n">
        <f aca="false">N55</f>
        <v>2.96908602150538</v>
      </c>
      <c r="O67" s="50" t="n">
        <f aca="false">SUM(K67:N67)</f>
        <v>3656.45698924731</v>
      </c>
      <c r="P67" s="50" t="n">
        <f aca="false">P55</f>
        <v>2977.59684973097</v>
      </c>
      <c r="Q67" s="50" t="n">
        <f aca="false">O67+P67</f>
        <v>6634.05383897828</v>
      </c>
      <c r="R67" s="8" t="n">
        <f aca="false">H67-O67-P67</f>
        <v>4722.02102837083</v>
      </c>
      <c r="T67" s="9" t="n">
        <f aca="false">$T$18</f>
        <v>48.72</v>
      </c>
      <c r="U67" s="9" t="n">
        <f aca="false">U$18</f>
        <v>23</v>
      </c>
      <c r="V67" s="9" t="n">
        <f aca="false">V$18</f>
        <v>34</v>
      </c>
      <c r="W67" s="9" t="n">
        <f aca="false">W$18</f>
        <v>38</v>
      </c>
      <c r="X67" s="9" t="n">
        <f aca="false">SUMPRODUCT(K67:N67,T67:W67)/O67</f>
        <v>39.6056736867024</v>
      </c>
      <c r="Y67" s="9" t="n">
        <f aca="false">$Y$18/1000*CURVES!K26+VLOOKUP($B67,$X$10:$Y$14,2,FALSE())</f>
        <v>85.1532106034195</v>
      </c>
      <c r="Z67" s="9" t="n">
        <f aca="false">(O67*X67+P67*Y67)/Q67</f>
        <v>60.0490113092245</v>
      </c>
      <c r="AA67" s="9" t="n">
        <f aca="false">CHOOSE(AA$18,CURVES!F26,CURVES!G26)</f>
        <v>63.4394727714187</v>
      </c>
      <c r="AB67" s="9" t="n">
        <f aca="false">(Q67*Z67+R67*AA67)/H67</f>
        <v>61.4588144769011</v>
      </c>
      <c r="AD67" s="9"/>
      <c r="AH67" s="50" t="n">
        <f aca="false">AH55</f>
        <v>1921.09500453605</v>
      </c>
      <c r="AI67" s="50" t="n">
        <f aca="false">AI55</f>
        <v>0</v>
      </c>
      <c r="AJ67" s="50" t="n">
        <f aca="false">AJ55</f>
        <v>1326.47869273451</v>
      </c>
      <c r="AK67" s="50" t="n">
        <f aca="false">AK55</f>
        <v>519.619723134563</v>
      </c>
      <c r="AL67" s="50" t="n">
        <f aca="false">SUM(AH67:AK67)</f>
        <v>3767.19342040512</v>
      </c>
      <c r="AM67" s="50" t="n">
        <f aca="false">AM55</f>
        <v>2024.24791129032</v>
      </c>
      <c r="AN67" s="50" t="n">
        <f aca="false">AL67+AM67</f>
        <v>5791.44133169545</v>
      </c>
      <c r="AO67" s="8" t="n">
        <f aca="false">I67-AL67-AM67</f>
        <v>4374.3887591264</v>
      </c>
      <c r="AQ67" s="9" t="n">
        <f aca="false">$AQ$18</f>
        <v>43</v>
      </c>
      <c r="AR67" s="9"/>
      <c r="AS67" s="9" t="n">
        <f aca="false">AS$18</f>
        <v>30</v>
      </c>
      <c r="AT67" s="9" t="n">
        <f aca="false">AT$18</f>
        <v>38</v>
      </c>
      <c r="AU67" s="9" t="n">
        <f aca="false">SUMPRODUCT(AH67:AK67,AQ67:AT67)/AL67</f>
        <v>37.7328635918334</v>
      </c>
      <c r="AV67" s="9" t="n">
        <f aca="false">$Y$18/1000*CURVES!O26+VLOOKUP($B67,$AU$10:$AV$14,2,FALSE())</f>
        <v>88.7265570848599</v>
      </c>
      <c r="AW67" s="9" t="n">
        <f aca="false">(AL67*AU67+AM67*AV67)/AN67</f>
        <v>55.556384824331</v>
      </c>
      <c r="AX67" s="9" t="n">
        <f aca="false">CHOOSE(AX$18,CURVES!B26,CURVES!C26)</f>
        <v>70.111342351717</v>
      </c>
      <c r="AY67" s="9" t="n">
        <f aca="false">(AN67*AW67+AO67*AX67)/I67</f>
        <v>61.8194289661805</v>
      </c>
    </row>
    <row r="68" customFormat="false" ht="12.75" hidden="false" customHeight="false" outlineLevel="0" collapsed="false">
      <c r="A68" s="85" t="n">
        <v>37622</v>
      </c>
      <c r="B68" s="31" t="n">
        <f aca="false">YEAR(A68)</f>
        <v>2003</v>
      </c>
      <c r="C68" s="31" t="n">
        <f aca="false">MONTH(A68)</f>
        <v>1</v>
      </c>
      <c r="D68" s="86" t="n">
        <v>0.054138502291509</v>
      </c>
      <c r="E68" s="87" t="n">
        <f aca="false">(1+D68/2)^(-2*(DATE($B69,$C69,20)-$E$17)/365.25)</f>
        <v>3.3440009238415</v>
      </c>
      <c r="F68" s="87"/>
      <c r="G68" s="8"/>
      <c r="H68" s="8" t="n">
        <f aca="false">(1+$I$17)*H56</f>
        <v>11564.7312253596</v>
      </c>
      <c r="I68" s="8" t="n">
        <f aca="false">(1+$I$17)*I56</f>
        <v>10993.7191307587</v>
      </c>
      <c r="K68" s="50" t="n">
        <f aca="false">K56</f>
        <v>2185.91801075269</v>
      </c>
      <c r="L68" s="50" t="n">
        <f aca="false">L56</f>
        <v>1282.33064516129</v>
      </c>
      <c r="M68" s="50" t="n">
        <f aca="false">M56</f>
        <v>142.852150537634</v>
      </c>
      <c r="N68" s="50" t="n">
        <f aca="false">N56</f>
        <v>3.16801075268817</v>
      </c>
      <c r="O68" s="50" t="n">
        <f aca="false">SUM(K68:N68)</f>
        <v>3614.2688172043</v>
      </c>
      <c r="P68" s="50" t="n">
        <f aca="false">P56</f>
        <v>2792.6655547379</v>
      </c>
      <c r="Q68" s="50" t="n">
        <f aca="false">O68+P68</f>
        <v>6406.9343719422</v>
      </c>
      <c r="R68" s="8" t="n">
        <f aca="false">H68-O68-P68</f>
        <v>5157.79685341741</v>
      </c>
      <c r="T68" s="9" t="n">
        <f aca="false">$T$18</f>
        <v>48.72</v>
      </c>
      <c r="U68" s="9" t="n">
        <f aca="false">U$18</f>
        <v>23</v>
      </c>
      <c r="V68" s="9" t="n">
        <f aca="false">V$18</f>
        <v>34</v>
      </c>
      <c r="W68" s="9" t="n">
        <f aca="false">W$18</f>
        <v>38</v>
      </c>
      <c r="X68" s="9" t="n">
        <f aca="false">SUMPRODUCT(K68:N68,T68:W68)/O68</f>
        <v>39.0034319468534</v>
      </c>
      <c r="Y68" s="9" t="n">
        <f aca="false">$Y$18/1000*CURVES!K27+VLOOKUP($B68,$X$10:$Y$14,2,FALSE())</f>
        <v>86.0118712487163</v>
      </c>
      <c r="Z68" s="9" t="n">
        <f aca="false">(O68*X68+P68*Y68)/Q68</f>
        <v>59.4935511831621</v>
      </c>
      <c r="AA68" s="9" t="n">
        <f aca="false">CHOOSE(AA$18,CURVES!F27,CURVES!G27)</f>
        <v>51.0215053763441</v>
      </c>
      <c r="AB68" s="9" t="n">
        <f aca="false">(Q68*Z68+R68*AA68)/H68</f>
        <v>55.7150724314386</v>
      </c>
      <c r="AD68" s="9"/>
      <c r="AH68" s="50" t="n">
        <f aca="false">AH56</f>
        <v>1826.05608785899</v>
      </c>
      <c r="AI68" s="50" t="n">
        <f aca="false">AI56</f>
        <v>0</v>
      </c>
      <c r="AJ68" s="50" t="n">
        <f aca="false">AJ56</f>
        <v>1744.08931864439</v>
      </c>
      <c r="AK68" s="50" t="n">
        <f aca="false">AK56</f>
        <v>538.872892801371</v>
      </c>
      <c r="AL68" s="50" t="n">
        <f aca="false">SUM(AH68:AK68)</f>
        <v>4109.01829930475</v>
      </c>
      <c r="AM68" s="50" t="n">
        <f aca="false">AM56</f>
        <v>2445.3687016129</v>
      </c>
      <c r="AN68" s="50" t="n">
        <f aca="false">AL68+AM68</f>
        <v>6554.38700091765</v>
      </c>
      <c r="AO68" s="8" t="n">
        <f aca="false">I68-AL68-AM68</f>
        <v>4439.33212984107</v>
      </c>
      <c r="AQ68" s="9" t="n">
        <f aca="false">$AQ$18</f>
        <v>43</v>
      </c>
      <c r="AR68" s="9"/>
      <c r="AS68" s="9" t="n">
        <f aca="false">AS$18</f>
        <v>30</v>
      </c>
      <c r="AT68" s="9" t="n">
        <f aca="false">AT$18</f>
        <v>38</v>
      </c>
      <c r="AU68" s="9" t="n">
        <f aca="false">SUMPRODUCT(AH68:AK68,AQ68:AT68)/AL68</f>
        <v>36.8263780400598</v>
      </c>
      <c r="AV68" s="9" t="n">
        <f aca="false">$Y$18/1000*CURVES!O27+VLOOKUP($B68,$AU$10:$AV$14,2,FALSE())</f>
        <v>89.08739802862</v>
      </c>
      <c r="AW68" s="9" t="n">
        <f aca="false">(AL68*AU68+AM68*AV68)/AN68</f>
        <v>56.3243818314898</v>
      </c>
      <c r="AX68" s="9" t="n">
        <f aca="false">CHOOSE(AX$18,CURVES!B27,CURVES!C27)</f>
        <v>56.6827956989247</v>
      </c>
      <c r="AY68" s="9" t="n">
        <f aca="false">(AN68*AW68+AO68*AX68)/I68</f>
        <v>56.4691115793176</v>
      </c>
    </row>
    <row r="69" customFormat="false" ht="12.75" hidden="false" customHeight="false" outlineLevel="0" collapsed="false">
      <c r="A69" s="85" t="n">
        <v>37653</v>
      </c>
      <c r="B69" s="31" t="n">
        <f aca="false">YEAR(A69)</f>
        <v>2003</v>
      </c>
      <c r="C69" s="31" t="n">
        <f aca="false">MONTH(A69)</f>
        <v>2</v>
      </c>
      <c r="D69" s="86" t="n">
        <v>0.05425129833824</v>
      </c>
      <c r="E69" s="87" t="n">
        <f aca="false">(1+D69/2)^(-2*(DATE($B70,$C70,20)-$E$17)/365.25)</f>
        <v>3.33858219488981</v>
      </c>
      <c r="F69" s="87"/>
      <c r="G69" s="8"/>
      <c r="H69" s="8" t="n">
        <f aca="false">(1+$I$17)*H57</f>
        <v>11595.8380625849</v>
      </c>
      <c r="I69" s="8" t="n">
        <f aca="false">(1+$I$17)*I57</f>
        <v>10979.0671022831</v>
      </c>
      <c r="K69" s="50" t="n">
        <f aca="false">K57</f>
        <v>2261.87643678161</v>
      </c>
      <c r="L69" s="50" t="n">
        <f aca="false">L57</f>
        <v>1335.97988505747</v>
      </c>
      <c r="M69" s="50" t="n">
        <f aca="false">M57</f>
        <v>236.002873563218</v>
      </c>
      <c r="N69" s="50" t="n">
        <f aca="false">N57</f>
        <v>3.84913793103448</v>
      </c>
      <c r="O69" s="50" t="n">
        <f aca="false">SUM(K69:N69)</f>
        <v>3837.70833333333</v>
      </c>
      <c r="P69" s="50" t="n">
        <f aca="false">P57</f>
        <v>3011.77170136767</v>
      </c>
      <c r="Q69" s="50" t="n">
        <f aca="false">O69+P69</f>
        <v>6849.48003470101</v>
      </c>
      <c r="R69" s="8" t="n">
        <f aca="false">H69-O69-P69</f>
        <v>4746.35802788386</v>
      </c>
      <c r="T69" s="9" t="n">
        <f aca="false">$T$18</f>
        <v>48.72</v>
      </c>
      <c r="U69" s="9" t="n">
        <f aca="false">U$18</f>
        <v>23</v>
      </c>
      <c r="V69" s="9" t="n">
        <f aca="false">V$18</f>
        <v>34</v>
      </c>
      <c r="W69" s="9" t="n">
        <f aca="false">W$18</f>
        <v>38</v>
      </c>
      <c r="X69" s="9" t="n">
        <f aca="false">SUMPRODUCT(K69:N69,T69:W69)/O69</f>
        <v>38.8504048116</v>
      </c>
      <c r="Y69" s="9" t="n">
        <f aca="false">$Y$18/1000*CURVES!K28+VLOOKUP($B69,$X$10:$Y$14,2,FALSE())</f>
        <v>84.1743712487163</v>
      </c>
      <c r="Z69" s="9" t="n">
        <f aca="false">(O69*X69+P69*Y69)/Q69</f>
        <v>58.7797189810665</v>
      </c>
      <c r="AA69" s="9" t="n">
        <f aca="false">CHOOSE(AA$18,CURVES!F28,CURVES!G28)</f>
        <v>50.1428571428571</v>
      </c>
      <c r="AB69" s="9" t="n">
        <f aca="false">(Q69*Z69+R69*AA69)/H69</f>
        <v>55.244516238474</v>
      </c>
      <c r="AD69" s="9"/>
      <c r="AH69" s="50" t="n">
        <f aca="false">AH57</f>
        <v>1925.74685025101</v>
      </c>
      <c r="AI69" s="50" t="n">
        <f aca="false">AI57</f>
        <v>0</v>
      </c>
      <c r="AJ69" s="50" t="n">
        <f aca="false">AJ57</f>
        <v>2201.92738718254</v>
      </c>
      <c r="AK69" s="50" t="n">
        <f aca="false">AK57</f>
        <v>548.475477754164</v>
      </c>
      <c r="AL69" s="50" t="n">
        <f aca="false">SUM(AH69:AK69)</f>
        <v>4676.14971518771</v>
      </c>
      <c r="AM69" s="50" t="n">
        <f aca="false">AM57</f>
        <v>2161.54564434524</v>
      </c>
      <c r="AN69" s="50" t="n">
        <f aca="false">AL69+AM69</f>
        <v>6837.69535953295</v>
      </c>
      <c r="AO69" s="8" t="n">
        <f aca="false">I69-AL69-AM69</f>
        <v>4141.37174275011</v>
      </c>
      <c r="AQ69" s="9" t="n">
        <f aca="false">$AQ$18</f>
        <v>43</v>
      </c>
      <c r="AR69" s="9"/>
      <c r="AS69" s="9" t="n">
        <f aca="false">AS$18</f>
        <v>30</v>
      </c>
      <c r="AT69" s="9" t="n">
        <f aca="false">AT$18</f>
        <v>38</v>
      </c>
      <c r="AU69" s="9" t="n">
        <f aca="false">SUMPRODUCT(AH69:AK69,AQ69:AT69)/AL69</f>
        <v>36.2920382509856</v>
      </c>
      <c r="AV69" s="9" t="n">
        <f aca="false">$Y$18/1000*CURVES!O28+VLOOKUP($B69,$AU$10:$AV$14,2,FALSE())</f>
        <v>87.24989802862</v>
      </c>
      <c r="AW69" s="9" t="n">
        <f aca="false">(AL69*AU69+AM69*AV69)/AN69</f>
        <v>52.4009366525407</v>
      </c>
      <c r="AX69" s="9" t="n">
        <f aca="false">CHOOSE(AX$18,CURVES!B28,CURVES!C28)</f>
        <v>55.4642857142857</v>
      </c>
      <c r="AY69" s="9" t="n">
        <f aca="false">(AN69*AW69+AO69*AX69)/I69</f>
        <v>53.5564507890608</v>
      </c>
    </row>
    <row r="70" customFormat="false" ht="12.75" hidden="false" customHeight="false" outlineLevel="0" collapsed="false">
      <c r="A70" s="85" t="n">
        <v>37681</v>
      </c>
      <c r="B70" s="31" t="n">
        <f aca="false">YEAR(A70)</f>
        <v>2003</v>
      </c>
      <c r="C70" s="31" t="n">
        <f aca="false">MONTH(A70)</f>
        <v>3</v>
      </c>
      <c r="D70" s="86" t="n">
        <v>0.054353178642157</v>
      </c>
      <c r="E70" s="87" t="n">
        <f aca="false">(1+D70/2)^(-2*(DATE($B71,$C71,20)-$E$17)/365.25)</f>
        <v>3.33085327571553</v>
      </c>
      <c r="F70" s="87"/>
      <c r="G70" s="8"/>
      <c r="H70" s="8" t="n">
        <f aca="false">(1+$I$17)*H58</f>
        <v>11528.7078605893</v>
      </c>
      <c r="I70" s="8" t="n">
        <f aca="false">(1+$I$17)*I58</f>
        <v>10732.5906253292</v>
      </c>
      <c r="K70" s="50" t="n">
        <f aca="false">K58</f>
        <v>2263.94623655914</v>
      </c>
      <c r="L70" s="50" t="n">
        <f aca="false">L58</f>
        <v>1258.63037634409</v>
      </c>
      <c r="M70" s="50" t="n">
        <f aca="false">M58</f>
        <v>620.646505376344</v>
      </c>
      <c r="N70" s="50" t="n">
        <f aca="false">N58</f>
        <v>2.58198924731183</v>
      </c>
      <c r="O70" s="50" t="n">
        <f aca="false">SUM(K70:N70)</f>
        <v>4145.80510752688</v>
      </c>
      <c r="P70" s="50" t="n">
        <f aca="false">P58</f>
        <v>2834.39732902856</v>
      </c>
      <c r="Q70" s="50" t="n">
        <f aca="false">O70+P70</f>
        <v>6980.20243655544</v>
      </c>
      <c r="R70" s="8" t="n">
        <f aca="false">H70-O70-P70</f>
        <v>4548.50542403388</v>
      </c>
      <c r="T70" s="9" t="n">
        <f aca="false">$T$18</f>
        <v>48.72</v>
      </c>
      <c r="U70" s="9" t="n">
        <f aca="false">U$18</f>
        <v>23</v>
      </c>
      <c r="V70" s="9" t="n">
        <f aca="false">V$18</f>
        <v>34</v>
      </c>
      <c r="W70" s="9" t="n">
        <f aca="false">W$18</f>
        <v>38</v>
      </c>
      <c r="X70" s="9" t="n">
        <f aca="false">SUMPRODUCT(K70:N70,T70:W70)/O70</f>
        <v>38.7013021388701</v>
      </c>
      <c r="Y70" s="9" t="n">
        <f aca="false">$Y$18/1000*CURVES!K29+VLOOKUP($B70,$X$10:$Y$14,2,FALSE())</f>
        <v>81.5493712487163</v>
      </c>
      <c r="Z70" s="9" t="n">
        <f aca="false">(O70*X70+P70*Y70)/Q70</f>
        <v>56.1002893090633</v>
      </c>
      <c r="AA70" s="9" t="n">
        <f aca="false">CHOOSE(AA$18,CURVES!F29,CURVES!G29)</f>
        <v>49.4623655913978</v>
      </c>
      <c r="AB70" s="9" t="n">
        <f aca="false">(Q70*Z70+R70*AA70)/H70</f>
        <v>53.4813807202407</v>
      </c>
      <c r="AD70" s="9"/>
      <c r="AH70" s="50" t="n">
        <f aca="false">AH58</f>
        <v>1891.23873243112</v>
      </c>
      <c r="AI70" s="50" t="n">
        <f aca="false">AI58</f>
        <v>0</v>
      </c>
      <c r="AJ70" s="50" t="n">
        <f aca="false">AJ58</f>
        <v>1966.55049263563</v>
      </c>
      <c r="AK70" s="50" t="n">
        <f aca="false">AK58</f>
        <v>526.073305014923</v>
      </c>
      <c r="AL70" s="50" t="n">
        <f aca="false">SUM(AH70:AK70)</f>
        <v>4383.86253008167</v>
      </c>
      <c r="AM70" s="50" t="n">
        <f aca="false">AM58</f>
        <v>2044.22227284946</v>
      </c>
      <c r="AN70" s="50" t="n">
        <f aca="false">AL70+AM70</f>
        <v>6428.08480293113</v>
      </c>
      <c r="AO70" s="8" t="n">
        <f aca="false">I70-AL70-AM70</f>
        <v>4304.50582239806</v>
      </c>
      <c r="AQ70" s="9" t="n">
        <f aca="false">$AQ$18</f>
        <v>43</v>
      </c>
      <c r="AR70" s="9"/>
      <c r="AS70" s="9" t="n">
        <f aca="false">AS$18</f>
        <v>30</v>
      </c>
      <c r="AT70" s="9" t="n">
        <f aca="false">AT$18</f>
        <v>38</v>
      </c>
      <c r="AU70" s="9" t="n">
        <f aca="false">SUMPRODUCT(AH70:AK70,AQ70:AT70)/AL70</f>
        <v>36.5683377989472</v>
      </c>
      <c r="AV70" s="9" t="n">
        <f aca="false">$Y$18/1000*CURVES!O29+VLOOKUP($B70,$AU$10:$AV$14,2,FALSE())</f>
        <v>84.62489802862</v>
      </c>
      <c r="AW70" s="9" t="n">
        <f aca="false">(AL70*AU70+AM70*AV70)/AN70</f>
        <v>51.8510065548469</v>
      </c>
      <c r="AX70" s="9" t="n">
        <f aca="false">CHOOSE(AX$18,CURVES!B29,CURVES!C29)</f>
        <v>53.1532258064516</v>
      </c>
      <c r="AY70" s="9" t="n">
        <f aca="false">(AN70*AW70+AO70*AX70)/I70</f>
        <v>52.3732858950597</v>
      </c>
    </row>
    <row r="71" customFormat="false" ht="12.75" hidden="false" customHeight="false" outlineLevel="0" collapsed="false">
      <c r="A71" s="85" t="n">
        <v>37712</v>
      </c>
      <c r="B71" s="31" t="n">
        <f aca="false">YEAR(A71)</f>
        <v>2003</v>
      </c>
      <c r="C71" s="31" t="n">
        <f aca="false">MONTH(A71)</f>
        <v>4</v>
      </c>
      <c r="D71" s="86" t="n">
        <v>0.054454190075276</v>
      </c>
      <c r="E71" s="87" t="n">
        <f aca="false">(1+D71/2)^(-2*(DATE($B72,$C72,20)-$E$17)/365.25)</f>
        <v>3.32351194013859</v>
      </c>
      <c r="F71" s="87"/>
      <c r="G71" s="8"/>
      <c r="H71" s="8" t="n">
        <f aca="false">(1+$I$17)*H59</f>
        <v>11579.8643428025</v>
      </c>
      <c r="I71" s="8" t="n">
        <f aca="false">(1+$I$17)*I59</f>
        <v>10484.6334576696</v>
      </c>
      <c r="K71" s="50" t="n">
        <f aca="false">K59</f>
        <v>2319.84027777778</v>
      </c>
      <c r="L71" s="50" t="n">
        <f aca="false">L59</f>
        <v>1179.16597222222</v>
      </c>
      <c r="M71" s="50" t="n">
        <f aca="false">M59</f>
        <v>811.586111111111</v>
      </c>
      <c r="N71" s="50" t="n">
        <f aca="false">N59</f>
        <v>3.04166666666667</v>
      </c>
      <c r="O71" s="50" t="n">
        <f aca="false">SUM(K71:N71)</f>
        <v>4313.63402777778</v>
      </c>
      <c r="P71" s="50" t="n">
        <f aca="false">P59</f>
        <v>2923.39459068154</v>
      </c>
      <c r="Q71" s="50" t="n">
        <f aca="false">O71+P71</f>
        <v>7237.02861845932</v>
      </c>
      <c r="R71" s="8" t="n">
        <f aca="false">H71-O71-P71</f>
        <v>4342.83572434315</v>
      </c>
      <c r="T71" s="9" t="n">
        <f aca="false">$T$18</f>
        <v>48.72</v>
      </c>
      <c r="U71" s="9" t="n">
        <f aca="false">U$18</f>
        <v>23</v>
      </c>
      <c r="V71" s="9" t="n">
        <f aca="false">V$18</f>
        <v>34</v>
      </c>
      <c r="W71" s="9" t="n">
        <f aca="false">W$18</f>
        <v>38</v>
      </c>
      <c r="X71" s="9" t="n">
        <f aca="false">SUMPRODUCT(K71:N71,T71:W71)/O71</f>
        <v>38.9121899828918</v>
      </c>
      <c r="Y71" s="9" t="n">
        <f aca="false">$Y$18/1000*CURVES!K30+VLOOKUP($B71,$X$10:$Y$14,2,FALSE())</f>
        <v>78.8928712487163</v>
      </c>
      <c r="Z71" s="9" t="n">
        <f aca="false">(O71*X71+P71*Y71)/Q71</f>
        <v>55.0623689453119</v>
      </c>
      <c r="AA71" s="9" t="n">
        <f aca="false">CHOOSE(AA$18,CURVES!F30,CURVES!G30)</f>
        <v>49.5555555555556</v>
      </c>
      <c r="AB71" s="9" t="n">
        <f aca="false">(Q71*Z71+R71*AA71)/H71</f>
        <v>52.9971300782271</v>
      </c>
      <c r="AD71" s="9"/>
      <c r="AH71" s="50" t="n">
        <f aca="false">AH59</f>
        <v>1937.93108490741</v>
      </c>
      <c r="AI71" s="50" t="n">
        <f aca="false">AI59</f>
        <v>0</v>
      </c>
      <c r="AJ71" s="50" t="n">
        <f aca="false">AJ59</f>
        <v>2070.95002093926</v>
      </c>
      <c r="AK71" s="50" t="n">
        <f aca="false">AK59</f>
        <v>513.919329218532</v>
      </c>
      <c r="AL71" s="50" t="n">
        <f aca="false">SUM(AH71:AK71)</f>
        <v>4522.8004350652</v>
      </c>
      <c r="AM71" s="50" t="n">
        <f aca="false">AM59</f>
        <v>2152.99685890411</v>
      </c>
      <c r="AN71" s="50" t="n">
        <f aca="false">AL71+AM71</f>
        <v>6675.79729396931</v>
      </c>
      <c r="AO71" s="8" t="n">
        <f aca="false">I71-AL71-AM71</f>
        <v>3808.83616370029</v>
      </c>
      <c r="AQ71" s="9" t="n">
        <f aca="false">$AQ$18</f>
        <v>43</v>
      </c>
      <c r="AR71" s="9"/>
      <c r="AS71" s="9" t="n">
        <f aca="false">AS$18</f>
        <v>30</v>
      </c>
      <c r="AT71" s="9" t="n">
        <f aca="false">AT$18</f>
        <v>38</v>
      </c>
      <c r="AU71" s="9" t="n">
        <f aca="false">SUMPRODUCT(AH71:AK71,AQ71:AT71)/AL71</f>
        <v>36.4792729987261</v>
      </c>
      <c r="AV71" s="9" t="n">
        <f aca="false">$Y$18/1000*CURVES!O30+VLOOKUP($B71,$AU$10:$AV$14,2,FALSE())</f>
        <v>81.96839802862</v>
      </c>
      <c r="AW71" s="9" t="n">
        <f aca="false">(AL71*AU71+AM71*AV71)/AN71</f>
        <v>51.1498717288781</v>
      </c>
      <c r="AX71" s="9" t="n">
        <f aca="false">CHOOSE(AX$18,CURVES!B30,CURVES!C30)</f>
        <v>52.2666666666667</v>
      </c>
      <c r="AY71" s="9" t="n">
        <f aca="false">(AN71*AW71+AO71*AX71)/I71</f>
        <v>51.5555787060137</v>
      </c>
    </row>
    <row r="72" customFormat="false" ht="12.75" hidden="false" customHeight="false" outlineLevel="0" collapsed="false">
      <c r="A72" s="85" t="n">
        <v>37742</v>
      </c>
      <c r="B72" s="31" t="n">
        <f aca="false">YEAR(A72)</f>
        <v>2003</v>
      </c>
      <c r="C72" s="31" t="n">
        <f aca="false">MONTH(A72)</f>
        <v>5</v>
      </c>
      <c r="D72" s="86" t="n">
        <v>0.054536343531129</v>
      </c>
      <c r="E72" s="87" t="n">
        <f aca="false">(1+D72/2)^(-2*(DATE($B73,$C73,20)-$E$17)/365.25)</f>
        <v>3.31428902270744</v>
      </c>
      <c r="F72" s="87"/>
      <c r="G72" s="8"/>
      <c r="H72" s="8" t="n">
        <f aca="false">(1+$I$17)*H60</f>
        <v>12236.4290819859</v>
      </c>
      <c r="I72" s="8" t="n">
        <f aca="false">(1+$I$17)*I60</f>
        <v>11420.5782262493</v>
      </c>
      <c r="K72" s="50" t="n">
        <f aca="false">K60</f>
        <v>2226.06720430108</v>
      </c>
      <c r="L72" s="50" t="n">
        <f aca="false">L60</f>
        <v>1023.62634408602</v>
      </c>
      <c r="M72" s="50" t="n">
        <f aca="false">M60</f>
        <v>950.165322580645</v>
      </c>
      <c r="N72" s="50" t="n">
        <f aca="false">N60</f>
        <v>3.30510752688172</v>
      </c>
      <c r="O72" s="50" t="n">
        <f aca="false">SUM(K72:N72)</f>
        <v>4203.16397849462</v>
      </c>
      <c r="P72" s="50" t="n">
        <f aca="false">P60</f>
        <v>2831.51050210493</v>
      </c>
      <c r="Q72" s="50" t="n">
        <f aca="false">O72+P72</f>
        <v>7034.67448059955</v>
      </c>
      <c r="R72" s="8" t="n">
        <f aca="false">H72-O72-P72</f>
        <v>5201.75460138639</v>
      </c>
      <c r="T72" s="9" t="n">
        <f aca="false">$T$18</f>
        <v>48.72</v>
      </c>
      <c r="U72" s="9" t="n">
        <f aca="false">U$18</f>
        <v>23</v>
      </c>
      <c r="V72" s="9" t="n">
        <f aca="false">V$18</f>
        <v>34</v>
      </c>
      <c r="W72" s="9" t="n">
        <f aca="false">W$18</f>
        <v>38</v>
      </c>
      <c r="X72" s="9" t="n">
        <f aca="false">SUMPRODUCT(K72:N72,T72:W72)/O72</f>
        <v>39.1201999261949</v>
      </c>
      <c r="Y72" s="9" t="n">
        <f aca="false">$Y$18/1000*CURVES!K31+VLOOKUP($B72,$X$10:$Y$14,2,FALSE())</f>
        <v>78.1053712487163</v>
      </c>
      <c r="Z72" s="9" t="n">
        <f aca="false">(O72*X72+P72*Y72)/Q72</f>
        <v>54.8120307750149</v>
      </c>
      <c r="AA72" s="9" t="n">
        <f aca="false">CHOOSE(AA$18,CURVES!F31,CURVES!G31)</f>
        <v>48.1827956989247</v>
      </c>
      <c r="AB72" s="9" t="n">
        <f aca="false">(Q72*Z72+R72*AA72)/H72</f>
        <v>51.9939166152647</v>
      </c>
      <c r="AD72" s="9"/>
      <c r="AH72" s="50" t="n">
        <f aca="false">AH60</f>
        <v>1895.25910320262</v>
      </c>
      <c r="AI72" s="50" t="n">
        <f aca="false">AI60</f>
        <v>0</v>
      </c>
      <c r="AJ72" s="50" t="n">
        <f aca="false">AJ60</f>
        <v>1877.63033247346</v>
      </c>
      <c r="AK72" s="50" t="n">
        <f aca="false">AK60</f>
        <v>570.53181663935</v>
      </c>
      <c r="AL72" s="50" t="n">
        <f aca="false">SUM(AH72:AK72)</f>
        <v>4343.42125231544</v>
      </c>
      <c r="AM72" s="50" t="n">
        <f aca="false">AM60</f>
        <v>2186.84183198925</v>
      </c>
      <c r="AN72" s="50" t="n">
        <f aca="false">AL72+AM72</f>
        <v>6530.26308430469</v>
      </c>
      <c r="AO72" s="8" t="n">
        <f aca="false">I72-AL72-AM72</f>
        <v>4890.3151419446</v>
      </c>
      <c r="AQ72" s="9" t="n">
        <f aca="false">$AQ$18</f>
        <v>43</v>
      </c>
      <c r="AR72" s="9"/>
      <c r="AS72" s="9" t="n">
        <f aca="false">AS$18</f>
        <v>30</v>
      </c>
      <c r="AT72" s="9" t="n">
        <f aca="false">AT$18</f>
        <v>38</v>
      </c>
      <c r="AU72" s="9" t="n">
        <f aca="false">SUMPRODUCT(AH72:AK72,AQ72:AT72)/AL72</f>
        <v>36.7234148332219</v>
      </c>
      <c r="AV72" s="9" t="n">
        <f aca="false">$Y$18/1000*CURVES!O31+VLOOKUP($B72,$AU$10:$AV$14,2,FALSE())</f>
        <v>81.18089802862</v>
      </c>
      <c r="AW72" s="9" t="n">
        <f aca="false">(AL72*AU72+AM72*AV72)/AN72</f>
        <v>51.61125055156</v>
      </c>
      <c r="AX72" s="9" t="n">
        <f aca="false">CHOOSE(AX$18,CURVES!B31,CURVES!C31)</f>
        <v>51.9489247311828</v>
      </c>
      <c r="AY72" s="9" t="n">
        <f aca="false">(AN72*AW72+AO72*AX72)/I72</f>
        <v>51.7558433314472</v>
      </c>
    </row>
    <row r="73" customFormat="false" ht="12.75" hidden="false" customHeight="false" outlineLevel="0" collapsed="false">
      <c r="A73" s="85" t="n">
        <v>37773</v>
      </c>
      <c r="B73" s="31" t="n">
        <f aca="false">YEAR(A73)</f>
        <v>2003</v>
      </c>
      <c r="C73" s="31" t="n">
        <f aca="false">MONTH(A73)</f>
        <v>6</v>
      </c>
      <c r="D73" s="86" t="n">
        <v>0.054621235437872</v>
      </c>
      <c r="E73" s="87" t="n">
        <f aca="false">(1+D73/2)^(-2*(DATE($B74,$C74,20)-$E$17)/365.25)</f>
        <v>3.30572974208834</v>
      </c>
      <c r="F73" s="87"/>
      <c r="G73" s="8"/>
      <c r="H73" s="8" t="n">
        <f aca="false">(1+$I$17)*H61</f>
        <v>13522.7468167509</v>
      </c>
      <c r="I73" s="8" t="n">
        <f aca="false">(1+$I$17)*I61</f>
        <v>12878.144708097</v>
      </c>
      <c r="K73" s="50" t="n">
        <f aca="false">K61</f>
        <v>2252.13333333333</v>
      </c>
      <c r="L73" s="50" t="n">
        <f aca="false">L61</f>
        <v>1398.39166666667</v>
      </c>
      <c r="M73" s="50" t="n">
        <f aca="false">M61</f>
        <v>957.040277777778</v>
      </c>
      <c r="N73" s="50" t="n">
        <f aca="false">N61</f>
        <v>3.52638888888889</v>
      </c>
      <c r="O73" s="50" t="n">
        <f aca="false">SUM(K73:N73)</f>
        <v>4611.09166666667</v>
      </c>
      <c r="P73" s="50" t="n">
        <f aca="false">P61</f>
        <v>3175.74117813466</v>
      </c>
      <c r="Q73" s="50" t="n">
        <f aca="false">O73+P73</f>
        <v>7786.83284480132</v>
      </c>
      <c r="R73" s="8" t="n">
        <f aca="false">H73-O73-P73</f>
        <v>5735.9139719496</v>
      </c>
      <c r="T73" s="9" t="n">
        <f aca="false">$T$18</f>
        <v>48.72</v>
      </c>
      <c r="U73" s="9" t="n">
        <f aca="false">U$18</f>
        <v>23</v>
      </c>
      <c r="V73" s="9" t="n">
        <f aca="false">V$18</f>
        <v>34</v>
      </c>
      <c r="W73" s="9" t="n">
        <f aca="false">W$18</f>
        <v>38</v>
      </c>
      <c r="X73" s="9" t="n">
        <f aca="false">SUMPRODUCT(K73:N73,T73:W73)/O73</f>
        <v>37.8566138290945</v>
      </c>
      <c r="Y73" s="9" t="n">
        <f aca="false">$Y$18/1000*CURVES!K32+VLOOKUP($B73,$X$10:$Y$14,2,FALSE())</f>
        <v>78.1473712487163</v>
      </c>
      <c r="Z73" s="9" t="n">
        <f aca="false">(O73*X73+P73*Y73)/Q73</f>
        <v>54.2885855929615</v>
      </c>
      <c r="AA73" s="9" t="n">
        <f aca="false">CHOOSE(AA$18,CURVES!F32,CURVES!G32)</f>
        <v>58.6666666666667</v>
      </c>
      <c r="AB73" s="9" t="n">
        <f aca="false">(Q73*Z73+R73*AA73)/H73</f>
        <v>56.1456266764998</v>
      </c>
      <c r="AD73" s="9"/>
      <c r="AH73" s="50" t="n">
        <f aca="false">AH61</f>
        <v>1881.37055634004</v>
      </c>
      <c r="AI73" s="50" t="n">
        <f aca="false">AI61</f>
        <v>0</v>
      </c>
      <c r="AJ73" s="50" t="n">
        <f aca="false">AJ61</f>
        <v>1162.16168617347</v>
      </c>
      <c r="AK73" s="50" t="n">
        <f aca="false">AK61</f>
        <v>631.240712103584</v>
      </c>
      <c r="AL73" s="50" t="n">
        <f aca="false">SUM(AH73:AK73)</f>
        <v>3674.77295461709</v>
      </c>
      <c r="AM73" s="50" t="n">
        <f aca="false">AM61</f>
        <v>2754.04614109589</v>
      </c>
      <c r="AN73" s="50" t="n">
        <f aca="false">AL73+AM73</f>
        <v>6428.81909571298</v>
      </c>
      <c r="AO73" s="8" t="n">
        <f aca="false">I73-AL73-AM73</f>
        <v>6449.32561238406</v>
      </c>
      <c r="AQ73" s="9" t="n">
        <f aca="false">$AQ$18</f>
        <v>43</v>
      </c>
      <c r="AR73" s="9"/>
      <c r="AS73" s="9" t="n">
        <f aca="false">AS$18</f>
        <v>30</v>
      </c>
      <c r="AT73" s="9" t="n">
        <f aca="false">AT$18</f>
        <v>38</v>
      </c>
      <c r="AU73" s="9" t="n">
        <f aca="false">SUMPRODUCT(AH73:AK73,AQ73:AT73)/AL73</f>
        <v>38.0298138942638</v>
      </c>
      <c r="AV73" s="9" t="n">
        <f aca="false">$Y$18/1000*CURVES!O32+VLOOKUP($B73,$AU$10:$AV$14,2,FALSE())</f>
        <v>81.22289802862</v>
      </c>
      <c r="AW73" s="9" t="n">
        <f aca="false">(AL73*AU73+AM73*AV73)/AN73</f>
        <v>56.5333282895559</v>
      </c>
      <c r="AX73" s="9" t="n">
        <f aca="false">CHOOSE(AX$18,CURVES!B32,CURVES!C32)</f>
        <v>56.8055555555556</v>
      </c>
      <c r="AY73" s="9" t="n">
        <f aca="false">(AN73*AW73+AO73*AX73)/I73</f>
        <v>56.6696586631304</v>
      </c>
    </row>
    <row r="74" customFormat="false" ht="12.75" hidden="false" customHeight="false" outlineLevel="0" collapsed="false">
      <c r="A74" s="85" t="n">
        <v>37803</v>
      </c>
      <c r="B74" s="31" t="n">
        <f aca="false">YEAR(A74)</f>
        <v>2003</v>
      </c>
      <c r="C74" s="31" t="n">
        <f aca="false">MONTH(A74)</f>
        <v>7</v>
      </c>
      <c r="D74" s="86" t="n">
        <v>0.054703194533146</v>
      </c>
      <c r="E74" s="87" t="n">
        <f aca="false">(1+D74/2)^(-2*(DATE($B75,$C75,20)-$E$17)/365.25)</f>
        <v>3.29645238729693</v>
      </c>
      <c r="F74" s="87"/>
      <c r="G74" s="8"/>
      <c r="H74" s="8" t="n">
        <f aca="false">(1+$I$17)*H62</f>
        <v>13346.8517913219</v>
      </c>
      <c r="I74" s="8" t="n">
        <f aca="false">(1+$I$17)*I62</f>
        <v>12225.1034212196</v>
      </c>
      <c r="K74" s="50" t="n">
        <f aca="false">K62</f>
        <v>2248.45698924731</v>
      </c>
      <c r="L74" s="50" t="n">
        <f aca="false">L62</f>
        <v>1358.32258064516</v>
      </c>
      <c r="M74" s="50" t="n">
        <f aca="false">M62</f>
        <v>653.551075268817</v>
      </c>
      <c r="N74" s="50" t="n">
        <f aca="false">N62</f>
        <v>3.83736559139785</v>
      </c>
      <c r="O74" s="50" t="n">
        <f aca="false">SUM(K74:N74)</f>
        <v>4264.16801075269</v>
      </c>
      <c r="P74" s="50" t="n">
        <f aca="false">P62</f>
        <v>3349.38956238808</v>
      </c>
      <c r="Q74" s="50" t="n">
        <f aca="false">O74+P74</f>
        <v>7613.55757314076</v>
      </c>
      <c r="R74" s="8" t="n">
        <f aca="false">H74-O74-P74</f>
        <v>5733.29421818109</v>
      </c>
      <c r="T74" s="9" t="n">
        <f aca="false">$T$18</f>
        <v>48.72</v>
      </c>
      <c r="U74" s="9" t="n">
        <f aca="false">U$18</f>
        <v>23</v>
      </c>
      <c r="V74" s="9" t="n">
        <f aca="false">V$18</f>
        <v>34</v>
      </c>
      <c r="W74" s="9" t="n">
        <f aca="false">W$18</f>
        <v>38</v>
      </c>
      <c r="X74" s="9" t="n">
        <f aca="false">SUMPRODUCT(K74:N74,T74:W74)/O74</f>
        <v>38.2613442789234</v>
      </c>
      <c r="Y74" s="9" t="n">
        <f aca="false">$Y$18/1000*CURVES!K33+VLOOKUP($B74,$X$10:$Y$14,2,FALSE())</f>
        <v>78.3048712487163</v>
      </c>
      <c r="Z74" s="9" t="n">
        <f aca="false">(O74*X74+P74*Y74)/Q74</f>
        <v>55.8774678828199</v>
      </c>
      <c r="AA74" s="9" t="n">
        <f aca="false">CHOOSE(AA$18,CURVES!F33,CURVES!G33)</f>
        <v>80.1935483870968</v>
      </c>
      <c r="AB74" s="9" t="n">
        <f aca="false">(Q74*Z74+R74*AA74)/H74</f>
        <v>66.3227208865763</v>
      </c>
      <c r="AD74" s="9"/>
      <c r="AH74" s="50" t="n">
        <f aca="false">AH62</f>
        <v>1914.32162011861</v>
      </c>
      <c r="AI74" s="50" t="n">
        <f aca="false">AI62</f>
        <v>0</v>
      </c>
      <c r="AJ74" s="50" t="n">
        <f aca="false">AJ62</f>
        <v>1193.33197430598</v>
      </c>
      <c r="AK74" s="50" t="n">
        <f aca="false">AK62</f>
        <v>610.723058442111</v>
      </c>
      <c r="AL74" s="50" t="n">
        <f aca="false">SUM(AH74:AK74)</f>
        <v>3718.37665286669</v>
      </c>
      <c r="AM74" s="50" t="n">
        <f aca="false">AM62</f>
        <v>2586.73186021505</v>
      </c>
      <c r="AN74" s="50" t="n">
        <f aca="false">AL74+AM74</f>
        <v>6305.10851308175</v>
      </c>
      <c r="AO74" s="8" t="n">
        <f aca="false">I74-AL74-AM74</f>
        <v>5919.99490813783</v>
      </c>
      <c r="AQ74" s="9" t="n">
        <f aca="false">$AQ$18</f>
        <v>43</v>
      </c>
      <c r="AR74" s="9"/>
      <c r="AS74" s="9" t="n">
        <f aca="false">AS$18</f>
        <v>30</v>
      </c>
      <c r="AT74" s="9" t="n">
        <f aca="false">AT$18</f>
        <v>38</v>
      </c>
      <c r="AU74" s="9" t="n">
        <f aca="false">SUMPRODUCT(AH74:AK74,AQ74:AT74)/AL74</f>
        <v>38.0067105375476</v>
      </c>
      <c r="AV74" s="9" t="n">
        <f aca="false">$Y$18/1000*CURVES!O33+VLOOKUP($B74,$AU$10:$AV$14,2,FALSE())</f>
        <v>81.38039802862</v>
      </c>
      <c r="AW74" s="9" t="n">
        <f aca="false">(AL74*AU74+AM74*AV74)/AN74</f>
        <v>55.801186095801</v>
      </c>
      <c r="AX74" s="9" t="n">
        <f aca="false">CHOOSE(AX$18,CURVES!B33,CURVES!C33)</f>
        <v>79.5161290322581</v>
      </c>
      <c r="AY74" s="9" t="n">
        <f aca="false">(AN74*AW74+AO74*AX74)/I74</f>
        <v>67.2851250526625</v>
      </c>
    </row>
    <row r="75" customFormat="false" ht="12.75" hidden="false" customHeight="false" outlineLevel="0" collapsed="false">
      <c r="A75" s="85" t="n">
        <v>37834</v>
      </c>
      <c r="B75" s="31" t="n">
        <f aca="false">YEAR(A75)</f>
        <v>2003</v>
      </c>
      <c r="C75" s="31" t="n">
        <f aca="false">MONTH(A75)</f>
        <v>8</v>
      </c>
      <c r="D75" s="86" t="n">
        <v>0.054787606551799</v>
      </c>
      <c r="E75" s="87" t="n">
        <f aca="false">(1+D75/2)^(-2*(DATE($B76,$C76,20)-$E$17)/365.25)</f>
        <v>3.28732912672053</v>
      </c>
      <c r="F75" s="87"/>
      <c r="G75" s="8"/>
      <c r="H75" s="8" t="n">
        <f aca="false">(1+$I$17)*H63</f>
        <v>14312.787905367</v>
      </c>
      <c r="I75" s="8" t="n">
        <f aca="false">(1+$I$17)*I63</f>
        <v>12679.4551110676</v>
      </c>
      <c r="K75" s="50" t="n">
        <f aca="false">K63</f>
        <v>2226.06586021505</v>
      </c>
      <c r="L75" s="50" t="n">
        <f aca="false">L63</f>
        <v>1361.98924731183</v>
      </c>
      <c r="M75" s="50" t="n">
        <f aca="false">M63</f>
        <v>483.364247311828</v>
      </c>
      <c r="N75" s="50" t="n">
        <f aca="false">N63</f>
        <v>3.9247311827957</v>
      </c>
      <c r="O75" s="50" t="n">
        <f aca="false">SUM(K75:N75)</f>
        <v>4075.34408602151</v>
      </c>
      <c r="P75" s="50" t="n">
        <f aca="false">P63</f>
        <v>3426.25292884001</v>
      </c>
      <c r="Q75" s="50" t="n">
        <f aca="false">O75+P75</f>
        <v>7501.59701486152</v>
      </c>
      <c r="R75" s="8" t="n">
        <f aca="false">H75-O75-P75</f>
        <v>6811.19089050547</v>
      </c>
      <c r="T75" s="9" t="n">
        <f aca="false">$T$18</f>
        <v>48.72</v>
      </c>
      <c r="U75" s="9" t="n">
        <f aca="false">U$18</f>
        <v>23</v>
      </c>
      <c r="V75" s="9" t="n">
        <f aca="false">V$18</f>
        <v>34</v>
      </c>
      <c r="W75" s="9" t="n">
        <f aca="false">W$18</f>
        <v>38</v>
      </c>
      <c r="X75" s="9" t="n">
        <f aca="false">SUMPRODUCT(K75:N75,T75:W75)/O75</f>
        <v>38.3680990588564</v>
      </c>
      <c r="Y75" s="9" t="n">
        <f aca="false">$Y$18/1000*CURVES!K34+VLOOKUP($B75,$X$10:$Y$14,2,FALSE())</f>
        <v>78.3048712487163</v>
      </c>
      <c r="Z75" s="9" t="n">
        <f aca="false">(O75*X75+P75*Y75)/Q75</f>
        <v>56.6086793530046</v>
      </c>
      <c r="AA75" s="9" t="n">
        <f aca="false">CHOOSE(AA$18,CURVES!F34,CURVES!G34)</f>
        <v>85.4301075268817</v>
      </c>
      <c r="AB75" s="9" t="n">
        <f aca="false">(Q75*Z75+R75*AA75)/H75</f>
        <v>70.324263649175</v>
      </c>
      <c r="AD75" s="9"/>
      <c r="AH75" s="50" t="n">
        <f aca="false">AH63</f>
        <v>1859.59450264151</v>
      </c>
      <c r="AI75" s="50" t="n">
        <f aca="false">AI63</f>
        <v>0</v>
      </c>
      <c r="AJ75" s="50" t="n">
        <f aca="false">AJ63</f>
        <v>1584.50880376937</v>
      </c>
      <c r="AK75" s="50" t="n">
        <f aca="false">AK63</f>
        <v>621.501656862376</v>
      </c>
      <c r="AL75" s="50" t="n">
        <f aca="false">SUM(AH75:AK75)</f>
        <v>4065.60496327325</v>
      </c>
      <c r="AM75" s="50" t="n">
        <f aca="false">AM63</f>
        <v>2208.28901612903</v>
      </c>
      <c r="AN75" s="50" t="n">
        <f aca="false">AL75+AM75</f>
        <v>6273.89397940229</v>
      </c>
      <c r="AO75" s="8" t="n">
        <f aca="false">I75-AL75-AM75</f>
        <v>6405.56113166534</v>
      </c>
      <c r="AQ75" s="9" t="n">
        <f aca="false">$AQ$18</f>
        <v>43</v>
      </c>
      <c r="AR75" s="9"/>
      <c r="AS75" s="9" t="n">
        <f aca="false">AS$18</f>
        <v>30</v>
      </c>
      <c r="AT75" s="9" t="n">
        <f aca="false">AT$18</f>
        <v>38</v>
      </c>
      <c r="AU75" s="9" t="n">
        <f aca="false">SUMPRODUCT(AH75:AK75,AQ75:AT75)/AL75</f>
        <v>37.1691032583186</v>
      </c>
      <c r="AV75" s="9" t="n">
        <f aca="false">$Y$18/1000*CURVES!O34+VLOOKUP($B75,$AU$10:$AV$14,2,FALSE())</f>
        <v>81.38039802862</v>
      </c>
      <c r="AW75" s="9" t="n">
        <f aca="false">(AL75*AU75+AM75*AV75)/AN75</f>
        <v>52.7306216630974</v>
      </c>
      <c r="AX75" s="9" t="n">
        <f aca="false">CHOOSE(AX$18,CURVES!B34,CURVES!C34)</f>
        <v>88.0564516129032</v>
      </c>
      <c r="AY75" s="9" t="n">
        <f aca="false">(AN75*AW75+AO75*AX75)/I75</f>
        <v>70.5769534879389</v>
      </c>
    </row>
    <row r="76" customFormat="false" ht="12.75" hidden="false" customHeight="false" outlineLevel="0" collapsed="false">
      <c r="A76" s="85" t="n">
        <v>37865</v>
      </c>
      <c r="B76" s="31" t="n">
        <f aca="false">YEAR(A76)</f>
        <v>2003</v>
      </c>
      <c r="C76" s="31" t="n">
        <f aca="false">MONTH(A76)</f>
        <v>9</v>
      </c>
      <c r="D76" s="86" t="n">
        <v>0.054872018572825</v>
      </c>
      <c r="E76" s="87" t="n">
        <f aca="false">(1+D76/2)^(-2*(DATE($B77,$C77,20)-$E$17)/365.25)</f>
        <v>3.27867103981563</v>
      </c>
      <c r="F76" s="87"/>
      <c r="G76" s="8"/>
      <c r="H76" s="8" t="n">
        <f aca="false">(1+$I$17)*H64</f>
        <v>12964.690024017</v>
      </c>
      <c r="I76" s="8" t="n">
        <f aca="false">(1+$I$17)*I64</f>
        <v>11943.2326348314</v>
      </c>
      <c r="K76" s="50" t="n">
        <f aca="false">K64</f>
        <v>2263.63333333333</v>
      </c>
      <c r="L76" s="50" t="n">
        <f aca="false">L64</f>
        <v>1380.73611111111</v>
      </c>
      <c r="M76" s="50" t="n">
        <f aca="false">M64</f>
        <v>542.602777777778</v>
      </c>
      <c r="N76" s="50" t="n">
        <f aca="false">N64</f>
        <v>3.41944444444444</v>
      </c>
      <c r="O76" s="50" t="n">
        <f aca="false">SUM(K76:N76)</f>
        <v>4190.39166666667</v>
      </c>
      <c r="P76" s="50" t="n">
        <f aca="false">P64</f>
        <v>3348.13393235473</v>
      </c>
      <c r="Q76" s="50" t="n">
        <f aca="false">O76+P76</f>
        <v>7538.52559902139</v>
      </c>
      <c r="R76" s="8" t="n">
        <f aca="false">H76-O76-P76</f>
        <v>5426.16442499563</v>
      </c>
      <c r="T76" s="9" t="n">
        <f aca="false">$T$18</f>
        <v>48.72</v>
      </c>
      <c r="U76" s="9" t="n">
        <f aca="false">U$18</f>
        <v>23</v>
      </c>
      <c r="V76" s="9" t="n">
        <f aca="false">V$18</f>
        <v>34</v>
      </c>
      <c r="W76" s="9" t="n">
        <f aca="false">W$18</f>
        <v>38</v>
      </c>
      <c r="X76" s="9" t="n">
        <f aca="false">SUMPRODUCT(K76:N76,T76:W76)/O76</f>
        <v>38.3304456159959</v>
      </c>
      <c r="Y76" s="9" t="n">
        <f aca="false">$Y$18/1000*CURVES!K35+VLOOKUP($B76,$X$10:$Y$14,2,FALSE())</f>
        <v>78.5253712487163</v>
      </c>
      <c r="Z76" s="9" t="n">
        <f aca="false">(O76*X76+P76*Y76)/Q76</f>
        <v>56.1824768456645</v>
      </c>
      <c r="AA76" s="9" t="n">
        <f aca="false">CHOOSE(AA$18,CURVES!F35,CURVES!G35)</f>
        <v>79.8888888888889</v>
      </c>
      <c r="AB76" s="9" t="n">
        <f aca="false">(Q76*Z76+R76*AA76)/H76</f>
        <v>66.104417858904</v>
      </c>
      <c r="AD76" s="9"/>
      <c r="AH76" s="50" t="n">
        <f aca="false">AH64</f>
        <v>1890.97734163897</v>
      </c>
      <c r="AI76" s="50" t="n">
        <f aca="false">AI64</f>
        <v>0</v>
      </c>
      <c r="AJ76" s="50" t="n">
        <f aca="false">AJ64</f>
        <v>765.820605438213</v>
      </c>
      <c r="AK76" s="50" t="n">
        <f aca="false">AK64</f>
        <v>570.922545092046</v>
      </c>
      <c r="AL76" s="50" t="n">
        <f aca="false">SUM(AH76:AK76)</f>
        <v>3227.72049216923</v>
      </c>
      <c r="AM76" s="50" t="n">
        <f aca="false">AM64</f>
        <v>2371.57693150685</v>
      </c>
      <c r="AN76" s="50" t="n">
        <f aca="false">AL76+AM76</f>
        <v>5599.29742367608</v>
      </c>
      <c r="AO76" s="8" t="n">
        <f aca="false">I76-AL76-AM76</f>
        <v>6343.9352111553</v>
      </c>
      <c r="AQ76" s="9" t="n">
        <f aca="false">$AQ$18</f>
        <v>43</v>
      </c>
      <c r="AR76" s="9"/>
      <c r="AS76" s="9" t="n">
        <f aca="false">AS$18</f>
        <v>30</v>
      </c>
      <c r="AT76" s="9" t="n">
        <f aca="false">AT$18</f>
        <v>38</v>
      </c>
      <c r="AU76" s="9" t="n">
        <f aca="false">SUMPRODUCT(AH76:AK76,AQ76:AT76)/AL76</f>
        <v>39.0311679319086</v>
      </c>
      <c r="AV76" s="9" t="n">
        <f aca="false">$Y$18/1000*CURVES!O35+VLOOKUP($B76,$AU$10:$AV$14,2,FALSE())</f>
        <v>81.60089802862</v>
      </c>
      <c r="AW76" s="9" t="n">
        <f aca="false">(AL76*AU76+AM76*AV76)/AN76</f>
        <v>57.0615353581763</v>
      </c>
      <c r="AX76" s="9" t="n">
        <f aca="false">CHOOSE(AX$18,CURVES!B35,CURVES!C35)</f>
        <v>80.1111111111111</v>
      </c>
      <c r="AY76" s="9" t="n">
        <f aca="false">(AN76*AW76+AO76*AX76)/I76</f>
        <v>69.3048717891173</v>
      </c>
    </row>
    <row r="77" customFormat="false" ht="12.75" hidden="false" customHeight="false" outlineLevel="0" collapsed="false">
      <c r="A77" s="85" t="n">
        <v>37895</v>
      </c>
      <c r="B77" s="31" t="n">
        <f aca="false">YEAR(A77)</f>
        <v>2003</v>
      </c>
      <c r="C77" s="31" t="n">
        <f aca="false">MONTH(A77)</f>
        <v>10</v>
      </c>
      <c r="D77" s="86" t="n">
        <v>0.054953513215957</v>
      </c>
      <c r="E77" s="87" t="n">
        <f aca="false">(1+D77/2)^(-2*(DATE($B78,$C78,20)-$E$17)/365.25)</f>
        <v>3.26930320382076</v>
      </c>
      <c r="F77" s="87"/>
      <c r="G77" s="8"/>
      <c r="H77" s="8" t="n">
        <f aca="false">(1+$I$17)*H65</f>
        <v>12044.1835587017</v>
      </c>
      <c r="I77" s="8" t="n">
        <f aca="false">(1+$I$17)*I65</f>
        <v>10337.7293630691</v>
      </c>
      <c r="K77" s="50" t="n">
        <f aca="false">K65</f>
        <v>2069.29166666667</v>
      </c>
      <c r="L77" s="50" t="n">
        <f aca="false">L65</f>
        <v>1227.52419354839</v>
      </c>
      <c r="M77" s="50" t="n">
        <f aca="false">M65</f>
        <v>369.340053763441</v>
      </c>
      <c r="N77" s="50" t="n">
        <f aca="false">N65</f>
        <v>3.27822580645161</v>
      </c>
      <c r="O77" s="50" t="n">
        <f aca="false">SUM(K77:N77)</f>
        <v>3669.43413978495</v>
      </c>
      <c r="P77" s="50" t="n">
        <f aca="false">P65</f>
        <v>3171.07549498463</v>
      </c>
      <c r="Q77" s="50" t="n">
        <f aca="false">O77+P77</f>
        <v>6840.50963476957</v>
      </c>
      <c r="R77" s="8" t="n">
        <f aca="false">H77-O77-P77</f>
        <v>5203.67392393217</v>
      </c>
      <c r="T77" s="9" t="n">
        <f aca="false">$T$18</f>
        <v>48.72</v>
      </c>
      <c r="U77" s="9" t="n">
        <f aca="false">U$18</f>
        <v>23</v>
      </c>
      <c r="V77" s="9" t="n">
        <f aca="false">V$18</f>
        <v>34</v>
      </c>
      <c r="W77" s="9" t="n">
        <f aca="false">W$18</f>
        <v>38</v>
      </c>
      <c r="X77" s="9" t="n">
        <f aca="false">SUMPRODUCT(K77:N77,T77:W77)/O77</f>
        <v>38.624778497461</v>
      </c>
      <c r="Y77" s="9" t="n">
        <f aca="false">$Y$18/1000*CURVES!K36+VLOOKUP($B77,$X$10:$Y$14,2,FALSE())</f>
        <v>78.7878712487163</v>
      </c>
      <c r="Z77" s="9" t="n">
        <f aca="false">(O77*X77+P77*Y77)/Q77</f>
        <v>57.2433034358577</v>
      </c>
      <c r="AA77" s="9" t="n">
        <f aca="false">CHOOSE(AA$18,CURVES!F36,CURVES!G36)</f>
        <v>58.0967741935484</v>
      </c>
      <c r="AB77" s="9" t="n">
        <f aca="false">(Q77*Z77+R77*AA77)/H77</f>
        <v>57.6120443725088</v>
      </c>
      <c r="AD77" s="9"/>
      <c r="AH77" s="50" t="n">
        <f aca="false">AH65</f>
        <v>1913.83994918903</v>
      </c>
      <c r="AI77" s="50" t="n">
        <f aca="false">AI65</f>
        <v>0</v>
      </c>
      <c r="AJ77" s="50" t="n">
        <f aca="false">AJ65</f>
        <v>1075.38011608834</v>
      </c>
      <c r="AK77" s="50" t="n">
        <f aca="false">AK65</f>
        <v>576.385560502926</v>
      </c>
      <c r="AL77" s="50" t="n">
        <f aca="false">SUM(AH77:AK77)</f>
        <v>3565.6056257803</v>
      </c>
      <c r="AM77" s="50" t="n">
        <f aca="false">AM65</f>
        <v>2259.71325</v>
      </c>
      <c r="AN77" s="50" t="n">
        <f aca="false">AL77+AM77</f>
        <v>5825.3188757803</v>
      </c>
      <c r="AO77" s="8" t="n">
        <f aca="false">I77-AL77-AM77</f>
        <v>4512.41048728875</v>
      </c>
      <c r="AQ77" s="9" t="n">
        <f aca="false">$AQ$18</f>
        <v>43</v>
      </c>
      <c r="AR77" s="9"/>
      <c r="AS77" s="9" t="n">
        <f aca="false">AS$18</f>
        <v>30</v>
      </c>
      <c r="AT77" s="9" t="n">
        <f aca="false">AT$18</f>
        <v>38</v>
      </c>
      <c r="AU77" s="9" t="n">
        <f aca="false">SUMPRODUCT(AH77:AK77,AQ77:AT77)/AL77</f>
        <v>38.2709662589303</v>
      </c>
      <c r="AV77" s="9" t="n">
        <f aca="false">$Y$18/1000*CURVES!O36+VLOOKUP($B77,$AU$10:$AV$14,2,FALSE())</f>
        <v>81.86339802862</v>
      </c>
      <c r="AW77" s="9" t="n">
        <f aca="false">(AL77*AU77+AM77*AV77)/AN77</f>
        <v>55.18100977247</v>
      </c>
      <c r="AX77" s="9" t="n">
        <f aca="false">CHOOSE(AX$18,CURVES!B36,CURVES!C36)</f>
        <v>55.7741935483871</v>
      </c>
      <c r="AY77" s="9" t="n">
        <f aca="false">(AN77*AW77+AO77*AX77)/I77</f>
        <v>55.4399340098272</v>
      </c>
    </row>
    <row r="78" customFormat="false" ht="12.75" hidden="false" customHeight="false" outlineLevel="0" collapsed="false">
      <c r="A78" s="85" t="n">
        <v>37926</v>
      </c>
      <c r="B78" s="31" t="n">
        <f aca="false">YEAR(A78)</f>
        <v>2003</v>
      </c>
      <c r="C78" s="31" t="n">
        <f aca="false">MONTH(A78)</f>
        <v>11</v>
      </c>
      <c r="D78" s="86" t="n">
        <v>0.055037480368084</v>
      </c>
      <c r="E78" s="87" t="n">
        <f aca="false">(1+D78/2)^(-2*(DATE($B79,$C79,20)-$E$17)/365.25)</f>
        <v>3.260573405363</v>
      </c>
      <c r="F78" s="87"/>
      <c r="G78" s="8"/>
      <c r="H78" s="8" t="n">
        <f aca="false">(1+$I$17)*H66</f>
        <v>11781.5906521465</v>
      </c>
      <c r="I78" s="8" t="n">
        <f aca="false">(1+$I$17)*I66</f>
        <v>10494.647003498</v>
      </c>
      <c r="K78" s="50" t="n">
        <f aca="false">K66</f>
        <v>2201.15833333333</v>
      </c>
      <c r="L78" s="50" t="n">
        <f aca="false">L66</f>
        <v>1270.02777777778</v>
      </c>
      <c r="M78" s="50" t="n">
        <f aca="false">M66</f>
        <v>241.311111111111</v>
      </c>
      <c r="N78" s="50" t="n">
        <f aca="false">N66</f>
        <v>3.11944444444444</v>
      </c>
      <c r="O78" s="50" t="n">
        <f aca="false">SUM(K78:N78)</f>
        <v>3715.61666666667</v>
      </c>
      <c r="P78" s="50" t="n">
        <f aca="false">P66</f>
        <v>3029.03315829808</v>
      </c>
      <c r="Q78" s="50" t="n">
        <f aca="false">O78+P78</f>
        <v>6744.64982496475</v>
      </c>
      <c r="R78" s="8" t="n">
        <f aca="false">H78-O78-P78</f>
        <v>5036.94082718177</v>
      </c>
      <c r="T78" s="9" t="n">
        <f aca="false">$T$18</f>
        <v>48.72</v>
      </c>
      <c r="U78" s="9" t="n">
        <f aca="false">U$18</f>
        <v>23</v>
      </c>
      <c r="V78" s="9" t="n">
        <f aca="false">V$18</f>
        <v>34</v>
      </c>
      <c r="W78" s="9" t="n">
        <f aca="false">W$18</f>
        <v>38</v>
      </c>
      <c r="X78" s="9" t="n">
        <f aca="false">SUMPRODUCT(K78:N78,T78:W78)/O78</f>
        <v>38.9637044247179</v>
      </c>
      <c r="Y78" s="9" t="n">
        <f aca="false">$Y$18/1000*CURVES!K37+VLOOKUP($B78,$X$10:$Y$14,2,FALSE())</f>
        <v>76.4253712487163</v>
      </c>
      <c r="Z78" s="9" t="n">
        <f aca="false">(O78*X78+P78*Y78)/Q78</f>
        <v>55.7877996586909</v>
      </c>
      <c r="AA78" s="9" t="n">
        <f aca="false">CHOOSE(AA$18,CURVES!F37,CURVES!G37)</f>
        <v>48.9333333333333</v>
      </c>
      <c r="AB78" s="9" t="n">
        <f aca="false">(Q78*Z78+R78*AA78)/H78</f>
        <v>52.8573344692179</v>
      </c>
      <c r="AD78" s="9"/>
      <c r="AH78" s="50" t="n">
        <f aca="false">AH66</f>
        <v>1838.78743628671</v>
      </c>
      <c r="AI78" s="50" t="n">
        <f aca="false">AI66</f>
        <v>0</v>
      </c>
      <c r="AJ78" s="50" t="n">
        <f aca="false">AJ66</f>
        <v>1347.87918472112</v>
      </c>
      <c r="AK78" s="50" t="n">
        <f aca="false">AK66</f>
        <v>499.439112514422</v>
      </c>
      <c r="AL78" s="50" t="n">
        <f aca="false">SUM(AH78:AK78)</f>
        <v>3686.10573352225</v>
      </c>
      <c r="AM78" s="50" t="n">
        <f aca="false">AM66</f>
        <v>2451.23764109589</v>
      </c>
      <c r="AN78" s="50" t="n">
        <f aca="false">AL78+AM78</f>
        <v>6137.34337461814</v>
      </c>
      <c r="AO78" s="8" t="n">
        <f aca="false">I78-AL78-AM78</f>
        <v>4357.30362887986</v>
      </c>
      <c r="AQ78" s="9" t="n">
        <f aca="false">$AQ$18</f>
        <v>43</v>
      </c>
      <c r="AR78" s="9"/>
      <c r="AS78" s="9" t="n">
        <f aca="false">AS$18</f>
        <v>30</v>
      </c>
      <c r="AT78" s="9" t="n">
        <f aca="false">AT$18</f>
        <v>38</v>
      </c>
      <c r="AU78" s="9" t="n">
        <f aca="false">SUMPRODUCT(AH78:AK78,AQ78:AT78)/AL78</f>
        <v>37.5688956282822</v>
      </c>
      <c r="AV78" s="9" t="n">
        <f aca="false">$Y$18/1000*CURVES!O37+VLOOKUP($B78,$AU$10:$AV$14,2,FALSE())</f>
        <v>79.50089802862</v>
      </c>
      <c r="AW78" s="9" t="n">
        <f aca="false">(AL78*AU78+AM78*AV78)/AN78</f>
        <v>54.316419170034</v>
      </c>
      <c r="AX78" s="9" t="n">
        <f aca="false">CHOOSE(AX$18,CURVES!B37,CURVES!C37)</f>
        <v>53.1666666666667</v>
      </c>
      <c r="AY78" s="9" t="n">
        <f aca="false">(AN78*AW78+AO78*AX78)/I78</f>
        <v>53.8390500166393</v>
      </c>
    </row>
    <row r="79" customFormat="false" ht="12.75" hidden="false" customHeight="false" outlineLevel="0" collapsed="false">
      <c r="A79" s="85" t="n">
        <v>37956</v>
      </c>
      <c r="B79" s="31" t="n">
        <f aca="false">YEAR(A79)</f>
        <v>2003</v>
      </c>
      <c r="C79" s="31" t="n">
        <f aca="false">MONTH(A79)</f>
        <v>12</v>
      </c>
      <c r="D79" s="86" t="n">
        <v>0.055118738904638</v>
      </c>
      <c r="E79" s="87" t="n">
        <f aca="false">(1+D79/2)^(-2*(DATE($B80,$C80,20)-$E$17)/365.25)</f>
        <v>3.25115312495262</v>
      </c>
      <c r="F79" s="87"/>
      <c r="G79" s="8"/>
      <c r="H79" s="8" t="n">
        <f aca="false">(1+$I$17)*H67</f>
        <v>11696.7571133696</v>
      </c>
      <c r="I79" s="8" t="n">
        <f aca="false">(1+$I$17)*I67</f>
        <v>10470.8049935465</v>
      </c>
      <c r="K79" s="50" t="n">
        <f aca="false">K67</f>
        <v>2256.4126344086</v>
      </c>
      <c r="L79" s="50" t="n">
        <f aca="false">L67</f>
        <v>1157.21505376344</v>
      </c>
      <c r="M79" s="50" t="n">
        <f aca="false">M67</f>
        <v>239.860215053763</v>
      </c>
      <c r="N79" s="50" t="n">
        <f aca="false">N67</f>
        <v>2.96908602150538</v>
      </c>
      <c r="O79" s="50" t="n">
        <f aca="false">SUM(K79:N79)</f>
        <v>3656.45698924731</v>
      </c>
      <c r="P79" s="50" t="n">
        <f aca="false">P67</f>
        <v>2977.59684973097</v>
      </c>
      <c r="Q79" s="50" t="n">
        <f aca="false">O79+P79</f>
        <v>6634.05383897828</v>
      </c>
      <c r="R79" s="8" t="n">
        <f aca="false">H79-O79-P79</f>
        <v>5062.70327439131</v>
      </c>
      <c r="T79" s="9" t="n">
        <f aca="false">$T$18</f>
        <v>48.72</v>
      </c>
      <c r="U79" s="9" t="n">
        <f aca="false">U$18</f>
        <v>23</v>
      </c>
      <c r="V79" s="9" t="n">
        <f aca="false">V$18</f>
        <v>34</v>
      </c>
      <c r="W79" s="9" t="n">
        <f aca="false">W$18</f>
        <v>38</v>
      </c>
      <c r="X79" s="9" t="n">
        <f aca="false">SUMPRODUCT(K79:N79,T79:W79)/O79</f>
        <v>39.6056736867024</v>
      </c>
      <c r="Y79" s="9" t="n">
        <f aca="false">$Y$18/1000*CURVES!K38+VLOOKUP($B79,$X$10:$Y$14,2,FALSE())</f>
        <v>77.7378712487163</v>
      </c>
      <c r="Z79" s="9" t="n">
        <f aca="false">(O79*X79+P79*Y79)/Q79</f>
        <v>56.7207460225426</v>
      </c>
      <c r="AA79" s="9" t="n">
        <f aca="false">CHOOSE(AA$18,CURVES!F38,CURVES!G38)</f>
        <v>49.1827956989247</v>
      </c>
      <c r="AB79" s="9" t="n">
        <f aca="false">(Q79*Z79+R79*AA79)/H79</f>
        <v>53.4580976307111</v>
      </c>
      <c r="AD79" s="9"/>
      <c r="AH79" s="50" t="n">
        <f aca="false">AH67</f>
        <v>1921.09500453605</v>
      </c>
      <c r="AI79" s="50" t="n">
        <f aca="false">AI67</f>
        <v>0</v>
      </c>
      <c r="AJ79" s="50" t="n">
        <f aca="false">AJ67</f>
        <v>1326.47869273451</v>
      </c>
      <c r="AK79" s="50" t="n">
        <f aca="false">AK67</f>
        <v>519.619723134563</v>
      </c>
      <c r="AL79" s="50" t="n">
        <f aca="false">SUM(AH79:AK79)</f>
        <v>3767.19342040512</v>
      </c>
      <c r="AM79" s="50" t="n">
        <f aca="false">AM67</f>
        <v>2024.24791129032</v>
      </c>
      <c r="AN79" s="50" t="n">
        <f aca="false">AL79+AM79</f>
        <v>5791.44133169545</v>
      </c>
      <c r="AO79" s="8" t="n">
        <f aca="false">I79-AL79-AM79</f>
        <v>4679.36366185106</v>
      </c>
      <c r="AQ79" s="9" t="n">
        <f aca="false">$AQ$18</f>
        <v>43</v>
      </c>
      <c r="AR79" s="9"/>
      <c r="AS79" s="9" t="n">
        <f aca="false">AS$18</f>
        <v>30</v>
      </c>
      <c r="AT79" s="9" t="n">
        <f aca="false">AT$18</f>
        <v>38</v>
      </c>
      <c r="AU79" s="9" t="n">
        <f aca="false">SUMPRODUCT(AH79:AK79,AQ79:AT79)/AL79</f>
        <v>37.7328635918334</v>
      </c>
      <c r="AV79" s="9" t="n">
        <f aca="false">$Y$18/1000*CURVES!O38+VLOOKUP($B79,$AU$10:$AV$14,2,FALSE())</f>
        <v>80.81339802862</v>
      </c>
      <c r="AW79" s="9" t="n">
        <f aca="false">(AL79*AU79+AM79*AV79)/AN79</f>
        <v>52.7905455843412</v>
      </c>
      <c r="AX79" s="9" t="n">
        <f aca="false">CHOOSE(AX$18,CURVES!B38,CURVES!C38)</f>
        <v>52.9408602150538</v>
      </c>
      <c r="AY79" s="9" t="n">
        <f aca="false">(AN79*AW79+AO79*AX79)/I79</f>
        <v>52.8577206316499</v>
      </c>
    </row>
    <row r="80" customFormat="false" ht="12.75" hidden="false" customHeight="false" outlineLevel="0" collapsed="false">
      <c r="A80" s="85" t="n">
        <v>37987</v>
      </c>
      <c r="B80" s="31" t="n">
        <f aca="false">YEAR(A80)</f>
        <v>2004</v>
      </c>
      <c r="C80" s="31" t="n">
        <f aca="false">MONTH(A80)</f>
        <v>1</v>
      </c>
      <c r="D80" s="86" t="n">
        <v>0.055209084886415</v>
      </c>
      <c r="E80" s="87" t="n">
        <f aca="false">(1+D80/2)^(-2*(DATE($B81,$C81,20)-$E$17)/365.25)</f>
        <v>3.24233557459773</v>
      </c>
      <c r="F80" s="87"/>
      <c r="G80" s="8"/>
      <c r="H80" s="8" t="n">
        <f aca="false">(1+$I$17)*H68</f>
        <v>11911.6731621204</v>
      </c>
      <c r="I80" s="8" t="n">
        <f aca="false">(1+$I$17)*I68</f>
        <v>11323.5307046815</v>
      </c>
      <c r="K80" s="50" t="n">
        <f aca="false">K68</f>
        <v>2185.91801075269</v>
      </c>
      <c r="L80" s="50" t="n">
        <f aca="false">L68</f>
        <v>1282.33064516129</v>
      </c>
      <c r="M80" s="50" t="n">
        <f aca="false">M68</f>
        <v>142.852150537634</v>
      </c>
      <c r="N80" s="50" t="n">
        <f aca="false">N68</f>
        <v>3.16801075268817</v>
      </c>
      <c r="O80" s="50" t="n">
        <f aca="false">SUM(K80:N80)</f>
        <v>3614.2688172043</v>
      </c>
      <c r="P80" s="50" t="n">
        <f aca="false">P68</f>
        <v>2792.6655547379</v>
      </c>
      <c r="Q80" s="50" t="n">
        <f aca="false">O80+P80</f>
        <v>6406.9343719422</v>
      </c>
      <c r="R80" s="8" t="n">
        <f aca="false">H80-O80-P80</f>
        <v>5504.73879017819</v>
      </c>
      <c r="T80" s="9" t="n">
        <f aca="false">$T$18</f>
        <v>48.72</v>
      </c>
      <c r="U80" s="9" t="n">
        <f aca="false">U$18</f>
        <v>23</v>
      </c>
      <c r="V80" s="9" t="n">
        <f aca="false">V$18</f>
        <v>34</v>
      </c>
      <c r="W80" s="9" t="n">
        <f aca="false">W$18</f>
        <v>38</v>
      </c>
      <c r="X80" s="9" t="n">
        <f aca="false">SUMPRODUCT(K80:N80,T80:W80)/O80</f>
        <v>39.0034319468534</v>
      </c>
      <c r="Y80" s="9" t="n">
        <f aca="false">$Y$18/1000*CURVES!K39+VLOOKUP($B80,$X$10:$Y$14,2,FALSE())</f>
        <v>78.8061511683263</v>
      </c>
      <c r="Z80" s="9" t="n">
        <f aca="false">(O80*X80+P80*Y80)/Q80</f>
        <v>56.3527095423122</v>
      </c>
      <c r="AA80" s="9" t="n">
        <f aca="false">CHOOSE(AA$18,CURVES!F39,CURVES!G39)</f>
        <v>42.5564516129032</v>
      </c>
      <c r="AB80" s="9" t="n">
        <f aca="false">(Q80*Z80+R80*AA80)/H80</f>
        <v>49.9770480252695</v>
      </c>
      <c r="AD80" s="9"/>
      <c r="AH80" s="50" t="n">
        <f aca="false">AH68</f>
        <v>1826.05608785899</v>
      </c>
      <c r="AI80" s="50" t="n">
        <f aca="false">AI68</f>
        <v>0</v>
      </c>
      <c r="AJ80" s="50" t="n">
        <f aca="false">AJ68</f>
        <v>1744.08931864439</v>
      </c>
      <c r="AK80" s="50" t="n">
        <f aca="false">AK68</f>
        <v>538.872892801371</v>
      </c>
      <c r="AL80" s="50" t="n">
        <f aca="false">SUM(AH80:AK80)</f>
        <v>4109.01829930475</v>
      </c>
      <c r="AM80" s="50" t="n">
        <f aca="false">AM68</f>
        <v>2445.3687016129</v>
      </c>
      <c r="AN80" s="50" t="n">
        <f aca="false">AL80+AM80</f>
        <v>6554.38700091765</v>
      </c>
      <c r="AO80" s="8" t="n">
        <f aca="false">I80-AL80-AM80</f>
        <v>4769.14370376383</v>
      </c>
      <c r="AQ80" s="9" t="n">
        <f aca="false">$AQ$18</f>
        <v>43</v>
      </c>
      <c r="AR80" s="9"/>
      <c r="AS80" s="9" t="n">
        <f aca="false">AS$18</f>
        <v>30</v>
      </c>
      <c r="AT80" s="9" t="n">
        <f aca="false">AT$18</f>
        <v>38</v>
      </c>
      <c r="AU80" s="9" t="n">
        <f aca="false">SUMPRODUCT(AH80:AK80,AQ80:AT80)/AL80</f>
        <v>36.8263780400598</v>
      </c>
      <c r="AV80" s="9" t="n">
        <f aca="false">$Y$18/1000*CURVES!O39+VLOOKUP($B80,$AU$10:$AV$14,2,FALSE())</f>
        <v>81.1434037919549</v>
      </c>
      <c r="AW80" s="9" t="n">
        <f aca="false">(AL80*AU80+AM80*AV80)/AN80</f>
        <v>53.3605661658273</v>
      </c>
      <c r="AX80" s="9" t="n">
        <f aca="false">CHOOSE(AX$18,CURVES!B39,CURVES!C39)</f>
        <v>48.8284946236559</v>
      </c>
      <c r="AY80" s="9" t="n">
        <f aca="false">(AN80*AW80+AO80*AX80)/I80</f>
        <v>51.4517886807786</v>
      </c>
    </row>
    <row r="81" customFormat="false" ht="12.75" hidden="false" customHeight="false" outlineLevel="0" collapsed="false">
      <c r="A81" s="85" t="n">
        <v>38018</v>
      </c>
      <c r="B81" s="31" t="n">
        <f aca="false">YEAR(A81)</f>
        <v>2004</v>
      </c>
      <c r="C81" s="31" t="n">
        <f aca="false">MONTH(A81)</f>
        <v>2</v>
      </c>
      <c r="D81" s="86" t="n">
        <v>0.055306234951161</v>
      </c>
      <c r="E81" s="87" t="n">
        <f aca="false">(1+D81/2)^(-2*(DATE($B82,$C82,20)-$E$17)/365.25)</f>
        <v>3.23492025738956</v>
      </c>
      <c r="F81" s="87"/>
      <c r="G81" s="8"/>
      <c r="H81" s="8" t="n">
        <f aca="false">(1+$I$17)*H69</f>
        <v>11943.7132044624</v>
      </c>
      <c r="I81" s="8" t="n">
        <f aca="false">(1+$I$17)*I69</f>
        <v>11308.4391153516</v>
      </c>
      <c r="K81" s="50" t="n">
        <f aca="false">K69</f>
        <v>2261.87643678161</v>
      </c>
      <c r="L81" s="50" t="n">
        <f aca="false">L69</f>
        <v>1335.97988505747</v>
      </c>
      <c r="M81" s="50" t="n">
        <f aca="false">M69</f>
        <v>236.002873563218</v>
      </c>
      <c r="N81" s="50" t="n">
        <f aca="false">N69</f>
        <v>3.84913793103448</v>
      </c>
      <c r="O81" s="50" t="n">
        <f aca="false">SUM(K81:N81)</f>
        <v>3837.70833333333</v>
      </c>
      <c r="P81" s="50" t="n">
        <f aca="false">P69</f>
        <v>3011.77170136767</v>
      </c>
      <c r="Q81" s="50" t="n">
        <f aca="false">O81+P81</f>
        <v>6849.48003470101</v>
      </c>
      <c r="R81" s="8" t="n">
        <f aca="false">H81-O81-P81</f>
        <v>5094.2331697614</v>
      </c>
      <c r="T81" s="9" t="n">
        <f aca="false">$T$18</f>
        <v>48.72</v>
      </c>
      <c r="U81" s="9" t="n">
        <f aca="false">U$18</f>
        <v>23</v>
      </c>
      <c r="V81" s="9" t="n">
        <f aca="false">V$18</f>
        <v>34</v>
      </c>
      <c r="W81" s="9" t="n">
        <f aca="false">W$18</f>
        <v>38</v>
      </c>
      <c r="X81" s="9" t="n">
        <f aca="false">SUMPRODUCT(K81:N81,T81:W81)/O81</f>
        <v>38.8504048116</v>
      </c>
      <c r="Y81" s="9" t="n">
        <f aca="false">$Y$18/1000*CURVES!K40+VLOOKUP($B81,$X$10:$Y$14,2,FALSE())</f>
        <v>77.7981511683263</v>
      </c>
      <c r="Z81" s="9" t="n">
        <f aca="false">(O81*X81+P81*Y81)/Q81</f>
        <v>55.976043504604</v>
      </c>
      <c r="AA81" s="9" t="n">
        <f aca="false">CHOOSE(AA$18,CURVES!F40,CURVES!G40)</f>
        <v>41.3362068965517</v>
      </c>
      <c r="AB81" s="9" t="n">
        <f aca="false">(Q81*Z81+R81*AA81)/H81</f>
        <v>49.7318596421882</v>
      </c>
      <c r="AD81" s="9"/>
      <c r="AH81" s="50" t="n">
        <f aca="false">AH69</f>
        <v>1925.74685025101</v>
      </c>
      <c r="AI81" s="50" t="n">
        <f aca="false">AI69</f>
        <v>0</v>
      </c>
      <c r="AJ81" s="50" t="n">
        <f aca="false">AJ69</f>
        <v>2201.92738718254</v>
      </c>
      <c r="AK81" s="50" t="n">
        <f aca="false">AK69</f>
        <v>548.475477754164</v>
      </c>
      <c r="AL81" s="50" t="n">
        <f aca="false">SUM(AH81:AK81)</f>
        <v>4676.14971518771</v>
      </c>
      <c r="AM81" s="50" t="n">
        <f aca="false">AM69</f>
        <v>2161.54564434524</v>
      </c>
      <c r="AN81" s="50" t="n">
        <f aca="false">AL81+AM81</f>
        <v>6837.69535953295</v>
      </c>
      <c r="AO81" s="8" t="n">
        <f aca="false">I81-AL81-AM81</f>
        <v>4470.7437558186</v>
      </c>
      <c r="AQ81" s="9" t="n">
        <f aca="false">$AQ$18</f>
        <v>43</v>
      </c>
      <c r="AR81" s="9"/>
      <c r="AS81" s="9" t="n">
        <f aca="false">AS$18</f>
        <v>30</v>
      </c>
      <c r="AT81" s="9" t="n">
        <f aca="false">AT$18</f>
        <v>38</v>
      </c>
      <c r="AU81" s="9" t="n">
        <f aca="false">SUMPRODUCT(AH81:AK81,AQ81:AT81)/AL81</f>
        <v>36.2920382509856</v>
      </c>
      <c r="AV81" s="9" t="n">
        <f aca="false">$Y$18/1000*CURVES!O40+VLOOKUP($B81,$AU$10:$AV$14,2,FALSE())</f>
        <v>80.1354037919549</v>
      </c>
      <c r="AW81" s="9" t="n">
        <f aca="false">(AL81*AU81+AM81*AV81)/AN81</f>
        <v>50.1518888052214</v>
      </c>
      <c r="AX81" s="9" t="n">
        <f aca="false">CHOOSE(AX$18,CURVES!B40,CURVES!C40)</f>
        <v>47.2724137931034</v>
      </c>
      <c r="AY81" s="9" t="n">
        <f aca="false">(AN81*AW81+AO81*AX81)/I81</f>
        <v>49.0135004919319</v>
      </c>
    </row>
    <row r="82" customFormat="false" ht="12.75" hidden="false" customHeight="false" outlineLevel="0" collapsed="false">
      <c r="A82" s="85" t="n">
        <v>38047</v>
      </c>
      <c r="B82" s="31" t="n">
        <f aca="false">YEAR(A82)</f>
        <v>2004</v>
      </c>
      <c r="C82" s="31" t="n">
        <f aca="false">MONTH(A82)</f>
        <v>3</v>
      </c>
      <c r="D82" s="86" t="n">
        <v>0.05539711727264</v>
      </c>
      <c r="E82" s="87" t="n">
        <f aca="false">(1+D82/2)^(-2*(DATE($B83,$C83,20)-$E$17)/365.25)</f>
        <v>3.22608571296489</v>
      </c>
      <c r="F82" s="87"/>
      <c r="G82" s="8"/>
      <c r="H82" s="8" t="n">
        <f aca="false">(1+$I$17)*H70</f>
        <v>11874.569096407</v>
      </c>
      <c r="I82" s="8" t="n">
        <f aca="false">(1+$I$17)*I70</f>
        <v>11054.5683440891</v>
      </c>
      <c r="K82" s="50" t="n">
        <f aca="false">K70</f>
        <v>2263.94623655914</v>
      </c>
      <c r="L82" s="50" t="n">
        <f aca="false">L70</f>
        <v>1258.63037634409</v>
      </c>
      <c r="M82" s="50" t="n">
        <f aca="false">M70</f>
        <v>620.646505376344</v>
      </c>
      <c r="N82" s="50" t="n">
        <f aca="false">N70</f>
        <v>2.58198924731183</v>
      </c>
      <c r="O82" s="50" t="n">
        <f aca="false">SUM(K82:N82)</f>
        <v>4145.80510752688</v>
      </c>
      <c r="P82" s="50" t="n">
        <f aca="false">P70</f>
        <v>2834.39732902856</v>
      </c>
      <c r="Q82" s="50" t="n">
        <f aca="false">O82+P82</f>
        <v>6980.20243655544</v>
      </c>
      <c r="R82" s="8" t="n">
        <f aca="false">H82-O82-P82</f>
        <v>4894.36665985156</v>
      </c>
      <c r="T82" s="9" t="n">
        <f aca="false">$T$18</f>
        <v>48.72</v>
      </c>
      <c r="U82" s="9" t="n">
        <f aca="false">U$18</f>
        <v>23</v>
      </c>
      <c r="V82" s="9" t="n">
        <f aca="false">V$18</f>
        <v>34</v>
      </c>
      <c r="W82" s="9" t="n">
        <f aca="false">W$18</f>
        <v>38</v>
      </c>
      <c r="X82" s="9" t="n">
        <f aca="false">SUMPRODUCT(K82:N82,T82:W82)/O82</f>
        <v>38.7013021388701</v>
      </c>
      <c r="Y82" s="9" t="n">
        <f aca="false">$Y$18/1000*CURVES!K41+VLOOKUP($B82,$X$10:$Y$14,2,FALSE())</f>
        <v>76.2231511683263</v>
      </c>
      <c r="Z82" s="9" t="n">
        <f aca="false">(O82*X82+P82*Y82)/Q82</f>
        <v>53.9375119244685</v>
      </c>
      <c r="AA82" s="9" t="n">
        <f aca="false">CHOOSE(AA$18,CURVES!F41,CURVES!G41)</f>
        <v>41.3145161290323</v>
      </c>
      <c r="AB82" s="9" t="n">
        <f aca="false">(Q82*Z82+R82*AA82)/H82</f>
        <v>48.7346646239021</v>
      </c>
      <c r="AD82" s="9"/>
      <c r="AH82" s="50" t="n">
        <f aca="false">AH70</f>
        <v>1891.23873243112</v>
      </c>
      <c r="AI82" s="50" t="n">
        <f aca="false">AI70</f>
        <v>0</v>
      </c>
      <c r="AJ82" s="50" t="n">
        <f aca="false">AJ70</f>
        <v>1966.55049263563</v>
      </c>
      <c r="AK82" s="50" t="n">
        <f aca="false">AK70</f>
        <v>526.073305014923</v>
      </c>
      <c r="AL82" s="50" t="n">
        <f aca="false">SUM(AH82:AK82)</f>
        <v>4383.86253008167</v>
      </c>
      <c r="AM82" s="50" t="n">
        <f aca="false">AM70</f>
        <v>2044.22227284946</v>
      </c>
      <c r="AN82" s="50" t="n">
        <f aca="false">AL82+AM82</f>
        <v>6428.08480293113</v>
      </c>
      <c r="AO82" s="8" t="n">
        <f aca="false">I82-AL82-AM82</f>
        <v>4626.48354115793</v>
      </c>
      <c r="AQ82" s="9" t="n">
        <f aca="false">$AQ$18</f>
        <v>43</v>
      </c>
      <c r="AR82" s="9"/>
      <c r="AS82" s="9" t="n">
        <f aca="false">AS$18</f>
        <v>30</v>
      </c>
      <c r="AT82" s="9" t="n">
        <f aca="false">AT$18</f>
        <v>38</v>
      </c>
      <c r="AU82" s="9" t="n">
        <f aca="false">SUMPRODUCT(AH82:AK82,AQ82:AT82)/AL82</f>
        <v>36.5683377989472</v>
      </c>
      <c r="AV82" s="9" t="n">
        <f aca="false">$Y$18/1000*CURVES!O41+VLOOKUP($B82,$AU$10:$AV$14,2,FALSE())</f>
        <v>78.5604037919549</v>
      </c>
      <c r="AW82" s="9" t="n">
        <f aca="false">(AL82*AU82+AM82*AV82)/AN82</f>
        <v>49.922411246567</v>
      </c>
      <c r="AX82" s="9" t="n">
        <f aca="false">CHOOSE(AX$18,CURVES!B41,CURVES!C41)</f>
        <v>45.6258064516129</v>
      </c>
      <c r="AY82" s="9" t="n">
        <f aca="false">(AN82*AW82+AO82*AX82)/I82</f>
        <v>48.1242251258629</v>
      </c>
    </row>
    <row r="83" customFormat="false" ht="12.75" hidden="false" customHeight="false" outlineLevel="0" collapsed="false">
      <c r="A83" s="85" t="n">
        <v>38078</v>
      </c>
      <c r="B83" s="31" t="n">
        <f aca="false">YEAR(A83)</f>
        <v>2004</v>
      </c>
      <c r="C83" s="31" t="n">
        <f aca="false">MONTH(A83)</f>
        <v>4</v>
      </c>
      <c r="D83" s="86" t="n">
        <v>0.055483670787007</v>
      </c>
      <c r="E83" s="87" t="n">
        <f aca="false">(1+D83/2)^(-2*(DATE($B84,$C84,20)-$E$17)/365.25)</f>
        <v>3.21741949028977</v>
      </c>
      <c r="F83" s="87"/>
      <c r="G83" s="8"/>
      <c r="H83" s="8" t="n">
        <f aca="false">(1+$I$17)*H71</f>
        <v>11927.2602730865</v>
      </c>
      <c r="I83" s="8" t="n">
        <f aca="false">(1+$I$17)*I71</f>
        <v>10799.1724613997</v>
      </c>
      <c r="K83" s="50" t="n">
        <f aca="false">K71</f>
        <v>2319.84027777778</v>
      </c>
      <c r="L83" s="50" t="n">
        <f aca="false">L71</f>
        <v>1179.16597222222</v>
      </c>
      <c r="M83" s="50" t="n">
        <f aca="false">M71</f>
        <v>811.586111111111</v>
      </c>
      <c r="N83" s="50" t="n">
        <f aca="false">N71</f>
        <v>3.04166666666667</v>
      </c>
      <c r="O83" s="50" t="n">
        <f aca="false">SUM(K83:N83)</f>
        <v>4313.63402777778</v>
      </c>
      <c r="P83" s="50" t="n">
        <f aca="false">P71</f>
        <v>2923.39459068154</v>
      </c>
      <c r="Q83" s="50" t="n">
        <f aca="false">O83+P83</f>
        <v>7237.02861845932</v>
      </c>
      <c r="R83" s="8" t="n">
        <f aca="false">H83-O83-P83</f>
        <v>4690.23165462722</v>
      </c>
      <c r="T83" s="9" t="n">
        <f aca="false">$T$18</f>
        <v>48.72</v>
      </c>
      <c r="U83" s="9" t="n">
        <f aca="false">U$18</f>
        <v>23</v>
      </c>
      <c r="V83" s="9" t="n">
        <f aca="false">V$18</f>
        <v>34</v>
      </c>
      <c r="W83" s="9" t="n">
        <f aca="false">W$18</f>
        <v>38</v>
      </c>
      <c r="X83" s="9" t="n">
        <f aca="false">SUMPRODUCT(K83:N83,T83:W83)/O83</f>
        <v>38.9121899828918</v>
      </c>
      <c r="Y83" s="9" t="n">
        <f aca="false">$Y$18/1000*CURVES!K42+VLOOKUP($B83,$X$10:$Y$14,2,FALSE())</f>
        <v>74.8791511683263</v>
      </c>
      <c r="Z83" s="9" t="n">
        <f aca="false">(O83*X83+P83*Y83)/Q83</f>
        <v>53.4410284490766</v>
      </c>
      <c r="AA83" s="9" t="n">
        <f aca="false">CHOOSE(AA$18,CURVES!F42,CURVES!G42)</f>
        <v>40.9833333333333</v>
      </c>
      <c r="AB83" s="9" t="n">
        <f aca="false">(Q83*Z83+R83*AA83)/H83</f>
        <v>48.542210561502</v>
      </c>
      <c r="AD83" s="9"/>
      <c r="AH83" s="50" t="n">
        <f aca="false">AH71</f>
        <v>1937.93108490741</v>
      </c>
      <c r="AI83" s="50" t="n">
        <f aca="false">AI71</f>
        <v>0</v>
      </c>
      <c r="AJ83" s="50" t="n">
        <f aca="false">AJ71</f>
        <v>2070.95002093926</v>
      </c>
      <c r="AK83" s="50" t="n">
        <f aca="false">AK71</f>
        <v>513.919329218532</v>
      </c>
      <c r="AL83" s="50" t="n">
        <f aca="false">SUM(AH83:AK83)</f>
        <v>4522.8004350652</v>
      </c>
      <c r="AM83" s="50" t="n">
        <f aca="false">AM71</f>
        <v>2152.99685890411</v>
      </c>
      <c r="AN83" s="50" t="n">
        <f aca="false">AL83+AM83</f>
        <v>6675.79729396931</v>
      </c>
      <c r="AO83" s="8" t="n">
        <f aca="false">I83-AL83-AM83</f>
        <v>4123.37516743038</v>
      </c>
      <c r="AQ83" s="9" t="n">
        <f aca="false">$AQ$18</f>
        <v>43</v>
      </c>
      <c r="AR83" s="9"/>
      <c r="AS83" s="9" t="n">
        <f aca="false">AS$18</f>
        <v>30</v>
      </c>
      <c r="AT83" s="9" t="n">
        <f aca="false">AT$18</f>
        <v>38</v>
      </c>
      <c r="AU83" s="9" t="n">
        <f aca="false">SUMPRODUCT(AH83:AK83,AQ83:AT83)/AL83</f>
        <v>36.4792729987261</v>
      </c>
      <c r="AV83" s="9" t="n">
        <f aca="false">$Y$18/1000*CURVES!O42+VLOOKUP($B83,$AU$10:$AV$14,2,FALSE())</f>
        <v>74.5389037919549</v>
      </c>
      <c r="AW83" s="9" t="n">
        <f aca="false">(AL83*AU83+AM83*AV83)/AN83</f>
        <v>48.7538017090115</v>
      </c>
      <c r="AX83" s="9" t="n">
        <f aca="false">CHOOSE(AX$18,CURVES!B42,CURVES!C42)</f>
        <v>43.61</v>
      </c>
      <c r="AY83" s="9" t="n">
        <f aca="false">(AN83*AW83+AO83*AX83)/I83</f>
        <v>46.789778603636</v>
      </c>
    </row>
    <row r="84" customFormat="false" ht="12.75" hidden="false" customHeight="false" outlineLevel="0" collapsed="false">
      <c r="A84" s="85" t="n">
        <v>38108</v>
      </c>
      <c r="B84" s="31" t="n">
        <f aca="false">YEAR(A84)</f>
        <v>2004</v>
      </c>
      <c r="C84" s="31" t="n">
        <f aca="false">MONTH(A84)</f>
        <v>5</v>
      </c>
      <c r="D84" s="86" t="n">
        <v>0.055556493873767</v>
      </c>
      <c r="E84" s="87" t="n">
        <f aca="false">(1+D84/2)^(-2*(DATE($B85,$C85,20)-$E$17)/365.25)</f>
        <v>3.20733902310553</v>
      </c>
      <c r="F84" s="87"/>
      <c r="G84" s="8"/>
      <c r="H84" s="8" t="n">
        <f aca="false">(1+$I$17)*H72</f>
        <v>12603.5219544455</v>
      </c>
      <c r="I84" s="8" t="n">
        <f aca="false">(1+$I$17)*I72</f>
        <v>11763.1955730368</v>
      </c>
      <c r="K84" s="50" t="n">
        <f aca="false">K72</f>
        <v>2226.06720430108</v>
      </c>
      <c r="L84" s="50" t="n">
        <f aca="false">L72</f>
        <v>1023.62634408602</v>
      </c>
      <c r="M84" s="50" t="n">
        <f aca="false">M72</f>
        <v>950.165322580645</v>
      </c>
      <c r="N84" s="50" t="n">
        <f aca="false">N72</f>
        <v>3.30510752688172</v>
      </c>
      <c r="O84" s="50" t="n">
        <f aca="false">SUM(K84:N84)</f>
        <v>4203.16397849462</v>
      </c>
      <c r="P84" s="50" t="n">
        <f aca="false">P72</f>
        <v>2831.51050210493</v>
      </c>
      <c r="Q84" s="50" t="n">
        <f aca="false">O84+P84</f>
        <v>7034.67448059955</v>
      </c>
      <c r="R84" s="8" t="n">
        <f aca="false">H84-O84-P84</f>
        <v>5568.84747384597</v>
      </c>
      <c r="T84" s="9" t="n">
        <f aca="false">$T$18</f>
        <v>48.72</v>
      </c>
      <c r="U84" s="9" t="n">
        <f aca="false">U$18</f>
        <v>23</v>
      </c>
      <c r="V84" s="9" t="n">
        <f aca="false">V$18</f>
        <v>34</v>
      </c>
      <c r="W84" s="9" t="n">
        <f aca="false">W$18</f>
        <v>38</v>
      </c>
      <c r="X84" s="9" t="n">
        <f aca="false">SUMPRODUCT(K84:N84,T84:W84)/O84</f>
        <v>39.1201999261949</v>
      </c>
      <c r="Y84" s="9" t="n">
        <f aca="false">$Y$18/1000*CURVES!K43+VLOOKUP($B84,$X$10:$Y$14,2,FALSE())</f>
        <v>74.6166511683263</v>
      </c>
      <c r="Z84" s="9" t="n">
        <f aca="false">(O84*X84+P84*Y84)/Q84</f>
        <v>53.4077941505952</v>
      </c>
      <c r="AA84" s="9" t="n">
        <f aca="false">CHOOSE(AA$18,CURVES!F43,CURVES!G43)</f>
        <v>39.4112903225806</v>
      </c>
      <c r="AB84" s="9" t="n">
        <f aca="false">(Q84*Z84+R84*AA84)/H84</f>
        <v>47.2234597028878</v>
      </c>
      <c r="AD84" s="9"/>
      <c r="AH84" s="50" t="n">
        <f aca="false">AH72</f>
        <v>1895.25910320262</v>
      </c>
      <c r="AI84" s="50" t="n">
        <f aca="false">AI72</f>
        <v>0</v>
      </c>
      <c r="AJ84" s="50" t="n">
        <f aca="false">AJ72</f>
        <v>1877.63033247346</v>
      </c>
      <c r="AK84" s="50" t="n">
        <f aca="false">AK72</f>
        <v>570.53181663935</v>
      </c>
      <c r="AL84" s="50" t="n">
        <f aca="false">SUM(AH84:AK84)</f>
        <v>4343.42125231544</v>
      </c>
      <c r="AM84" s="50" t="n">
        <f aca="false">AM72</f>
        <v>2186.84183198925</v>
      </c>
      <c r="AN84" s="50" t="n">
        <f aca="false">AL84+AM84</f>
        <v>6530.26308430469</v>
      </c>
      <c r="AO84" s="8" t="n">
        <f aca="false">I84-AL84-AM84</f>
        <v>5232.93248873208</v>
      </c>
      <c r="AQ84" s="9" t="n">
        <f aca="false">$AQ$18</f>
        <v>43</v>
      </c>
      <c r="AR84" s="9"/>
      <c r="AS84" s="9" t="n">
        <f aca="false">AS$18</f>
        <v>30</v>
      </c>
      <c r="AT84" s="9" t="n">
        <f aca="false">AT$18</f>
        <v>38</v>
      </c>
      <c r="AU84" s="9" t="n">
        <f aca="false">SUMPRODUCT(AH84:AK84,AQ84:AT84)/AL84</f>
        <v>36.7234148332219</v>
      </c>
      <c r="AV84" s="9" t="n">
        <f aca="false">$Y$18/1000*CURVES!O43+VLOOKUP($B84,$AU$10:$AV$14,2,FALSE())</f>
        <v>74.2764037919549</v>
      </c>
      <c r="AW84" s="9" t="n">
        <f aca="false">(AL84*AU84+AM84*AV84)/AN84</f>
        <v>49.2990869173324</v>
      </c>
      <c r="AX84" s="9" t="n">
        <f aca="false">CHOOSE(AX$18,CURVES!B43,CURVES!C43)</f>
        <v>42.9881720430108</v>
      </c>
      <c r="AY84" s="9" t="n">
        <f aca="false">(AN84*AW84+AO84*AX84)/I84</f>
        <v>46.4916362314696</v>
      </c>
    </row>
    <row r="85" customFormat="false" ht="12.75" hidden="false" customHeight="false" outlineLevel="0" collapsed="false">
      <c r="A85" s="85" t="n">
        <v>38139</v>
      </c>
      <c r="B85" s="31" t="n">
        <f aca="false">YEAR(A85)</f>
        <v>2004</v>
      </c>
      <c r="C85" s="31" t="n">
        <f aca="false">MONTH(A85)</f>
        <v>6</v>
      </c>
      <c r="D85" s="86" t="n">
        <v>0.055631744398608</v>
      </c>
      <c r="E85" s="87" t="n">
        <f aca="false">(1+D85/2)^(-2*(DATE($B86,$C86,20)-$E$17)/365.25)</f>
        <v>3.19789185859925</v>
      </c>
      <c r="F85" s="87"/>
      <c r="G85" s="8"/>
      <c r="H85" s="8" t="n">
        <f aca="false">(1+$I$17)*H73</f>
        <v>13928.4292212534</v>
      </c>
      <c r="I85" s="8" t="n">
        <f aca="false">(1+$I$17)*I73</f>
        <v>13264.4890493399</v>
      </c>
      <c r="K85" s="50" t="n">
        <f aca="false">K73</f>
        <v>2252.13333333333</v>
      </c>
      <c r="L85" s="50" t="n">
        <f aca="false">L73</f>
        <v>1398.39166666667</v>
      </c>
      <c r="M85" s="50" t="n">
        <f aca="false">M73</f>
        <v>957.040277777778</v>
      </c>
      <c r="N85" s="50" t="n">
        <f aca="false">N73</f>
        <v>3.52638888888889</v>
      </c>
      <c r="O85" s="50" t="n">
        <f aca="false">SUM(K85:N85)</f>
        <v>4611.09166666667</v>
      </c>
      <c r="P85" s="50" t="n">
        <f aca="false">P73</f>
        <v>3175.74117813466</v>
      </c>
      <c r="Q85" s="50" t="n">
        <f aca="false">O85+P85</f>
        <v>7786.83284480132</v>
      </c>
      <c r="R85" s="8" t="n">
        <f aca="false">H85-O85-P85</f>
        <v>6141.59637645213</v>
      </c>
      <c r="T85" s="9" t="n">
        <f aca="false">$T$18</f>
        <v>48.72</v>
      </c>
      <c r="U85" s="9" t="n">
        <f aca="false">U$18</f>
        <v>23</v>
      </c>
      <c r="V85" s="9" t="n">
        <f aca="false">V$18</f>
        <v>34</v>
      </c>
      <c r="W85" s="9" t="n">
        <f aca="false">W$18</f>
        <v>38</v>
      </c>
      <c r="X85" s="9" t="n">
        <f aca="false">SUMPRODUCT(K85:N85,T85:W85)/O85</f>
        <v>37.8566138290945</v>
      </c>
      <c r="Y85" s="9" t="n">
        <f aca="false">$Y$18/1000*CURVES!K44+VLOOKUP($B85,$X$10:$Y$14,2,FALSE())</f>
        <v>74.9211511683263</v>
      </c>
      <c r="Z85" s="9" t="n">
        <f aca="false">(O85*X85+P85*Y85)/Q85</f>
        <v>52.972820870227</v>
      </c>
      <c r="AA85" s="9" t="n">
        <f aca="false">CHOOSE(AA$18,CURVES!F44,CURVES!G44)</f>
        <v>50.9611111111111</v>
      </c>
      <c r="AB85" s="9" t="n">
        <f aca="false">(Q85*Z85+R85*AA85)/H85</f>
        <v>52.0857783207192</v>
      </c>
      <c r="AD85" s="9"/>
      <c r="AH85" s="50" t="n">
        <f aca="false">AH73</f>
        <v>1881.37055634004</v>
      </c>
      <c r="AI85" s="50" t="n">
        <f aca="false">AI73</f>
        <v>0</v>
      </c>
      <c r="AJ85" s="50" t="n">
        <f aca="false">AJ73</f>
        <v>1162.16168617347</v>
      </c>
      <c r="AK85" s="50" t="n">
        <f aca="false">AK73</f>
        <v>631.240712103584</v>
      </c>
      <c r="AL85" s="50" t="n">
        <f aca="false">SUM(AH85:AK85)</f>
        <v>3674.77295461709</v>
      </c>
      <c r="AM85" s="50" t="n">
        <f aca="false">AM73</f>
        <v>2754.04614109589</v>
      </c>
      <c r="AN85" s="50" t="n">
        <f aca="false">AL85+AM85</f>
        <v>6428.81909571298</v>
      </c>
      <c r="AO85" s="8" t="n">
        <f aca="false">I85-AL85-AM85</f>
        <v>6835.66995362697</v>
      </c>
      <c r="AQ85" s="9" t="n">
        <f aca="false">$AQ$18</f>
        <v>43</v>
      </c>
      <c r="AR85" s="9"/>
      <c r="AS85" s="9" t="n">
        <f aca="false">AS$18</f>
        <v>30</v>
      </c>
      <c r="AT85" s="9" t="n">
        <f aca="false">AT$18</f>
        <v>38</v>
      </c>
      <c r="AU85" s="9" t="n">
        <f aca="false">SUMPRODUCT(AH85:AK85,AQ85:AT85)/AL85</f>
        <v>38.0298138942638</v>
      </c>
      <c r="AV85" s="9" t="n">
        <f aca="false">$Y$18/1000*CURVES!O44+VLOOKUP($B85,$AU$10:$AV$14,2,FALSE())</f>
        <v>74.5809037919549</v>
      </c>
      <c r="AW85" s="9" t="n">
        <f aca="false">(AL85*AU85+AM85*AV85)/AN85</f>
        <v>53.6879599062914</v>
      </c>
      <c r="AX85" s="9" t="n">
        <f aca="false">CHOOSE(AX$18,CURVES!B44,CURVES!C44)</f>
        <v>48.8211111111111</v>
      </c>
      <c r="AY85" s="9" t="n">
        <f aca="false">(AN85*AW85+AO85*AX85)/I85</f>
        <v>51.179897066154</v>
      </c>
    </row>
    <row r="86" customFormat="false" ht="12.75" hidden="false" customHeight="false" outlineLevel="0" collapsed="false">
      <c r="A86" s="85" t="n">
        <v>38169</v>
      </c>
      <c r="B86" s="31" t="n">
        <f aca="false">YEAR(A86)</f>
        <v>2004</v>
      </c>
      <c r="C86" s="31" t="n">
        <f aca="false">MONTH(A86)</f>
        <v>7</v>
      </c>
      <c r="D86" s="86" t="n">
        <v>0.055704124471487</v>
      </c>
      <c r="E86" s="87" t="n">
        <f aca="false">(1+D86/2)^(-2*(DATE($B87,$C87,20)-$E$17)/365.25)</f>
        <v>3.18776653460914</v>
      </c>
      <c r="F86" s="87"/>
      <c r="G86" s="8"/>
      <c r="H86" s="8" t="n">
        <f aca="false">(1+$I$17)*H74</f>
        <v>13747.2573450615</v>
      </c>
      <c r="I86" s="8" t="n">
        <f aca="false">(1+$I$17)*I74</f>
        <v>12591.8565238562</v>
      </c>
      <c r="K86" s="50" t="n">
        <f aca="false">K74</f>
        <v>2248.45698924731</v>
      </c>
      <c r="L86" s="50" t="n">
        <f aca="false">L74</f>
        <v>1358.32258064516</v>
      </c>
      <c r="M86" s="50" t="n">
        <f aca="false">M74</f>
        <v>653.551075268817</v>
      </c>
      <c r="N86" s="50" t="n">
        <f aca="false">N74</f>
        <v>3.83736559139785</v>
      </c>
      <c r="O86" s="50" t="n">
        <f aca="false">SUM(K86:N86)</f>
        <v>4264.16801075269</v>
      </c>
      <c r="P86" s="50" t="n">
        <f aca="false">P74</f>
        <v>3349.38956238808</v>
      </c>
      <c r="Q86" s="50" t="n">
        <f aca="false">O86+P86</f>
        <v>7613.55757314076</v>
      </c>
      <c r="R86" s="8" t="n">
        <f aca="false">H86-O86-P86</f>
        <v>6133.69977192075</v>
      </c>
      <c r="T86" s="9" t="n">
        <f aca="false">$T$18</f>
        <v>48.72</v>
      </c>
      <c r="U86" s="9" t="n">
        <f aca="false">U$18</f>
        <v>23</v>
      </c>
      <c r="V86" s="9" t="n">
        <f aca="false">V$18</f>
        <v>34</v>
      </c>
      <c r="W86" s="9" t="n">
        <f aca="false">W$18</f>
        <v>38</v>
      </c>
      <c r="X86" s="9" t="n">
        <f aca="false">SUMPRODUCT(K86:N86,T86:W86)/O86</f>
        <v>38.2613442789234</v>
      </c>
      <c r="Y86" s="9" t="n">
        <f aca="false">$Y$18/1000*CURVES!K45+VLOOKUP($B86,$X$10:$Y$14,2,FALSE())</f>
        <v>75.2361511683263</v>
      </c>
      <c r="Z86" s="9" t="n">
        <f aca="false">(O86*X86+P86*Y86)/Q86</f>
        <v>54.5274631171885</v>
      </c>
      <c r="AA86" s="9" t="n">
        <f aca="false">CHOOSE(AA$18,CURVES!F45,CURVES!G45)</f>
        <v>68.3736559139785</v>
      </c>
      <c r="AB86" s="9" t="n">
        <f aca="false">(Q86*Z86+R86*AA86)/H86</f>
        <v>60.7053055382552</v>
      </c>
      <c r="AD86" s="9"/>
      <c r="AH86" s="50" t="n">
        <f aca="false">AH74</f>
        <v>1914.32162011861</v>
      </c>
      <c r="AI86" s="50" t="n">
        <f aca="false">AI74</f>
        <v>0</v>
      </c>
      <c r="AJ86" s="50" t="n">
        <f aca="false">AJ74</f>
        <v>1193.33197430598</v>
      </c>
      <c r="AK86" s="50" t="n">
        <f aca="false">AK74</f>
        <v>610.723058442111</v>
      </c>
      <c r="AL86" s="50" t="n">
        <f aca="false">SUM(AH86:AK86)</f>
        <v>3718.37665286669</v>
      </c>
      <c r="AM86" s="50" t="n">
        <f aca="false">AM74</f>
        <v>2586.73186021505</v>
      </c>
      <c r="AN86" s="50" t="n">
        <f aca="false">AL86+AM86</f>
        <v>6305.10851308175</v>
      </c>
      <c r="AO86" s="8" t="n">
        <f aca="false">I86-AL86-AM86</f>
        <v>6286.74801077441</v>
      </c>
      <c r="AQ86" s="9" t="n">
        <f aca="false">$AQ$18</f>
        <v>43</v>
      </c>
      <c r="AR86" s="9"/>
      <c r="AS86" s="9" t="n">
        <f aca="false">AS$18</f>
        <v>30</v>
      </c>
      <c r="AT86" s="9" t="n">
        <f aca="false">AT$18</f>
        <v>38</v>
      </c>
      <c r="AU86" s="9" t="n">
        <f aca="false">SUMPRODUCT(AH86:AK86,AQ86:AT86)/AL86</f>
        <v>38.0067105375476</v>
      </c>
      <c r="AV86" s="9" t="n">
        <f aca="false">$Y$18/1000*CURVES!O45+VLOOKUP($B86,$AU$10:$AV$14,2,FALSE())</f>
        <v>74.8959037919549</v>
      </c>
      <c r="AW86" s="9" t="n">
        <f aca="false">(AL86*AU86+AM86*AV86)/AN86</f>
        <v>53.1408595043456</v>
      </c>
      <c r="AX86" s="9" t="n">
        <f aca="false">CHOOSE(AX$18,CURVES!B45,CURVES!C45)</f>
        <v>68.4467741935484</v>
      </c>
      <c r="AY86" s="9" t="n">
        <f aca="false">(AN86*AW86+AO86*AX86)/I86</f>
        <v>60.7826578795991</v>
      </c>
    </row>
    <row r="87" customFormat="false" ht="12.75" hidden="false" customHeight="false" outlineLevel="0" collapsed="false">
      <c r="A87" s="85" t="n">
        <v>38200</v>
      </c>
      <c r="B87" s="31" t="n">
        <f aca="false">YEAR(A87)</f>
        <v>2004</v>
      </c>
      <c r="C87" s="31" t="n">
        <f aca="false">MONTH(A87)</f>
        <v>8</v>
      </c>
      <c r="D87" s="86" t="n">
        <v>0.055778430336502</v>
      </c>
      <c r="E87" s="87" t="n">
        <f aca="false">(1+D87/2)^(-2*(DATE($B88,$C88,20)-$E$17)/365.25)</f>
        <v>3.17776023828286</v>
      </c>
      <c r="F87" s="87"/>
      <c r="G87" s="8"/>
      <c r="H87" s="8" t="n">
        <f aca="false">(1+$I$17)*H75</f>
        <v>14742.171542528</v>
      </c>
      <c r="I87" s="8" t="n">
        <f aca="false">(1+$I$17)*I75</f>
        <v>13059.8387643997</v>
      </c>
      <c r="K87" s="50" t="n">
        <f aca="false">K75</f>
        <v>2226.06586021505</v>
      </c>
      <c r="L87" s="50" t="n">
        <f aca="false">L75</f>
        <v>1361.98924731183</v>
      </c>
      <c r="M87" s="50" t="n">
        <f aca="false">M75</f>
        <v>483.364247311828</v>
      </c>
      <c r="N87" s="50" t="n">
        <f aca="false">N75</f>
        <v>3.9247311827957</v>
      </c>
      <c r="O87" s="50" t="n">
        <f aca="false">SUM(K87:N87)</f>
        <v>4075.34408602151</v>
      </c>
      <c r="P87" s="50" t="n">
        <f aca="false">P75</f>
        <v>3426.25292884001</v>
      </c>
      <c r="Q87" s="50" t="n">
        <f aca="false">O87+P87</f>
        <v>7501.59701486152</v>
      </c>
      <c r="R87" s="8" t="n">
        <f aca="false">H87-O87-P87</f>
        <v>7240.57452766648</v>
      </c>
      <c r="T87" s="9" t="n">
        <f aca="false">$T$18</f>
        <v>48.72</v>
      </c>
      <c r="U87" s="9" t="n">
        <f aca="false">U$18</f>
        <v>23</v>
      </c>
      <c r="V87" s="9" t="n">
        <f aca="false">V$18</f>
        <v>34</v>
      </c>
      <c r="W87" s="9" t="n">
        <f aca="false">W$18</f>
        <v>38</v>
      </c>
      <c r="X87" s="9" t="n">
        <f aca="false">SUMPRODUCT(K87:N87,T87:W87)/O87</f>
        <v>38.3680990588564</v>
      </c>
      <c r="Y87" s="9" t="n">
        <f aca="false">$Y$18/1000*CURVES!K46+VLOOKUP($B87,$X$10:$Y$14,2,FALSE())</f>
        <v>75.4461511683263</v>
      </c>
      <c r="Z87" s="9" t="n">
        <f aca="false">(O87*X87+P87*Y87)/Q87</f>
        <v>55.3029976389955</v>
      </c>
      <c r="AA87" s="9" t="n">
        <f aca="false">CHOOSE(AA$18,CURVES!F46,CURVES!G46)</f>
        <v>73.6102150537634</v>
      </c>
      <c r="AB87" s="9" t="n">
        <f aca="false">(Q87*Z87+R87*AA87)/H87</f>
        <v>64.294534042125</v>
      </c>
      <c r="AD87" s="9"/>
      <c r="AH87" s="50" t="n">
        <f aca="false">AH75</f>
        <v>1859.59450264151</v>
      </c>
      <c r="AI87" s="50" t="n">
        <f aca="false">AI75</f>
        <v>0</v>
      </c>
      <c r="AJ87" s="50" t="n">
        <f aca="false">AJ75</f>
        <v>1584.50880376937</v>
      </c>
      <c r="AK87" s="50" t="n">
        <f aca="false">AK75</f>
        <v>621.501656862376</v>
      </c>
      <c r="AL87" s="50" t="n">
        <f aca="false">SUM(AH87:AK87)</f>
        <v>4065.60496327325</v>
      </c>
      <c r="AM87" s="50" t="n">
        <f aca="false">AM75</f>
        <v>2208.28901612903</v>
      </c>
      <c r="AN87" s="50" t="n">
        <f aca="false">AL87+AM87</f>
        <v>6273.89397940229</v>
      </c>
      <c r="AO87" s="8" t="n">
        <f aca="false">I87-AL87-AM87</f>
        <v>6785.94478499736</v>
      </c>
      <c r="AQ87" s="9" t="n">
        <f aca="false">$AQ$18</f>
        <v>43</v>
      </c>
      <c r="AR87" s="9"/>
      <c r="AS87" s="9" t="n">
        <f aca="false">AS$18</f>
        <v>30</v>
      </c>
      <c r="AT87" s="9" t="n">
        <f aca="false">AT$18</f>
        <v>38</v>
      </c>
      <c r="AU87" s="9" t="n">
        <f aca="false">SUMPRODUCT(AH87:AK87,AQ87:AT87)/AL87</f>
        <v>37.1691032583186</v>
      </c>
      <c r="AV87" s="9" t="n">
        <f aca="false">$Y$18/1000*CURVES!O46+VLOOKUP($B87,$AU$10:$AV$14,2,FALSE())</f>
        <v>75.1059037919549</v>
      </c>
      <c r="AW87" s="9" t="n">
        <f aca="false">(AL87*AU87+AM87*AV87)/AN87</f>
        <v>50.5221213680522</v>
      </c>
      <c r="AX87" s="9" t="n">
        <f aca="false">CHOOSE(AX$18,CURVES!B46,CURVES!C46)</f>
        <v>76.9870967741935</v>
      </c>
      <c r="AY87" s="9" t="n">
        <f aca="false">(AN87*AW87+AO87*AX87)/I87</f>
        <v>64.2734291048628</v>
      </c>
    </row>
    <row r="88" customFormat="false" ht="12.75" hidden="false" customHeight="false" outlineLevel="0" collapsed="false">
      <c r="A88" s="85" t="n">
        <v>38231</v>
      </c>
      <c r="B88" s="31" t="n">
        <f aca="false">YEAR(A88)</f>
        <v>2004</v>
      </c>
      <c r="C88" s="31" t="n">
        <f aca="false">MONTH(A88)</f>
        <v>9</v>
      </c>
      <c r="D88" s="86" t="n">
        <v>0.055852736203356</v>
      </c>
      <c r="E88" s="87" t="n">
        <f aca="false">(1+D88/2)^(-2*(DATE($B89,$C89,20)-$E$17)/365.25)</f>
        <v>3.16822410221128</v>
      </c>
      <c r="F88" s="87"/>
      <c r="G88" s="8"/>
      <c r="H88" s="8" t="n">
        <f aca="false">(1+$I$17)*H76</f>
        <v>13353.6307247375</v>
      </c>
      <c r="I88" s="8" t="n">
        <f aca="false">(1+$I$17)*I76</f>
        <v>12301.5296138763</v>
      </c>
      <c r="K88" s="50" t="n">
        <f aca="false">K76</f>
        <v>2263.63333333333</v>
      </c>
      <c r="L88" s="50" t="n">
        <f aca="false">L76</f>
        <v>1380.73611111111</v>
      </c>
      <c r="M88" s="50" t="n">
        <f aca="false">M76</f>
        <v>542.602777777778</v>
      </c>
      <c r="N88" s="50" t="n">
        <f aca="false">N76</f>
        <v>3.41944444444444</v>
      </c>
      <c r="O88" s="50" t="n">
        <f aca="false">SUM(K88:N88)</f>
        <v>4190.39166666667</v>
      </c>
      <c r="P88" s="50" t="n">
        <f aca="false">P76</f>
        <v>3348.13393235473</v>
      </c>
      <c r="Q88" s="50" t="n">
        <f aca="false">O88+P88</f>
        <v>7538.52559902139</v>
      </c>
      <c r="R88" s="8" t="n">
        <f aca="false">H88-O88-P88</f>
        <v>5815.10512571614</v>
      </c>
      <c r="T88" s="9" t="n">
        <f aca="false">$T$18</f>
        <v>48.72</v>
      </c>
      <c r="U88" s="9" t="n">
        <f aca="false">U$18</f>
        <v>23</v>
      </c>
      <c r="V88" s="9" t="n">
        <f aca="false">V$18</f>
        <v>34</v>
      </c>
      <c r="W88" s="9" t="n">
        <f aca="false">W$18</f>
        <v>38</v>
      </c>
      <c r="X88" s="9" t="n">
        <f aca="false">SUMPRODUCT(K88:N88,T88:W88)/O88</f>
        <v>38.3304456159959</v>
      </c>
      <c r="Y88" s="9" t="n">
        <f aca="false">$Y$18/1000*CURVES!K47+VLOOKUP($B88,$X$10:$Y$14,2,FALSE())</f>
        <v>75.6666511683263</v>
      </c>
      <c r="Z88" s="9" t="n">
        <f aca="false">(O88*X88+P88*Y88)/Q88</f>
        <v>54.9128150824279</v>
      </c>
      <c r="AA88" s="9" t="n">
        <f aca="false">CHOOSE(AA$18,CURVES!F47,CURVES!G47)</f>
        <v>68.1111111111111</v>
      </c>
      <c r="AB88" s="9" t="n">
        <f aca="false">(Q88*Z88+R88*AA88)/H88</f>
        <v>60.6602766132411</v>
      </c>
      <c r="AD88" s="9"/>
      <c r="AH88" s="50" t="n">
        <f aca="false">AH76</f>
        <v>1890.97734163897</v>
      </c>
      <c r="AI88" s="50" t="n">
        <f aca="false">AI76</f>
        <v>0</v>
      </c>
      <c r="AJ88" s="50" t="n">
        <f aca="false">AJ76</f>
        <v>765.820605438213</v>
      </c>
      <c r="AK88" s="50" t="n">
        <f aca="false">AK76</f>
        <v>570.922545092046</v>
      </c>
      <c r="AL88" s="50" t="n">
        <f aca="false">SUM(AH88:AK88)</f>
        <v>3227.72049216923</v>
      </c>
      <c r="AM88" s="50" t="n">
        <f aca="false">AM76</f>
        <v>2371.57693150685</v>
      </c>
      <c r="AN88" s="50" t="n">
        <f aca="false">AL88+AM88</f>
        <v>5599.29742367608</v>
      </c>
      <c r="AO88" s="8" t="n">
        <f aca="false">I88-AL88-AM88</f>
        <v>6702.23219020025</v>
      </c>
      <c r="AQ88" s="9" t="n">
        <f aca="false">$AQ$18</f>
        <v>43</v>
      </c>
      <c r="AR88" s="9"/>
      <c r="AS88" s="9" t="n">
        <f aca="false">AS$18</f>
        <v>30</v>
      </c>
      <c r="AT88" s="9" t="n">
        <f aca="false">AT$18</f>
        <v>38</v>
      </c>
      <c r="AU88" s="9" t="n">
        <f aca="false">SUMPRODUCT(AH88:AK88,AQ88:AT88)/AL88</f>
        <v>39.0311679319086</v>
      </c>
      <c r="AV88" s="9" t="n">
        <f aca="false">$Y$18/1000*CURVES!O47+VLOOKUP($B88,$AU$10:$AV$14,2,FALSE())</f>
        <v>75.3264037919549</v>
      </c>
      <c r="AW88" s="9" t="n">
        <f aca="false">(AL88*AU88+AM88*AV88)/AN88</f>
        <v>54.4039794788213</v>
      </c>
      <c r="AX88" s="9" t="n">
        <f aca="false">CHOOSE(AX$18,CURVES!B47,CURVES!C47)</f>
        <v>69.0777777777778</v>
      </c>
      <c r="AY88" s="9" t="n">
        <f aca="false">(AN88*AW88+AO88*AX88)/I88</f>
        <v>62.3986928517692</v>
      </c>
    </row>
    <row r="89" customFormat="false" ht="12.75" hidden="false" customHeight="false" outlineLevel="0" collapsed="false">
      <c r="A89" s="85" t="n">
        <v>38261</v>
      </c>
      <c r="B89" s="31" t="n">
        <f aca="false">YEAR(A89)</f>
        <v>2004</v>
      </c>
      <c r="C89" s="31" t="n">
        <f aca="false">MONTH(A89)</f>
        <v>10</v>
      </c>
      <c r="D89" s="86" t="n">
        <v>0.055924454309932</v>
      </c>
      <c r="E89" s="87" t="n">
        <f aca="false">(1+D89/2)^(-2*(DATE($B90,$C90,20)-$E$17)/365.25)</f>
        <v>3.15803616965639</v>
      </c>
      <c r="F89" s="87"/>
      <c r="G89" s="8"/>
      <c r="H89" s="8" t="n">
        <f aca="false">(1+$I$17)*H77</f>
        <v>12405.5090654628</v>
      </c>
      <c r="I89" s="8" t="n">
        <f aca="false">(1+$I$17)*I77</f>
        <v>10647.8612439611</v>
      </c>
      <c r="K89" s="50" t="n">
        <f aca="false">K77</f>
        <v>2069.29166666667</v>
      </c>
      <c r="L89" s="50" t="n">
        <f aca="false">L77</f>
        <v>1227.52419354839</v>
      </c>
      <c r="M89" s="50" t="n">
        <f aca="false">M77</f>
        <v>369.340053763441</v>
      </c>
      <c r="N89" s="50" t="n">
        <f aca="false">N77</f>
        <v>3.27822580645161</v>
      </c>
      <c r="O89" s="50" t="n">
        <f aca="false">SUM(K89:N89)</f>
        <v>3669.43413978495</v>
      </c>
      <c r="P89" s="50" t="n">
        <f aca="false">P77</f>
        <v>3171.07549498463</v>
      </c>
      <c r="Q89" s="50" t="n">
        <f aca="false">O89+P89</f>
        <v>6840.50963476957</v>
      </c>
      <c r="R89" s="8" t="n">
        <f aca="false">H89-O89-P89</f>
        <v>5564.99943069323</v>
      </c>
      <c r="T89" s="9" t="n">
        <f aca="false">$T$18</f>
        <v>48.72</v>
      </c>
      <c r="U89" s="9" t="n">
        <f aca="false">U$18</f>
        <v>23</v>
      </c>
      <c r="V89" s="9" t="n">
        <f aca="false">V$18</f>
        <v>34</v>
      </c>
      <c r="W89" s="9" t="n">
        <f aca="false">W$18</f>
        <v>38</v>
      </c>
      <c r="X89" s="9" t="n">
        <f aca="false">SUMPRODUCT(K89:N89,T89:W89)/O89</f>
        <v>38.624778497461</v>
      </c>
      <c r="Y89" s="9" t="n">
        <f aca="false">$Y$18/1000*CURVES!K48+VLOOKUP($B89,$X$10:$Y$14,2,FALSE())</f>
        <v>75.9816511683263</v>
      </c>
      <c r="Z89" s="9" t="n">
        <f aca="false">(O89*X89+P89*Y89)/Q89</f>
        <v>55.9424156065026</v>
      </c>
      <c r="AA89" s="9" t="n">
        <f aca="false">CHOOSE(AA$18,CURVES!F48,CURVES!G48)</f>
        <v>48.9327956989247</v>
      </c>
      <c r="AB89" s="9" t="n">
        <f aca="false">(Q89*Z89+R89*AA89)/H89</f>
        <v>52.7979633644219</v>
      </c>
      <c r="AD89" s="9"/>
      <c r="AH89" s="50" t="n">
        <f aca="false">AH77</f>
        <v>1913.83994918903</v>
      </c>
      <c r="AI89" s="50" t="n">
        <f aca="false">AI77</f>
        <v>0</v>
      </c>
      <c r="AJ89" s="50" t="n">
        <f aca="false">AJ77</f>
        <v>1075.38011608834</v>
      </c>
      <c r="AK89" s="50" t="n">
        <f aca="false">AK77</f>
        <v>576.385560502926</v>
      </c>
      <c r="AL89" s="50" t="n">
        <f aca="false">SUM(AH89:AK89)</f>
        <v>3565.6056257803</v>
      </c>
      <c r="AM89" s="50" t="n">
        <f aca="false">AM77</f>
        <v>2259.71325</v>
      </c>
      <c r="AN89" s="50" t="n">
        <f aca="false">AL89+AM89</f>
        <v>5825.3188757803</v>
      </c>
      <c r="AO89" s="8" t="n">
        <f aca="false">I89-AL89-AM89</f>
        <v>4822.54236818082</v>
      </c>
      <c r="AQ89" s="9" t="n">
        <f aca="false">$AQ$18</f>
        <v>43</v>
      </c>
      <c r="AR89" s="9"/>
      <c r="AS89" s="9" t="n">
        <f aca="false">AS$18</f>
        <v>30</v>
      </c>
      <c r="AT89" s="9" t="n">
        <f aca="false">AT$18</f>
        <v>38</v>
      </c>
      <c r="AU89" s="9" t="n">
        <f aca="false">SUMPRODUCT(AH89:AK89,AQ89:AT89)/AL89</f>
        <v>38.2709662589303</v>
      </c>
      <c r="AV89" s="9" t="n">
        <f aca="false">$Y$18/1000*CURVES!O48+VLOOKUP($B89,$AU$10:$AV$14,2,FALSE())</f>
        <v>75.6414037919549</v>
      </c>
      <c r="AW89" s="9" t="n">
        <f aca="false">(AL89*AU89+AM89*AV89)/AN89</f>
        <v>52.7674212431841</v>
      </c>
      <c r="AX89" s="9" t="n">
        <f aca="false">CHOOSE(AX$18,CURVES!B48,CURVES!C48)</f>
        <v>47.3069892473118</v>
      </c>
      <c r="AY89" s="9" t="n">
        <f aca="false">(AN89*AW89+AO89*AX89)/I89</f>
        <v>50.2943269714496</v>
      </c>
    </row>
    <row r="90" customFormat="false" ht="12.75" hidden="false" customHeight="false" outlineLevel="0" collapsed="false">
      <c r="A90" s="85" t="n">
        <v>38292</v>
      </c>
      <c r="B90" s="31" t="n">
        <f aca="false">YEAR(A90)</f>
        <v>2004</v>
      </c>
      <c r="C90" s="31" t="n">
        <f aca="false">MONTH(A90)</f>
        <v>11</v>
      </c>
      <c r="D90" s="86" t="n">
        <v>0.05599837942568</v>
      </c>
      <c r="E90" s="87" t="n">
        <f aca="false">(1+D90/2)^(-2*(DATE($B91,$C91,20)-$E$17)/365.25)</f>
        <v>3.14845992297138</v>
      </c>
      <c r="F90" s="87"/>
      <c r="G90" s="8"/>
      <c r="H90" s="8" t="n">
        <f aca="false">(1+$I$17)*H78</f>
        <v>12135.0383717109</v>
      </c>
      <c r="I90" s="8" t="n">
        <f aca="false">(1+$I$17)*I78</f>
        <v>10809.4864136029</v>
      </c>
      <c r="K90" s="50" t="n">
        <f aca="false">K78</f>
        <v>2201.15833333333</v>
      </c>
      <c r="L90" s="50" t="n">
        <f aca="false">L78</f>
        <v>1270.02777777778</v>
      </c>
      <c r="M90" s="50" t="n">
        <f aca="false">M78</f>
        <v>241.311111111111</v>
      </c>
      <c r="N90" s="50" t="n">
        <f aca="false">N78</f>
        <v>3.11944444444444</v>
      </c>
      <c r="O90" s="50" t="n">
        <f aca="false">SUM(K90:N90)</f>
        <v>3715.61666666667</v>
      </c>
      <c r="P90" s="50" t="n">
        <f aca="false">P78</f>
        <v>3029.03315829808</v>
      </c>
      <c r="Q90" s="50" t="n">
        <f aca="false">O90+P90</f>
        <v>6744.64982496475</v>
      </c>
      <c r="R90" s="8" t="n">
        <f aca="false">H90-O90-P90</f>
        <v>5390.38854674617</v>
      </c>
      <c r="T90" s="9" t="n">
        <f aca="false">$T$18</f>
        <v>48.72</v>
      </c>
      <c r="U90" s="9" t="n">
        <f aca="false">U$18</f>
        <v>23</v>
      </c>
      <c r="V90" s="9" t="n">
        <f aca="false">V$18</f>
        <v>34</v>
      </c>
      <c r="W90" s="9" t="n">
        <f aca="false">W$18</f>
        <v>38</v>
      </c>
      <c r="X90" s="9" t="n">
        <f aca="false">SUMPRODUCT(K90:N90,T90:W90)/O90</f>
        <v>38.9637044247179</v>
      </c>
      <c r="Y90" s="9" t="n">
        <f aca="false">$Y$18/1000*CURVES!K49+VLOOKUP($B90,$X$10:$Y$14,2,FALSE())</f>
        <v>76.2441511683263</v>
      </c>
      <c r="Z90" s="9" t="n">
        <f aca="false">(O90*X90+P90*Y90)/Q90</f>
        <v>55.7064134271301</v>
      </c>
      <c r="AA90" s="9" t="n">
        <f aca="false">CHOOSE(AA$18,CURVES!F49,CURVES!G49)</f>
        <v>40.8055555555556</v>
      </c>
      <c r="AB90" s="9" t="n">
        <f aca="false">(Q90*Z90+R90*AA90)/H90</f>
        <v>49.0874468324408</v>
      </c>
      <c r="AD90" s="9"/>
      <c r="AH90" s="50" t="n">
        <f aca="false">AH78</f>
        <v>1838.78743628671</v>
      </c>
      <c r="AI90" s="50" t="n">
        <f aca="false">AI78</f>
        <v>0</v>
      </c>
      <c r="AJ90" s="50" t="n">
        <f aca="false">AJ78</f>
        <v>1347.87918472112</v>
      </c>
      <c r="AK90" s="50" t="n">
        <f aca="false">AK78</f>
        <v>499.439112514422</v>
      </c>
      <c r="AL90" s="50" t="n">
        <f aca="false">SUM(AH90:AK90)</f>
        <v>3686.10573352225</v>
      </c>
      <c r="AM90" s="50" t="n">
        <f aca="false">AM78</f>
        <v>2451.23764109589</v>
      </c>
      <c r="AN90" s="50" t="n">
        <f aca="false">AL90+AM90</f>
        <v>6137.34337461814</v>
      </c>
      <c r="AO90" s="8" t="n">
        <f aca="false">I90-AL90-AM90</f>
        <v>4672.1430389848</v>
      </c>
      <c r="AQ90" s="9" t="n">
        <f aca="false">$AQ$18</f>
        <v>43</v>
      </c>
      <c r="AR90" s="9"/>
      <c r="AS90" s="9" t="n">
        <f aca="false">AS$18</f>
        <v>30</v>
      </c>
      <c r="AT90" s="9" t="n">
        <f aca="false">AT$18</f>
        <v>38</v>
      </c>
      <c r="AU90" s="9" t="n">
        <f aca="false">SUMPRODUCT(AH90:AK90,AQ90:AT90)/AL90</f>
        <v>37.5688956282822</v>
      </c>
      <c r="AV90" s="9" t="n">
        <f aca="false">$Y$18/1000*CURVES!O49+VLOOKUP($B90,$AU$10:$AV$14,2,FALSE())</f>
        <v>75.9039037919549</v>
      </c>
      <c r="AW90" s="9" t="n">
        <f aca="false">(AL90*AU90+AM90*AV90)/AN90</f>
        <v>52.8797898127484</v>
      </c>
      <c r="AX90" s="9" t="n">
        <f aca="false">CHOOSE(AX$18,CURVES!B49,CURVES!C49)</f>
        <v>45.7166666666667</v>
      </c>
      <c r="AY90" s="9" t="n">
        <f aca="false">(AN90*AW90+AO90*AX90)/I90</f>
        <v>49.783700446075</v>
      </c>
    </row>
    <row r="91" customFormat="false" ht="12.75" hidden="false" customHeight="false" outlineLevel="0" collapsed="false">
      <c r="A91" s="85" t="n">
        <v>38322</v>
      </c>
      <c r="B91" s="31" t="n">
        <f aca="false">YEAR(A91)</f>
        <v>2004</v>
      </c>
      <c r="C91" s="31" t="n">
        <f aca="false">MONTH(A91)</f>
        <v>12</v>
      </c>
      <c r="D91" s="86" t="n">
        <v>0.056069919862008</v>
      </c>
      <c r="E91" s="87" t="n">
        <f aca="false">(1+D91/2)^(-2*(DATE($B92,$C92,20)-$E$17)/365.25)</f>
        <v>3.13824970211003</v>
      </c>
      <c r="F91" s="87"/>
      <c r="G91" s="8"/>
      <c r="H91" s="8" t="n">
        <f aca="false">(1+$I$17)*H79</f>
        <v>12047.6598267707</v>
      </c>
      <c r="I91" s="8" t="n">
        <f aca="false">(1+$I$17)*I79</f>
        <v>10784.9291433529</v>
      </c>
      <c r="K91" s="50" t="n">
        <f aca="false">K79</f>
        <v>2256.4126344086</v>
      </c>
      <c r="L91" s="50" t="n">
        <f aca="false">L79</f>
        <v>1157.21505376344</v>
      </c>
      <c r="M91" s="50" t="n">
        <f aca="false">M79</f>
        <v>239.860215053763</v>
      </c>
      <c r="N91" s="50" t="n">
        <f aca="false">N79</f>
        <v>2.96908602150538</v>
      </c>
      <c r="O91" s="50" t="n">
        <f aca="false">SUM(K91:N91)</f>
        <v>3656.45698924731</v>
      </c>
      <c r="P91" s="50" t="n">
        <f aca="false">P79</f>
        <v>2977.59684973097</v>
      </c>
      <c r="Q91" s="50" t="n">
        <f aca="false">O91+P91</f>
        <v>6634.05383897828</v>
      </c>
      <c r="R91" s="8" t="n">
        <f aca="false">H91-O91-P91</f>
        <v>5413.60598779239</v>
      </c>
      <c r="T91" s="9" t="n">
        <f aca="false">$T$18</f>
        <v>48.72</v>
      </c>
      <c r="U91" s="9" t="n">
        <f aca="false">U$18</f>
        <v>23</v>
      </c>
      <c r="V91" s="9" t="n">
        <f aca="false">V$18</f>
        <v>34</v>
      </c>
      <c r="W91" s="9" t="n">
        <f aca="false">W$18</f>
        <v>38</v>
      </c>
      <c r="X91" s="9" t="n">
        <f aca="false">SUMPRODUCT(K91:N91,T91:W91)/O91</f>
        <v>39.6056736867024</v>
      </c>
      <c r="Y91" s="9" t="n">
        <f aca="false">$Y$18/1000*CURVES!K50+VLOOKUP($B91,$X$10:$Y$14,2,FALSE())</f>
        <v>77.5566511683263</v>
      </c>
      <c r="Z91" s="9" t="n">
        <f aca="false">(O91*X91+P91*Y91)/Q91</f>
        <v>56.6394080723881</v>
      </c>
      <c r="AA91" s="9" t="n">
        <f aca="false">CHOOSE(AA$18,CURVES!F50,CURVES!G50)</f>
        <v>40.5779569892473</v>
      </c>
      <c r="AB91" s="9" t="n">
        <f aca="false">(Q91*Z91+R91*AA91)/H91</f>
        <v>49.42220830027</v>
      </c>
      <c r="AD91" s="9"/>
      <c r="AH91" s="50" t="n">
        <f aca="false">AH79</f>
        <v>1921.09500453605</v>
      </c>
      <c r="AI91" s="50" t="n">
        <f aca="false">AI79</f>
        <v>0</v>
      </c>
      <c r="AJ91" s="50" t="n">
        <f aca="false">AJ79</f>
        <v>1326.47869273451</v>
      </c>
      <c r="AK91" s="50" t="n">
        <f aca="false">AK79</f>
        <v>519.619723134563</v>
      </c>
      <c r="AL91" s="50" t="n">
        <f aca="false">SUM(AH91:AK91)</f>
        <v>3767.19342040512</v>
      </c>
      <c r="AM91" s="50" t="n">
        <f aca="false">AM79</f>
        <v>2024.24791129032</v>
      </c>
      <c r="AN91" s="50" t="n">
        <f aca="false">AL91+AM91</f>
        <v>5791.44133169545</v>
      </c>
      <c r="AO91" s="8" t="n">
        <f aca="false">I91-AL91-AM91</f>
        <v>4993.48781165746</v>
      </c>
      <c r="AQ91" s="9" t="n">
        <f aca="false">$AQ$18</f>
        <v>43</v>
      </c>
      <c r="AR91" s="9"/>
      <c r="AS91" s="9" t="n">
        <f aca="false">AS$18</f>
        <v>30</v>
      </c>
      <c r="AT91" s="9" t="n">
        <f aca="false">AT$18</f>
        <v>38</v>
      </c>
      <c r="AU91" s="9" t="n">
        <f aca="false">SUMPRODUCT(AH91:AK91,AQ91:AT91)/AL91</f>
        <v>37.7328635918334</v>
      </c>
      <c r="AV91" s="9" t="n">
        <f aca="false">$Y$18/1000*CURVES!O50+VLOOKUP($B91,$AU$10:$AV$14,2,FALSE())</f>
        <v>77.2164037919549</v>
      </c>
      <c r="AW91" s="9" t="n">
        <f aca="false">(AL91*AU91+AM91*AV91)/AN91</f>
        <v>51.5333096643909</v>
      </c>
      <c r="AX91" s="9" t="n">
        <f aca="false">CHOOSE(AX$18,CURVES!B50,CURVES!C50)</f>
        <v>44.9467741935484</v>
      </c>
      <c r="AY91" s="9" t="n">
        <f aca="false">(AN91*AW91+AO91*AX91)/I91</f>
        <v>48.4837036672136</v>
      </c>
    </row>
    <row r="92" customFormat="false" ht="12.75" hidden="false" customHeight="false" outlineLevel="0" collapsed="false">
      <c r="A92" s="85" t="n">
        <v>38353</v>
      </c>
      <c r="B92" s="31" t="n">
        <f aca="false">YEAR(A92)</f>
        <v>2005</v>
      </c>
      <c r="C92" s="31" t="n">
        <f aca="false">MONTH(A92)</f>
        <v>1</v>
      </c>
      <c r="D92" s="86" t="n">
        <v>0.056149749946644</v>
      </c>
      <c r="E92" s="87" t="n">
        <f aca="false">(1+D92/2)^(-2*(DATE($B93,$C93,20)-$E$17)/365.25)</f>
        <v>3.12855502734019</v>
      </c>
      <c r="F92" s="87"/>
      <c r="G92" s="8"/>
      <c r="H92" s="8" t="n">
        <f aca="false">(1+$I$17)*H80</f>
        <v>12269.023356984</v>
      </c>
      <c r="I92" s="8" t="n">
        <f aca="false">(1+$I$17)*I80</f>
        <v>11663.2366258219</v>
      </c>
      <c r="K92" s="50" t="n">
        <f aca="false">K80</f>
        <v>2185.91801075269</v>
      </c>
      <c r="L92" s="50" t="n">
        <f aca="false">L80</f>
        <v>1282.33064516129</v>
      </c>
      <c r="M92" s="50" t="n">
        <f aca="false">M80</f>
        <v>142.852150537634</v>
      </c>
      <c r="N92" s="50" t="n">
        <f aca="false">N80</f>
        <v>3.16801075268817</v>
      </c>
      <c r="O92" s="50" t="n">
        <f aca="false">SUM(K92:N92)</f>
        <v>3614.2688172043</v>
      </c>
      <c r="P92" s="50" t="n">
        <f aca="false">P80</f>
        <v>2792.6655547379</v>
      </c>
      <c r="Q92" s="50" t="n">
        <f aca="false">O92+P92</f>
        <v>6406.9343719422</v>
      </c>
      <c r="R92" s="8" t="n">
        <f aca="false">H92-O92-P92</f>
        <v>5862.0889850418</v>
      </c>
      <c r="T92" s="9" t="n">
        <f aca="false">$T$18</f>
        <v>48.72</v>
      </c>
      <c r="U92" s="9" t="n">
        <f aca="false">U$18</f>
        <v>23</v>
      </c>
      <c r="V92" s="9" t="n">
        <f aca="false">V$18</f>
        <v>34</v>
      </c>
      <c r="W92" s="9" t="n">
        <f aca="false">W$18</f>
        <v>38</v>
      </c>
      <c r="X92" s="9" t="n">
        <f aca="false">SUMPRODUCT(K92:N92,T92:W92)/O92</f>
        <v>39.0034319468534</v>
      </c>
      <c r="Y92" s="9" t="n">
        <f aca="false">$Y$18/1000*CURVES!K51+VLOOKUP($B92,$X$10:$Y$14,2,FALSE())</f>
        <v>78.3351327284946</v>
      </c>
      <c r="Z92" s="9" t="n">
        <f aca="false">(O92*X92+P92*Y92)/Q92</f>
        <v>56.1474012160205</v>
      </c>
      <c r="AA92" s="9" t="n">
        <f aca="false">CHOOSE(AA$18,CURVES!F51,CURVES!G51)</f>
        <v>38.155376344086</v>
      </c>
      <c r="AB92" s="9" t="n">
        <f aca="false">(Q92*Z92+R92*AA92)/H92</f>
        <v>47.5508856049937</v>
      </c>
      <c r="AD92" s="9"/>
      <c r="AH92" s="50" t="n">
        <f aca="false">AH80</f>
        <v>1826.05608785899</v>
      </c>
      <c r="AI92" s="50" t="n">
        <f aca="false">AI80</f>
        <v>0</v>
      </c>
      <c r="AJ92" s="50" t="n">
        <f aca="false">AJ80</f>
        <v>1744.08931864439</v>
      </c>
      <c r="AK92" s="50" t="n">
        <f aca="false">AK80</f>
        <v>538.872892801371</v>
      </c>
      <c r="AL92" s="50" t="n">
        <f aca="false">SUM(AH92:AK92)</f>
        <v>4109.01829930475</v>
      </c>
      <c r="AM92" s="50" t="n">
        <f aca="false">AM80</f>
        <v>2445.3687016129</v>
      </c>
      <c r="AN92" s="50" t="n">
        <f aca="false">AL92+AM92</f>
        <v>6554.38700091765</v>
      </c>
      <c r="AO92" s="8" t="n">
        <f aca="false">I92-AL92-AM92</f>
        <v>5108.84962490428</v>
      </c>
      <c r="AQ92" s="9" t="n">
        <f aca="false">$AQ$18</f>
        <v>43</v>
      </c>
      <c r="AR92" s="9"/>
      <c r="AS92" s="9" t="n">
        <f aca="false">AS$18</f>
        <v>30</v>
      </c>
      <c r="AT92" s="9" t="n">
        <f aca="false">AT$18</f>
        <v>38</v>
      </c>
      <c r="AU92" s="9" t="n">
        <f aca="false">SUMPRODUCT(AH92:AK92,AQ92:AT92)/AL92</f>
        <v>36.8263780400598</v>
      </c>
      <c r="AV92" s="9" t="n">
        <f aca="false">$Y$18/1000*CURVES!O51+VLOOKUP($B92,$AU$10:$AV$14,2,FALSE())</f>
        <v>78.1021192880192</v>
      </c>
      <c r="AW92" s="9" t="n">
        <f aca="false">(AL92*AU92+AM92*AV92)/AN92</f>
        <v>52.2258968309858</v>
      </c>
      <c r="AX92" s="9" t="n">
        <f aca="false">CHOOSE(AX$18,CURVES!B51,CURVES!C51)</f>
        <v>44.8</v>
      </c>
      <c r="AY92" s="9" t="n">
        <f aca="false">(AN92*AW92+AO92*AX92)/I92</f>
        <v>48.9731299141622</v>
      </c>
    </row>
    <row r="93" customFormat="false" ht="12.75" hidden="false" customHeight="false" outlineLevel="0" collapsed="false">
      <c r="A93" s="85" t="n">
        <v>38384</v>
      </c>
      <c r="B93" s="31" t="n">
        <f aca="false">YEAR(A93)</f>
        <v>2005</v>
      </c>
      <c r="C93" s="31" t="n">
        <f aca="false">MONTH(A93)</f>
        <v>2</v>
      </c>
      <c r="D93" s="86" t="n">
        <v>0.056234442946145</v>
      </c>
      <c r="E93" s="87" t="n">
        <f aca="false">(1+D93/2)^(-2*(DATE($B94,$C94,20)-$E$17)/365.25)</f>
        <v>3.12057273362483</v>
      </c>
      <c r="F93" s="87"/>
      <c r="G93" s="8"/>
      <c r="H93" s="8" t="n">
        <f aca="false">(1+$I$17)*H81</f>
        <v>12302.0246005963</v>
      </c>
      <c r="I93" s="8" t="n">
        <f aca="false">(1+$I$17)*I81</f>
        <v>11647.6922888121</v>
      </c>
      <c r="K93" s="50" t="n">
        <f aca="false">K81</f>
        <v>2261.87643678161</v>
      </c>
      <c r="L93" s="50" t="n">
        <f aca="false">L81</f>
        <v>1335.97988505747</v>
      </c>
      <c r="M93" s="50" t="n">
        <f aca="false">M81</f>
        <v>236.002873563218</v>
      </c>
      <c r="N93" s="50" t="n">
        <f aca="false">N81</f>
        <v>3.84913793103448</v>
      </c>
      <c r="O93" s="50" t="n">
        <f aca="false">SUM(K93:N93)</f>
        <v>3837.70833333333</v>
      </c>
      <c r="P93" s="50" t="n">
        <f aca="false">P81</f>
        <v>3011.77170136767</v>
      </c>
      <c r="Q93" s="50" t="n">
        <f aca="false">O93+P93</f>
        <v>6849.48003470101</v>
      </c>
      <c r="R93" s="8" t="n">
        <f aca="false">H93-O93-P93</f>
        <v>5452.54456589528</v>
      </c>
      <c r="T93" s="9" t="n">
        <f aca="false">$T$18</f>
        <v>48.72</v>
      </c>
      <c r="U93" s="9" t="n">
        <f aca="false">U$18</f>
        <v>23</v>
      </c>
      <c r="V93" s="9" t="n">
        <f aca="false">V$18</f>
        <v>34</v>
      </c>
      <c r="W93" s="9" t="n">
        <f aca="false">W$18</f>
        <v>38</v>
      </c>
      <c r="X93" s="9" t="n">
        <f aca="false">SUMPRODUCT(K93:N93,T93:W93)/O93</f>
        <v>38.8504048116</v>
      </c>
      <c r="Y93" s="9" t="n">
        <f aca="false">$Y$18/1000*CURVES!K52+VLOOKUP($B93,$X$10:$Y$14,2,FALSE())</f>
        <v>77.3271327284946</v>
      </c>
      <c r="Z93" s="9" t="n">
        <f aca="false">(O93*X93+P93*Y93)/Q93</f>
        <v>55.7689328917224</v>
      </c>
      <c r="AA93" s="9" t="n">
        <f aca="false">CHOOSE(AA$18,CURVES!F52,CURVES!G52)</f>
        <v>37.4214285714286</v>
      </c>
      <c r="AB93" s="9" t="n">
        <f aca="false">(Q93*Z93+R93*AA93)/H93</f>
        <v>47.6368905468787</v>
      </c>
      <c r="AD93" s="9"/>
      <c r="AH93" s="50" t="n">
        <f aca="false">AH81</f>
        <v>1925.74685025101</v>
      </c>
      <c r="AI93" s="50" t="n">
        <f aca="false">AI81</f>
        <v>0</v>
      </c>
      <c r="AJ93" s="50" t="n">
        <f aca="false">AJ81</f>
        <v>2201.92738718254</v>
      </c>
      <c r="AK93" s="50" t="n">
        <f aca="false">AK81</f>
        <v>548.475477754164</v>
      </c>
      <c r="AL93" s="50" t="n">
        <f aca="false">SUM(AH93:AK93)</f>
        <v>4676.14971518771</v>
      </c>
      <c r="AM93" s="50" t="n">
        <f aca="false">AM81</f>
        <v>2161.54564434524</v>
      </c>
      <c r="AN93" s="50" t="n">
        <f aca="false">AL93+AM93</f>
        <v>6837.69535953295</v>
      </c>
      <c r="AO93" s="8" t="n">
        <f aca="false">I93-AL93-AM93</f>
        <v>4809.99692927915</v>
      </c>
      <c r="AQ93" s="9" t="n">
        <f aca="false">$AQ$18</f>
        <v>43</v>
      </c>
      <c r="AR93" s="9"/>
      <c r="AS93" s="9" t="n">
        <f aca="false">AS$18</f>
        <v>30</v>
      </c>
      <c r="AT93" s="9" t="n">
        <f aca="false">AT$18</f>
        <v>38</v>
      </c>
      <c r="AU93" s="9" t="n">
        <f aca="false">SUMPRODUCT(AH93:AK93,AQ93:AT93)/AL93</f>
        <v>36.2920382509856</v>
      </c>
      <c r="AV93" s="9" t="n">
        <f aca="false">$Y$18/1000*CURVES!O52+VLOOKUP($B93,$AU$10:$AV$14,2,FALSE())</f>
        <v>77.0941192880192</v>
      </c>
      <c r="AW93" s="9" t="n">
        <f aca="false">(AL93*AU93+AM93*AV93)/AN93</f>
        <v>49.1904719934104</v>
      </c>
      <c r="AX93" s="9" t="n">
        <f aca="false">CHOOSE(AX$18,CURVES!B52,CURVES!C52)</f>
        <v>43.8071428571429</v>
      </c>
      <c r="AY93" s="9" t="n">
        <f aca="false">(AN93*AW93+AO93*AX93)/I93</f>
        <v>46.9673881436063</v>
      </c>
    </row>
    <row r="94" customFormat="false" ht="12.75" hidden="false" customHeight="false" outlineLevel="0" collapsed="false">
      <c r="A94" s="85" t="n">
        <v>38412</v>
      </c>
      <c r="B94" s="31" t="n">
        <f aca="false">YEAR(A94)</f>
        <v>2005</v>
      </c>
      <c r="C94" s="31" t="n">
        <f aca="false">MONTH(A94)</f>
        <v>3</v>
      </c>
      <c r="D94" s="86" t="n">
        <v>0.056310939850973</v>
      </c>
      <c r="E94" s="87" t="n">
        <f aca="false">(1+D94/2)^(-2*(DATE($B95,$C95,20)-$E$17)/365.25)</f>
        <v>3.11064491289232</v>
      </c>
      <c r="F94" s="87"/>
      <c r="G94" s="8"/>
      <c r="H94" s="8" t="n">
        <f aca="false">(1+$I$17)*H82</f>
        <v>12230.8061692992</v>
      </c>
      <c r="I94" s="8" t="n">
        <f aca="false">(1+$I$17)*I82</f>
        <v>11386.2053944117</v>
      </c>
      <c r="K94" s="50" t="n">
        <f aca="false">K82</f>
        <v>2263.94623655914</v>
      </c>
      <c r="L94" s="50" t="n">
        <f aca="false">L82</f>
        <v>1258.63037634409</v>
      </c>
      <c r="M94" s="50" t="n">
        <f aca="false">M82</f>
        <v>620.646505376344</v>
      </c>
      <c r="N94" s="50" t="n">
        <f aca="false">N82</f>
        <v>2.58198924731183</v>
      </c>
      <c r="O94" s="50" t="n">
        <f aca="false">SUM(K94:N94)</f>
        <v>4145.80510752688</v>
      </c>
      <c r="P94" s="50" t="n">
        <f aca="false">P82</f>
        <v>2834.39732902856</v>
      </c>
      <c r="Q94" s="50" t="n">
        <f aca="false">O94+P94</f>
        <v>6980.20243655544</v>
      </c>
      <c r="R94" s="8" t="n">
        <f aca="false">H94-O94-P94</f>
        <v>5250.60373274377</v>
      </c>
      <c r="T94" s="9" t="n">
        <f aca="false">$T$18</f>
        <v>48.72</v>
      </c>
      <c r="U94" s="9" t="n">
        <f aca="false">U$18</f>
        <v>23</v>
      </c>
      <c r="V94" s="9" t="n">
        <f aca="false">V$18</f>
        <v>34</v>
      </c>
      <c r="W94" s="9" t="n">
        <f aca="false">W$18</f>
        <v>38</v>
      </c>
      <c r="X94" s="9" t="n">
        <f aca="false">SUMPRODUCT(K94:N94,T94:W94)/O94</f>
        <v>38.7013021388701</v>
      </c>
      <c r="Y94" s="9" t="n">
        <f aca="false">$Y$18/1000*CURVES!K53+VLOOKUP($B94,$X$10:$Y$14,2,FALSE())</f>
        <v>75.7521327284946</v>
      </c>
      <c r="Z94" s="9" t="n">
        <f aca="false">(O94*X94+P94*Y94)/Q94</f>
        <v>53.7462490750144</v>
      </c>
      <c r="AA94" s="9" t="n">
        <f aca="false">CHOOSE(AA$18,CURVES!F53,CURVES!G53)</f>
        <v>37.0951612903226</v>
      </c>
      <c r="AB94" s="9" t="n">
        <f aca="false">(Q94*Z94+R94*AA94)/H94</f>
        <v>46.5980478471998</v>
      </c>
      <c r="AD94" s="9"/>
      <c r="AH94" s="50" t="n">
        <f aca="false">AH82</f>
        <v>1891.23873243112</v>
      </c>
      <c r="AI94" s="50" t="n">
        <f aca="false">AI82</f>
        <v>0</v>
      </c>
      <c r="AJ94" s="50" t="n">
        <f aca="false">AJ82</f>
        <v>1966.55049263563</v>
      </c>
      <c r="AK94" s="50" t="n">
        <f aca="false">AK82</f>
        <v>526.073305014923</v>
      </c>
      <c r="AL94" s="50" t="n">
        <f aca="false">SUM(AH94:AK94)</f>
        <v>4383.86253008167</v>
      </c>
      <c r="AM94" s="50" t="n">
        <f aca="false">AM82</f>
        <v>2044.22227284946</v>
      </c>
      <c r="AN94" s="50" t="n">
        <f aca="false">AL94+AM94</f>
        <v>6428.08480293113</v>
      </c>
      <c r="AO94" s="8" t="n">
        <f aca="false">I94-AL94-AM94</f>
        <v>4958.12059148061</v>
      </c>
      <c r="AQ94" s="9" t="n">
        <f aca="false">$AQ$18</f>
        <v>43</v>
      </c>
      <c r="AR94" s="9"/>
      <c r="AS94" s="9" t="n">
        <f aca="false">AS$18</f>
        <v>30</v>
      </c>
      <c r="AT94" s="9" t="n">
        <f aca="false">AT$18</f>
        <v>38</v>
      </c>
      <c r="AU94" s="9" t="n">
        <f aca="false">SUMPRODUCT(AH94:AK94,AQ94:AT94)/AL94</f>
        <v>36.5683377989472</v>
      </c>
      <c r="AV94" s="9" t="n">
        <f aca="false">$Y$18/1000*CURVES!O53+VLOOKUP($B94,$AU$10:$AV$14,2,FALSE())</f>
        <v>75.5191192880191</v>
      </c>
      <c r="AW94" s="9" t="n">
        <f aca="false">(AL94*AU94+AM94*AV94)/AN94</f>
        <v>48.9552395754368</v>
      </c>
      <c r="AX94" s="9" t="n">
        <f aca="false">CHOOSE(AX$18,CURVES!B53,CURVES!C53)</f>
        <v>41.8596774193548</v>
      </c>
      <c r="AY94" s="9" t="n">
        <f aca="false">(AN94*AW94+AO94*AX94)/I94</f>
        <v>45.8654786221111</v>
      </c>
    </row>
    <row r="95" customFormat="false" ht="12.75" hidden="false" customHeight="false" outlineLevel="0" collapsed="false">
      <c r="A95" s="85" t="n">
        <v>38443</v>
      </c>
      <c r="B95" s="31" t="n">
        <f aca="false">YEAR(A95)</f>
        <v>2005</v>
      </c>
      <c r="C95" s="31" t="n">
        <f aca="false">MONTH(A95)</f>
        <v>4</v>
      </c>
      <c r="D95" s="86" t="n">
        <v>0.056383429443268</v>
      </c>
      <c r="E95" s="87" t="n">
        <f aca="false">(1+D95/2)^(-2*(DATE($B96,$C96,20)-$E$17)/365.25)</f>
        <v>3.10093544940938</v>
      </c>
      <c r="F95" s="87"/>
      <c r="G95" s="8"/>
      <c r="H95" s="8" t="n">
        <f aca="false">(1+$I$17)*H83</f>
        <v>12285.0780812791</v>
      </c>
      <c r="I95" s="8" t="n">
        <f aca="false">(1+$I$17)*I83</f>
        <v>11123.1476352417</v>
      </c>
      <c r="K95" s="50" t="n">
        <f aca="false">K83</f>
        <v>2319.84027777778</v>
      </c>
      <c r="L95" s="50" t="n">
        <f aca="false">L83</f>
        <v>1179.16597222222</v>
      </c>
      <c r="M95" s="50" t="n">
        <f aca="false">M83</f>
        <v>811.586111111111</v>
      </c>
      <c r="N95" s="50" t="n">
        <f aca="false">N83</f>
        <v>3.04166666666667</v>
      </c>
      <c r="O95" s="50" t="n">
        <f aca="false">SUM(K95:N95)</f>
        <v>4313.63402777778</v>
      </c>
      <c r="P95" s="50" t="n">
        <f aca="false">P83</f>
        <v>2923.39459068154</v>
      </c>
      <c r="Q95" s="50" t="n">
        <f aca="false">O95+P95</f>
        <v>7237.02861845932</v>
      </c>
      <c r="R95" s="8" t="n">
        <f aca="false">H95-O95-P95</f>
        <v>5048.04946281982</v>
      </c>
      <c r="T95" s="9" t="n">
        <f aca="false">$T$18</f>
        <v>48.72</v>
      </c>
      <c r="U95" s="9" t="n">
        <f aca="false">U$18</f>
        <v>23</v>
      </c>
      <c r="V95" s="9" t="n">
        <f aca="false">V$18</f>
        <v>34</v>
      </c>
      <c r="W95" s="9" t="n">
        <f aca="false">W$18</f>
        <v>38</v>
      </c>
      <c r="X95" s="9" t="n">
        <f aca="false">SUMPRODUCT(K95:N95,T95:W95)/O95</f>
        <v>38.9121899828918</v>
      </c>
      <c r="Y95" s="9" t="n">
        <f aca="false">$Y$18/1000*CURVES!K54+VLOOKUP($B95,$X$10:$Y$14,2,FALSE())</f>
        <v>74.4606327284946</v>
      </c>
      <c r="Z95" s="9" t="n">
        <f aca="false">(O95*X95+P95*Y95)/Q95</f>
        <v>53.2719681057219</v>
      </c>
      <c r="AA95" s="9" t="n">
        <f aca="false">CHOOSE(AA$18,CURVES!F54,CURVES!G54)</f>
        <v>36.7166666666667</v>
      </c>
      <c r="AB95" s="9" t="n">
        <f aca="false">(Q95*Z95+R95*AA95)/H95</f>
        <v>46.4692453242041</v>
      </c>
      <c r="AD95" s="9"/>
      <c r="AH95" s="50" t="n">
        <f aca="false">AH83</f>
        <v>1937.93108490741</v>
      </c>
      <c r="AI95" s="50" t="n">
        <f aca="false">AI83</f>
        <v>0</v>
      </c>
      <c r="AJ95" s="50" t="n">
        <f aca="false">AJ83</f>
        <v>2070.95002093926</v>
      </c>
      <c r="AK95" s="50" t="n">
        <f aca="false">AK83</f>
        <v>513.919329218532</v>
      </c>
      <c r="AL95" s="50" t="n">
        <f aca="false">SUM(AH95:AK95)</f>
        <v>4522.8004350652</v>
      </c>
      <c r="AM95" s="50" t="n">
        <f aca="false">AM83</f>
        <v>2152.99685890411</v>
      </c>
      <c r="AN95" s="50" t="n">
        <f aca="false">AL95+AM95</f>
        <v>6675.79729396931</v>
      </c>
      <c r="AO95" s="8" t="n">
        <f aca="false">I95-AL95-AM95</f>
        <v>4447.35034127237</v>
      </c>
      <c r="AQ95" s="9" t="n">
        <f aca="false">$AQ$18</f>
        <v>43</v>
      </c>
      <c r="AR95" s="9"/>
      <c r="AS95" s="9" t="n">
        <f aca="false">AS$18</f>
        <v>30</v>
      </c>
      <c r="AT95" s="9" t="n">
        <f aca="false">AT$18</f>
        <v>38</v>
      </c>
      <c r="AU95" s="9" t="n">
        <f aca="false">SUMPRODUCT(AH95:AK95,AQ95:AT95)/AL95</f>
        <v>36.4792729987261</v>
      </c>
      <c r="AV95" s="9" t="n">
        <f aca="false">$Y$18/1000*CURVES!O54+VLOOKUP($B95,$AU$10:$AV$14,2,FALSE())</f>
        <v>74.2276192880192</v>
      </c>
      <c r="AW95" s="9" t="n">
        <f aca="false">(AL95*AU95+AM95*AV95)/AN95</f>
        <v>48.6534100209947</v>
      </c>
      <c r="AX95" s="9" t="n">
        <f aca="false">CHOOSE(AX$18,CURVES!B54,CURVES!C54)</f>
        <v>39.5022222222222</v>
      </c>
      <c r="AY95" s="9" t="n">
        <f aca="false">(AN95*AW95+AO95*AX95)/I95</f>
        <v>44.9945052294254</v>
      </c>
    </row>
    <row r="96" customFormat="false" ht="12.75" hidden="false" customHeight="false" outlineLevel="0" collapsed="false">
      <c r="A96" s="85" t="n">
        <v>38473</v>
      </c>
      <c r="B96" s="31" t="n">
        <f aca="false">YEAR(A96)</f>
        <v>2005</v>
      </c>
      <c r="C96" s="31" t="n">
        <f aca="false">MONTH(A96)</f>
        <v>5</v>
      </c>
      <c r="D96" s="86" t="n">
        <v>0.056443854983896</v>
      </c>
      <c r="E96" s="87" t="n">
        <f aca="false">(1+D96/2)^(-2*(DATE($B97,$C97,20)-$E$17)/365.25)</f>
        <v>3.09001427639428</v>
      </c>
      <c r="F96" s="87"/>
      <c r="G96" s="8"/>
      <c r="H96" s="8" t="n">
        <f aca="false">(1+$I$17)*H84</f>
        <v>12981.6276130789</v>
      </c>
      <c r="I96" s="8" t="n">
        <f aca="false">(1+$I$17)*I84</f>
        <v>12116.0914402279</v>
      </c>
      <c r="K96" s="50" t="n">
        <f aca="false">K84</f>
        <v>2226.06720430108</v>
      </c>
      <c r="L96" s="50" t="n">
        <f aca="false">L84</f>
        <v>1023.62634408602</v>
      </c>
      <c r="M96" s="50" t="n">
        <f aca="false">M84</f>
        <v>950.165322580645</v>
      </c>
      <c r="N96" s="50" t="n">
        <f aca="false">N84</f>
        <v>3.30510752688172</v>
      </c>
      <c r="O96" s="50" t="n">
        <f aca="false">SUM(K96:N96)</f>
        <v>4203.16397849462</v>
      </c>
      <c r="P96" s="50" t="n">
        <f aca="false">P84</f>
        <v>2831.51050210493</v>
      </c>
      <c r="Q96" s="50" t="n">
        <f aca="false">O96+P96</f>
        <v>7034.67448059955</v>
      </c>
      <c r="R96" s="8" t="n">
        <f aca="false">H96-O96-P96</f>
        <v>5946.95313247934</v>
      </c>
      <c r="T96" s="9" t="n">
        <f aca="false">$T$18</f>
        <v>48.72</v>
      </c>
      <c r="U96" s="9" t="n">
        <f aca="false">U$18</f>
        <v>23</v>
      </c>
      <c r="V96" s="9" t="n">
        <f aca="false">V$18</f>
        <v>34</v>
      </c>
      <c r="W96" s="9" t="n">
        <f aca="false">W$18</f>
        <v>38</v>
      </c>
      <c r="X96" s="9" t="n">
        <f aca="false">SUMPRODUCT(K96:N96,T96:W96)/O96</f>
        <v>39.1201999261949</v>
      </c>
      <c r="Y96" s="9" t="n">
        <f aca="false">$Y$18/1000*CURVES!K55+VLOOKUP($B96,$X$10:$Y$14,2,FALSE())</f>
        <v>74.1981327284946</v>
      </c>
      <c r="Z96" s="9" t="n">
        <f aca="false">(O96*X96+P96*Y96)/Q96</f>
        <v>53.2393372644982</v>
      </c>
      <c r="AA96" s="9" t="n">
        <f aca="false">CHOOSE(AA$18,CURVES!F55,CURVES!G55)</f>
        <v>35.2951612903226</v>
      </c>
      <c r="AB96" s="9" t="n">
        <f aca="false">(Q96*Z96+R96*AA96)/H96</f>
        <v>45.019014150941</v>
      </c>
      <c r="AD96" s="9"/>
      <c r="AH96" s="50" t="n">
        <f aca="false">AH84</f>
        <v>1895.25910320262</v>
      </c>
      <c r="AI96" s="50" t="n">
        <f aca="false">AI84</f>
        <v>0</v>
      </c>
      <c r="AJ96" s="50" t="n">
        <f aca="false">AJ84</f>
        <v>1877.63033247346</v>
      </c>
      <c r="AK96" s="50" t="n">
        <f aca="false">AK84</f>
        <v>570.53181663935</v>
      </c>
      <c r="AL96" s="50" t="n">
        <f aca="false">SUM(AH96:AK96)</f>
        <v>4343.42125231544</v>
      </c>
      <c r="AM96" s="50" t="n">
        <f aca="false">AM84</f>
        <v>2186.84183198925</v>
      </c>
      <c r="AN96" s="50" t="n">
        <f aca="false">AL96+AM96</f>
        <v>6530.26308430469</v>
      </c>
      <c r="AO96" s="8" t="n">
        <f aca="false">I96-AL96-AM96</f>
        <v>5585.82835592318</v>
      </c>
      <c r="AQ96" s="9" t="n">
        <f aca="false">$AQ$18</f>
        <v>43</v>
      </c>
      <c r="AR96" s="9"/>
      <c r="AS96" s="9" t="n">
        <f aca="false">AS$18</f>
        <v>30</v>
      </c>
      <c r="AT96" s="9" t="n">
        <f aca="false">AT$18</f>
        <v>38</v>
      </c>
      <c r="AU96" s="9" t="n">
        <f aca="false">SUMPRODUCT(AH96:AK96,AQ96:AT96)/AL96</f>
        <v>36.7234148332219</v>
      </c>
      <c r="AV96" s="9" t="n">
        <f aca="false">$Y$18/1000*CURVES!O55+VLOOKUP($B96,$AU$10:$AV$14,2,FALSE())</f>
        <v>73.9651192880192</v>
      </c>
      <c r="AW96" s="9" t="n">
        <f aca="false">(AL96*AU96+AM96*AV96)/AN96</f>
        <v>49.1948445665927</v>
      </c>
      <c r="AX96" s="9" t="n">
        <f aca="false">CHOOSE(AX$18,CURVES!B55,CURVES!C55)</f>
        <v>38.9747311827957</v>
      </c>
      <c r="AY96" s="9" t="n">
        <f aca="false">(AN96*AW96+AO96*AX96)/I96</f>
        <v>44.4831106364227</v>
      </c>
    </row>
    <row r="97" customFormat="false" ht="12.75" hidden="false" customHeight="false" outlineLevel="0" collapsed="false">
      <c r="A97" s="85" t="n">
        <v>38504</v>
      </c>
      <c r="B97" s="31" t="n">
        <f aca="false">YEAR(A97)</f>
        <v>2005</v>
      </c>
      <c r="C97" s="31" t="n">
        <f aca="false">MONTH(A97)</f>
        <v>6</v>
      </c>
      <c r="D97" s="86" t="n">
        <v>0.05650629471049</v>
      </c>
      <c r="E97" s="87" t="n">
        <f aca="false">(1+D97/2)^(-2*(DATE($B98,$C98,20)-$E$17)/365.25)</f>
        <v>3.07969228544286</v>
      </c>
      <c r="F97" s="87"/>
      <c r="G97" s="8"/>
      <c r="H97" s="8" t="n">
        <f aca="false">(1+$I$17)*H85</f>
        <v>14346.2820978911</v>
      </c>
      <c r="I97" s="8" t="n">
        <f aca="false">(1+$I$17)*I85</f>
        <v>13662.4237208201</v>
      </c>
      <c r="K97" s="50" t="n">
        <f aca="false">K85</f>
        <v>2252.13333333333</v>
      </c>
      <c r="L97" s="50" t="n">
        <f aca="false">L85</f>
        <v>1398.39166666667</v>
      </c>
      <c r="M97" s="50" t="n">
        <f aca="false">M85</f>
        <v>957.040277777778</v>
      </c>
      <c r="N97" s="50" t="n">
        <f aca="false">N85</f>
        <v>3.52638888888889</v>
      </c>
      <c r="O97" s="50" t="n">
        <f aca="false">SUM(K97:N97)</f>
        <v>4611.09166666667</v>
      </c>
      <c r="P97" s="50" t="n">
        <f aca="false">P85</f>
        <v>3175.74117813466</v>
      </c>
      <c r="Q97" s="50" t="n">
        <f aca="false">O97+P97</f>
        <v>7786.83284480132</v>
      </c>
      <c r="R97" s="8" t="n">
        <f aca="false">H97-O97-P97</f>
        <v>6559.44925308973</v>
      </c>
      <c r="T97" s="9" t="n">
        <f aca="false">$T$18</f>
        <v>48.72</v>
      </c>
      <c r="U97" s="9" t="n">
        <f aca="false">U$18</f>
        <v>23</v>
      </c>
      <c r="V97" s="9" t="n">
        <f aca="false">V$18</f>
        <v>34</v>
      </c>
      <c r="W97" s="9" t="n">
        <f aca="false">W$18</f>
        <v>38</v>
      </c>
      <c r="X97" s="9" t="n">
        <f aca="false">SUMPRODUCT(K97:N97,T97:W97)/O97</f>
        <v>37.8566138290945</v>
      </c>
      <c r="Y97" s="9" t="n">
        <f aca="false">$Y$18/1000*CURVES!K56+VLOOKUP($B97,$X$10:$Y$14,2,FALSE())</f>
        <v>74.5026327284946</v>
      </c>
      <c r="Z97" s="9" t="n">
        <f aca="false">(O97*X97+P97*Y97)/Q97</f>
        <v>52.8021344988008</v>
      </c>
      <c r="AA97" s="9" t="n">
        <f aca="false">CHOOSE(AA$18,CURVES!F56,CURVES!G56)</f>
        <v>46.6944444444444</v>
      </c>
      <c r="AB97" s="9" t="n">
        <f aca="false">(Q97*Z97+R97*AA97)/H97</f>
        <v>50.0095585065135</v>
      </c>
      <c r="AD97" s="9"/>
      <c r="AH97" s="50" t="n">
        <f aca="false">AH85</f>
        <v>1881.37055634004</v>
      </c>
      <c r="AI97" s="50" t="n">
        <f aca="false">AI85</f>
        <v>0</v>
      </c>
      <c r="AJ97" s="50" t="n">
        <f aca="false">AJ85</f>
        <v>1162.16168617347</v>
      </c>
      <c r="AK97" s="50" t="n">
        <f aca="false">AK85</f>
        <v>631.240712103584</v>
      </c>
      <c r="AL97" s="50" t="n">
        <f aca="false">SUM(AH97:AK97)</f>
        <v>3674.77295461709</v>
      </c>
      <c r="AM97" s="50" t="n">
        <f aca="false">AM85</f>
        <v>2754.04614109589</v>
      </c>
      <c r="AN97" s="50" t="n">
        <f aca="false">AL97+AM97</f>
        <v>6428.81909571298</v>
      </c>
      <c r="AO97" s="8" t="n">
        <f aca="false">I97-AL97-AM97</f>
        <v>7233.60462510717</v>
      </c>
      <c r="AQ97" s="9" t="n">
        <f aca="false">$AQ$18</f>
        <v>43</v>
      </c>
      <c r="AR97" s="9"/>
      <c r="AS97" s="9" t="n">
        <f aca="false">AS$18</f>
        <v>30</v>
      </c>
      <c r="AT97" s="9" t="n">
        <f aca="false">AT$18</f>
        <v>38</v>
      </c>
      <c r="AU97" s="9" t="n">
        <f aca="false">SUMPRODUCT(AH97:AK97,AQ97:AT97)/AL97</f>
        <v>38.0298138942638</v>
      </c>
      <c r="AV97" s="9" t="n">
        <f aca="false">$Y$18/1000*CURVES!O56+VLOOKUP($B97,$AU$10:$AV$14,2,FALSE())</f>
        <v>74.2696192880192</v>
      </c>
      <c r="AW97" s="9" t="n">
        <f aca="false">(AL97*AU97+AM97*AV97)/AN97</f>
        <v>53.5546085280548</v>
      </c>
      <c r="AX97" s="9" t="n">
        <f aca="false">CHOOSE(AX$18,CURVES!B56,CURVES!C56)</f>
        <v>44.7133333333333</v>
      </c>
      <c r="AY97" s="9" t="n">
        <f aca="false">(AN97*AW97+AO97*AX97)/I97</f>
        <v>48.8735731241445</v>
      </c>
    </row>
    <row r="98" customFormat="false" ht="12.75" hidden="false" customHeight="false" outlineLevel="0" collapsed="false">
      <c r="A98" s="85" t="n">
        <v>38534</v>
      </c>
      <c r="B98" s="31" t="n">
        <f aca="false">YEAR(A98)</f>
        <v>2005</v>
      </c>
      <c r="C98" s="31" t="n">
        <f aca="false">MONTH(A98)</f>
        <v>7</v>
      </c>
      <c r="D98" s="86" t="n">
        <v>0.05656672025359</v>
      </c>
      <c r="E98" s="87" t="n">
        <f aca="false">(1+D98/2)^(-2*(DATE($B99,$C99,20)-$E$17)/365.25)</f>
        <v>3.06878446932626</v>
      </c>
      <c r="F98" s="87"/>
      <c r="G98" s="8"/>
      <c r="H98" s="8" t="n">
        <f aca="false">(1+$I$17)*H86</f>
        <v>14159.6750654134</v>
      </c>
      <c r="I98" s="8" t="n">
        <f aca="false">(1+$I$17)*I86</f>
        <v>12969.6122195718</v>
      </c>
      <c r="K98" s="50" t="n">
        <f aca="false">K86</f>
        <v>2248.45698924731</v>
      </c>
      <c r="L98" s="50" t="n">
        <f aca="false">L86</f>
        <v>1358.32258064516</v>
      </c>
      <c r="M98" s="50" t="n">
        <f aca="false">M86</f>
        <v>653.551075268817</v>
      </c>
      <c r="N98" s="50" t="n">
        <f aca="false">N86</f>
        <v>3.83736559139785</v>
      </c>
      <c r="O98" s="50" t="n">
        <f aca="false">SUM(K98:N98)</f>
        <v>4264.16801075269</v>
      </c>
      <c r="P98" s="50" t="n">
        <f aca="false">P86</f>
        <v>3349.38956238808</v>
      </c>
      <c r="Q98" s="50" t="n">
        <f aca="false">O98+P98</f>
        <v>7613.55757314076</v>
      </c>
      <c r="R98" s="8" t="n">
        <f aca="false">H98-O98-P98</f>
        <v>6546.11749227259</v>
      </c>
      <c r="T98" s="9" t="n">
        <f aca="false">$T$18</f>
        <v>48.72</v>
      </c>
      <c r="U98" s="9" t="n">
        <f aca="false">U$18</f>
        <v>23</v>
      </c>
      <c r="V98" s="9" t="n">
        <f aca="false">V$18</f>
        <v>34</v>
      </c>
      <c r="W98" s="9" t="n">
        <f aca="false">W$18</f>
        <v>38</v>
      </c>
      <c r="X98" s="9" t="n">
        <f aca="false">SUMPRODUCT(K98:N98,T98:W98)/O98</f>
        <v>38.2613442789234</v>
      </c>
      <c r="Y98" s="9" t="n">
        <f aca="false">$Y$18/1000*CURVES!K57+VLOOKUP($B98,$X$10:$Y$14,2,FALSE())</f>
        <v>74.8176327284946</v>
      </c>
      <c r="Z98" s="9" t="n">
        <f aca="false">(O98*X98+P98*Y98)/Q98</f>
        <v>54.3433466538174</v>
      </c>
      <c r="AA98" s="9" t="n">
        <f aca="false">CHOOSE(AA$18,CURVES!F57,CURVES!G57)</f>
        <v>60.5801075268817</v>
      </c>
      <c r="AB98" s="9" t="n">
        <f aca="false">(Q98*Z98+R98*AA98)/H98</f>
        <v>57.2266451234278</v>
      </c>
      <c r="AD98" s="9"/>
      <c r="AH98" s="50" t="n">
        <f aca="false">AH86</f>
        <v>1914.32162011861</v>
      </c>
      <c r="AI98" s="50" t="n">
        <f aca="false">AI86</f>
        <v>0</v>
      </c>
      <c r="AJ98" s="50" t="n">
        <f aca="false">AJ86</f>
        <v>1193.33197430598</v>
      </c>
      <c r="AK98" s="50" t="n">
        <f aca="false">AK86</f>
        <v>610.723058442111</v>
      </c>
      <c r="AL98" s="50" t="n">
        <f aca="false">SUM(AH98:AK98)</f>
        <v>3718.37665286669</v>
      </c>
      <c r="AM98" s="50" t="n">
        <f aca="false">AM86</f>
        <v>2586.73186021505</v>
      </c>
      <c r="AN98" s="50" t="n">
        <f aca="false">AL98+AM98</f>
        <v>6305.10851308175</v>
      </c>
      <c r="AO98" s="8" t="n">
        <f aca="false">I98-AL98-AM98</f>
        <v>6664.5037064901</v>
      </c>
      <c r="AQ98" s="9" t="n">
        <f aca="false">$AQ$18</f>
        <v>43</v>
      </c>
      <c r="AR98" s="9"/>
      <c r="AS98" s="9" t="n">
        <f aca="false">AS$18</f>
        <v>30</v>
      </c>
      <c r="AT98" s="9" t="n">
        <f aca="false">AT$18</f>
        <v>38</v>
      </c>
      <c r="AU98" s="9" t="n">
        <f aca="false">SUMPRODUCT(AH98:AK98,AQ98:AT98)/AL98</f>
        <v>38.0067105375476</v>
      </c>
      <c r="AV98" s="9" t="n">
        <f aca="false">$Y$18/1000*CURVES!O57+VLOOKUP($B98,$AU$10:$AV$14,2,FALSE())</f>
        <v>74.5846192880192</v>
      </c>
      <c r="AW98" s="9" t="n">
        <f aca="false">(AL98*AU98+AM98*AV98)/AN98</f>
        <v>53.0131520204457</v>
      </c>
      <c r="AX98" s="9" t="n">
        <f aca="false">CHOOSE(AX$18,CURVES!B57,CURVES!C57)</f>
        <v>61.1870967741936</v>
      </c>
      <c r="AY98" s="9" t="n">
        <f aca="false">(AN98*AW98+AO98*AX98)/I98</f>
        <v>57.2133766829681</v>
      </c>
    </row>
    <row r="99" customFormat="false" ht="12.75" hidden="false" customHeight="false" outlineLevel="0" collapsed="false">
      <c r="A99" s="85" t="n">
        <v>38565</v>
      </c>
      <c r="B99" s="31" t="n">
        <f aca="false">YEAR(A99)</f>
        <v>2005</v>
      </c>
      <c r="C99" s="31" t="n">
        <f aca="false">MONTH(A99)</f>
        <v>8</v>
      </c>
      <c r="D99" s="86" t="n">
        <v>0.056629159982736</v>
      </c>
      <c r="E99" s="87" t="n">
        <f aca="false">(1+D99/2)^(-2*(DATE($B100,$C100,20)-$E$17)/365.25)</f>
        <v>3.05800457060153</v>
      </c>
      <c r="F99" s="87"/>
      <c r="G99" s="8"/>
      <c r="H99" s="8" t="n">
        <f aca="false">(1+$I$17)*H87</f>
        <v>15184.4366888038</v>
      </c>
      <c r="I99" s="8" t="n">
        <f aca="false">(1+$I$17)*I87</f>
        <v>13451.6339273316</v>
      </c>
      <c r="K99" s="50" t="n">
        <f aca="false">K87</f>
        <v>2226.06586021505</v>
      </c>
      <c r="L99" s="50" t="n">
        <f aca="false">L87</f>
        <v>1361.98924731183</v>
      </c>
      <c r="M99" s="50" t="n">
        <f aca="false">M87</f>
        <v>483.364247311828</v>
      </c>
      <c r="N99" s="50" t="n">
        <f aca="false">N87</f>
        <v>3.9247311827957</v>
      </c>
      <c r="O99" s="50" t="n">
        <f aca="false">SUM(K99:N99)</f>
        <v>4075.34408602151</v>
      </c>
      <c r="P99" s="50" t="n">
        <f aca="false">P87</f>
        <v>3426.25292884001</v>
      </c>
      <c r="Q99" s="50" t="n">
        <f aca="false">O99+P99</f>
        <v>7501.59701486152</v>
      </c>
      <c r="R99" s="8" t="n">
        <f aca="false">H99-O99-P99</f>
        <v>7682.83967394232</v>
      </c>
      <c r="T99" s="9" t="n">
        <f aca="false">$T$18</f>
        <v>48.72</v>
      </c>
      <c r="U99" s="9" t="n">
        <f aca="false">U$18</f>
        <v>23</v>
      </c>
      <c r="V99" s="9" t="n">
        <f aca="false">V$18</f>
        <v>34</v>
      </c>
      <c r="W99" s="9" t="n">
        <f aca="false">W$18</f>
        <v>38</v>
      </c>
      <c r="X99" s="9" t="n">
        <f aca="false">SUMPRODUCT(K99:N99,T99:W99)/O99</f>
        <v>38.3680990588564</v>
      </c>
      <c r="Y99" s="9" t="n">
        <f aca="false">$Y$18/1000*CURVES!K58+VLOOKUP($B99,$X$10:$Y$14,2,FALSE())</f>
        <v>75.0276327284946</v>
      </c>
      <c r="Z99" s="9" t="n">
        <f aca="false">(O99*X99+P99*Y99)/Q99</f>
        <v>55.1118450047756</v>
      </c>
      <c r="AA99" s="9" t="n">
        <f aca="false">CHOOSE(AA$18,CURVES!F58,CURVES!G58)</f>
        <v>67.3370967741936</v>
      </c>
      <c r="AB99" s="9" t="n">
        <f aca="false">(Q99*Z99+R99*AA99)/H99</f>
        <v>61.2974316842784</v>
      </c>
      <c r="AD99" s="9"/>
      <c r="AH99" s="50" t="n">
        <f aca="false">AH87</f>
        <v>1859.59450264151</v>
      </c>
      <c r="AI99" s="50" t="n">
        <f aca="false">AI87</f>
        <v>0</v>
      </c>
      <c r="AJ99" s="50" t="n">
        <f aca="false">AJ87</f>
        <v>1584.50880376937</v>
      </c>
      <c r="AK99" s="50" t="n">
        <f aca="false">AK87</f>
        <v>621.501656862376</v>
      </c>
      <c r="AL99" s="50" t="n">
        <f aca="false">SUM(AH99:AK99)</f>
        <v>4065.60496327325</v>
      </c>
      <c r="AM99" s="50" t="n">
        <f aca="false">AM87</f>
        <v>2208.28901612903</v>
      </c>
      <c r="AN99" s="50" t="n">
        <f aca="false">AL99+AM99</f>
        <v>6273.89397940229</v>
      </c>
      <c r="AO99" s="8" t="n">
        <f aca="false">I99-AL99-AM99</f>
        <v>7177.73994792935</v>
      </c>
      <c r="AQ99" s="9" t="n">
        <f aca="false">$AQ$18</f>
        <v>43</v>
      </c>
      <c r="AR99" s="9"/>
      <c r="AS99" s="9" t="n">
        <f aca="false">AS$18</f>
        <v>30</v>
      </c>
      <c r="AT99" s="9" t="n">
        <f aca="false">AT$18</f>
        <v>38</v>
      </c>
      <c r="AU99" s="9" t="n">
        <f aca="false">SUMPRODUCT(AH99:AK99,AQ99:AT99)/AL99</f>
        <v>37.1691032583186</v>
      </c>
      <c r="AV99" s="9" t="n">
        <f aca="false">$Y$18/1000*CURVES!O58+VLOOKUP($B99,$AU$10:$AV$14,2,FALSE())</f>
        <v>74.7946192880192</v>
      </c>
      <c r="AW99" s="9" t="n">
        <f aca="false">(AL99*AU99+AM99*AV99)/AN99</f>
        <v>50.4125552591588</v>
      </c>
      <c r="AX99" s="9" t="n">
        <f aca="false">CHOOSE(AX$18,CURVES!B58,CURVES!C58)</f>
        <v>71.4403225806452</v>
      </c>
      <c r="AY99" s="9" t="n">
        <f aca="false">(AN99*AW99+AO99*AX99)/I99</f>
        <v>61.6328907466215</v>
      </c>
    </row>
    <row r="100" customFormat="false" ht="12.75" hidden="false" customHeight="false" outlineLevel="0" collapsed="false">
      <c r="A100" s="85" t="n">
        <v>38596</v>
      </c>
      <c r="B100" s="31" t="n">
        <f aca="false">YEAR(A100)</f>
        <v>2005</v>
      </c>
      <c r="C100" s="31" t="n">
        <f aca="false">MONTH(A100)</f>
        <v>9</v>
      </c>
      <c r="D100" s="86" t="n">
        <v>0.05669159971318</v>
      </c>
      <c r="E100" s="87" t="n">
        <f aca="false">(1+D100/2)^(-2*(DATE($B101,$C101,20)-$E$17)/365.25)</f>
        <v>3.04769744508557</v>
      </c>
      <c r="F100" s="87"/>
      <c r="G100" s="8"/>
      <c r="H100" s="8" t="n">
        <f aca="false">(1+$I$17)*H88</f>
        <v>13754.2396464797</v>
      </c>
      <c r="I100" s="8" t="n">
        <f aca="false">(1+$I$17)*I88</f>
        <v>12670.5755022926</v>
      </c>
      <c r="K100" s="50" t="n">
        <f aca="false">K88</f>
        <v>2263.63333333333</v>
      </c>
      <c r="L100" s="50" t="n">
        <f aca="false">L88</f>
        <v>1380.73611111111</v>
      </c>
      <c r="M100" s="50" t="n">
        <f aca="false">M88</f>
        <v>542.602777777778</v>
      </c>
      <c r="N100" s="50" t="n">
        <f aca="false">N88</f>
        <v>3.41944444444444</v>
      </c>
      <c r="O100" s="50" t="n">
        <f aca="false">SUM(K100:N100)</f>
        <v>4190.39166666667</v>
      </c>
      <c r="P100" s="50" t="n">
        <f aca="false">P88</f>
        <v>3348.13393235473</v>
      </c>
      <c r="Q100" s="50" t="n">
        <f aca="false">O100+P100</f>
        <v>7538.52559902139</v>
      </c>
      <c r="R100" s="8" t="n">
        <f aca="false">H100-O100-P100</f>
        <v>6215.71404745827</v>
      </c>
      <c r="T100" s="9" t="n">
        <f aca="false">$T$18</f>
        <v>48.72</v>
      </c>
      <c r="U100" s="9" t="n">
        <f aca="false">U$18</f>
        <v>23</v>
      </c>
      <c r="V100" s="9" t="n">
        <f aca="false">V$18</f>
        <v>34</v>
      </c>
      <c r="W100" s="9" t="n">
        <f aca="false">W$18</f>
        <v>38</v>
      </c>
      <c r="X100" s="9" t="n">
        <f aca="false">SUMPRODUCT(K100:N100,T100:W100)/O100</f>
        <v>38.3304456159959</v>
      </c>
      <c r="Y100" s="9" t="n">
        <f aca="false">$Y$18/1000*CURVES!K59+VLOOKUP($B100,$X$10:$Y$14,2,FALSE())</f>
        <v>75.2481327284946</v>
      </c>
      <c r="Z100" s="9" t="n">
        <f aca="false">(O100*X100+P100*Y100)/Q100</f>
        <v>54.7269357919339</v>
      </c>
      <c r="AA100" s="9" t="n">
        <f aca="false">CHOOSE(AA$18,CURVES!F59,CURVES!G59)</f>
        <v>61.0666666666667</v>
      </c>
      <c r="AB100" s="9" t="n">
        <f aca="false">(Q100*Z100+R100*AA100)/H100</f>
        <v>57.5919399846787</v>
      </c>
      <c r="AD100" s="9"/>
      <c r="AH100" s="50" t="n">
        <f aca="false">AH88</f>
        <v>1890.97734163897</v>
      </c>
      <c r="AI100" s="50" t="n">
        <f aca="false">AI88</f>
        <v>0</v>
      </c>
      <c r="AJ100" s="50" t="n">
        <f aca="false">AJ88</f>
        <v>765.820605438213</v>
      </c>
      <c r="AK100" s="50" t="n">
        <f aca="false">AK88</f>
        <v>570.922545092046</v>
      </c>
      <c r="AL100" s="50" t="n">
        <f aca="false">SUM(AH100:AK100)</f>
        <v>3227.72049216923</v>
      </c>
      <c r="AM100" s="50" t="n">
        <f aca="false">AM88</f>
        <v>2371.57693150685</v>
      </c>
      <c r="AN100" s="50" t="n">
        <f aca="false">AL100+AM100</f>
        <v>5599.29742367608</v>
      </c>
      <c r="AO100" s="8" t="n">
        <f aca="false">I100-AL100-AM100</f>
        <v>7071.27807861654</v>
      </c>
      <c r="AQ100" s="9" t="n">
        <f aca="false">$AQ$18</f>
        <v>43</v>
      </c>
      <c r="AR100" s="9"/>
      <c r="AS100" s="9" t="n">
        <f aca="false">AS$18</f>
        <v>30</v>
      </c>
      <c r="AT100" s="9" t="n">
        <f aca="false">AT$18</f>
        <v>38</v>
      </c>
      <c r="AU100" s="9" t="n">
        <f aca="false">SUMPRODUCT(AH100:AK100,AQ100:AT100)/AL100</f>
        <v>39.0311679319086</v>
      </c>
      <c r="AV100" s="9" t="n">
        <f aca="false">$Y$18/1000*CURVES!O59+VLOOKUP($B100,$AU$10:$AV$14,2,FALSE())</f>
        <v>75.0151192880192</v>
      </c>
      <c r="AW100" s="9" t="n">
        <f aca="false">(AL100*AU100+AM100*AV100)/AN100</f>
        <v>54.2721352325149</v>
      </c>
      <c r="AX100" s="9" t="n">
        <f aca="false">CHOOSE(AX$18,CURVES!B59,CURVES!C59)</f>
        <v>62.5777777777778</v>
      </c>
      <c r="AY100" s="9" t="n">
        <f aca="false">(AN100*AW100+AO100*AX100)/I100</f>
        <v>58.9074028293589</v>
      </c>
    </row>
    <row r="101" customFormat="false" ht="12.75" hidden="false" customHeight="false" outlineLevel="0" collapsed="false">
      <c r="A101" s="85" t="n">
        <v>38626</v>
      </c>
      <c r="B101" s="31" t="n">
        <f aca="false">YEAR(A101)</f>
        <v>2005</v>
      </c>
      <c r="C101" s="31" t="n">
        <f aca="false">MONTH(A101)</f>
        <v>10</v>
      </c>
      <c r="D101" s="86" t="n">
        <v>0.056752025260006</v>
      </c>
      <c r="E101" s="87" t="n">
        <f aca="false">(1+D101/2)^(-2*(DATE($B102,$C102,20)-$E$17)/365.25)</f>
        <v>3.03681123277322</v>
      </c>
      <c r="F101" s="87"/>
      <c r="G101" s="8"/>
      <c r="H101" s="8" t="n">
        <f aca="false">(1+$I$17)*H89</f>
        <v>12777.6743374267</v>
      </c>
      <c r="I101" s="8" t="n">
        <f aca="false">(1+$I$17)*I89</f>
        <v>10967.29708128</v>
      </c>
      <c r="K101" s="50" t="n">
        <f aca="false">K89</f>
        <v>2069.29166666667</v>
      </c>
      <c r="L101" s="50" t="n">
        <f aca="false">L89</f>
        <v>1227.52419354839</v>
      </c>
      <c r="M101" s="50" t="n">
        <f aca="false">M89</f>
        <v>369.340053763441</v>
      </c>
      <c r="N101" s="50" t="n">
        <f aca="false">N89</f>
        <v>3.27822580645161</v>
      </c>
      <c r="O101" s="50" t="n">
        <f aca="false">SUM(K101:N101)</f>
        <v>3669.43413978495</v>
      </c>
      <c r="P101" s="50" t="n">
        <f aca="false">P89</f>
        <v>3171.07549498463</v>
      </c>
      <c r="Q101" s="50" t="n">
        <f aca="false">O101+P101</f>
        <v>6840.50963476957</v>
      </c>
      <c r="R101" s="8" t="n">
        <f aca="false">H101-O101-P101</f>
        <v>5937.16470265711</v>
      </c>
      <c r="T101" s="9" t="n">
        <f aca="false">$T$18</f>
        <v>48.72</v>
      </c>
      <c r="U101" s="9" t="n">
        <f aca="false">U$18</f>
        <v>23</v>
      </c>
      <c r="V101" s="9" t="n">
        <f aca="false">V$18</f>
        <v>34</v>
      </c>
      <c r="W101" s="9" t="n">
        <f aca="false">W$18</f>
        <v>38</v>
      </c>
      <c r="X101" s="9" t="n">
        <f aca="false">SUMPRODUCT(K101:N101,T101:W101)/O101</f>
        <v>38.624778497461</v>
      </c>
      <c r="Y101" s="9" t="n">
        <f aca="false">$Y$18/1000*CURVES!K60+VLOOKUP($B101,$X$10:$Y$14,2,FALSE())</f>
        <v>75.5631327284946</v>
      </c>
      <c r="Z101" s="9" t="n">
        <f aca="false">(O101*X101+P101*Y101)/Q101</f>
        <v>55.7484017625627</v>
      </c>
      <c r="AA101" s="9" t="n">
        <f aca="false">CHOOSE(AA$18,CURVES!F60,CURVES!G60)</f>
        <v>44.8758064516129</v>
      </c>
      <c r="AB101" s="9" t="n">
        <f aca="false">(Q101*Z101+R101*AA101)/H101</f>
        <v>50.6964347612307</v>
      </c>
      <c r="AD101" s="9"/>
      <c r="AH101" s="50" t="n">
        <f aca="false">AH89</f>
        <v>1913.83994918903</v>
      </c>
      <c r="AI101" s="50" t="n">
        <f aca="false">AI89</f>
        <v>0</v>
      </c>
      <c r="AJ101" s="50" t="n">
        <f aca="false">AJ89</f>
        <v>1075.38011608834</v>
      </c>
      <c r="AK101" s="50" t="n">
        <f aca="false">AK89</f>
        <v>576.385560502926</v>
      </c>
      <c r="AL101" s="50" t="n">
        <f aca="false">SUM(AH101:AK101)</f>
        <v>3565.6056257803</v>
      </c>
      <c r="AM101" s="50" t="n">
        <f aca="false">AM89</f>
        <v>2259.71325</v>
      </c>
      <c r="AN101" s="50" t="n">
        <f aca="false">AL101+AM101</f>
        <v>5825.3188757803</v>
      </c>
      <c r="AO101" s="8" t="n">
        <f aca="false">I101-AL101-AM101</f>
        <v>5141.97820549965</v>
      </c>
      <c r="AQ101" s="9" t="n">
        <f aca="false">$AQ$18</f>
        <v>43</v>
      </c>
      <c r="AR101" s="9"/>
      <c r="AS101" s="9" t="n">
        <f aca="false">AS$18</f>
        <v>30</v>
      </c>
      <c r="AT101" s="9" t="n">
        <f aca="false">AT$18</f>
        <v>38</v>
      </c>
      <c r="AU101" s="9" t="n">
        <f aca="false">SUMPRODUCT(AH101:AK101,AQ101:AT101)/AL101</f>
        <v>38.2709662589303</v>
      </c>
      <c r="AV101" s="9" t="n">
        <f aca="false">$Y$18/1000*CURVES!O60+VLOOKUP($B101,$AU$10:$AV$14,2,FALSE())</f>
        <v>75.3301192880192</v>
      </c>
      <c r="AW101" s="9" t="n">
        <f aca="false">(AL101*AU101+AM101*AV101)/AN101</f>
        <v>52.6466701335774</v>
      </c>
      <c r="AX101" s="9" t="n">
        <f aca="false">CHOOSE(AX$18,CURVES!B60,CURVES!C60)</f>
        <v>43.5784946236559</v>
      </c>
      <c r="AY101" s="9" t="n">
        <f aca="false">(AN101*AW101+AO101*AX101)/I101</f>
        <v>48.3950883181042</v>
      </c>
    </row>
    <row r="102" customFormat="false" ht="12.75" hidden="false" customHeight="false" outlineLevel="0" collapsed="false">
      <c r="A102" s="85" t="n">
        <v>38657</v>
      </c>
      <c r="B102" s="31" t="n">
        <f aca="false">YEAR(A102)</f>
        <v>2005</v>
      </c>
      <c r="C102" s="31" t="n">
        <f aca="false">MONTH(A102)</f>
        <v>11</v>
      </c>
      <c r="D102" s="86" t="n">
        <v>0.056814464993004</v>
      </c>
      <c r="E102" s="87" t="n">
        <f aca="false">(1+D102/2)^(-2*(DATE($B103,$C103,20)-$E$17)/365.25)</f>
        <v>3.02651493127643</v>
      </c>
      <c r="F102" s="87"/>
      <c r="G102" s="8"/>
      <c r="H102" s="8" t="n">
        <f aca="false">(1+$I$17)*H90</f>
        <v>12499.0895228622</v>
      </c>
      <c r="I102" s="8" t="n">
        <f aca="false">(1+$I$17)*I90</f>
        <v>11133.771006011</v>
      </c>
      <c r="K102" s="50" t="n">
        <f aca="false">K90</f>
        <v>2201.15833333333</v>
      </c>
      <c r="L102" s="50" t="n">
        <f aca="false">L90</f>
        <v>1270.02777777778</v>
      </c>
      <c r="M102" s="50" t="n">
        <f aca="false">M90</f>
        <v>241.311111111111</v>
      </c>
      <c r="N102" s="50" t="n">
        <f aca="false">N90</f>
        <v>3.11944444444444</v>
      </c>
      <c r="O102" s="50" t="n">
        <f aca="false">SUM(K102:N102)</f>
        <v>3715.61666666667</v>
      </c>
      <c r="P102" s="50" t="n">
        <f aca="false">P90</f>
        <v>3029.03315829808</v>
      </c>
      <c r="Q102" s="50" t="n">
        <f aca="false">O102+P102</f>
        <v>6744.64982496475</v>
      </c>
      <c r="R102" s="8" t="n">
        <f aca="false">H102-O102-P102</f>
        <v>5754.43969789749</v>
      </c>
      <c r="T102" s="9" t="n">
        <f aca="false">$T$18</f>
        <v>48.72</v>
      </c>
      <c r="U102" s="9" t="n">
        <f aca="false">U$18</f>
        <v>23</v>
      </c>
      <c r="V102" s="9" t="n">
        <f aca="false">V$18</f>
        <v>34</v>
      </c>
      <c r="W102" s="9" t="n">
        <f aca="false">W$18</f>
        <v>38</v>
      </c>
      <c r="X102" s="9" t="n">
        <f aca="false">SUMPRODUCT(K102:N102,T102:W102)/O102</f>
        <v>38.9637044247179</v>
      </c>
      <c r="Y102" s="9" t="n">
        <f aca="false">$Y$18/1000*CURVES!K61+VLOOKUP($B102,$X$10:$Y$14,2,FALSE())</f>
        <v>75.7731327284946</v>
      </c>
      <c r="Z102" s="9" t="n">
        <f aca="false">(O102*X102+P102*Y102)/Q102</f>
        <v>55.494878283061</v>
      </c>
      <c r="AA102" s="9" t="n">
        <f aca="false">CHOOSE(AA$18,CURVES!F61,CURVES!G61)</f>
        <v>36.7611111111111</v>
      </c>
      <c r="AB102" s="9" t="n">
        <f aca="false">(Q102*Z102+R102*AA102)/H102</f>
        <v>46.8700633868836</v>
      </c>
      <c r="AD102" s="9"/>
      <c r="AH102" s="50" t="n">
        <f aca="false">AH90</f>
        <v>1838.78743628671</v>
      </c>
      <c r="AI102" s="50" t="n">
        <f aca="false">AI90</f>
        <v>0</v>
      </c>
      <c r="AJ102" s="50" t="n">
        <f aca="false">AJ90</f>
        <v>1347.87918472112</v>
      </c>
      <c r="AK102" s="50" t="n">
        <f aca="false">AK90</f>
        <v>499.439112514422</v>
      </c>
      <c r="AL102" s="50" t="n">
        <f aca="false">SUM(AH102:AK102)</f>
        <v>3686.10573352225</v>
      </c>
      <c r="AM102" s="50" t="n">
        <f aca="false">AM90</f>
        <v>2451.23764109589</v>
      </c>
      <c r="AN102" s="50" t="n">
        <f aca="false">AL102+AM102</f>
        <v>6137.34337461814</v>
      </c>
      <c r="AO102" s="8" t="n">
        <f aca="false">I102-AL102-AM102</f>
        <v>4996.42763139289</v>
      </c>
      <c r="AQ102" s="9" t="n">
        <f aca="false">$AQ$18</f>
        <v>43</v>
      </c>
      <c r="AR102" s="9"/>
      <c r="AS102" s="9" t="n">
        <f aca="false">AS$18</f>
        <v>30</v>
      </c>
      <c r="AT102" s="9" t="n">
        <f aca="false">AT$18</f>
        <v>38</v>
      </c>
      <c r="AU102" s="9" t="n">
        <f aca="false">SUMPRODUCT(AH102:AK102,AQ102:AT102)/AL102</f>
        <v>37.5688956282822</v>
      </c>
      <c r="AV102" s="9" t="n">
        <f aca="false">$Y$18/1000*CURVES!O61+VLOOKUP($B102,$AU$10:$AV$14,2,FALSE())</f>
        <v>75.5401192880192</v>
      </c>
      <c r="AW102" s="9" t="n">
        <f aca="false">(AL102*AU102+AM102*AV102)/AN102</f>
        <v>52.7344953074772</v>
      </c>
      <c r="AX102" s="9" t="n">
        <f aca="false">CHOOSE(AX$18,CURVES!B61,CURVES!C61)</f>
        <v>41.9944444444444</v>
      </c>
      <c r="AY102" s="9" t="n">
        <f aca="false">(AN102*AW102+AO102*AX102)/I102</f>
        <v>47.9147548201212</v>
      </c>
    </row>
    <row r="103" customFormat="false" ht="12.75" hidden="false" customHeight="false" outlineLevel="0" collapsed="false">
      <c r="A103" s="85" t="n">
        <v>38687</v>
      </c>
      <c r="B103" s="31" t="n">
        <f aca="false">YEAR(A103)</f>
        <v>2005</v>
      </c>
      <c r="C103" s="31" t="n">
        <f aca="false">MONTH(A103)</f>
        <v>12</v>
      </c>
      <c r="D103" s="86" t="n">
        <v>0.0568748905423</v>
      </c>
      <c r="E103" s="87" t="n">
        <f aca="false">(1+D103/2)^(-2*(DATE($B104,$C104,20)-$E$17)/365.25)</f>
        <v>3.0156440002126</v>
      </c>
      <c r="F103" s="87"/>
      <c r="G103" s="8"/>
      <c r="H103" s="8" t="n">
        <f aca="false">(1+$I$17)*H91</f>
        <v>12409.0896215738</v>
      </c>
      <c r="I103" s="8" t="n">
        <f aca="false">(1+$I$17)*I91</f>
        <v>11108.4770176535</v>
      </c>
      <c r="K103" s="50" t="n">
        <f aca="false">K91</f>
        <v>2256.4126344086</v>
      </c>
      <c r="L103" s="50" t="n">
        <f aca="false">L91</f>
        <v>1157.21505376344</v>
      </c>
      <c r="M103" s="50" t="n">
        <f aca="false">M91</f>
        <v>239.860215053763</v>
      </c>
      <c r="N103" s="50" t="n">
        <f aca="false">N91</f>
        <v>2.96908602150538</v>
      </c>
      <c r="O103" s="50" t="n">
        <f aca="false">SUM(K103:N103)</f>
        <v>3656.45698924731</v>
      </c>
      <c r="P103" s="50" t="n">
        <f aca="false">P91</f>
        <v>2977.59684973097</v>
      </c>
      <c r="Q103" s="50" t="n">
        <f aca="false">O103+P103</f>
        <v>6634.05383897828</v>
      </c>
      <c r="R103" s="8" t="n">
        <f aca="false">H103-O103-P103</f>
        <v>5775.03578259551</v>
      </c>
      <c r="T103" s="9" t="n">
        <f aca="false">$T$18</f>
        <v>48.72</v>
      </c>
      <c r="U103" s="9" t="n">
        <f aca="false">U$18</f>
        <v>23</v>
      </c>
      <c r="V103" s="9" t="n">
        <f aca="false">V$18</f>
        <v>34</v>
      </c>
      <c r="W103" s="9" t="n">
        <f aca="false">W$18</f>
        <v>38</v>
      </c>
      <c r="X103" s="9" t="n">
        <f aca="false">SUMPRODUCT(K103:N103,T103:W103)/O103</f>
        <v>39.6056736867024</v>
      </c>
      <c r="Y103" s="9" t="n">
        <f aca="false">$Y$18/1000*CURVES!K62+VLOOKUP($B103,$X$10:$Y$14,2,FALSE())</f>
        <v>77.0856327284946</v>
      </c>
      <c r="Z103" s="9" t="n">
        <f aca="false">(O103*X103+P103*Y103)/Q103</f>
        <v>56.4279984190073</v>
      </c>
      <c r="AA103" s="9" t="n">
        <f aca="false">CHOOSE(AA$18,CURVES!F62,CURVES!G62)</f>
        <v>36.5209677419355</v>
      </c>
      <c r="AB103" s="9" t="n">
        <f aca="false">(Q103*Z103+R103*AA103)/H103</f>
        <v>47.1635142391649</v>
      </c>
      <c r="AD103" s="9"/>
      <c r="AH103" s="50" t="n">
        <f aca="false">AH91</f>
        <v>1921.09500453605</v>
      </c>
      <c r="AI103" s="50" t="n">
        <f aca="false">AI91</f>
        <v>0</v>
      </c>
      <c r="AJ103" s="50" t="n">
        <f aca="false">AJ91</f>
        <v>1326.47869273451</v>
      </c>
      <c r="AK103" s="50" t="n">
        <f aca="false">AK91</f>
        <v>519.619723134563</v>
      </c>
      <c r="AL103" s="50" t="n">
        <f aca="false">SUM(AH103:AK103)</f>
        <v>3767.19342040512</v>
      </c>
      <c r="AM103" s="50" t="n">
        <f aca="false">AM91</f>
        <v>2024.24791129032</v>
      </c>
      <c r="AN103" s="50" t="n">
        <f aca="false">AL103+AM103</f>
        <v>5791.44133169545</v>
      </c>
      <c r="AO103" s="8" t="n">
        <f aca="false">I103-AL103-AM103</f>
        <v>5317.03568595804</v>
      </c>
      <c r="AQ103" s="9" t="n">
        <f aca="false">$AQ$18</f>
        <v>43</v>
      </c>
      <c r="AR103" s="9"/>
      <c r="AS103" s="9" t="n">
        <f aca="false">AS$18</f>
        <v>30</v>
      </c>
      <c r="AT103" s="9" t="n">
        <f aca="false">AT$18</f>
        <v>38</v>
      </c>
      <c r="AU103" s="9" t="n">
        <f aca="false">SUMPRODUCT(AH103:AK103,AQ103:AT103)/AL103</f>
        <v>37.7328635918334</v>
      </c>
      <c r="AV103" s="9" t="n">
        <f aca="false">$Y$18/1000*CURVES!O62+VLOOKUP($B103,$AU$10:$AV$14,2,FALSE())</f>
        <v>76.8526192880192</v>
      </c>
      <c r="AW103" s="9" t="n">
        <f aca="false">(AL103*AU103+AM103*AV103)/AN103</f>
        <v>51.406158238679</v>
      </c>
      <c r="AX103" s="9" t="n">
        <f aca="false">CHOOSE(AX$18,CURVES!B62,CURVES!C62)</f>
        <v>41.2182795698925</v>
      </c>
      <c r="AY103" s="9" t="n">
        <f aca="false">(AN103*AW103+AO103*AX103)/I103</f>
        <v>46.5297638994673</v>
      </c>
    </row>
    <row r="104" customFormat="false" ht="12.75" hidden="false" customHeight="false" outlineLevel="0" collapsed="false">
      <c r="A104" s="85" t="n">
        <v>38718</v>
      </c>
      <c r="B104" s="31" t="n">
        <f aca="false">YEAR(A104)</f>
        <v>2006</v>
      </c>
      <c r="C104" s="31" t="n">
        <f aca="false">MONTH(A104)</f>
        <v>1</v>
      </c>
      <c r="D104" s="86" t="n">
        <v>0.056937330277851</v>
      </c>
      <c r="E104" s="87" t="n">
        <f aca="false">(1+D104/2)^(-2*(DATE($B105,$C105,20)-$E$17)/365.25)</f>
        <v>3.00489737337555</v>
      </c>
      <c r="F104" s="87"/>
      <c r="G104" s="8"/>
      <c r="H104" s="8" t="n">
        <f aca="false">(1+$I$17)*H92</f>
        <v>12637.0940576935</v>
      </c>
      <c r="I104" s="8" t="n">
        <f aca="false">(1+$I$17)*I92</f>
        <v>12013.1337245966</v>
      </c>
      <c r="K104" s="50" t="n">
        <f aca="false">K92</f>
        <v>2185.91801075269</v>
      </c>
      <c r="L104" s="50" t="n">
        <f aca="false">L92</f>
        <v>1282.33064516129</v>
      </c>
      <c r="M104" s="50" t="n">
        <f aca="false">M92</f>
        <v>142.852150537634</v>
      </c>
      <c r="N104" s="50" t="n">
        <f aca="false">N92</f>
        <v>3.16801075268817</v>
      </c>
      <c r="O104" s="50" t="n">
        <f aca="false">SUM(K104:N104)</f>
        <v>3614.2688172043</v>
      </c>
      <c r="P104" s="50" t="n">
        <f aca="false">P92</f>
        <v>2792.6655547379</v>
      </c>
      <c r="Q104" s="50" t="n">
        <f aca="false">O104+P104</f>
        <v>6406.9343719422</v>
      </c>
      <c r="R104" s="8" t="n">
        <f aca="false">H104-O104-P104</f>
        <v>6230.15968575133</v>
      </c>
      <c r="T104" s="9" t="n">
        <f aca="false">$T$18</f>
        <v>48.72</v>
      </c>
      <c r="U104" s="9" t="n">
        <f aca="false">U$18</f>
        <v>23</v>
      </c>
      <c r="V104" s="9" t="n">
        <f aca="false">V$18</f>
        <v>34</v>
      </c>
      <c r="W104" s="9" t="n">
        <f aca="false">W$18</f>
        <v>38</v>
      </c>
      <c r="X104" s="9" t="n">
        <f aca="false">SUMPRODUCT(K104:N104,T104:W104)/O104</f>
        <v>39.0034319468534</v>
      </c>
      <c r="Y104" s="9" t="n">
        <f aca="false">$Y$18/1000*CURVES!K63+$Y$14</f>
        <v>77.9676327284946</v>
      </c>
      <c r="Z104" s="9" t="n">
        <f aca="false">(O104*X104+P104*Y104)/Q104</f>
        <v>55.9872146850236</v>
      </c>
      <c r="AA104" s="9" t="n">
        <f aca="false">CHOOSE(AA$18,CURVES!F63,CURVES!G63)</f>
        <v>37.9241935483871</v>
      </c>
      <c r="AB104" s="9" t="n">
        <f aca="false">(Q104*Z104+R104*AA104)/H104</f>
        <v>47.0820418996842</v>
      </c>
      <c r="AD104" s="9"/>
      <c r="AH104" s="50" t="n">
        <f aca="false">AH92</f>
        <v>1826.05608785899</v>
      </c>
      <c r="AI104" s="50" t="n">
        <f aca="false">AI92</f>
        <v>0</v>
      </c>
      <c r="AJ104" s="50" t="n">
        <f aca="false">AJ92</f>
        <v>1744.08931864439</v>
      </c>
      <c r="AK104" s="50" t="n">
        <f aca="false">AK92</f>
        <v>538.872892801371</v>
      </c>
      <c r="AL104" s="50" t="n">
        <f aca="false">SUM(AH104:AK104)</f>
        <v>4109.01829930475</v>
      </c>
      <c r="AM104" s="50" t="n">
        <f aca="false">AM92</f>
        <v>2445.3687016129</v>
      </c>
      <c r="AN104" s="50" t="n">
        <f aca="false">AL104+AM104</f>
        <v>6554.38700091765</v>
      </c>
      <c r="AO104" s="8" t="n">
        <f aca="false">I104-AL104-AM104</f>
        <v>5458.74672367893</v>
      </c>
      <c r="AQ104" s="9" t="n">
        <f aca="false">$AQ$18</f>
        <v>43</v>
      </c>
      <c r="AR104" s="9"/>
      <c r="AS104" s="9" t="n">
        <f aca="false">AS$18</f>
        <v>30</v>
      </c>
      <c r="AT104" s="9" t="n">
        <f aca="false">AT$18</f>
        <v>38</v>
      </c>
      <c r="AU104" s="9" t="n">
        <f aca="false">SUMPRODUCT(AH104:AK104,AQ104:AT104)/AL104</f>
        <v>36.8263780400598</v>
      </c>
      <c r="AV104" s="9" t="n">
        <f aca="false">$Y$18/1000*CURVES!O63+$AV$14</f>
        <v>77.7346192880192</v>
      </c>
      <c r="AW104" s="9" t="n">
        <f aca="false">(AL104*AU104+AM104*AV104)/AN104</f>
        <v>52.0887866790041</v>
      </c>
      <c r="AX104" s="9" t="n">
        <f aca="false">CHOOSE(AX$18,CURVES!B63,CURVES!C63)</f>
        <v>43.8129032258065</v>
      </c>
      <c r="AY104" s="9" t="n">
        <f aca="false">(AN104*AW104+AO104*AX104)/I104</f>
        <v>48.3282398707059</v>
      </c>
    </row>
    <row r="105" customFormat="false" ht="12.75" hidden="false" customHeight="false" outlineLevel="0" collapsed="false">
      <c r="A105" s="85" t="n">
        <v>38749</v>
      </c>
      <c r="B105" s="31" t="n">
        <f aca="false">YEAR(A105)</f>
        <v>2006</v>
      </c>
      <c r="C105" s="31" t="n">
        <f aca="false">MONTH(A105)</f>
        <v>2</v>
      </c>
      <c r="D105" s="86" t="n">
        <v>0.056996310371457</v>
      </c>
      <c r="E105" s="87" t="n">
        <f aca="false">(1+D105/2)^(-2*(DATE($B106,$C106,20)-$E$17)/365.25)</f>
        <v>2.99534387855435</v>
      </c>
      <c r="F105" s="87"/>
      <c r="G105" s="8"/>
      <c r="H105" s="8" t="n">
        <f aca="false">(1+$I$17)*H93</f>
        <v>12671.0853386142</v>
      </c>
      <c r="I105" s="8" t="n">
        <f aca="false">(1+$I$17)*I93</f>
        <v>11997.1230574765</v>
      </c>
      <c r="K105" s="50" t="n">
        <f aca="false">K93</f>
        <v>2261.87643678161</v>
      </c>
      <c r="L105" s="50" t="n">
        <f aca="false">L93</f>
        <v>1335.97988505747</v>
      </c>
      <c r="M105" s="50" t="n">
        <f aca="false">M93</f>
        <v>236.002873563218</v>
      </c>
      <c r="N105" s="50" t="n">
        <f aca="false">N93</f>
        <v>3.84913793103448</v>
      </c>
      <c r="O105" s="50" t="n">
        <f aca="false">SUM(K105:N105)</f>
        <v>3837.70833333333</v>
      </c>
      <c r="P105" s="50" t="n">
        <f aca="false">P93</f>
        <v>3011.77170136767</v>
      </c>
      <c r="Q105" s="50" t="n">
        <f aca="false">O105+P105</f>
        <v>6849.48003470101</v>
      </c>
      <c r="R105" s="8" t="n">
        <f aca="false">H105-O105-P105</f>
        <v>5821.60530391317</v>
      </c>
      <c r="T105" s="9" t="n">
        <f aca="false">$T$18</f>
        <v>48.72</v>
      </c>
      <c r="U105" s="9" t="n">
        <f aca="false">U$18</f>
        <v>23</v>
      </c>
      <c r="V105" s="9" t="n">
        <f aca="false">V$18</f>
        <v>34</v>
      </c>
      <c r="W105" s="9" t="n">
        <f aca="false">W$18</f>
        <v>38</v>
      </c>
      <c r="X105" s="9" t="n">
        <f aca="false">SUMPRODUCT(K105:N105,T105:W105)/O105</f>
        <v>38.8504048116</v>
      </c>
      <c r="Y105" s="9" t="n">
        <f aca="false">$Y$18/1000*CURVES!K64+$Y$14</f>
        <v>76.9596327284946</v>
      </c>
      <c r="Z105" s="9" t="n">
        <f aca="false">(O105*X105+P105*Y105)/Q105</f>
        <v>55.6073401730568</v>
      </c>
      <c r="AA105" s="9" t="n">
        <f aca="false">CHOOSE(AA$18,CURVES!F64,CURVES!G64)</f>
        <v>37.25</v>
      </c>
      <c r="AB105" s="9" t="n">
        <f aca="false">(Q105*Z105+R105*AA105)/H105</f>
        <v>47.1732411151387</v>
      </c>
      <c r="AD105" s="9"/>
      <c r="AH105" s="50" t="n">
        <f aca="false">AH93</f>
        <v>1925.74685025101</v>
      </c>
      <c r="AI105" s="50" t="n">
        <f aca="false">AI93</f>
        <v>0</v>
      </c>
      <c r="AJ105" s="50" t="n">
        <f aca="false">AJ93</f>
        <v>2201.92738718254</v>
      </c>
      <c r="AK105" s="50" t="n">
        <f aca="false">AK93</f>
        <v>548.475477754164</v>
      </c>
      <c r="AL105" s="50" t="n">
        <f aca="false">SUM(AH105:AK105)</f>
        <v>4676.14971518771</v>
      </c>
      <c r="AM105" s="50" t="n">
        <f aca="false">AM93</f>
        <v>2161.54564434524</v>
      </c>
      <c r="AN105" s="50" t="n">
        <f aca="false">AL105+AM105</f>
        <v>6837.69535953295</v>
      </c>
      <c r="AO105" s="8" t="n">
        <f aca="false">I105-AL105-AM105</f>
        <v>5159.42769794351</v>
      </c>
      <c r="AQ105" s="9" t="n">
        <f aca="false">$AQ$18</f>
        <v>43</v>
      </c>
      <c r="AR105" s="9"/>
      <c r="AS105" s="9" t="n">
        <f aca="false">AS$18</f>
        <v>30</v>
      </c>
      <c r="AT105" s="9" t="n">
        <f aca="false">AT$18</f>
        <v>38</v>
      </c>
      <c r="AU105" s="9" t="n">
        <f aca="false">SUMPRODUCT(AH105:AK105,AQ105:AT105)/AL105</f>
        <v>36.2920382509856</v>
      </c>
      <c r="AV105" s="9" t="n">
        <f aca="false">$Y$18/1000*CURVES!O64+$AV$14</f>
        <v>76.7266192880192</v>
      </c>
      <c r="AW105" s="9" t="n">
        <f aca="false">(AL105*AU105+AM105*AV105)/AN105</f>
        <v>49.0742971738947</v>
      </c>
      <c r="AX105" s="9" t="n">
        <f aca="false">CHOOSE(AX$18,CURVES!B64,CURVES!C64)</f>
        <v>42.7642857142857</v>
      </c>
      <c r="AY105" s="9" t="n">
        <f aca="false">(AN105*AW105+AO105*AX105)/I105</f>
        <v>46.3606425966201</v>
      </c>
    </row>
    <row r="106" customFormat="false" ht="12.75" hidden="false" customHeight="false" outlineLevel="0" collapsed="false">
      <c r="A106" s="85" t="n">
        <v>38777</v>
      </c>
      <c r="B106" s="31" t="n">
        <f aca="false">YEAR(A106)</f>
        <v>2006</v>
      </c>
      <c r="C106" s="31" t="n">
        <f aca="false">MONTH(A106)</f>
        <v>3</v>
      </c>
      <c r="D106" s="86" t="n">
        <v>0.057047864053553</v>
      </c>
      <c r="E106" s="87" t="n">
        <f aca="false">(1+D106/2)^(-2*(DATE($B107,$C107,20)-$E$17)/365.25)</f>
        <v>2.9839962989315</v>
      </c>
      <c r="F106" s="87"/>
      <c r="G106" s="8"/>
      <c r="H106" s="8" t="n">
        <f aca="false">(1+$I$17)*H94</f>
        <v>12597.7303543782</v>
      </c>
      <c r="I106" s="8" t="n">
        <f aca="false">(1+$I$17)*I94</f>
        <v>11727.7915562441</v>
      </c>
      <c r="K106" s="50" t="n">
        <f aca="false">K94</f>
        <v>2263.94623655914</v>
      </c>
      <c r="L106" s="50" t="n">
        <f aca="false">L94</f>
        <v>1258.63037634409</v>
      </c>
      <c r="M106" s="50" t="n">
        <f aca="false">M94</f>
        <v>620.646505376344</v>
      </c>
      <c r="N106" s="50" t="n">
        <f aca="false">N94</f>
        <v>2.58198924731183</v>
      </c>
      <c r="O106" s="50" t="n">
        <f aca="false">SUM(K106:N106)</f>
        <v>4145.80510752688</v>
      </c>
      <c r="P106" s="50" t="n">
        <f aca="false">P94</f>
        <v>2834.39732902856</v>
      </c>
      <c r="Q106" s="50" t="n">
        <f aca="false">O106+P106</f>
        <v>6980.20243655544</v>
      </c>
      <c r="R106" s="8" t="n">
        <f aca="false">H106-O106-P106</f>
        <v>5617.52791782275</v>
      </c>
      <c r="T106" s="9" t="n">
        <f aca="false">$T$18</f>
        <v>48.72</v>
      </c>
      <c r="U106" s="9" t="n">
        <f aca="false">U$18</f>
        <v>23</v>
      </c>
      <c r="V106" s="9" t="n">
        <f aca="false">V$18</f>
        <v>34</v>
      </c>
      <c r="W106" s="9" t="n">
        <f aca="false">W$18</f>
        <v>38</v>
      </c>
      <c r="X106" s="9" t="n">
        <f aca="false">SUMPRODUCT(K106:N106,T106:W106)/O106</f>
        <v>38.7013021388701</v>
      </c>
      <c r="Y106" s="9" t="n">
        <f aca="false">$Y$18/1000*CURVES!K65+$Y$14</f>
        <v>75.3846327284946</v>
      </c>
      <c r="Z106" s="9" t="n">
        <f aca="false">(O106*X106+P106*Y106)/Q106</f>
        <v>53.597021165382</v>
      </c>
      <c r="AA106" s="9" t="n">
        <f aca="false">CHOOSE(AA$18,CURVES!F65,CURVES!G65)</f>
        <v>36.9274193548387</v>
      </c>
      <c r="AB106" s="9" t="n">
        <f aca="false">(Q106*Z106+R106*AA106)/H106</f>
        <v>46.1637811359848</v>
      </c>
      <c r="AD106" s="9"/>
      <c r="AH106" s="50" t="n">
        <f aca="false">AH94</f>
        <v>1891.23873243112</v>
      </c>
      <c r="AI106" s="50" t="n">
        <f aca="false">AI94</f>
        <v>0</v>
      </c>
      <c r="AJ106" s="50" t="n">
        <f aca="false">AJ94</f>
        <v>1966.55049263563</v>
      </c>
      <c r="AK106" s="50" t="n">
        <f aca="false">AK94</f>
        <v>526.073305014923</v>
      </c>
      <c r="AL106" s="50" t="n">
        <f aca="false">SUM(AH106:AK106)</f>
        <v>4383.86253008167</v>
      </c>
      <c r="AM106" s="50" t="n">
        <f aca="false">AM94</f>
        <v>2044.22227284946</v>
      </c>
      <c r="AN106" s="50" t="n">
        <f aca="false">AL106+AM106</f>
        <v>6428.08480293113</v>
      </c>
      <c r="AO106" s="8" t="n">
        <f aca="false">I106-AL106-AM106</f>
        <v>5299.70675331296</v>
      </c>
      <c r="AQ106" s="9" t="n">
        <f aca="false">$AQ$18</f>
        <v>43</v>
      </c>
      <c r="AR106" s="9"/>
      <c r="AS106" s="9" t="n">
        <f aca="false">AS$18</f>
        <v>30</v>
      </c>
      <c r="AT106" s="9" t="n">
        <f aca="false">AT$18</f>
        <v>38</v>
      </c>
      <c r="AU106" s="9" t="n">
        <f aca="false">SUMPRODUCT(AH106:AK106,AQ106:AT106)/AL106</f>
        <v>36.5683377989472</v>
      </c>
      <c r="AV106" s="9" t="n">
        <f aca="false">$Y$18/1000*CURVES!O65+$AV$14</f>
        <v>75.1516192880192</v>
      </c>
      <c r="AW106" s="9" t="n">
        <f aca="false">(AL106*AU106+AM106*AV106)/AN106</f>
        <v>48.8383693554096</v>
      </c>
      <c r="AX106" s="9" t="n">
        <f aca="false">CHOOSE(AX$18,CURVES!B65,CURVES!C65)</f>
        <v>40.8016129032258</v>
      </c>
      <c r="AY106" s="9" t="n">
        <f aca="false">(AN106*AW106+AO106*AX106)/I106</f>
        <v>45.2066154791487</v>
      </c>
    </row>
    <row r="107" customFormat="false" ht="12.75" hidden="false" customHeight="false" outlineLevel="0" collapsed="false">
      <c r="A107" s="85" t="n">
        <v>38808</v>
      </c>
      <c r="B107" s="31" t="n">
        <f aca="false">YEAR(A107)</f>
        <v>2006</v>
      </c>
      <c r="C107" s="31" t="n">
        <f aca="false">MONTH(A107)</f>
        <v>4</v>
      </c>
      <c r="D107" s="86" t="n">
        <v>0.057104941345478</v>
      </c>
      <c r="E107" s="87" t="n">
        <f aca="false">(1+D107/2)^(-2*(DATE($B108,$C108,20)-$E$17)/365.25)</f>
        <v>2.97343361441292</v>
      </c>
      <c r="F107" s="87"/>
      <c r="G107" s="8"/>
      <c r="H107" s="8" t="n">
        <f aca="false">(1+$I$17)*H95</f>
        <v>12653.6304237175</v>
      </c>
      <c r="I107" s="8" t="n">
        <f aca="false">(1+$I$17)*I95</f>
        <v>11456.8420642989</v>
      </c>
      <c r="K107" s="50" t="n">
        <f aca="false">K95</f>
        <v>2319.84027777778</v>
      </c>
      <c r="L107" s="50" t="n">
        <f aca="false">L95</f>
        <v>1179.16597222222</v>
      </c>
      <c r="M107" s="50" t="n">
        <f aca="false">M95</f>
        <v>811.586111111111</v>
      </c>
      <c r="N107" s="50" t="n">
        <f aca="false">N95</f>
        <v>3.04166666666667</v>
      </c>
      <c r="O107" s="50" t="n">
        <f aca="false">SUM(K107:N107)</f>
        <v>4313.63402777778</v>
      </c>
      <c r="P107" s="50" t="n">
        <f aca="false">P95</f>
        <v>2923.39459068154</v>
      </c>
      <c r="Q107" s="50" t="n">
        <f aca="false">O107+P107</f>
        <v>7237.02861845932</v>
      </c>
      <c r="R107" s="8" t="n">
        <f aca="false">H107-O107-P107</f>
        <v>5416.60180525819</v>
      </c>
      <c r="T107" s="9" t="n">
        <f aca="false">$T$18</f>
        <v>48.72</v>
      </c>
      <c r="U107" s="9" t="n">
        <f aca="false">U$18</f>
        <v>23</v>
      </c>
      <c r="V107" s="9" t="n">
        <f aca="false">V$18</f>
        <v>34</v>
      </c>
      <c r="W107" s="9" t="n">
        <f aca="false">W$18</f>
        <v>38</v>
      </c>
      <c r="X107" s="9" t="n">
        <f aca="false">SUMPRODUCT(K107:N107,T107:W107)/O107</f>
        <v>38.9121899828918</v>
      </c>
      <c r="Y107" s="9" t="n">
        <f aca="false">$Y$18/1000*CURVES!K66+$Y$14</f>
        <v>74.7231327284946</v>
      </c>
      <c r="Z107" s="9" t="n">
        <f aca="false">(O107*X107+P107*Y107)/Q107</f>
        <v>53.3780048675632</v>
      </c>
      <c r="AA107" s="9" t="n">
        <f aca="false">CHOOSE(AA$18,CURVES!F66,CURVES!G66)</f>
        <v>36.3055555555556</v>
      </c>
      <c r="AB107" s="9" t="n">
        <f aca="false">(Q107*Z107+R107*AA107)/H107</f>
        <v>46.0698524506672</v>
      </c>
      <c r="AD107" s="9"/>
      <c r="AH107" s="50" t="n">
        <f aca="false">AH95</f>
        <v>1937.93108490741</v>
      </c>
      <c r="AI107" s="50" t="n">
        <f aca="false">AI95</f>
        <v>0</v>
      </c>
      <c r="AJ107" s="50" t="n">
        <f aca="false">AJ95</f>
        <v>2070.95002093926</v>
      </c>
      <c r="AK107" s="50" t="n">
        <f aca="false">AK95</f>
        <v>513.919329218532</v>
      </c>
      <c r="AL107" s="50" t="n">
        <f aca="false">SUM(AH107:AK107)</f>
        <v>4522.8004350652</v>
      </c>
      <c r="AM107" s="50" t="n">
        <f aca="false">AM95</f>
        <v>2152.99685890411</v>
      </c>
      <c r="AN107" s="50" t="n">
        <f aca="false">AL107+AM107</f>
        <v>6675.79729396931</v>
      </c>
      <c r="AO107" s="8" t="n">
        <f aca="false">I107-AL107-AM107</f>
        <v>4781.04477032962</v>
      </c>
      <c r="AQ107" s="9" t="n">
        <f aca="false">$AQ$18</f>
        <v>43</v>
      </c>
      <c r="AR107" s="9"/>
      <c r="AS107" s="9" t="n">
        <f aca="false">AS$18</f>
        <v>30</v>
      </c>
      <c r="AT107" s="9" t="n">
        <f aca="false">AT$18</f>
        <v>38</v>
      </c>
      <c r="AU107" s="9" t="n">
        <f aca="false">SUMPRODUCT(AH107:AK107,AQ107:AT107)/AL107</f>
        <v>36.4792729987261</v>
      </c>
      <c r="AV107" s="9" t="n">
        <f aca="false">$Y$18/1000*CURVES!O66+$AV$14</f>
        <v>74.4901192880191</v>
      </c>
      <c r="AW107" s="9" t="n">
        <f aca="false">(AL107*AU107+AM107*AV107)/AN107</f>
        <v>48.7380683248011</v>
      </c>
      <c r="AX107" s="9" t="n">
        <f aca="false">CHOOSE(AX$18,CURVES!B66,CURVES!C66)</f>
        <v>38.6444444444444</v>
      </c>
      <c r="AY107" s="9" t="n">
        <f aca="false">(AN107*AW107+AO107*AX107)/I107</f>
        <v>44.5259069459485</v>
      </c>
    </row>
    <row r="108" customFormat="false" ht="12.75" hidden="false" customHeight="false" outlineLevel="0" collapsed="false">
      <c r="A108" s="85" t="n">
        <v>38838</v>
      </c>
      <c r="B108" s="31" t="n">
        <f aca="false">YEAR(A108)</f>
        <v>2006</v>
      </c>
      <c r="C108" s="31" t="n">
        <f aca="false">MONTH(A108)</f>
        <v>5</v>
      </c>
      <c r="D108" s="86" t="n">
        <v>0.057160177435469</v>
      </c>
      <c r="E108" s="87" t="n">
        <f aca="false">(1+D108/2)^(-2*(DATE($B109,$C109,20)-$E$17)/365.25)</f>
        <v>2.96232188672728</v>
      </c>
      <c r="F108" s="87"/>
      <c r="G108" s="8"/>
      <c r="H108" s="8" t="n">
        <f aca="false">(1+$I$17)*H96</f>
        <v>13371.0764414713</v>
      </c>
      <c r="I108" s="8" t="n">
        <f aca="false">(1+$I$17)*I96</f>
        <v>12479.5741834347</v>
      </c>
      <c r="K108" s="50" t="n">
        <f aca="false">K96</f>
        <v>2226.06720430108</v>
      </c>
      <c r="L108" s="50" t="n">
        <f aca="false">L96</f>
        <v>1023.62634408602</v>
      </c>
      <c r="M108" s="50" t="n">
        <f aca="false">M96</f>
        <v>950.165322580645</v>
      </c>
      <c r="N108" s="50" t="n">
        <f aca="false">N96</f>
        <v>3.30510752688172</v>
      </c>
      <c r="O108" s="50" t="n">
        <f aca="false">SUM(K108:N108)</f>
        <v>4203.16397849462</v>
      </c>
      <c r="P108" s="50" t="n">
        <f aca="false">P96</f>
        <v>2831.51050210493</v>
      </c>
      <c r="Q108" s="50" t="n">
        <f aca="false">O108+P108</f>
        <v>7034.67448059955</v>
      </c>
      <c r="R108" s="8" t="n">
        <f aca="false">H108-O108-P108</f>
        <v>6336.4019608717</v>
      </c>
      <c r="T108" s="9" t="n">
        <f aca="false">$T$18</f>
        <v>48.72</v>
      </c>
      <c r="U108" s="9" t="n">
        <f aca="false">U$18</f>
        <v>23</v>
      </c>
      <c r="V108" s="9" t="n">
        <f aca="false">V$18</f>
        <v>34</v>
      </c>
      <c r="W108" s="9" t="n">
        <f aca="false">W$18</f>
        <v>38</v>
      </c>
      <c r="X108" s="9" t="n">
        <f aca="false">SUMPRODUCT(K108:N108,T108:W108)/O108</f>
        <v>39.1201999261949</v>
      </c>
      <c r="Y108" s="9" t="n">
        <f aca="false">$Y$18/1000*CURVES!K67+$Y$14</f>
        <v>74.4606327284946</v>
      </c>
      <c r="Z108" s="9" t="n">
        <f aca="false">(O108*X108+P108*Y108)/Q108</f>
        <v>53.3449955303998</v>
      </c>
      <c r="AA108" s="9" t="n">
        <f aca="false">CHOOSE(AA$18,CURVES!F67,CURVES!G67)</f>
        <v>35.344623655914</v>
      </c>
      <c r="AB108" s="9" t="n">
        <f aca="false">(Q108*Z108+R108*AA108)/H108</f>
        <v>44.8148227996423</v>
      </c>
      <c r="AD108" s="9"/>
      <c r="AH108" s="50" t="n">
        <f aca="false">AH96</f>
        <v>1895.25910320262</v>
      </c>
      <c r="AI108" s="50" t="n">
        <f aca="false">AI96</f>
        <v>0</v>
      </c>
      <c r="AJ108" s="50" t="n">
        <f aca="false">AJ96</f>
        <v>1877.63033247346</v>
      </c>
      <c r="AK108" s="50" t="n">
        <f aca="false">AK96</f>
        <v>570.53181663935</v>
      </c>
      <c r="AL108" s="50" t="n">
        <f aca="false">SUM(AH108:AK108)</f>
        <v>4343.42125231544</v>
      </c>
      <c r="AM108" s="50" t="n">
        <f aca="false">AM96</f>
        <v>2186.84183198925</v>
      </c>
      <c r="AN108" s="50" t="n">
        <f aca="false">AL108+AM108</f>
        <v>6530.26308430469</v>
      </c>
      <c r="AO108" s="8" t="n">
        <f aca="false">I108-AL108-AM108</f>
        <v>5949.31109913002</v>
      </c>
      <c r="AQ108" s="9" t="n">
        <f aca="false">$AQ$18</f>
        <v>43</v>
      </c>
      <c r="AR108" s="9"/>
      <c r="AS108" s="9" t="n">
        <f aca="false">AS$18</f>
        <v>30</v>
      </c>
      <c r="AT108" s="9" t="n">
        <f aca="false">AT$18</f>
        <v>38</v>
      </c>
      <c r="AU108" s="9" t="n">
        <f aca="false">SUMPRODUCT(AH108:AK108,AQ108:AT108)/AL108</f>
        <v>36.7234148332219</v>
      </c>
      <c r="AV108" s="9" t="n">
        <f aca="false">$Y$18/1000*CURVES!O67+$AV$14</f>
        <v>74.2276192880192</v>
      </c>
      <c r="AW108" s="9" t="n">
        <f aca="false">(AL108*AU108+AM108*AV108)/AN108</f>
        <v>49.2827500573036</v>
      </c>
      <c r="AX108" s="9" t="n">
        <f aca="false">CHOOSE(AX$18,CURVES!B67,CURVES!C67)</f>
        <v>38.7284946236559</v>
      </c>
      <c r="AY108" s="9" t="n">
        <f aca="false">(AN108*AW108+AO108*AX108)/I108</f>
        <v>44.2512843941721</v>
      </c>
    </row>
    <row r="109" customFormat="false" ht="12.75" hidden="false" customHeight="false" outlineLevel="0" collapsed="false">
      <c r="A109" s="85" t="n">
        <v>38869</v>
      </c>
      <c r="B109" s="31" t="n">
        <f aca="false">YEAR(A109)</f>
        <v>2006</v>
      </c>
      <c r="C109" s="31" t="n">
        <f aca="false">MONTH(A109)</f>
        <v>6</v>
      </c>
      <c r="D109" s="86" t="n">
        <v>0.057217254729527</v>
      </c>
      <c r="E109" s="87" t="n">
        <f aca="false">(1+D109/2)^(-2*(DATE($B110,$C110,20)-$E$17)/365.25)</f>
        <v>2.95178192189616</v>
      </c>
      <c r="F109" s="87"/>
      <c r="G109" s="8"/>
      <c r="H109" s="8" t="n">
        <f aca="false">(1+$I$17)*H97</f>
        <v>14776.6705608278</v>
      </c>
      <c r="I109" s="8" t="n">
        <f aca="false">(1+$I$17)*I97</f>
        <v>14072.2964324448</v>
      </c>
      <c r="K109" s="50" t="n">
        <f aca="false">K97</f>
        <v>2252.13333333333</v>
      </c>
      <c r="L109" s="50" t="n">
        <f aca="false">L97</f>
        <v>1398.39166666667</v>
      </c>
      <c r="M109" s="50" t="n">
        <f aca="false">M97</f>
        <v>957.040277777778</v>
      </c>
      <c r="N109" s="50" t="n">
        <f aca="false">N97</f>
        <v>3.52638888888889</v>
      </c>
      <c r="O109" s="50" t="n">
        <f aca="false">SUM(K109:N109)</f>
        <v>4611.09166666667</v>
      </c>
      <c r="P109" s="50" t="n">
        <f aca="false">P97</f>
        <v>3175.74117813466</v>
      </c>
      <c r="Q109" s="50" t="n">
        <f aca="false">O109+P109</f>
        <v>7786.83284480132</v>
      </c>
      <c r="R109" s="8" t="n">
        <f aca="false">H109-O109-P109</f>
        <v>6989.83771602646</v>
      </c>
      <c r="T109" s="9" t="n">
        <f aca="false">$T$18</f>
        <v>48.72</v>
      </c>
      <c r="U109" s="9" t="n">
        <f aca="false">U$18</f>
        <v>23</v>
      </c>
      <c r="V109" s="9" t="n">
        <f aca="false">V$18</f>
        <v>34</v>
      </c>
      <c r="W109" s="9" t="n">
        <f aca="false">W$18</f>
        <v>38</v>
      </c>
      <c r="X109" s="9" t="n">
        <f aca="false">SUMPRODUCT(K109:N109,T109:W109)/O109</f>
        <v>37.8566138290945</v>
      </c>
      <c r="Y109" s="9" t="n">
        <f aca="false">$Y$18/1000*CURVES!K68+$Y$14</f>
        <v>74.7651327284946</v>
      </c>
      <c r="Z109" s="9" t="n">
        <f aca="false">(O109*X109+P109*Y109)/Q109</f>
        <v>52.9091911257857</v>
      </c>
      <c r="AA109" s="9" t="n">
        <f aca="false">CHOOSE(AA$18,CURVES!F68,CURVES!G68)</f>
        <v>46.5255555555556</v>
      </c>
      <c r="AB109" s="9" t="n">
        <f aca="false">(Q109*Z109+R109*AA109)/H109</f>
        <v>49.8895273598187</v>
      </c>
      <c r="AD109" s="9"/>
      <c r="AH109" s="50" t="n">
        <f aca="false">AH97</f>
        <v>1881.37055634004</v>
      </c>
      <c r="AI109" s="50" t="n">
        <f aca="false">AI97</f>
        <v>0</v>
      </c>
      <c r="AJ109" s="50" t="n">
        <f aca="false">AJ97</f>
        <v>1162.16168617347</v>
      </c>
      <c r="AK109" s="50" t="n">
        <f aca="false">AK97</f>
        <v>631.240712103584</v>
      </c>
      <c r="AL109" s="50" t="n">
        <f aca="false">SUM(AH109:AK109)</f>
        <v>3674.77295461709</v>
      </c>
      <c r="AM109" s="50" t="n">
        <f aca="false">AM97</f>
        <v>2754.04614109589</v>
      </c>
      <c r="AN109" s="50" t="n">
        <f aca="false">AL109+AM109</f>
        <v>6428.81909571298</v>
      </c>
      <c r="AO109" s="8" t="n">
        <f aca="false">I109-AL109-AM109</f>
        <v>7643.47733673177</v>
      </c>
      <c r="AQ109" s="9" t="n">
        <f aca="false">$AQ$18</f>
        <v>43</v>
      </c>
      <c r="AR109" s="9"/>
      <c r="AS109" s="9" t="n">
        <f aca="false">AS$18</f>
        <v>30</v>
      </c>
      <c r="AT109" s="9" t="n">
        <f aca="false">AT$18</f>
        <v>38</v>
      </c>
      <c r="AU109" s="9" t="n">
        <f aca="false">SUMPRODUCT(AH109:AK109,AQ109:AT109)/AL109</f>
        <v>38.0298138942638</v>
      </c>
      <c r="AV109" s="9" t="n">
        <f aca="false">$Y$18/1000*CURVES!O68+$AV$14</f>
        <v>74.5321192880192</v>
      </c>
      <c r="AW109" s="9" t="n">
        <f aca="false">(AL109*AU109+AM109*AV109)/AN109</f>
        <v>53.6670610798026</v>
      </c>
      <c r="AX109" s="9" t="n">
        <f aca="false">CHOOSE(AX$18,CURVES!B68,CURVES!C68)</f>
        <v>44.0933333333333</v>
      </c>
      <c r="AY109" s="9" t="n">
        <f aca="false">(AN109*AW109+AO109*AX109)/I109</f>
        <v>48.4670163387421</v>
      </c>
    </row>
    <row r="110" customFormat="false" ht="12.75" hidden="false" customHeight="false" outlineLevel="0" collapsed="false">
      <c r="A110" s="85" t="n">
        <v>38899</v>
      </c>
      <c r="B110" s="31" t="n">
        <f aca="false">YEAR(A110)</f>
        <v>2006</v>
      </c>
      <c r="C110" s="31" t="n">
        <f aca="false">MONTH(A110)</f>
        <v>7</v>
      </c>
      <c r="D110" s="86" t="n">
        <v>0.057272490821583</v>
      </c>
      <c r="E110" s="87" t="n">
        <f aca="false">(1+D110/2)^(-2*(DATE($B111,$C111,20)-$E$17)/365.25)</f>
        <v>2.94069731424172</v>
      </c>
      <c r="F110" s="87"/>
      <c r="G110" s="8"/>
      <c r="H110" s="8" t="n">
        <f aca="false">(1+$I$17)*H98</f>
        <v>14584.4653173758</v>
      </c>
      <c r="I110" s="8" t="n">
        <f aca="false">(1+$I$17)*I98</f>
        <v>13358.700586159</v>
      </c>
      <c r="K110" s="50" t="n">
        <f aca="false">K98</f>
        <v>2248.45698924731</v>
      </c>
      <c r="L110" s="50" t="n">
        <f aca="false">L98</f>
        <v>1358.32258064516</v>
      </c>
      <c r="M110" s="50" t="n">
        <f aca="false">M98</f>
        <v>653.551075268817</v>
      </c>
      <c r="N110" s="50" t="n">
        <f aca="false">N98</f>
        <v>3.83736559139785</v>
      </c>
      <c r="O110" s="50" t="n">
        <f aca="false">SUM(K110:N110)</f>
        <v>4264.16801075269</v>
      </c>
      <c r="P110" s="50" t="n">
        <f aca="false">P98</f>
        <v>3349.38956238808</v>
      </c>
      <c r="Q110" s="50" t="n">
        <f aca="false">O110+P110</f>
        <v>7613.55757314076</v>
      </c>
      <c r="R110" s="8" t="n">
        <f aca="false">H110-O110-P110</f>
        <v>6970.90774423499</v>
      </c>
      <c r="T110" s="9" t="n">
        <f aca="false">$T$18</f>
        <v>48.72</v>
      </c>
      <c r="U110" s="9" t="n">
        <f aca="false">U$18</f>
        <v>23</v>
      </c>
      <c r="V110" s="9" t="n">
        <f aca="false">V$18</f>
        <v>34</v>
      </c>
      <c r="W110" s="9" t="n">
        <f aca="false">W$18</f>
        <v>38</v>
      </c>
      <c r="X110" s="9" t="n">
        <f aca="false">SUMPRODUCT(K110:N110,T110:W110)/O110</f>
        <v>38.2613442789234</v>
      </c>
      <c r="Y110" s="9" t="n">
        <f aca="false">$Y$18/1000*CURVES!K69+$Y$14</f>
        <v>75.0801327284946</v>
      </c>
      <c r="Z110" s="9" t="n">
        <f aca="false">(O110*X110+P110*Y110)/Q110</f>
        <v>54.4588268024444</v>
      </c>
      <c r="AA110" s="9" t="n">
        <f aca="false">CHOOSE(AA$18,CURVES!F69,CURVES!G69)</f>
        <v>58.244623655914</v>
      </c>
      <c r="AB110" s="9" t="n">
        <f aca="false">(Q110*Z110+R110*AA110)/H110</f>
        <v>56.2683165595019</v>
      </c>
      <c r="AD110" s="9"/>
      <c r="AH110" s="50" t="n">
        <f aca="false">AH98</f>
        <v>1914.32162011861</v>
      </c>
      <c r="AI110" s="50" t="n">
        <f aca="false">AI98</f>
        <v>0</v>
      </c>
      <c r="AJ110" s="50" t="n">
        <f aca="false">AJ98</f>
        <v>1193.33197430598</v>
      </c>
      <c r="AK110" s="50" t="n">
        <f aca="false">AK98</f>
        <v>610.723058442111</v>
      </c>
      <c r="AL110" s="50" t="n">
        <f aca="false">SUM(AH110:AK110)</f>
        <v>3718.37665286669</v>
      </c>
      <c r="AM110" s="50" t="n">
        <f aca="false">AM98</f>
        <v>2586.73186021505</v>
      </c>
      <c r="AN110" s="50" t="n">
        <f aca="false">AL110+AM110</f>
        <v>6305.10851308175</v>
      </c>
      <c r="AO110" s="8" t="n">
        <f aca="false">I110-AL110-AM110</f>
        <v>7053.59207307725</v>
      </c>
      <c r="AQ110" s="9" t="n">
        <f aca="false">$AQ$18</f>
        <v>43</v>
      </c>
      <c r="AR110" s="9"/>
      <c r="AS110" s="9" t="n">
        <f aca="false">AS$18</f>
        <v>30</v>
      </c>
      <c r="AT110" s="9" t="n">
        <f aca="false">AT$18</f>
        <v>38</v>
      </c>
      <c r="AU110" s="9" t="n">
        <f aca="false">SUMPRODUCT(AH110:AK110,AQ110:AT110)/AL110</f>
        <v>38.0067105375476</v>
      </c>
      <c r="AV110" s="9" t="n">
        <f aca="false">$Y$18/1000*CURVES!O69+$AV$14</f>
        <v>74.8471192880191</v>
      </c>
      <c r="AW110" s="9" t="n">
        <f aca="false">(AL110*AU110+AM110*AV110)/AN110</f>
        <v>53.1208451889134</v>
      </c>
      <c r="AX110" s="9" t="n">
        <f aca="false">CHOOSE(AX$18,CURVES!B69,CURVES!C69)</f>
        <v>57.4559139784946</v>
      </c>
      <c r="AY110" s="9" t="n">
        <f aca="false">(AN110*AW110+AO110*AX110)/I110</f>
        <v>55.4098258164242</v>
      </c>
    </row>
    <row r="111" customFormat="false" ht="12.75" hidden="false" customHeight="false" outlineLevel="0" collapsed="false">
      <c r="A111" s="85" t="n">
        <v>38930</v>
      </c>
      <c r="B111" s="31" t="n">
        <f aca="false">YEAR(A111)</f>
        <v>2006</v>
      </c>
      <c r="C111" s="31" t="n">
        <f aca="false">MONTH(A111)</f>
        <v>8</v>
      </c>
      <c r="D111" s="86" t="n">
        <v>0.057329568117773</v>
      </c>
      <c r="E111" s="87" t="n">
        <f aca="false">(1+D111/2)^(-2*(DATE($B112,$C112,20)-$E$17)/365.25)</f>
        <v>2.9297272694442</v>
      </c>
      <c r="F111" s="87"/>
      <c r="G111" s="8"/>
      <c r="H111" s="8" t="n">
        <f aca="false">(1+$I$17)*H99</f>
        <v>15639.969789468</v>
      </c>
      <c r="I111" s="8" t="n">
        <f aca="false">(1+$I$17)*I99</f>
        <v>13855.1829451516</v>
      </c>
      <c r="K111" s="50" t="n">
        <f aca="false">K99</f>
        <v>2226.06586021505</v>
      </c>
      <c r="L111" s="50" t="n">
        <f aca="false">L99</f>
        <v>1361.98924731183</v>
      </c>
      <c r="M111" s="50" t="n">
        <f aca="false">M99</f>
        <v>483.364247311828</v>
      </c>
      <c r="N111" s="50" t="n">
        <f aca="false">N99</f>
        <v>3.9247311827957</v>
      </c>
      <c r="O111" s="50" t="n">
        <f aca="false">SUM(K111:N111)</f>
        <v>4075.34408602151</v>
      </c>
      <c r="P111" s="50" t="n">
        <f aca="false">P99</f>
        <v>3426.25292884001</v>
      </c>
      <c r="Q111" s="50" t="n">
        <f aca="false">O111+P111</f>
        <v>7501.59701486152</v>
      </c>
      <c r="R111" s="8" t="n">
        <f aca="false">H111-O111-P111</f>
        <v>8138.37277460644</v>
      </c>
      <c r="T111" s="9" t="n">
        <f aca="false">$T$18</f>
        <v>48.72</v>
      </c>
      <c r="U111" s="9" t="n">
        <f aca="false">U$18</f>
        <v>23</v>
      </c>
      <c r="V111" s="9" t="n">
        <f aca="false">V$18</f>
        <v>34</v>
      </c>
      <c r="W111" s="9" t="n">
        <f aca="false">W$18</f>
        <v>38</v>
      </c>
      <c r="X111" s="9" t="n">
        <f aca="false">SUMPRODUCT(K111:N111,T111:W111)/O111</f>
        <v>38.3680990588564</v>
      </c>
      <c r="Y111" s="9" t="n">
        <f aca="false">$Y$18/1000*CURVES!K70+$Y$14</f>
        <v>75.2901327284946</v>
      </c>
      <c r="Z111" s="9" t="n">
        <f aca="false">(O111*X111+P111*Y111)/Q111</f>
        <v>55.2317383277625</v>
      </c>
      <c r="AA111" s="9" t="n">
        <f aca="false">CHOOSE(AA$18,CURVES!F70,CURVES!G70)</f>
        <v>64.8467741935484</v>
      </c>
      <c r="AB111" s="9" t="n">
        <f aca="false">(Q111*Z111+R111*AA111)/H111</f>
        <v>60.2349926287824</v>
      </c>
      <c r="AD111" s="9"/>
      <c r="AH111" s="50" t="n">
        <f aca="false">AH99</f>
        <v>1859.59450264151</v>
      </c>
      <c r="AI111" s="50" t="n">
        <f aca="false">AI99</f>
        <v>0</v>
      </c>
      <c r="AJ111" s="50" t="n">
        <f aca="false">AJ99</f>
        <v>1584.50880376937</v>
      </c>
      <c r="AK111" s="50" t="n">
        <f aca="false">AK99</f>
        <v>621.501656862376</v>
      </c>
      <c r="AL111" s="50" t="n">
        <f aca="false">SUM(AH111:AK111)</f>
        <v>4065.60496327325</v>
      </c>
      <c r="AM111" s="50" t="n">
        <f aca="false">AM99</f>
        <v>2208.28901612903</v>
      </c>
      <c r="AN111" s="50" t="n">
        <f aca="false">AL111+AM111</f>
        <v>6273.89397940229</v>
      </c>
      <c r="AO111" s="8" t="n">
        <f aca="false">I111-AL111-AM111</f>
        <v>7581.28896574931</v>
      </c>
      <c r="AQ111" s="9" t="n">
        <f aca="false">$AQ$18</f>
        <v>43</v>
      </c>
      <c r="AR111" s="9"/>
      <c r="AS111" s="9" t="n">
        <f aca="false">AS$18</f>
        <v>30</v>
      </c>
      <c r="AT111" s="9" t="n">
        <f aca="false">AT$18</f>
        <v>38</v>
      </c>
      <c r="AU111" s="9" t="n">
        <f aca="false">SUMPRODUCT(AH111:AK111,AQ111:AT111)/AL111</f>
        <v>37.1691032583186</v>
      </c>
      <c r="AV111" s="9" t="n">
        <f aca="false">$Y$18/1000*CURVES!O70+$AV$14</f>
        <v>75.0571192880192</v>
      </c>
      <c r="AW111" s="9" t="n">
        <f aca="false">(AL111*AU111+AM111*AV111)/AN111</f>
        <v>50.5049501687058</v>
      </c>
      <c r="AX111" s="9" t="n">
        <f aca="false">CHOOSE(AX$18,CURVES!B70,CURVES!C70)</f>
        <v>67.7306451612903</v>
      </c>
      <c r="AY111" s="9" t="n">
        <f aca="false">(AN111*AW111+AO111*AX111)/I111</f>
        <v>59.9305183399541</v>
      </c>
    </row>
    <row r="112" customFormat="false" ht="12.75" hidden="false" customHeight="false" outlineLevel="0" collapsed="false">
      <c r="A112" s="85" t="n">
        <v>38961</v>
      </c>
      <c r="B112" s="31" t="n">
        <f aca="false">YEAR(A112)</f>
        <v>2006</v>
      </c>
      <c r="C112" s="31" t="n">
        <f aca="false">MONTH(A112)</f>
        <v>9</v>
      </c>
      <c r="D112" s="86" t="n">
        <v>0.057386645415047</v>
      </c>
      <c r="E112" s="87" t="n">
        <f aca="false">(1+D112/2)^(-2*(DATE($B113,$C113,20)-$E$17)/365.25)</f>
        <v>2.91922273582789</v>
      </c>
      <c r="F112" s="87"/>
      <c r="G112" s="8"/>
      <c r="H112" s="8" t="n">
        <f aca="false">(1+$I$17)*H100</f>
        <v>14166.8668358741</v>
      </c>
      <c r="I112" s="8" t="n">
        <f aca="false">(1+$I$17)*I100</f>
        <v>13050.6927673614</v>
      </c>
      <c r="K112" s="50" t="n">
        <f aca="false">K100</f>
        <v>2263.63333333333</v>
      </c>
      <c r="L112" s="50" t="n">
        <f aca="false">L100</f>
        <v>1380.73611111111</v>
      </c>
      <c r="M112" s="50" t="n">
        <f aca="false">M100</f>
        <v>542.602777777778</v>
      </c>
      <c r="N112" s="50" t="n">
        <f aca="false">N100</f>
        <v>3.41944444444444</v>
      </c>
      <c r="O112" s="50" t="n">
        <f aca="false">SUM(K112:N112)</f>
        <v>4190.39166666667</v>
      </c>
      <c r="P112" s="50" t="n">
        <f aca="false">P100</f>
        <v>3348.13393235473</v>
      </c>
      <c r="Q112" s="50" t="n">
        <f aca="false">O112+P112</f>
        <v>7538.52559902139</v>
      </c>
      <c r="R112" s="8" t="n">
        <f aca="false">H112-O112-P112</f>
        <v>6628.34123685266</v>
      </c>
      <c r="T112" s="9" t="n">
        <f aca="false">$T$18</f>
        <v>48.72</v>
      </c>
      <c r="U112" s="9" t="n">
        <f aca="false">U$18</f>
        <v>23</v>
      </c>
      <c r="V112" s="9" t="n">
        <f aca="false">V$18</f>
        <v>34</v>
      </c>
      <c r="W112" s="9" t="n">
        <f aca="false">W$18</f>
        <v>38</v>
      </c>
      <c r="X112" s="9" t="n">
        <f aca="false">SUMPRODUCT(K112:N112,T112:W112)/O112</f>
        <v>38.3304456159959</v>
      </c>
      <c r="Y112" s="9" t="n">
        <f aca="false">$Y$18/1000*CURVES!K71+$Y$14</f>
        <v>75.5106327284946</v>
      </c>
      <c r="Z112" s="9" t="n">
        <f aca="false">(O112*X112+P112*Y112)/Q112</f>
        <v>54.8435216077806</v>
      </c>
      <c r="AA112" s="9" t="n">
        <f aca="false">CHOOSE(AA$18,CURVES!F71,CURVES!G71)</f>
        <v>58.6666666666667</v>
      </c>
      <c r="AB112" s="9" t="n">
        <f aca="false">(Q112*Z112+R112*AA112)/H112</f>
        <v>56.6322805720503</v>
      </c>
      <c r="AD112" s="9"/>
      <c r="AH112" s="50" t="n">
        <f aca="false">AH100</f>
        <v>1890.97734163897</v>
      </c>
      <c r="AI112" s="50" t="n">
        <f aca="false">AI100</f>
        <v>0</v>
      </c>
      <c r="AJ112" s="50" t="n">
        <f aca="false">AJ100</f>
        <v>765.820605438213</v>
      </c>
      <c r="AK112" s="50" t="n">
        <f aca="false">AK100</f>
        <v>570.922545092046</v>
      </c>
      <c r="AL112" s="50" t="n">
        <f aca="false">SUM(AH112:AK112)</f>
        <v>3227.72049216923</v>
      </c>
      <c r="AM112" s="50" t="n">
        <f aca="false">AM100</f>
        <v>2371.57693150685</v>
      </c>
      <c r="AN112" s="50" t="n">
        <f aca="false">AL112+AM112</f>
        <v>5599.29742367608</v>
      </c>
      <c r="AO112" s="8" t="n">
        <f aca="false">I112-AL112-AM112</f>
        <v>7451.39534368531</v>
      </c>
      <c r="AQ112" s="9" t="n">
        <f aca="false">$AQ$18</f>
        <v>43</v>
      </c>
      <c r="AR112" s="9"/>
      <c r="AS112" s="9" t="n">
        <f aca="false">AS$18</f>
        <v>30</v>
      </c>
      <c r="AT112" s="9" t="n">
        <f aca="false">AT$18</f>
        <v>38</v>
      </c>
      <c r="AU112" s="9" t="n">
        <f aca="false">SUMPRODUCT(AH112:AK112,AQ112:AT112)/AL112</f>
        <v>39.0311679319086</v>
      </c>
      <c r="AV112" s="9" t="n">
        <f aca="false">$Y$18/1000*CURVES!O71+$AV$14</f>
        <v>75.2776192880192</v>
      </c>
      <c r="AW112" s="9" t="n">
        <f aca="false">(AL112*AU112+AM112*AV112)/AN112</f>
        <v>54.3833168500315</v>
      </c>
      <c r="AX112" s="9" t="n">
        <f aca="false">CHOOSE(AX$18,CURVES!B71,CURVES!C71)</f>
        <v>58.8555555555556</v>
      </c>
      <c r="AY112" s="9" t="n">
        <f aca="false">(AN112*AW112+AO112*AX112)/I112</f>
        <v>56.9367765981249</v>
      </c>
    </row>
    <row r="113" customFormat="false" ht="12.75" hidden="false" customHeight="false" outlineLevel="0" collapsed="false">
      <c r="A113" s="85" t="n">
        <v>38991</v>
      </c>
      <c r="B113" s="31" t="n">
        <f aca="false">YEAR(A113)</f>
        <v>2006</v>
      </c>
      <c r="C113" s="31" t="n">
        <f aca="false">MONTH(A113)</f>
        <v>10</v>
      </c>
      <c r="D113" s="86" t="n">
        <v>0.057441881510215</v>
      </c>
      <c r="E113" s="87" t="n">
        <f aca="false">(1+D113/2)^(-2*(DATE($B114,$C114,20)-$E$17)/365.25)</f>
        <v>2.90818017068836</v>
      </c>
      <c r="F113" s="87"/>
      <c r="G113" s="8"/>
      <c r="H113" s="8" t="n">
        <f aca="false">(1+$I$17)*H101</f>
        <v>13161.0045675495</v>
      </c>
      <c r="I113" s="8" t="n">
        <f aca="false">(1+$I$17)*I101</f>
        <v>11296.3159937184</v>
      </c>
      <c r="K113" s="50" t="n">
        <f aca="false">K101</f>
        <v>2069.29166666667</v>
      </c>
      <c r="L113" s="50" t="n">
        <f aca="false">L101</f>
        <v>1227.52419354839</v>
      </c>
      <c r="M113" s="50" t="n">
        <f aca="false">M101</f>
        <v>369.340053763441</v>
      </c>
      <c r="N113" s="50" t="n">
        <f aca="false">N101</f>
        <v>3.27822580645161</v>
      </c>
      <c r="O113" s="50" t="n">
        <f aca="false">SUM(K113:N113)</f>
        <v>3669.43413978495</v>
      </c>
      <c r="P113" s="50" t="n">
        <f aca="false">P101</f>
        <v>3171.07549498463</v>
      </c>
      <c r="Q113" s="50" t="n">
        <f aca="false">O113+P113</f>
        <v>6840.50963476957</v>
      </c>
      <c r="R113" s="8" t="n">
        <f aca="false">H113-O113-P113</f>
        <v>6320.49493277991</v>
      </c>
      <c r="T113" s="9" t="n">
        <f aca="false">$T$18</f>
        <v>48.72</v>
      </c>
      <c r="U113" s="9" t="n">
        <f aca="false">U$18</f>
        <v>23</v>
      </c>
      <c r="V113" s="9" t="n">
        <f aca="false">V$18</f>
        <v>34</v>
      </c>
      <c r="W113" s="9" t="n">
        <f aca="false">W$18</f>
        <v>38</v>
      </c>
      <c r="X113" s="9" t="n">
        <f aca="false">SUMPRODUCT(K113:N113,T113:W113)/O113</f>
        <v>38.624778497461</v>
      </c>
      <c r="Y113" s="9" t="n">
        <f aca="false">$Y$18/1000*CURVES!K72+$Y$14</f>
        <v>75.8256327284946</v>
      </c>
      <c r="Z113" s="9" t="n">
        <f aca="false">(O113*X113+P113*Y113)/Q113</f>
        <v>55.870089672072</v>
      </c>
      <c r="AA113" s="9" t="n">
        <f aca="false">CHOOSE(AA$18,CURVES!F72,CURVES!G72)</f>
        <v>44.6994623655914</v>
      </c>
      <c r="AB113" s="9" t="n">
        <f aca="false">(Q113*Z113+R113*AA113)/H113</f>
        <v>50.5054616967373</v>
      </c>
      <c r="AD113" s="9"/>
      <c r="AH113" s="50" t="n">
        <f aca="false">AH101</f>
        <v>1913.83994918903</v>
      </c>
      <c r="AI113" s="50" t="n">
        <f aca="false">AI101</f>
        <v>0</v>
      </c>
      <c r="AJ113" s="50" t="n">
        <f aca="false">AJ101</f>
        <v>1075.38011608834</v>
      </c>
      <c r="AK113" s="50" t="n">
        <f aca="false">AK101</f>
        <v>576.385560502926</v>
      </c>
      <c r="AL113" s="50" t="n">
        <f aca="false">SUM(AH113:AK113)</f>
        <v>3565.6056257803</v>
      </c>
      <c r="AM113" s="50" t="n">
        <f aca="false">AM101</f>
        <v>2259.71325</v>
      </c>
      <c r="AN113" s="50" t="n">
        <f aca="false">AL113+AM113</f>
        <v>5825.3188757803</v>
      </c>
      <c r="AO113" s="8" t="n">
        <f aca="false">I113-AL113-AM113</f>
        <v>5470.99711793805</v>
      </c>
      <c r="AQ113" s="9" t="n">
        <f aca="false">$AQ$18</f>
        <v>43</v>
      </c>
      <c r="AR113" s="9"/>
      <c r="AS113" s="9" t="n">
        <f aca="false">AS$18</f>
        <v>30</v>
      </c>
      <c r="AT113" s="9" t="n">
        <f aca="false">AT$18</f>
        <v>38</v>
      </c>
      <c r="AU113" s="9" t="n">
        <f aca="false">SUMPRODUCT(AH113:AK113,AQ113:AT113)/AL113</f>
        <v>38.2709662589303</v>
      </c>
      <c r="AV113" s="9" t="n">
        <f aca="false">$Y$18/1000*CURVES!O72+$AV$14</f>
        <v>75.5926192880192</v>
      </c>
      <c r="AW113" s="9" t="n">
        <f aca="false">(AL113*AU113+AM113*AV113)/AN113</f>
        <v>52.7484971306524</v>
      </c>
      <c r="AX113" s="9" t="n">
        <f aca="false">CHOOSE(AX$18,CURVES!B72,CURVES!C72)</f>
        <v>42.9752688172043</v>
      </c>
      <c r="AY113" s="9" t="n">
        <f aca="false">(AN113*AW113+AO113*AX113)/I113</f>
        <v>48.0151571669369</v>
      </c>
    </row>
    <row r="114" customFormat="false" ht="12.75" hidden="false" customHeight="false" outlineLevel="0" collapsed="false">
      <c r="A114" s="85" t="n">
        <v>39022</v>
      </c>
      <c r="B114" s="31" t="n">
        <f aca="false">YEAR(A114)</f>
        <v>2006</v>
      </c>
      <c r="C114" s="31" t="n">
        <f aca="false">MONTH(A114)</f>
        <v>11</v>
      </c>
      <c r="D114" s="86" t="n">
        <v>0.057498958809623</v>
      </c>
      <c r="E114" s="87" t="n">
        <f aca="false">(1+D114/2)^(-2*(DATE($B115,$C115,20)-$E$17)/365.25)</f>
        <v>2.89769989163147</v>
      </c>
      <c r="F114" s="87"/>
      <c r="G114" s="8"/>
      <c r="H114" s="8" t="n">
        <f aca="false">(1+$I$17)*H102</f>
        <v>12874.0622085481</v>
      </c>
      <c r="I114" s="8" t="n">
        <f aca="false">(1+$I$17)*I102</f>
        <v>11467.7841361914</v>
      </c>
      <c r="K114" s="50" t="n">
        <f aca="false">K102</f>
        <v>2201.15833333333</v>
      </c>
      <c r="L114" s="50" t="n">
        <f aca="false">L102</f>
        <v>1270.02777777778</v>
      </c>
      <c r="M114" s="50" t="n">
        <f aca="false">M102</f>
        <v>241.311111111111</v>
      </c>
      <c r="N114" s="50" t="n">
        <f aca="false">N102</f>
        <v>3.11944444444444</v>
      </c>
      <c r="O114" s="50" t="n">
        <f aca="false">SUM(K114:N114)</f>
        <v>3715.61666666667</v>
      </c>
      <c r="P114" s="50" t="n">
        <f aca="false">P102</f>
        <v>3029.03315829808</v>
      </c>
      <c r="Q114" s="50" t="n">
        <f aca="false">O114+P114</f>
        <v>6744.64982496475</v>
      </c>
      <c r="R114" s="8" t="n">
        <f aca="false">H114-O114-P114</f>
        <v>6129.41238358336</v>
      </c>
      <c r="T114" s="9" t="n">
        <f aca="false">$T$18</f>
        <v>48.72</v>
      </c>
      <c r="U114" s="9" t="n">
        <f aca="false">U$18</f>
        <v>23</v>
      </c>
      <c r="V114" s="9" t="n">
        <f aca="false">V$18</f>
        <v>34</v>
      </c>
      <c r="W114" s="9" t="n">
        <f aca="false">W$18</f>
        <v>38</v>
      </c>
      <c r="X114" s="9" t="n">
        <f aca="false">SUMPRODUCT(K114:N114,T114:W114)/O114</f>
        <v>38.9637044247179</v>
      </c>
      <c r="Y114" s="9" t="n">
        <f aca="false">$Y$18/1000*CURVES!K73+$Y$14</f>
        <v>76.0356327284946</v>
      </c>
      <c r="Z114" s="9" t="n">
        <f aca="false">(O114*X114+P114*Y114)/Q114</f>
        <v>55.6127674581387</v>
      </c>
      <c r="AA114" s="9" t="n">
        <f aca="false">CHOOSE(AA$18,CURVES!F73,CURVES!G73)</f>
        <v>36.5833333333333</v>
      </c>
      <c r="AB114" s="9" t="n">
        <f aca="false">(Q114*Z114+R114*AA114)/H114</f>
        <v>46.5527483835284</v>
      </c>
      <c r="AD114" s="9"/>
      <c r="AH114" s="50" t="n">
        <f aca="false">AH102</f>
        <v>1838.78743628671</v>
      </c>
      <c r="AI114" s="50" t="n">
        <f aca="false">AI102</f>
        <v>0</v>
      </c>
      <c r="AJ114" s="50" t="n">
        <f aca="false">AJ102</f>
        <v>1347.87918472112</v>
      </c>
      <c r="AK114" s="50" t="n">
        <f aca="false">AK102</f>
        <v>499.439112514422</v>
      </c>
      <c r="AL114" s="50" t="n">
        <f aca="false">SUM(AH114:AK114)</f>
        <v>3686.10573352225</v>
      </c>
      <c r="AM114" s="50" t="n">
        <f aca="false">AM102</f>
        <v>2451.23764109589</v>
      </c>
      <c r="AN114" s="50" t="n">
        <f aca="false">AL114+AM114</f>
        <v>6137.34337461814</v>
      </c>
      <c r="AO114" s="8" t="n">
        <f aca="false">I114-AL114-AM114</f>
        <v>5330.44076157322</v>
      </c>
      <c r="AQ114" s="9" t="n">
        <f aca="false">$AQ$18</f>
        <v>43</v>
      </c>
      <c r="AR114" s="9"/>
      <c r="AS114" s="9" t="n">
        <f aca="false">AS$18</f>
        <v>30</v>
      </c>
      <c r="AT114" s="9" t="n">
        <f aca="false">AT$18</f>
        <v>38</v>
      </c>
      <c r="AU114" s="9" t="n">
        <f aca="false">SUMPRODUCT(AH114:AK114,AQ114:AT114)/AL114</f>
        <v>37.5688956282822</v>
      </c>
      <c r="AV114" s="9" t="n">
        <f aca="false">$Y$18/1000*CURVES!O73+$AV$14</f>
        <v>75.8026192880191</v>
      </c>
      <c r="AW114" s="9" t="n">
        <f aca="false">(AL114*AU114+AM114*AV114)/AN114</f>
        <v>52.8393370674231</v>
      </c>
      <c r="AX114" s="9" t="n">
        <f aca="false">CHOOSE(AX$18,CURVES!B73,CURVES!C73)</f>
        <v>41.3944444444444</v>
      </c>
      <c r="AY114" s="9" t="n">
        <f aca="false">(AN114*AW114+AO114*AX114)/I114</f>
        <v>47.5195367097565</v>
      </c>
    </row>
    <row r="115" customFormat="false" ht="12.75" hidden="false" customHeight="false" outlineLevel="0" collapsed="false">
      <c r="A115" s="85" t="n">
        <v>39052</v>
      </c>
      <c r="B115" s="31" t="n">
        <f aca="false">YEAR(A115)</f>
        <v>2006</v>
      </c>
      <c r="C115" s="31" t="n">
        <f aca="false">MONTH(A115)</f>
        <v>12</v>
      </c>
      <c r="D115" s="86" t="n">
        <v>0.057554194906854</v>
      </c>
      <c r="E115" s="87" t="n">
        <f aca="false">(1+D115/2)^(-2*(DATE($B116,$C116,20)-$E$17)/365.25)</f>
        <v>2.88668594750839</v>
      </c>
      <c r="F115" s="87"/>
      <c r="G115" s="8"/>
      <c r="H115" s="8" t="n">
        <f aca="false">(1+$I$17)*H103</f>
        <v>12781.362310221</v>
      </c>
      <c r="I115" s="8" t="n">
        <f aca="false">(1+$I$17)*I103</f>
        <v>11441.7313281831</v>
      </c>
      <c r="K115" s="50" t="n">
        <f aca="false">K103</f>
        <v>2256.4126344086</v>
      </c>
      <c r="L115" s="50" t="n">
        <f aca="false">L103</f>
        <v>1157.21505376344</v>
      </c>
      <c r="M115" s="50" t="n">
        <f aca="false">M103</f>
        <v>239.860215053763</v>
      </c>
      <c r="N115" s="50" t="n">
        <f aca="false">N103</f>
        <v>2.96908602150538</v>
      </c>
      <c r="O115" s="50" t="n">
        <f aca="false">SUM(K115:N115)</f>
        <v>3656.45698924731</v>
      </c>
      <c r="P115" s="50" t="n">
        <f aca="false">P103</f>
        <v>2977.59684973097</v>
      </c>
      <c r="Q115" s="50" t="n">
        <f aca="false">O115+P115</f>
        <v>6634.05383897828</v>
      </c>
      <c r="R115" s="8" t="n">
        <f aca="false">H115-O115-P115</f>
        <v>6147.30847124273</v>
      </c>
      <c r="T115" s="9" t="n">
        <f aca="false">$T$18</f>
        <v>48.72</v>
      </c>
      <c r="U115" s="9" t="n">
        <f aca="false">U$18</f>
        <v>23</v>
      </c>
      <c r="V115" s="9" t="n">
        <f aca="false">V$18</f>
        <v>34</v>
      </c>
      <c r="W115" s="9" t="n">
        <f aca="false">W$18</f>
        <v>38</v>
      </c>
      <c r="X115" s="9" t="n">
        <f aca="false">SUMPRODUCT(K115:N115,T115:W115)/O115</f>
        <v>39.6056736867024</v>
      </c>
      <c r="Y115" s="9" t="n">
        <f aca="false">$Y$18/1000*CURVES!K74+$Y$14</f>
        <v>77.3481327284946</v>
      </c>
      <c r="Z115" s="9" t="n">
        <f aca="false">(O115*X115+P115*Y115)/Q115</f>
        <v>56.5458176577451</v>
      </c>
      <c r="AA115" s="9" t="n">
        <f aca="false">CHOOSE(AA$18,CURVES!F74,CURVES!G74)</f>
        <v>36.1102150537634</v>
      </c>
      <c r="AB115" s="9" t="n">
        <f aca="false">(Q115*Z115+R115*AA115)/H115</f>
        <v>46.7171350843744</v>
      </c>
      <c r="AD115" s="9"/>
      <c r="AH115" s="50" t="n">
        <f aca="false">AH103</f>
        <v>1921.09500453605</v>
      </c>
      <c r="AI115" s="50" t="n">
        <f aca="false">AI103</f>
        <v>0</v>
      </c>
      <c r="AJ115" s="50" t="n">
        <f aca="false">AJ103</f>
        <v>1326.47869273451</v>
      </c>
      <c r="AK115" s="50" t="n">
        <f aca="false">AK103</f>
        <v>519.619723134563</v>
      </c>
      <c r="AL115" s="50" t="n">
        <f aca="false">SUM(AH115:AK115)</f>
        <v>3767.19342040512</v>
      </c>
      <c r="AM115" s="50" t="n">
        <f aca="false">AM103</f>
        <v>2024.24791129032</v>
      </c>
      <c r="AN115" s="50" t="n">
        <f aca="false">AL115+AM115</f>
        <v>5791.44133169545</v>
      </c>
      <c r="AO115" s="8" t="n">
        <f aca="false">I115-AL115-AM115</f>
        <v>5650.28999648765</v>
      </c>
      <c r="AQ115" s="9" t="n">
        <f aca="false">$AQ$18</f>
        <v>43</v>
      </c>
      <c r="AR115" s="9"/>
      <c r="AS115" s="9" t="n">
        <f aca="false">AS$18</f>
        <v>30</v>
      </c>
      <c r="AT115" s="9" t="n">
        <f aca="false">AT$18</f>
        <v>38</v>
      </c>
      <c r="AU115" s="9" t="n">
        <f aca="false">SUMPRODUCT(AH115:AK115,AQ115:AT115)/AL115</f>
        <v>37.7328635918334</v>
      </c>
      <c r="AV115" s="9" t="n">
        <f aca="false">$Y$18/1000*CURVES!O74+$AV$14</f>
        <v>77.1151192880191</v>
      </c>
      <c r="AW115" s="9" t="n">
        <f aca="false">(AL115*AU115+AM115*AV115)/AN115</f>
        <v>51.4979082964419</v>
      </c>
      <c r="AX115" s="9" t="n">
        <f aca="false">CHOOSE(AX$18,CURVES!B74,CURVES!C74)</f>
        <v>40.2913978494624</v>
      </c>
      <c r="AY115" s="9" t="n">
        <f aca="false">(AN115*AW115+AO115*AX115)/I115</f>
        <v>45.9637778350725</v>
      </c>
    </row>
    <row r="116" customFormat="false" ht="12.75" hidden="false" customHeight="false" outlineLevel="0" collapsed="false">
      <c r="A116" s="85" t="n">
        <v>39083</v>
      </c>
      <c r="B116" s="31" t="n">
        <f aca="false">YEAR(A116)</f>
        <v>2007</v>
      </c>
      <c r="C116" s="31" t="n">
        <f aca="false">MONTH(A116)</f>
        <v>1</v>
      </c>
      <c r="D116" s="86" t="n">
        <v>0.057611272208394</v>
      </c>
      <c r="E116" s="87" t="n">
        <f aca="false">(1+D116/2)^(-2*(DATE($B117,$C117,20)-$E$17)/365.25)</f>
        <v>2.87578329737228</v>
      </c>
      <c r="F116" s="87"/>
      <c r="G116" s="8"/>
      <c r="H116" s="8" t="n">
        <f aca="false">(1+$I$17)*H104</f>
        <v>13016.2068794243</v>
      </c>
      <c r="I116" s="8" t="n">
        <f aca="false">(1+$I$17)*I104</f>
        <v>12373.5277363345</v>
      </c>
      <c r="K116" s="50" t="n">
        <f aca="false">K104</f>
        <v>2185.91801075269</v>
      </c>
      <c r="L116" s="50" t="n">
        <f aca="false">L104</f>
        <v>1282.33064516129</v>
      </c>
      <c r="M116" s="50" t="n">
        <f aca="false">M104</f>
        <v>142.852150537634</v>
      </c>
      <c r="N116" s="50" t="n">
        <f aca="false">N104</f>
        <v>3.16801075268817</v>
      </c>
      <c r="O116" s="50" t="n">
        <f aca="false">SUM(K116:N116)</f>
        <v>3614.2688172043</v>
      </c>
      <c r="P116" s="50" t="n">
        <f aca="false">P104</f>
        <v>2792.6655547379</v>
      </c>
      <c r="Q116" s="50" t="n">
        <f aca="false">O116+P116</f>
        <v>6406.9343719422</v>
      </c>
      <c r="R116" s="8" t="n">
        <f aca="false">H116-O116-P116</f>
        <v>6609.27250748213</v>
      </c>
      <c r="T116" s="9" t="n">
        <f aca="false">$T$18</f>
        <v>48.72</v>
      </c>
      <c r="U116" s="9" t="n">
        <f aca="false">U$18</f>
        <v>23</v>
      </c>
      <c r="V116" s="9" t="n">
        <f aca="false">V$18</f>
        <v>34</v>
      </c>
      <c r="W116" s="9" t="n">
        <f aca="false">W$18</f>
        <v>38</v>
      </c>
      <c r="X116" s="9" t="n">
        <f aca="false">SUMPRODUCT(K116:N116,T116:W116)/O116</f>
        <v>39.0034319468534</v>
      </c>
      <c r="Y116" s="9" t="n">
        <f aca="false">$Y$18/1000*CURVES!K75+$Y$14</f>
        <v>78.3351327284946</v>
      </c>
      <c r="Z116" s="9" t="n">
        <f aca="false">(O116*X116+P116*Y116)/Q116</f>
        <v>56.1474012160205</v>
      </c>
      <c r="AA116" s="9" t="n">
        <f aca="false">CHOOSE(AA$18,CURVES!F75,CURVES!G75)</f>
        <v>38.3349462365591</v>
      </c>
      <c r="AB116" s="9" t="n">
        <f aca="false">(Q116*Z116+R116*AA116)/H116</f>
        <v>47.1027255991465</v>
      </c>
      <c r="AD116" s="9"/>
      <c r="AH116" s="50" t="n">
        <f aca="false">AH104</f>
        <v>1826.05608785899</v>
      </c>
      <c r="AI116" s="50" t="n">
        <f aca="false">AI104</f>
        <v>0</v>
      </c>
      <c r="AJ116" s="50" t="n">
        <f aca="false">AJ104</f>
        <v>1744.08931864439</v>
      </c>
      <c r="AK116" s="50" t="n">
        <f aca="false">AK104</f>
        <v>538.872892801371</v>
      </c>
      <c r="AL116" s="50" t="n">
        <f aca="false">SUM(AH116:AK116)</f>
        <v>4109.01829930475</v>
      </c>
      <c r="AM116" s="50" t="n">
        <f aca="false">AM104</f>
        <v>2445.3687016129</v>
      </c>
      <c r="AN116" s="50" t="n">
        <f aca="false">AL116+AM116</f>
        <v>6554.38700091765</v>
      </c>
      <c r="AO116" s="8" t="n">
        <f aca="false">I116-AL116-AM116</f>
        <v>5819.14073541683</v>
      </c>
      <c r="AQ116" s="9" t="n">
        <f aca="false">$AQ$18</f>
        <v>43</v>
      </c>
      <c r="AR116" s="9"/>
      <c r="AS116" s="9" t="n">
        <f aca="false">AS$18</f>
        <v>30</v>
      </c>
      <c r="AT116" s="9" t="n">
        <f aca="false">AT$18</f>
        <v>38</v>
      </c>
      <c r="AU116" s="9" t="n">
        <f aca="false">SUMPRODUCT(AH116:AK116,AQ116:AT116)/AL116</f>
        <v>36.8263780400598</v>
      </c>
      <c r="AV116" s="9" t="n">
        <f aca="false">$Y$18/1000*CURVES!O75+$AV$14</f>
        <v>78.1021192880192</v>
      </c>
      <c r="AW116" s="9" t="n">
        <f aca="false">(AL116*AU116+AM116*AV116)/AN116</f>
        <v>52.2258968309858</v>
      </c>
      <c r="AX116" s="9" t="n">
        <f aca="false">CHOOSE(AX$18,CURVES!B75,CURVES!C75)</f>
        <v>44.0774193548387</v>
      </c>
      <c r="AY116" s="9" t="n">
        <f aca="false">(AN116*AW116+AO116*AX116)/I116</f>
        <v>48.3937530621692</v>
      </c>
    </row>
    <row r="117" customFormat="false" ht="12.75" hidden="false" customHeight="false" outlineLevel="0" collapsed="false">
      <c r="A117" s="85" t="n">
        <v>39114</v>
      </c>
      <c r="B117" s="31" t="n">
        <f aca="false">YEAR(A117)</f>
        <v>2007</v>
      </c>
      <c r="C117" s="31" t="n">
        <f aca="false">MONTH(A117)</f>
        <v>2</v>
      </c>
      <c r="D117" s="86" t="n">
        <v>0.057668349511017</v>
      </c>
      <c r="E117" s="87" t="n">
        <f aca="false">(1+D117/2)^(-2*(DATE($B118,$C118,20)-$E$17)/365.25)</f>
        <v>2.86623287166922</v>
      </c>
      <c r="F117" s="87"/>
      <c r="G117" s="8"/>
      <c r="H117" s="8" t="n">
        <f aca="false">(1+$I$17)*H105</f>
        <v>13051.2178987726</v>
      </c>
      <c r="I117" s="8" t="n">
        <f aca="false">(1+$I$17)*I105</f>
        <v>12357.0367492008</v>
      </c>
      <c r="K117" s="50" t="n">
        <f aca="false">K105</f>
        <v>2261.87643678161</v>
      </c>
      <c r="L117" s="50" t="n">
        <f aca="false">L105</f>
        <v>1335.97988505747</v>
      </c>
      <c r="M117" s="50" t="n">
        <f aca="false">M105</f>
        <v>236.002873563218</v>
      </c>
      <c r="N117" s="50" t="n">
        <f aca="false">N105</f>
        <v>3.84913793103448</v>
      </c>
      <c r="O117" s="50" t="n">
        <f aca="false">SUM(K117:N117)</f>
        <v>3837.70833333333</v>
      </c>
      <c r="P117" s="50" t="n">
        <f aca="false">P105</f>
        <v>3011.77170136767</v>
      </c>
      <c r="Q117" s="50" t="n">
        <f aca="false">O117+P117</f>
        <v>6849.48003470101</v>
      </c>
      <c r="R117" s="8" t="n">
        <f aca="false">H117-O117-P117</f>
        <v>6201.73786407159</v>
      </c>
      <c r="T117" s="9" t="n">
        <f aca="false">$T$18</f>
        <v>48.72</v>
      </c>
      <c r="U117" s="9" t="n">
        <f aca="false">U$18</f>
        <v>23</v>
      </c>
      <c r="V117" s="9" t="n">
        <f aca="false">V$18</f>
        <v>34</v>
      </c>
      <c r="W117" s="9" t="n">
        <f aca="false">W$18</f>
        <v>38</v>
      </c>
      <c r="X117" s="9" t="n">
        <f aca="false">SUMPRODUCT(K117:N117,T117:W117)/O117</f>
        <v>38.8504048116</v>
      </c>
      <c r="Y117" s="9" t="n">
        <f aca="false">$Y$18/1000*CURVES!K76+$Y$14</f>
        <v>77.3271327284946</v>
      </c>
      <c r="Z117" s="9" t="n">
        <f aca="false">(O117*X117+P117*Y117)/Q117</f>
        <v>55.7689328917224</v>
      </c>
      <c r="AA117" s="9" t="n">
        <f aca="false">CHOOSE(AA$18,CURVES!F76,CURVES!G76)</f>
        <v>37.3928571428571</v>
      </c>
      <c r="AB117" s="9" t="n">
        <f aca="false">(Q117*Z117+R117*AA117)/H117</f>
        <v>47.0369045363071</v>
      </c>
      <c r="AD117" s="9"/>
      <c r="AH117" s="50" t="n">
        <f aca="false">AH105</f>
        <v>1925.74685025101</v>
      </c>
      <c r="AI117" s="50" t="n">
        <f aca="false">AI105</f>
        <v>0</v>
      </c>
      <c r="AJ117" s="50" t="n">
        <f aca="false">AJ105</f>
        <v>2201.92738718254</v>
      </c>
      <c r="AK117" s="50" t="n">
        <f aca="false">AK105</f>
        <v>548.475477754164</v>
      </c>
      <c r="AL117" s="50" t="n">
        <f aca="false">SUM(AH117:AK117)</f>
        <v>4676.14971518771</v>
      </c>
      <c r="AM117" s="50" t="n">
        <f aca="false">AM105</f>
        <v>2161.54564434524</v>
      </c>
      <c r="AN117" s="50" t="n">
        <f aca="false">AL117+AM117</f>
        <v>6837.69535953295</v>
      </c>
      <c r="AO117" s="8" t="n">
        <f aca="false">I117-AL117-AM117</f>
        <v>5519.34138966781</v>
      </c>
      <c r="AQ117" s="9" t="n">
        <f aca="false">$AQ$18</f>
        <v>43</v>
      </c>
      <c r="AR117" s="9"/>
      <c r="AS117" s="9" t="n">
        <f aca="false">AS$18</f>
        <v>30</v>
      </c>
      <c r="AT117" s="9" t="n">
        <f aca="false">AT$18</f>
        <v>38</v>
      </c>
      <c r="AU117" s="9" t="n">
        <f aca="false">SUMPRODUCT(AH117:AK117,AQ117:AT117)/AL117</f>
        <v>36.2920382509856</v>
      </c>
      <c r="AV117" s="9" t="n">
        <f aca="false">$Y$18/1000*CURVES!O76+$AV$14</f>
        <v>77.0941192880192</v>
      </c>
      <c r="AW117" s="9" t="n">
        <f aca="false">(AL117*AU117+AM117*AV117)/AN117</f>
        <v>49.1904719934104</v>
      </c>
      <c r="AX117" s="9" t="n">
        <f aca="false">CHOOSE(AX$18,CURVES!B76,CURVES!C76)</f>
        <v>42.7642857142857</v>
      </c>
      <c r="AY117" s="9" t="n">
        <f aca="false">(AN117*AW117+AO117*AX117)/I117</f>
        <v>46.3201790074822</v>
      </c>
    </row>
    <row r="118" customFormat="false" ht="12.75" hidden="false" customHeight="false" outlineLevel="0" collapsed="false">
      <c r="A118" s="85" t="n">
        <v>39142</v>
      </c>
      <c r="B118" s="31" t="n">
        <f aca="false">YEAR(A118)</f>
        <v>2007</v>
      </c>
      <c r="C118" s="31" t="n">
        <f aca="false">MONTH(A118)</f>
        <v>3</v>
      </c>
      <c r="D118" s="86" t="n">
        <v>0.057719903204641</v>
      </c>
      <c r="E118" s="87" t="n">
        <f aca="false">(1+D118/2)^(-2*(DATE($B119,$C119,20)-$E$17)/365.25)</f>
        <v>2.85507221842022</v>
      </c>
      <c r="F118" s="87"/>
      <c r="G118" s="8"/>
      <c r="H118" s="8" t="n">
        <f aca="false">(1+$I$17)*H106</f>
        <v>12975.6622650095</v>
      </c>
      <c r="I118" s="8" t="n">
        <f aca="false">(1+$I$17)*I106</f>
        <v>12079.6253029314</v>
      </c>
      <c r="K118" s="50" t="n">
        <f aca="false">K106</f>
        <v>2263.94623655914</v>
      </c>
      <c r="L118" s="50" t="n">
        <f aca="false">L106</f>
        <v>1258.63037634409</v>
      </c>
      <c r="M118" s="50" t="n">
        <f aca="false">M106</f>
        <v>620.646505376344</v>
      </c>
      <c r="N118" s="50" t="n">
        <f aca="false">N106</f>
        <v>2.58198924731183</v>
      </c>
      <c r="O118" s="50" t="n">
        <f aca="false">SUM(K118:N118)</f>
        <v>4145.80510752688</v>
      </c>
      <c r="P118" s="50" t="n">
        <f aca="false">P106</f>
        <v>2834.39732902856</v>
      </c>
      <c r="Q118" s="50" t="n">
        <f aca="false">O118+P118</f>
        <v>6980.20243655544</v>
      </c>
      <c r="R118" s="8" t="n">
        <f aca="false">H118-O118-P118</f>
        <v>5995.45982845409</v>
      </c>
      <c r="T118" s="9" t="n">
        <f aca="false">$T$18</f>
        <v>48.72</v>
      </c>
      <c r="U118" s="9" t="n">
        <f aca="false">U$18</f>
        <v>23</v>
      </c>
      <c r="V118" s="9" t="n">
        <f aca="false">V$18</f>
        <v>34</v>
      </c>
      <c r="W118" s="9" t="n">
        <f aca="false">W$18</f>
        <v>38</v>
      </c>
      <c r="X118" s="9" t="n">
        <f aca="false">SUMPRODUCT(K118:N118,T118:W118)/O118</f>
        <v>38.7013021388701</v>
      </c>
      <c r="Y118" s="9" t="n">
        <f aca="false">$Y$18/1000*CURVES!K77+$Y$14</f>
        <v>75.7521327284946</v>
      </c>
      <c r="Z118" s="9" t="n">
        <f aca="false">(O118*X118+P118*Y118)/Q118</f>
        <v>53.7462490750144</v>
      </c>
      <c r="AA118" s="9" t="n">
        <f aca="false">CHOOSE(AA$18,CURVES!F77,CURVES!G77)</f>
        <v>37.0725806451613</v>
      </c>
      <c r="AB118" s="9" t="n">
        <f aca="false">(Q118*Z118+R118*AA118)/H118</f>
        <v>46.0421098008504</v>
      </c>
      <c r="AD118" s="9"/>
      <c r="AH118" s="50" t="n">
        <f aca="false">AH106</f>
        <v>1891.23873243112</v>
      </c>
      <c r="AI118" s="50" t="n">
        <f aca="false">AI106</f>
        <v>0</v>
      </c>
      <c r="AJ118" s="50" t="n">
        <f aca="false">AJ106</f>
        <v>1966.55049263563</v>
      </c>
      <c r="AK118" s="50" t="n">
        <f aca="false">AK106</f>
        <v>526.073305014923</v>
      </c>
      <c r="AL118" s="50" t="n">
        <f aca="false">SUM(AH118:AK118)</f>
        <v>4383.86253008167</v>
      </c>
      <c r="AM118" s="50" t="n">
        <f aca="false">AM106</f>
        <v>2044.22227284946</v>
      </c>
      <c r="AN118" s="50" t="n">
        <f aca="false">AL118+AM118</f>
        <v>6428.08480293113</v>
      </c>
      <c r="AO118" s="8" t="n">
        <f aca="false">I118-AL118-AM118</f>
        <v>5651.54050000028</v>
      </c>
      <c r="AQ118" s="9" t="n">
        <f aca="false">$AQ$18</f>
        <v>43</v>
      </c>
      <c r="AR118" s="9"/>
      <c r="AS118" s="9" t="n">
        <f aca="false">AS$18</f>
        <v>30</v>
      </c>
      <c r="AT118" s="9" t="n">
        <f aca="false">AT$18</f>
        <v>38</v>
      </c>
      <c r="AU118" s="9" t="n">
        <f aca="false">SUMPRODUCT(AH118:AK118,AQ118:AT118)/AL118</f>
        <v>36.5683377989472</v>
      </c>
      <c r="AV118" s="9" t="n">
        <f aca="false">$Y$18/1000*CURVES!O77+$AV$14</f>
        <v>75.5191192880191</v>
      </c>
      <c r="AW118" s="9" t="n">
        <f aca="false">(AL118*AU118+AM118*AV118)/AN118</f>
        <v>48.9552395754368</v>
      </c>
      <c r="AX118" s="9" t="n">
        <f aca="false">CHOOSE(AX$18,CURVES!B77,CURVES!C77)</f>
        <v>40.8016129032258</v>
      </c>
      <c r="AY118" s="9" t="n">
        <f aca="false">(AN118*AW118+AO118*AX118)/I118</f>
        <v>45.140506071352</v>
      </c>
    </row>
    <row r="119" customFormat="false" ht="12.75" hidden="false" customHeight="false" outlineLevel="0" collapsed="false">
      <c r="A119" s="85" t="n">
        <v>39173</v>
      </c>
      <c r="B119" s="31" t="n">
        <f aca="false">YEAR(A119)</f>
        <v>2007</v>
      </c>
      <c r="C119" s="31" t="n">
        <f aca="false">MONTH(A119)</f>
        <v>4</v>
      </c>
      <c r="D119" s="86" t="n">
        <v>0.057776980509326</v>
      </c>
      <c r="E119" s="87" t="n">
        <f aca="false">(1+D119/2)^(-2*(DATE($B120,$C120,20)-$E$17)/365.25)</f>
        <v>2.84465454126804</v>
      </c>
      <c r="F119" s="87"/>
      <c r="G119" s="8"/>
      <c r="H119" s="8" t="n">
        <f aca="false">(1+$I$17)*H107</f>
        <v>13033.239336429</v>
      </c>
      <c r="I119" s="8" t="n">
        <f aca="false">(1+$I$17)*I107</f>
        <v>11800.5473262279</v>
      </c>
      <c r="K119" s="50" t="n">
        <f aca="false">K107</f>
        <v>2319.84027777778</v>
      </c>
      <c r="L119" s="50" t="n">
        <f aca="false">L107</f>
        <v>1179.16597222222</v>
      </c>
      <c r="M119" s="50" t="n">
        <f aca="false">M107</f>
        <v>811.586111111111</v>
      </c>
      <c r="N119" s="50" t="n">
        <f aca="false">N107</f>
        <v>3.04166666666667</v>
      </c>
      <c r="O119" s="50" t="n">
        <f aca="false">SUM(K119:N119)</f>
        <v>4313.63402777778</v>
      </c>
      <c r="P119" s="50" t="n">
        <f aca="false">P107</f>
        <v>2923.39459068154</v>
      </c>
      <c r="Q119" s="50" t="n">
        <f aca="false">O119+P119</f>
        <v>7237.02861845932</v>
      </c>
      <c r="R119" s="8" t="n">
        <f aca="false">H119-O119-P119</f>
        <v>5796.21071796972</v>
      </c>
      <c r="T119" s="9" t="n">
        <f aca="false">$T$18</f>
        <v>48.72</v>
      </c>
      <c r="U119" s="9" t="n">
        <f aca="false">U$18</f>
        <v>23</v>
      </c>
      <c r="V119" s="9" t="n">
        <f aca="false">V$18</f>
        <v>34</v>
      </c>
      <c r="W119" s="9" t="n">
        <f aca="false">W$18</f>
        <v>38</v>
      </c>
      <c r="X119" s="9" t="n">
        <f aca="false">SUMPRODUCT(K119:N119,T119:W119)/O119</f>
        <v>38.9121899828918</v>
      </c>
      <c r="Y119" s="9" t="n">
        <f aca="false">$Y$18/1000*CURVES!K78+$Y$14</f>
        <v>75.0906327284946</v>
      </c>
      <c r="Z119" s="9" t="n">
        <f aca="false">(O119*X119+P119*Y119)/Q119</f>
        <v>53.5264563341409</v>
      </c>
      <c r="AA119" s="9" t="n">
        <f aca="false">CHOOSE(AA$18,CURVES!F78,CURVES!G78)</f>
        <v>36.4444444444444</v>
      </c>
      <c r="AB119" s="9" t="n">
        <f aca="false">(Q119*Z119+R119*AA119)/H119</f>
        <v>45.9296542004764</v>
      </c>
      <c r="AD119" s="9"/>
      <c r="AH119" s="50" t="n">
        <f aca="false">AH107</f>
        <v>1937.93108490741</v>
      </c>
      <c r="AI119" s="50" t="n">
        <f aca="false">AI107</f>
        <v>0</v>
      </c>
      <c r="AJ119" s="50" t="n">
        <f aca="false">AJ107</f>
        <v>2070.95002093926</v>
      </c>
      <c r="AK119" s="50" t="n">
        <f aca="false">AK107</f>
        <v>513.919329218532</v>
      </c>
      <c r="AL119" s="50" t="n">
        <f aca="false">SUM(AH119:AK119)</f>
        <v>4522.8004350652</v>
      </c>
      <c r="AM119" s="50" t="n">
        <f aca="false">AM107</f>
        <v>2152.99685890411</v>
      </c>
      <c r="AN119" s="50" t="n">
        <f aca="false">AL119+AM119</f>
        <v>6675.79729396931</v>
      </c>
      <c r="AO119" s="8" t="n">
        <f aca="false">I119-AL119-AM119</f>
        <v>5124.75003225859</v>
      </c>
      <c r="AQ119" s="9" t="n">
        <f aca="false">$AQ$18</f>
        <v>43</v>
      </c>
      <c r="AR119" s="9"/>
      <c r="AS119" s="9" t="n">
        <f aca="false">AS$18</f>
        <v>30</v>
      </c>
      <c r="AT119" s="9" t="n">
        <f aca="false">AT$18</f>
        <v>38</v>
      </c>
      <c r="AU119" s="9" t="n">
        <f aca="false">SUMPRODUCT(AH119:AK119,AQ119:AT119)/AL119</f>
        <v>36.4792729987261</v>
      </c>
      <c r="AV119" s="9" t="n">
        <f aca="false">$Y$18/1000*CURVES!O78+$AV$14</f>
        <v>74.8576192880192</v>
      </c>
      <c r="AW119" s="9" t="n">
        <f aca="false">(AL119*AU119+AM119*AV119)/AN119</f>
        <v>48.8565899501299</v>
      </c>
      <c r="AX119" s="9" t="n">
        <f aca="false">CHOOSE(AX$18,CURVES!B78,CURVES!C78)</f>
        <v>38.6444444444444</v>
      </c>
      <c r="AY119" s="9" t="n">
        <f aca="false">(AN119*AW119+AO119*AX119)/I119</f>
        <v>44.421652183017</v>
      </c>
    </row>
    <row r="120" customFormat="false" ht="12.75" hidden="false" customHeight="false" outlineLevel="0" collapsed="false">
      <c r="A120" s="85" t="n">
        <v>39203</v>
      </c>
      <c r="B120" s="31" t="n">
        <f aca="false">YEAR(A120)</f>
        <v>2007</v>
      </c>
      <c r="C120" s="31" t="n">
        <f aca="false">MONTH(A120)</f>
        <v>5</v>
      </c>
      <c r="D120" s="86" t="n">
        <v>0.057832216611667</v>
      </c>
      <c r="E120" s="87" t="n">
        <f aca="false">(1+D120/2)^(-2*(DATE($B121,$C121,20)-$E$17)/365.25)</f>
        <v>2.83371394738611</v>
      </c>
      <c r="F120" s="87"/>
      <c r="G120" s="8"/>
      <c r="H120" s="8" t="n">
        <f aca="false">(1+$I$17)*H108</f>
        <v>13772.2087347154</v>
      </c>
      <c r="I120" s="8" t="n">
        <f aca="false">(1+$I$17)*I108</f>
        <v>12853.9614089377</v>
      </c>
      <c r="K120" s="50" t="n">
        <f aca="false">K108</f>
        <v>2226.06720430108</v>
      </c>
      <c r="L120" s="50" t="n">
        <f aca="false">L108</f>
        <v>1023.62634408602</v>
      </c>
      <c r="M120" s="50" t="n">
        <f aca="false">M108</f>
        <v>950.165322580645</v>
      </c>
      <c r="N120" s="50" t="n">
        <f aca="false">N108</f>
        <v>3.30510752688172</v>
      </c>
      <c r="O120" s="50" t="n">
        <f aca="false">SUM(K120:N120)</f>
        <v>4203.16397849462</v>
      </c>
      <c r="P120" s="50" t="n">
        <f aca="false">P108</f>
        <v>2831.51050210493</v>
      </c>
      <c r="Q120" s="50" t="n">
        <f aca="false">O120+P120</f>
        <v>7034.67448059955</v>
      </c>
      <c r="R120" s="8" t="n">
        <f aca="false">H120-O120-P120</f>
        <v>6737.53425411584</v>
      </c>
      <c r="T120" s="9" t="n">
        <f aca="false">$T$18</f>
        <v>48.72</v>
      </c>
      <c r="U120" s="9" t="n">
        <f aca="false">U$18</f>
        <v>23</v>
      </c>
      <c r="V120" s="9" t="n">
        <f aca="false">V$18</f>
        <v>34</v>
      </c>
      <c r="W120" s="9" t="n">
        <f aca="false">W$18</f>
        <v>38</v>
      </c>
      <c r="X120" s="9" t="n">
        <f aca="false">SUMPRODUCT(K120:N120,T120:W120)/O120</f>
        <v>39.1201999261949</v>
      </c>
      <c r="Y120" s="9" t="n">
        <f aca="false">$Y$18/1000*CURVES!K79+$Y$14</f>
        <v>74.8281327284946</v>
      </c>
      <c r="Z120" s="9" t="n">
        <f aca="false">(O120*X120+P120*Y120)/Q120</f>
        <v>53.4929171026621</v>
      </c>
      <c r="AA120" s="9" t="n">
        <f aca="false">CHOOSE(AA$18,CURVES!F79,CURVES!G79)</f>
        <v>35.4844086021505</v>
      </c>
      <c r="AB120" s="9" t="n">
        <f aca="false">(Q120*Z120+R120*AA120)/H120</f>
        <v>44.6829327911485</v>
      </c>
      <c r="AD120" s="9"/>
      <c r="AH120" s="50" t="n">
        <f aca="false">AH108</f>
        <v>1895.25910320262</v>
      </c>
      <c r="AI120" s="50" t="n">
        <f aca="false">AI108</f>
        <v>0</v>
      </c>
      <c r="AJ120" s="50" t="n">
        <f aca="false">AJ108</f>
        <v>1877.63033247346</v>
      </c>
      <c r="AK120" s="50" t="n">
        <f aca="false">AK108</f>
        <v>570.53181663935</v>
      </c>
      <c r="AL120" s="50" t="n">
        <f aca="false">SUM(AH120:AK120)</f>
        <v>4343.42125231544</v>
      </c>
      <c r="AM120" s="50" t="n">
        <f aca="false">AM108</f>
        <v>2186.84183198925</v>
      </c>
      <c r="AN120" s="50" t="n">
        <f aca="false">AL120+AM120</f>
        <v>6530.26308430469</v>
      </c>
      <c r="AO120" s="8" t="n">
        <f aca="false">I120-AL120-AM120</f>
        <v>6323.69832463306</v>
      </c>
      <c r="AQ120" s="9" t="n">
        <f aca="false">$AQ$18</f>
        <v>43</v>
      </c>
      <c r="AR120" s="9"/>
      <c r="AS120" s="9" t="n">
        <f aca="false">AS$18</f>
        <v>30</v>
      </c>
      <c r="AT120" s="9" t="n">
        <f aca="false">AT$18</f>
        <v>38</v>
      </c>
      <c r="AU120" s="9" t="n">
        <f aca="false">SUMPRODUCT(AH120:AK120,AQ120:AT120)/AL120</f>
        <v>36.7234148332219</v>
      </c>
      <c r="AV120" s="9" t="n">
        <f aca="false">$Y$18/1000*CURVES!O79+$AV$14</f>
        <v>74.5951192880192</v>
      </c>
      <c r="AW120" s="9" t="n">
        <f aca="false">(AL120*AU120+AM120*AV120)/AN120</f>
        <v>49.4058177442989</v>
      </c>
      <c r="AX120" s="9" t="n">
        <f aca="false">CHOOSE(AX$18,CURVES!B79,CURVES!C79)</f>
        <v>38.7284946236559</v>
      </c>
      <c r="AY120" s="9" t="n">
        <f aca="false">(AN120*AW120+AO120*AX120)/I120</f>
        <v>44.1529491397124</v>
      </c>
    </row>
    <row r="121" customFormat="false" ht="12.75" hidden="false" customHeight="false" outlineLevel="0" collapsed="false">
      <c r="A121" s="85" t="n">
        <v>39234</v>
      </c>
      <c r="B121" s="31" t="n">
        <f aca="false">YEAR(A121)</f>
        <v>2007</v>
      </c>
      <c r="C121" s="31" t="n">
        <f aca="false">MONTH(A121)</f>
        <v>6</v>
      </c>
      <c r="D121" s="86" t="n">
        <v>0.057889293918484</v>
      </c>
      <c r="E121" s="87" t="n">
        <f aca="false">(1+D121/2)^(-2*(DATE($B122,$C122,20)-$E$17)/365.25)</f>
        <v>2.82332257565811</v>
      </c>
      <c r="F121" s="87"/>
      <c r="G121" s="8"/>
      <c r="H121" s="8" t="n">
        <f aca="false">(1+$I$17)*H109</f>
        <v>15219.9706776526</v>
      </c>
      <c r="I121" s="8" t="n">
        <f aca="false">(1+$I$17)*I109</f>
        <v>14494.4653254181</v>
      </c>
      <c r="K121" s="50" t="n">
        <f aca="false">K109</f>
        <v>2252.13333333333</v>
      </c>
      <c r="L121" s="50" t="n">
        <f aca="false">L109</f>
        <v>1398.39166666667</v>
      </c>
      <c r="M121" s="50" t="n">
        <f aca="false">M109</f>
        <v>957.040277777778</v>
      </c>
      <c r="N121" s="50" t="n">
        <f aca="false">N109</f>
        <v>3.52638888888889</v>
      </c>
      <c r="O121" s="50" t="n">
        <f aca="false">SUM(K121:N121)</f>
        <v>4611.09166666667</v>
      </c>
      <c r="P121" s="50" t="n">
        <f aca="false">P109</f>
        <v>3175.74117813466</v>
      </c>
      <c r="Q121" s="50" t="n">
        <f aca="false">O121+P121</f>
        <v>7786.83284480132</v>
      </c>
      <c r="R121" s="8" t="n">
        <f aca="false">H121-O121-P121</f>
        <v>7433.13783285129</v>
      </c>
      <c r="T121" s="9" t="n">
        <f aca="false">$T$18</f>
        <v>48.72</v>
      </c>
      <c r="U121" s="9" t="n">
        <f aca="false">U$18</f>
        <v>23</v>
      </c>
      <c r="V121" s="9" t="n">
        <f aca="false">V$18</f>
        <v>34</v>
      </c>
      <c r="W121" s="9" t="n">
        <f aca="false">W$18</f>
        <v>38</v>
      </c>
      <c r="X121" s="9" t="n">
        <f aca="false">SUMPRODUCT(K121:N121,T121:W121)/O121</f>
        <v>37.8566138290945</v>
      </c>
      <c r="Y121" s="9" t="n">
        <f aca="false">$Y$18/1000*CURVES!K80+$Y$14</f>
        <v>75.1326327284946</v>
      </c>
      <c r="Z121" s="9" t="n">
        <f aca="false">(O121*X121+P121*Y121)/Q121</f>
        <v>53.0590704035647</v>
      </c>
      <c r="AA121" s="9" t="n">
        <f aca="false">CHOOSE(AA$18,CURVES!F80,CURVES!G80)</f>
        <v>46.67</v>
      </c>
      <c r="AB121" s="9" t="n">
        <f aca="false">(Q121*Z121+R121*AA121)/H121</f>
        <v>49.9387726093503</v>
      </c>
      <c r="AD121" s="9"/>
      <c r="AH121" s="50" t="n">
        <f aca="false">AH109</f>
        <v>1881.37055634004</v>
      </c>
      <c r="AI121" s="50" t="n">
        <f aca="false">AI109</f>
        <v>0</v>
      </c>
      <c r="AJ121" s="50" t="n">
        <f aca="false">AJ109</f>
        <v>1162.16168617347</v>
      </c>
      <c r="AK121" s="50" t="n">
        <f aca="false">AK109</f>
        <v>631.240712103584</v>
      </c>
      <c r="AL121" s="50" t="n">
        <f aca="false">SUM(AH121:AK121)</f>
        <v>3674.77295461709</v>
      </c>
      <c r="AM121" s="50" t="n">
        <f aca="false">AM109</f>
        <v>2754.04614109589</v>
      </c>
      <c r="AN121" s="50" t="n">
        <f aca="false">AL121+AM121</f>
        <v>6428.81909571298</v>
      </c>
      <c r="AO121" s="8" t="n">
        <f aca="false">I121-AL121-AM121</f>
        <v>8065.64622970512</v>
      </c>
      <c r="AQ121" s="9" t="n">
        <f aca="false">$AQ$18</f>
        <v>43</v>
      </c>
      <c r="AR121" s="9"/>
      <c r="AS121" s="9" t="n">
        <f aca="false">AS$18</f>
        <v>30</v>
      </c>
      <c r="AT121" s="9" t="n">
        <f aca="false">AT$18</f>
        <v>38</v>
      </c>
      <c r="AU121" s="9" t="n">
        <f aca="false">SUMPRODUCT(AH121:AK121,AQ121:AT121)/AL121</f>
        <v>38.0298138942638</v>
      </c>
      <c r="AV121" s="9" t="n">
        <f aca="false">$Y$18/1000*CURVES!O80+$AV$14</f>
        <v>70.2796192880192</v>
      </c>
      <c r="AW121" s="9" t="n">
        <f aca="false">(AL121*AU121+AM121*AV121)/AN121</f>
        <v>51.8453297414888</v>
      </c>
      <c r="AX121" s="9" t="n">
        <f aca="false">CHOOSE(AX$18,CURVES!B80,CURVES!C80)</f>
        <v>44.0933333333333</v>
      </c>
      <c r="AY121" s="9" t="n">
        <f aca="false">(AN121*AW121+AO121*AX121)/I121</f>
        <v>47.5316238407626</v>
      </c>
    </row>
    <row r="122" customFormat="false" ht="12.75" hidden="false" customHeight="false" outlineLevel="0" collapsed="false">
      <c r="A122" s="85" t="n">
        <v>39264</v>
      </c>
      <c r="B122" s="31" t="n">
        <f aca="false">YEAR(A122)</f>
        <v>2007</v>
      </c>
      <c r="C122" s="31" t="n">
        <f aca="false">MONTH(A122)</f>
        <v>7</v>
      </c>
      <c r="D122" s="86" t="n">
        <v>0.057944530022888</v>
      </c>
      <c r="E122" s="87" t="n">
        <f aca="false">(1+D122/2)^(-2*(DATE($B123,$C123,20)-$E$17)/365.25)</f>
        <v>2.81241260422455</v>
      </c>
      <c r="F122" s="87"/>
      <c r="G122" s="8"/>
      <c r="H122" s="8" t="n">
        <f aca="false">(1+$I$17)*H110</f>
        <v>15021.999276897</v>
      </c>
      <c r="I122" s="8" t="n">
        <f aca="false">(1+$I$17)*I110</f>
        <v>13759.4616037438</v>
      </c>
      <c r="K122" s="50" t="n">
        <f aca="false">K110</f>
        <v>2248.45698924731</v>
      </c>
      <c r="L122" s="50" t="n">
        <f aca="false">L110</f>
        <v>1358.32258064516</v>
      </c>
      <c r="M122" s="50" t="n">
        <f aca="false">M110</f>
        <v>653.551075268817</v>
      </c>
      <c r="N122" s="50" t="n">
        <f aca="false">N110</f>
        <v>3.83736559139785</v>
      </c>
      <c r="O122" s="50" t="n">
        <f aca="false">SUM(K122:N122)</f>
        <v>4264.16801075269</v>
      </c>
      <c r="P122" s="50" t="n">
        <f aca="false">P110</f>
        <v>3349.38956238808</v>
      </c>
      <c r="Q122" s="50" t="n">
        <f aca="false">O122+P122</f>
        <v>7613.55757314076</v>
      </c>
      <c r="R122" s="8" t="n">
        <f aca="false">H122-O122-P122</f>
        <v>7408.44170375627</v>
      </c>
      <c r="T122" s="9" t="n">
        <f aca="false">$T$18</f>
        <v>48.72</v>
      </c>
      <c r="U122" s="9" t="n">
        <f aca="false">U$18</f>
        <v>23</v>
      </c>
      <c r="V122" s="9" t="n">
        <f aca="false">V$18</f>
        <v>34</v>
      </c>
      <c r="W122" s="9" t="n">
        <f aca="false">W$18</f>
        <v>38</v>
      </c>
      <c r="X122" s="9" t="n">
        <f aca="false">SUMPRODUCT(K122:N122,T122:W122)/O122</f>
        <v>38.2613442789234</v>
      </c>
      <c r="Y122" s="9" t="n">
        <f aca="false">$Y$18/1000*CURVES!K81+$Y$14</f>
        <v>75.4476327284946</v>
      </c>
      <c r="Z122" s="9" t="n">
        <f aca="false">(O122*X122+P122*Y122)/Q122</f>
        <v>54.6204990105223</v>
      </c>
      <c r="AA122" s="9" t="n">
        <f aca="false">CHOOSE(AA$18,CURVES!F81,CURVES!G81)</f>
        <v>57.9758064516129</v>
      </c>
      <c r="AB122" s="9" t="n">
        <f aca="false">(Q122*Z122+R122*AA122)/H122</f>
        <v>56.2752454339048</v>
      </c>
      <c r="AD122" s="9"/>
      <c r="AH122" s="50" t="n">
        <f aca="false">AH110</f>
        <v>1914.32162011861</v>
      </c>
      <c r="AI122" s="50" t="n">
        <f aca="false">AI110</f>
        <v>0</v>
      </c>
      <c r="AJ122" s="50" t="n">
        <f aca="false">AJ110</f>
        <v>1193.33197430598</v>
      </c>
      <c r="AK122" s="50" t="n">
        <f aca="false">AK110</f>
        <v>610.723058442111</v>
      </c>
      <c r="AL122" s="50" t="n">
        <f aca="false">SUM(AH122:AK122)</f>
        <v>3718.37665286669</v>
      </c>
      <c r="AM122" s="50" t="n">
        <f aca="false">AM110</f>
        <v>2586.73186021505</v>
      </c>
      <c r="AN122" s="50" t="n">
        <f aca="false">AL122+AM122</f>
        <v>6305.10851308175</v>
      </c>
      <c r="AO122" s="8" t="n">
        <f aca="false">I122-AL122-AM122</f>
        <v>7454.35309066203</v>
      </c>
      <c r="AQ122" s="9" t="n">
        <f aca="false">$AQ$18</f>
        <v>43</v>
      </c>
      <c r="AR122" s="9"/>
      <c r="AS122" s="9" t="n">
        <f aca="false">AS$18</f>
        <v>30</v>
      </c>
      <c r="AT122" s="9" t="n">
        <f aca="false">AT$18</f>
        <v>38</v>
      </c>
      <c r="AU122" s="9" t="n">
        <f aca="false">SUMPRODUCT(AH122:AK122,AQ122:AT122)/AL122</f>
        <v>38.0067105375476</v>
      </c>
      <c r="AV122" s="9" t="n">
        <f aca="false">$Y$18/1000*CURVES!O81+$AV$14</f>
        <v>70.5946192880192</v>
      </c>
      <c r="AW122" s="9" t="n">
        <f aca="false">(AL122*AU122+AM122*AV122)/AN122</f>
        <v>51.3762158597366</v>
      </c>
      <c r="AX122" s="9" t="n">
        <f aca="false">CHOOSE(AX$18,CURVES!B81,CURVES!C81)</f>
        <v>55.9559139784946</v>
      </c>
      <c r="AY122" s="9" t="n">
        <f aca="false">(AN122*AW122+AO122*AX122)/I122</f>
        <v>53.8573221565538</v>
      </c>
    </row>
    <row r="123" customFormat="false" ht="12.75" hidden="false" customHeight="false" outlineLevel="0" collapsed="false">
      <c r="A123" s="85" t="n">
        <v>39295</v>
      </c>
      <c r="B123" s="31" t="n">
        <f aca="false">YEAR(A123)</f>
        <v>2007</v>
      </c>
      <c r="C123" s="31" t="n">
        <f aca="false">MONTH(A123)</f>
        <v>8</v>
      </c>
      <c r="D123" s="86" t="n">
        <v>0.058001607331838</v>
      </c>
      <c r="E123" s="87" t="n">
        <f aca="false">(1+D123/2)^(-2*(DATE($B124,$C124,20)-$E$17)/365.25)</f>
        <v>2.80160951140469</v>
      </c>
      <c r="F123" s="87"/>
      <c r="G123" s="8"/>
      <c r="H123" s="8" t="n">
        <f aca="false">(1+$I$17)*H111</f>
        <v>16109.168883152</v>
      </c>
      <c r="I123" s="8" t="n">
        <f aca="false">(1+$I$17)*I111</f>
        <v>14270.8384335061</v>
      </c>
      <c r="K123" s="50" t="n">
        <f aca="false">K111</f>
        <v>2226.06586021505</v>
      </c>
      <c r="L123" s="50" t="n">
        <f aca="false">L111</f>
        <v>1361.98924731183</v>
      </c>
      <c r="M123" s="50" t="n">
        <f aca="false">M111</f>
        <v>483.364247311828</v>
      </c>
      <c r="N123" s="50" t="n">
        <f aca="false">N111</f>
        <v>3.9247311827957</v>
      </c>
      <c r="O123" s="50" t="n">
        <f aca="false">SUM(K123:N123)</f>
        <v>4075.34408602151</v>
      </c>
      <c r="P123" s="50" t="n">
        <f aca="false">P111</f>
        <v>3426.25292884001</v>
      </c>
      <c r="Q123" s="50" t="n">
        <f aca="false">O123+P123</f>
        <v>7501.59701486152</v>
      </c>
      <c r="R123" s="8" t="n">
        <f aca="false">H123-O123-P123</f>
        <v>8607.57186829048</v>
      </c>
      <c r="T123" s="9" t="n">
        <f aca="false">$T$18</f>
        <v>48.72</v>
      </c>
      <c r="U123" s="9" t="n">
        <f aca="false">U$18</f>
        <v>23</v>
      </c>
      <c r="V123" s="9" t="n">
        <f aca="false">V$18</f>
        <v>34</v>
      </c>
      <c r="W123" s="9" t="n">
        <f aca="false">W$18</f>
        <v>38</v>
      </c>
      <c r="X123" s="9" t="n">
        <f aca="false">SUMPRODUCT(K123:N123,T123:W123)/O123</f>
        <v>38.3680990588564</v>
      </c>
      <c r="Y123" s="9" t="n">
        <f aca="false">$Y$18/1000*CURVES!K82+$Y$14</f>
        <v>75.6576327284946</v>
      </c>
      <c r="Z123" s="9" t="n">
        <f aca="false">(O123*X123+P123*Y123)/Q123</f>
        <v>55.3995889799442</v>
      </c>
      <c r="AA123" s="9" t="n">
        <f aca="false">CHOOSE(AA$18,CURVES!F82,CURVES!G82)</f>
        <v>64.5564516129032</v>
      </c>
      <c r="AB123" s="9" t="n">
        <f aca="false">(Q123*Z123+R123*AA123)/H123</f>
        <v>60.2923524597344</v>
      </c>
      <c r="AD123" s="9"/>
      <c r="AH123" s="50" t="n">
        <f aca="false">AH111</f>
        <v>1859.59450264151</v>
      </c>
      <c r="AI123" s="50" t="n">
        <f aca="false">AI111</f>
        <v>0</v>
      </c>
      <c r="AJ123" s="50" t="n">
        <f aca="false">AJ111</f>
        <v>1584.50880376937</v>
      </c>
      <c r="AK123" s="50" t="n">
        <f aca="false">AK111</f>
        <v>621.501656862376</v>
      </c>
      <c r="AL123" s="50" t="n">
        <f aca="false">SUM(AH123:AK123)</f>
        <v>4065.60496327325</v>
      </c>
      <c r="AM123" s="50" t="n">
        <f aca="false">AM111</f>
        <v>2208.28901612903</v>
      </c>
      <c r="AN123" s="50" t="n">
        <f aca="false">AL123+AM123</f>
        <v>6273.89397940229</v>
      </c>
      <c r="AO123" s="8" t="n">
        <f aca="false">I123-AL123-AM123</f>
        <v>7996.94445410385</v>
      </c>
      <c r="AQ123" s="9" t="n">
        <f aca="false">$AQ$18</f>
        <v>43</v>
      </c>
      <c r="AR123" s="9"/>
      <c r="AS123" s="9" t="n">
        <f aca="false">AS$18</f>
        <v>30</v>
      </c>
      <c r="AT123" s="9" t="n">
        <f aca="false">AT$18</f>
        <v>38</v>
      </c>
      <c r="AU123" s="9" t="n">
        <f aca="false">SUMPRODUCT(AH123:AK123,AQ123:AT123)/AL123</f>
        <v>37.1691032583186</v>
      </c>
      <c r="AV123" s="9" t="n">
        <f aca="false">$Y$18/1000*CURVES!O82+$AV$14</f>
        <v>70.8046192880192</v>
      </c>
      <c r="AW123" s="9" t="n">
        <f aca="false">(AL123*AU123+AM123*AV123)/AN123</f>
        <v>49.0081526340456</v>
      </c>
      <c r="AX123" s="9" t="n">
        <f aca="false">CHOOSE(AX$18,CURVES!B82,CURVES!C82)</f>
        <v>66.2306451612903</v>
      </c>
      <c r="AY123" s="9" t="n">
        <f aca="false">(AN123*AW123+AO123*AX123)/I123</f>
        <v>58.6591144008208</v>
      </c>
    </row>
    <row r="124" customFormat="false" ht="12.75" hidden="false" customHeight="false" outlineLevel="0" collapsed="false">
      <c r="A124" s="85" t="n">
        <v>39326</v>
      </c>
      <c r="B124" s="31" t="n">
        <f aca="false">YEAR(A124)</f>
        <v>2007</v>
      </c>
      <c r="C124" s="31" t="n">
        <f aca="false">MONTH(A124)</f>
        <v>9</v>
      </c>
      <c r="D124" s="86" t="n">
        <v>0.058058684641872</v>
      </c>
      <c r="E124" s="87" t="n">
        <f aca="false">(1+D124/2)^(-2*(DATE($B125,$C125,20)-$E$17)/365.25)</f>
        <v>2.79125889599873</v>
      </c>
      <c r="F124" s="87"/>
      <c r="G124" s="8"/>
      <c r="H124" s="8" t="n">
        <f aca="false">(1+$I$17)*H112</f>
        <v>14591.8728409503</v>
      </c>
      <c r="I124" s="8" t="n">
        <f aca="false">(1+$I$17)*I112</f>
        <v>13442.2135503822</v>
      </c>
      <c r="K124" s="50" t="n">
        <f aca="false">K112</f>
        <v>2263.63333333333</v>
      </c>
      <c r="L124" s="50" t="n">
        <f aca="false">L112</f>
        <v>1380.73611111111</v>
      </c>
      <c r="M124" s="50" t="n">
        <f aca="false">M112</f>
        <v>542.602777777778</v>
      </c>
      <c r="N124" s="50" t="n">
        <f aca="false">N112</f>
        <v>3.41944444444444</v>
      </c>
      <c r="O124" s="50" t="n">
        <f aca="false">SUM(K124:N124)</f>
        <v>4190.39166666667</v>
      </c>
      <c r="P124" s="50" t="n">
        <f aca="false">P112</f>
        <v>3348.13393235473</v>
      </c>
      <c r="Q124" s="50" t="n">
        <f aca="false">O124+P124</f>
        <v>7538.52559902139</v>
      </c>
      <c r="R124" s="8" t="n">
        <f aca="false">H124-O124-P124</f>
        <v>7053.34724192888</v>
      </c>
      <c r="T124" s="9" t="n">
        <f aca="false">$T$18</f>
        <v>48.72</v>
      </c>
      <c r="U124" s="9" t="n">
        <f aca="false">U$18</f>
        <v>23</v>
      </c>
      <c r="V124" s="9" t="n">
        <f aca="false">V$18</f>
        <v>34</v>
      </c>
      <c r="W124" s="9" t="n">
        <f aca="false">W$18</f>
        <v>38</v>
      </c>
      <c r="X124" s="9" t="n">
        <f aca="false">SUMPRODUCT(K124:N124,T124:W124)/O124</f>
        <v>38.3304456159959</v>
      </c>
      <c r="Y124" s="9" t="n">
        <f aca="false">$Y$18/1000*CURVES!K83+$Y$14</f>
        <v>75.8781327284946</v>
      </c>
      <c r="Z124" s="9" t="n">
        <f aca="false">(O124*X124+P124*Y124)/Q124</f>
        <v>55.006741749966</v>
      </c>
      <c r="AA124" s="9" t="n">
        <f aca="false">CHOOSE(AA$18,CURVES!F83,CURVES!G83)</f>
        <v>57.7833333333333</v>
      </c>
      <c r="AB124" s="9" t="n">
        <f aca="false">(Q124*Z124+R124*AA124)/H124</f>
        <v>56.3488768411893</v>
      </c>
      <c r="AD124" s="9"/>
      <c r="AH124" s="50" t="n">
        <f aca="false">AH112</f>
        <v>1890.97734163897</v>
      </c>
      <c r="AI124" s="50" t="n">
        <f aca="false">AI112</f>
        <v>0</v>
      </c>
      <c r="AJ124" s="50" t="n">
        <f aca="false">AJ112</f>
        <v>765.820605438213</v>
      </c>
      <c r="AK124" s="50" t="n">
        <f aca="false">AK112</f>
        <v>570.922545092046</v>
      </c>
      <c r="AL124" s="50" t="n">
        <f aca="false">SUM(AH124:AK124)</f>
        <v>3227.72049216923</v>
      </c>
      <c r="AM124" s="50" t="n">
        <f aca="false">AM112</f>
        <v>2371.57693150685</v>
      </c>
      <c r="AN124" s="50" t="n">
        <f aca="false">AL124+AM124</f>
        <v>5599.29742367608</v>
      </c>
      <c r="AO124" s="8" t="n">
        <f aca="false">I124-AL124-AM124</f>
        <v>7842.91612670615</v>
      </c>
      <c r="AQ124" s="9" t="n">
        <f aca="false">$AQ$18</f>
        <v>43</v>
      </c>
      <c r="AR124" s="9"/>
      <c r="AS124" s="9" t="n">
        <f aca="false">AS$18</f>
        <v>30</v>
      </c>
      <c r="AT124" s="9" t="n">
        <f aca="false">AT$18</f>
        <v>38</v>
      </c>
      <c r="AU124" s="9" t="n">
        <f aca="false">SUMPRODUCT(AH124:AK124,AQ124:AT124)/AL124</f>
        <v>39.0311679319086</v>
      </c>
      <c r="AV124" s="9" t="n">
        <f aca="false">$Y$18/1000*CURVES!O83+$AV$14</f>
        <v>71.0251192880192</v>
      </c>
      <c r="AW124" s="9" t="n">
        <f aca="false">(AL124*AU124+AM124*AV124)/AN124</f>
        <v>52.5821746462634</v>
      </c>
      <c r="AX124" s="9" t="n">
        <f aca="false">CHOOSE(AX$18,CURVES!B83,CURVES!C83)</f>
        <v>56.5733333333333</v>
      </c>
      <c r="AY124" s="9" t="n">
        <f aca="false">(AN124*AW124+AO124*AX124)/I124</f>
        <v>54.9108329965969</v>
      </c>
    </row>
    <row r="125" customFormat="false" ht="12.75" hidden="false" customHeight="false" outlineLevel="0" collapsed="false">
      <c r="A125" s="85" t="n">
        <v>39356</v>
      </c>
      <c r="B125" s="31" t="n">
        <f aca="false">YEAR(A125)</f>
        <v>2007</v>
      </c>
      <c r="C125" s="31" t="n">
        <f aca="false">MONTH(A125)</f>
        <v>10</v>
      </c>
      <c r="D125" s="86" t="n">
        <v>0.058113920749388</v>
      </c>
      <c r="E125" s="87" t="n">
        <f aca="false">(1+D125/2)^(-2*(DATE($B126,$C126,20)-$E$17)/365.25)</f>
        <v>2.78039616386077</v>
      </c>
      <c r="F125" s="87"/>
      <c r="G125" s="8"/>
      <c r="H125" s="8" t="n">
        <f aca="false">(1+$I$17)*H113</f>
        <v>13555.834704576</v>
      </c>
      <c r="I125" s="8" t="n">
        <f aca="false">(1+$I$17)*I113</f>
        <v>11635.2054735299</v>
      </c>
      <c r="K125" s="50" t="n">
        <f aca="false">K113</f>
        <v>2069.29166666667</v>
      </c>
      <c r="L125" s="50" t="n">
        <f aca="false">L113</f>
        <v>1227.52419354839</v>
      </c>
      <c r="M125" s="50" t="n">
        <f aca="false">M113</f>
        <v>369.340053763441</v>
      </c>
      <c r="N125" s="50" t="n">
        <f aca="false">N113</f>
        <v>3.27822580645161</v>
      </c>
      <c r="O125" s="50" t="n">
        <f aca="false">SUM(K125:N125)</f>
        <v>3669.43413978495</v>
      </c>
      <c r="P125" s="50" t="n">
        <f aca="false">P113</f>
        <v>3171.07549498463</v>
      </c>
      <c r="Q125" s="50" t="n">
        <f aca="false">O125+P125</f>
        <v>6840.50963476957</v>
      </c>
      <c r="R125" s="8" t="n">
        <f aca="false">H125-O125-P125</f>
        <v>6715.3250698064</v>
      </c>
      <c r="T125" s="9" t="n">
        <f aca="false">$T$18</f>
        <v>48.72</v>
      </c>
      <c r="U125" s="9" t="n">
        <f aca="false">U$18</f>
        <v>23</v>
      </c>
      <c r="V125" s="9" t="n">
        <f aca="false">V$18</f>
        <v>34</v>
      </c>
      <c r="W125" s="9" t="n">
        <f aca="false">W$18</f>
        <v>38</v>
      </c>
      <c r="X125" s="9" t="n">
        <f aca="false">SUMPRODUCT(K125:N125,T125:W125)/O125</f>
        <v>38.624778497461</v>
      </c>
      <c r="Y125" s="9" t="n">
        <f aca="false">$Y$18/1000*CURVES!K84+$Y$14</f>
        <v>76.1931327284946</v>
      </c>
      <c r="Z125" s="9" t="n">
        <f aca="false">(O125*X125+P125*Y125)/Q125</f>
        <v>56.0404527453851</v>
      </c>
      <c r="AA125" s="9" t="n">
        <f aca="false">CHOOSE(AA$18,CURVES!F84,CURVES!G84)</f>
        <v>45.208064516129</v>
      </c>
      <c r="AB125" s="9" t="n">
        <f aca="false">(Q125*Z125+R125*AA125)/H125</f>
        <v>50.6742757576085</v>
      </c>
      <c r="AD125" s="9"/>
      <c r="AH125" s="50" t="n">
        <f aca="false">AH113</f>
        <v>1913.83994918903</v>
      </c>
      <c r="AI125" s="50" t="n">
        <f aca="false">AI113</f>
        <v>0</v>
      </c>
      <c r="AJ125" s="50" t="n">
        <f aca="false">AJ113</f>
        <v>1075.38011608834</v>
      </c>
      <c r="AK125" s="50" t="n">
        <f aca="false">AK113</f>
        <v>576.385560502926</v>
      </c>
      <c r="AL125" s="50" t="n">
        <f aca="false">SUM(AH125:AK125)</f>
        <v>3565.6056257803</v>
      </c>
      <c r="AM125" s="50" t="n">
        <f aca="false">AM113</f>
        <v>2259.71325</v>
      </c>
      <c r="AN125" s="50" t="n">
        <f aca="false">AL125+AM125</f>
        <v>5825.3188757803</v>
      </c>
      <c r="AO125" s="8" t="n">
        <f aca="false">I125-AL125-AM125</f>
        <v>5809.8865977496</v>
      </c>
      <c r="AQ125" s="9" t="n">
        <f aca="false">$AQ$18</f>
        <v>43</v>
      </c>
      <c r="AR125" s="9"/>
      <c r="AS125" s="9" t="n">
        <f aca="false">AS$18</f>
        <v>30</v>
      </c>
      <c r="AT125" s="9" t="n">
        <f aca="false">AT$18</f>
        <v>38</v>
      </c>
      <c r="AU125" s="9" t="n">
        <f aca="false">SUMPRODUCT(AH125:AK125,AQ125:AT125)/AL125</f>
        <v>38.2709662589303</v>
      </c>
      <c r="AV125" s="9" t="n">
        <f aca="false">$Y$18/1000*CURVES!O84+$AV$14</f>
        <v>71.3401192880192</v>
      </c>
      <c r="AW125" s="9" t="n">
        <f aca="false">(AL125*AU125+AM125*AV125)/AN125</f>
        <v>51.0988997780374</v>
      </c>
      <c r="AX125" s="9" t="n">
        <f aca="false">CHOOSE(AX$18,CURVES!B84,CURVES!C84)</f>
        <v>43.2935483870968</v>
      </c>
      <c r="AY125" s="9" t="n">
        <f aca="false">(AN125*AW125+AO125*AX125)/I125</f>
        <v>47.2014003707326</v>
      </c>
    </row>
    <row r="126" customFormat="false" ht="12.75" hidden="false" customHeight="false" outlineLevel="0" collapsed="false">
      <c r="A126" s="85" t="n">
        <v>39387</v>
      </c>
      <c r="B126" s="31" t="n">
        <f aca="false">YEAR(A126)</f>
        <v>2007</v>
      </c>
      <c r="C126" s="31" t="n">
        <f aca="false">MONTH(A126)</f>
        <v>11</v>
      </c>
      <c r="D126" s="86" t="n">
        <v>0.058170998061553</v>
      </c>
      <c r="E126" s="87" t="n">
        <f aca="false">(1+D126/2)^(-2*(DATE($B127,$C127,20)-$E$17)/365.25)</f>
        <v>2.77007327856124</v>
      </c>
      <c r="F126" s="87"/>
      <c r="G126" s="8"/>
      <c r="H126" s="8" t="n">
        <f aca="false">(1+$I$17)*H114</f>
        <v>13260.2840748046</v>
      </c>
      <c r="I126" s="8" t="n">
        <f aca="false">(1+$I$17)*I114</f>
        <v>11811.8176602771</v>
      </c>
      <c r="K126" s="50" t="n">
        <f aca="false">K114</f>
        <v>2201.15833333333</v>
      </c>
      <c r="L126" s="50" t="n">
        <f aca="false">L114</f>
        <v>1270.02777777778</v>
      </c>
      <c r="M126" s="50" t="n">
        <f aca="false">M114</f>
        <v>241.311111111111</v>
      </c>
      <c r="N126" s="50" t="n">
        <f aca="false">N114</f>
        <v>3.11944444444444</v>
      </c>
      <c r="O126" s="50" t="n">
        <f aca="false">SUM(K126:N126)</f>
        <v>3715.61666666667</v>
      </c>
      <c r="P126" s="50" t="n">
        <f aca="false">P114</f>
        <v>3029.03315829808</v>
      </c>
      <c r="Q126" s="50" t="n">
        <f aca="false">O126+P126</f>
        <v>6744.64982496475</v>
      </c>
      <c r="R126" s="8" t="n">
        <f aca="false">H126-O126-P126</f>
        <v>6515.6342498398</v>
      </c>
      <c r="T126" s="9" t="n">
        <f aca="false">$T$18</f>
        <v>48.72</v>
      </c>
      <c r="U126" s="9" t="n">
        <f aca="false">U$18</f>
        <v>23</v>
      </c>
      <c r="V126" s="9" t="n">
        <f aca="false">V$18</f>
        <v>34</v>
      </c>
      <c r="W126" s="9" t="n">
        <f aca="false">W$18</f>
        <v>38</v>
      </c>
      <c r="X126" s="9" t="n">
        <f aca="false">SUMPRODUCT(K126:N126,T126:W126)/O126</f>
        <v>38.9637044247179</v>
      </c>
      <c r="Y126" s="9" t="n">
        <f aca="false">$Y$18/1000*CURVES!K85+$Y$14</f>
        <v>76.4031327284946</v>
      </c>
      <c r="Z126" s="9" t="n">
        <f aca="false">(O126*X126+P126*Y126)/Q126</f>
        <v>55.7778123032476</v>
      </c>
      <c r="AA126" s="9" t="n">
        <f aca="false">CHOOSE(AA$18,CURVES!F85,CURVES!G85)</f>
        <v>36.7222222222222</v>
      </c>
      <c r="AB126" s="9" t="n">
        <f aca="false">(Q126*Z126+R126*AA126)/H126</f>
        <v>46.4145698053928</v>
      </c>
      <c r="AD126" s="9"/>
      <c r="AH126" s="50" t="n">
        <f aca="false">AH114</f>
        <v>1838.78743628671</v>
      </c>
      <c r="AI126" s="50" t="n">
        <f aca="false">AI114</f>
        <v>0</v>
      </c>
      <c r="AJ126" s="50" t="n">
        <f aca="false">AJ114</f>
        <v>1347.87918472112</v>
      </c>
      <c r="AK126" s="50" t="n">
        <f aca="false">AK114</f>
        <v>499.439112514422</v>
      </c>
      <c r="AL126" s="50" t="n">
        <f aca="false">SUM(AH126:AK126)</f>
        <v>3686.10573352225</v>
      </c>
      <c r="AM126" s="50" t="n">
        <f aca="false">AM114</f>
        <v>2451.23764109589</v>
      </c>
      <c r="AN126" s="50" t="n">
        <f aca="false">AL126+AM126</f>
        <v>6137.34337461814</v>
      </c>
      <c r="AO126" s="8" t="n">
        <f aca="false">I126-AL126-AM126</f>
        <v>5674.47428565896</v>
      </c>
      <c r="AQ126" s="9" t="n">
        <f aca="false">$AQ$18</f>
        <v>43</v>
      </c>
      <c r="AR126" s="9"/>
      <c r="AS126" s="9" t="n">
        <f aca="false">AS$18</f>
        <v>30</v>
      </c>
      <c r="AT126" s="9" t="n">
        <f aca="false">AT$18</f>
        <v>38</v>
      </c>
      <c r="AU126" s="9" t="n">
        <f aca="false">SUMPRODUCT(AH126:AK126,AQ126:AT126)/AL126</f>
        <v>37.5688956282822</v>
      </c>
      <c r="AV126" s="9" t="n">
        <f aca="false">$Y$18/1000*CURVES!O85+$AV$14</f>
        <v>72.8101192880192</v>
      </c>
      <c r="AW126" s="9" t="n">
        <f aca="false">(AL126*AU126+AM126*AV126)/AN126</f>
        <v>51.6441410040391</v>
      </c>
      <c r="AX126" s="9" t="n">
        <f aca="false">CHOOSE(AX$18,CURVES!B85,CURVES!C85)</f>
        <v>41.3944444444444</v>
      </c>
      <c r="AY126" s="9" t="n">
        <f aca="false">(AN126*AW126+AO126*AX126)/I126</f>
        <v>46.7201198892514</v>
      </c>
    </row>
    <row r="127" customFormat="false" ht="12.75" hidden="false" customHeight="false" outlineLevel="0" collapsed="false">
      <c r="A127" s="85" t="n">
        <v>39417</v>
      </c>
      <c r="B127" s="31" t="n">
        <f aca="false">YEAR(A127)</f>
        <v>2007</v>
      </c>
      <c r="C127" s="31" t="n">
        <f aca="false">MONTH(A127)</f>
        <v>12</v>
      </c>
      <c r="D127" s="86" t="n">
        <v>0.058226234171132</v>
      </c>
      <c r="E127" s="87" t="n">
        <f aca="false">(1+D127/2)^(-2*(DATE($B128,$C128,20)-$E$17)/365.25)</f>
        <v>2.75924255616603</v>
      </c>
      <c r="F127" s="87"/>
      <c r="G127" s="8"/>
      <c r="H127" s="8" t="n">
        <f aca="false">(1+$I$17)*H115</f>
        <v>13164.8031795276</v>
      </c>
      <c r="I127" s="8" t="n">
        <f aca="false">(1+$I$17)*I115</f>
        <v>11784.9832680286</v>
      </c>
      <c r="K127" s="50" t="n">
        <f aca="false">K115</f>
        <v>2256.4126344086</v>
      </c>
      <c r="L127" s="50" t="n">
        <f aca="false">L115</f>
        <v>1157.21505376344</v>
      </c>
      <c r="M127" s="50" t="n">
        <f aca="false">M115</f>
        <v>239.860215053763</v>
      </c>
      <c r="N127" s="50" t="n">
        <f aca="false">N115</f>
        <v>2.96908602150538</v>
      </c>
      <c r="O127" s="50" t="n">
        <f aca="false">SUM(K127:N127)</f>
        <v>3656.45698924731</v>
      </c>
      <c r="P127" s="50" t="n">
        <f aca="false">P115</f>
        <v>2977.59684973097</v>
      </c>
      <c r="Q127" s="50" t="n">
        <f aca="false">O127+P127</f>
        <v>6634.05383897828</v>
      </c>
      <c r="R127" s="8" t="n">
        <f aca="false">H127-O127-P127</f>
        <v>6530.74934054936</v>
      </c>
      <c r="T127" s="9" t="n">
        <f aca="false">$T$18</f>
        <v>48.72</v>
      </c>
      <c r="U127" s="9" t="n">
        <f aca="false">U$18</f>
        <v>23</v>
      </c>
      <c r="V127" s="9" t="n">
        <f aca="false">V$18</f>
        <v>34</v>
      </c>
      <c r="W127" s="9" t="n">
        <f aca="false">W$18</f>
        <v>38</v>
      </c>
      <c r="X127" s="9" t="n">
        <f aca="false">SUMPRODUCT(K127:N127,T127:W127)/O127</f>
        <v>39.6056736867024</v>
      </c>
      <c r="Y127" s="9" t="n">
        <f aca="false">$Y$18/1000*CURVES!K86+$Y$14</f>
        <v>77.7156327284946</v>
      </c>
      <c r="Z127" s="9" t="n">
        <f aca="false">(O127*X127+P127*Y127)/Q127</f>
        <v>56.7107645919781</v>
      </c>
      <c r="AA127" s="9" t="n">
        <f aca="false">CHOOSE(AA$18,CURVES!F86,CURVES!G86)</f>
        <v>36.244623655914</v>
      </c>
      <c r="AB127" s="9" t="n">
        <f aca="false">(Q127*Z127+R127*AA127)/H127</f>
        <v>46.5579932516787</v>
      </c>
      <c r="AD127" s="9"/>
      <c r="AH127" s="50" t="n">
        <f aca="false">AH115</f>
        <v>1921.09500453605</v>
      </c>
      <c r="AI127" s="50" t="n">
        <f aca="false">AI115</f>
        <v>0</v>
      </c>
      <c r="AJ127" s="50" t="n">
        <f aca="false">AJ115</f>
        <v>1326.47869273451</v>
      </c>
      <c r="AK127" s="50" t="n">
        <f aca="false">AK115</f>
        <v>519.619723134563</v>
      </c>
      <c r="AL127" s="50" t="n">
        <f aca="false">SUM(AH127:AK127)</f>
        <v>3767.19342040512</v>
      </c>
      <c r="AM127" s="50" t="n">
        <f aca="false">AM115</f>
        <v>2024.24791129032</v>
      </c>
      <c r="AN127" s="50" t="n">
        <f aca="false">AL127+AM127</f>
        <v>5791.44133169545</v>
      </c>
      <c r="AO127" s="8" t="n">
        <f aca="false">I127-AL127-AM127</f>
        <v>5993.54193633314</v>
      </c>
      <c r="AQ127" s="9" t="n">
        <f aca="false">$AQ$18</f>
        <v>43</v>
      </c>
      <c r="AR127" s="9"/>
      <c r="AS127" s="9" t="n">
        <f aca="false">AS$18</f>
        <v>30</v>
      </c>
      <c r="AT127" s="9" t="n">
        <f aca="false">AT$18</f>
        <v>38</v>
      </c>
      <c r="AU127" s="9" t="n">
        <f aca="false">SUMPRODUCT(AH127:AK127,AQ127:AT127)/AL127</f>
        <v>37.7328635918334</v>
      </c>
      <c r="AV127" s="9" t="n">
        <f aca="false">$Y$18/1000*CURVES!O86+$AV$14</f>
        <v>74.1226192880192</v>
      </c>
      <c r="AW127" s="9" t="n">
        <f aca="false">(AL127*AU127+AM127*AV127)/AN127</f>
        <v>50.4519576379445</v>
      </c>
      <c r="AX127" s="9" t="n">
        <f aca="false">CHOOSE(AX$18,CURVES!B86,CURVES!C86)</f>
        <v>40.2913978494624</v>
      </c>
      <c r="AY127" s="9" t="n">
        <f aca="false">(AN127*AW127+AO127*AX127)/I127</f>
        <v>45.2845560554495</v>
      </c>
    </row>
    <row r="128" customFormat="false" ht="12.75" hidden="false" customHeight="false" outlineLevel="0" collapsed="false">
      <c r="A128" s="85" t="n">
        <v>39448</v>
      </c>
      <c r="B128" s="31" t="n">
        <f aca="false">YEAR(A128)</f>
        <v>2008</v>
      </c>
      <c r="C128" s="31" t="n">
        <f aca="false">MONTH(A128)</f>
        <v>1</v>
      </c>
      <c r="D128" s="86" t="n">
        <v>0.058283311485429</v>
      </c>
      <c r="E128" s="87" t="n">
        <f aca="false">(1+D128/2)^(-2*(DATE($B129,$C129,20)-$E$17)/365.25)</f>
        <v>2.74851560752562</v>
      </c>
      <c r="F128" s="87"/>
      <c r="G128" s="8"/>
      <c r="H128" s="8" t="n">
        <f aca="false">(1+$I$17)*H116</f>
        <v>13406.6930858071</v>
      </c>
      <c r="I128" s="8" t="n">
        <f aca="false">(1+$I$17)*I116</f>
        <v>12744.7335684245</v>
      </c>
      <c r="K128" s="50" t="n">
        <f aca="false">K116</f>
        <v>2185.91801075269</v>
      </c>
      <c r="L128" s="50" t="n">
        <f aca="false">L116</f>
        <v>1282.33064516129</v>
      </c>
      <c r="M128" s="50" t="n">
        <f aca="false">M116</f>
        <v>142.852150537634</v>
      </c>
      <c r="N128" s="50" t="n">
        <f aca="false">N116</f>
        <v>3.16801075268817</v>
      </c>
      <c r="O128" s="50" t="n">
        <f aca="false">SUM(K128:N128)</f>
        <v>3614.2688172043</v>
      </c>
      <c r="P128" s="50" t="n">
        <f aca="false">P116</f>
        <v>2792.6655547379</v>
      </c>
      <c r="Q128" s="50" t="n">
        <f aca="false">O128+P128</f>
        <v>6406.9343719422</v>
      </c>
      <c r="R128" s="8" t="n">
        <f aca="false">H128-O128-P128</f>
        <v>6999.75871386486</v>
      </c>
      <c r="T128" s="9" t="n">
        <f aca="false">$T$18</f>
        <v>48.72</v>
      </c>
      <c r="U128" s="9" t="n">
        <f aca="false">U$18</f>
        <v>23</v>
      </c>
      <c r="V128" s="9" t="n">
        <f aca="false">V$18</f>
        <v>34</v>
      </c>
      <c r="W128" s="9" t="n">
        <f aca="false">W$18</f>
        <v>38</v>
      </c>
      <c r="X128" s="9" t="n">
        <f aca="false">SUMPRODUCT(K128:N128,T128:W128)/O128</f>
        <v>39.0034319468534</v>
      </c>
      <c r="Y128" s="9" t="n">
        <f aca="false">$Y$18/1000*CURVES!K87+$Y$14</f>
        <v>78.8076327284946</v>
      </c>
      <c r="Z128" s="9" t="n">
        <f aca="false">(O128*X128+P128*Y128)/Q128</f>
        <v>56.3533553273022</v>
      </c>
      <c r="AA128" s="9" t="n">
        <f aca="false">CHOOSE(AA$18,CURVES!F87,CURVES!G87)</f>
        <v>38.5849462365591</v>
      </c>
      <c r="AB128" s="9" t="n">
        <f aca="false">(Q128*Z128+R128*AA128)/H128</f>
        <v>47.0763042627027</v>
      </c>
      <c r="AD128" s="9"/>
      <c r="AH128" s="50" t="n">
        <f aca="false">AH116</f>
        <v>1826.05608785899</v>
      </c>
      <c r="AI128" s="50" t="n">
        <f aca="false">AI116</f>
        <v>0</v>
      </c>
      <c r="AJ128" s="50" t="n">
        <f aca="false">AJ116</f>
        <v>1744.08931864439</v>
      </c>
      <c r="AK128" s="50" t="n">
        <f aca="false">AK116</f>
        <v>538.872892801371</v>
      </c>
      <c r="AL128" s="50" t="n">
        <f aca="false">SUM(AH128:AK128)</f>
        <v>4109.01829930475</v>
      </c>
      <c r="AM128" s="50" t="n">
        <f aca="false">AM116</f>
        <v>2445.3687016129</v>
      </c>
      <c r="AN128" s="50" t="n">
        <f aca="false">AL128+AM128</f>
        <v>6554.38700091765</v>
      </c>
      <c r="AO128" s="8" t="n">
        <f aca="false">I128-AL128-AM128</f>
        <v>6190.34656750687</v>
      </c>
      <c r="AQ128" s="9" t="n">
        <f aca="false">$AQ$18</f>
        <v>43</v>
      </c>
      <c r="AR128" s="9"/>
      <c r="AS128" s="9" t="n">
        <f aca="false">AS$18</f>
        <v>30</v>
      </c>
      <c r="AT128" s="9" t="n">
        <f aca="false">AT$18</f>
        <v>38</v>
      </c>
      <c r="AU128" s="9" t="n">
        <f aca="false">SUMPRODUCT(AH128:AK128,AQ128:AT128)/AL128</f>
        <v>36.8263780400598</v>
      </c>
      <c r="AV128" s="9" t="n">
        <f aca="false">$Y$18/1000*CURVES!O87+$AV$14</f>
        <v>75.2146192880192</v>
      </c>
      <c r="AW128" s="9" t="n">
        <f aca="false">(AL128*AU128+AM128*AV128)/AN128</f>
        <v>51.148602779701</v>
      </c>
      <c r="AX128" s="9" t="n">
        <f aca="false">CHOOSE(AX$18,CURVES!B87,CURVES!C87)</f>
        <v>44.3817204301075</v>
      </c>
      <c r="AY128" s="9" t="n">
        <f aca="false">(AN128*AW128+AO128*AX128)/I128</f>
        <v>47.8618061824531</v>
      </c>
    </row>
    <row r="129" customFormat="false" ht="12.75" hidden="false" customHeight="false" outlineLevel="0" collapsed="false">
      <c r="A129" s="85" t="n">
        <v>39479</v>
      </c>
      <c r="B129" s="31" t="n">
        <f aca="false">YEAR(A129)</f>
        <v>2008</v>
      </c>
      <c r="C129" s="31" t="n">
        <f aca="false">MONTH(A129)</f>
        <v>2</v>
      </c>
      <c r="D129" s="86" t="n">
        <v>0.058341521263721</v>
      </c>
      <c r="E129" s="87" t="n">
        <f aca="false">(1+D129/2)^(-2*(DATE($B130,$C130,20)-$E$17)/365.25)</f>
        <v>2.73871953519585</v>
      </c>
      <c r="F129" s="87"/>
      <c r="G129" s="8"/>
      <c r="H129" s="8" t="n">
        <f aca="false">(1+$I$17)*H117</f>
        <v>13442.7544357358</v>
      </c>
      <c r="I129" s="8" t="n">
        <f aca="false">(1+$I$17)*I117</f>
        <v>12727.7478516768</v>
      </c>
      <c r="K129" s="50" t="n">
        <f aca="false">K117</f>
        <v>2261.87643678161</v>
      </c>
      <c r="L129" s="50" t="n">
        <f aca="false">L117</f>
        <v>1335.97988505747</v>
      </c>
      <c r="M129" s="50" t="n">
        <f aca="false">M117</f>
        <v>236.002873563218</v>
      </c>
      <c r="N129" s="50" t="n">
        <f aca="false">N117</f>
        <v>3.84913793103448</v>
      </c>
      <c r="O129" s="50" t="n">
        <f aca="false">SUM(K129:N129)</f>
        <v>3837.70833333333</v>
      </c>
      <c r="P129" s="50" t="n">
        <f aca="false">P117</f>
        <v>3011.77170136767</v>
      </c>
      <c r="Q129" s="50" t="n">
        <f aca="false">O129+P129</f>
        <v>6849.48003470101</v>
      </c>
      <c r="R129" s="8" t="n">
        <f aca="false">H129-O129-P129</f>
        <v>6593.27440103477</v>
      </c>
      <c r="T129" s="9" t="n">
        <f aca="false">$T$18</f>
        <v>48.72</v>
      </c>
      <c r="U129" s="9" t="n">
        <f aca="false">U$18</f>
        <v>23</v>
      </c>
      <c r="V129" s="9" t="n">
        <f aca="false">V$18</f>
        <v>34</v>
      </c>
      <c r="W129" s="9" t="n">
        <f aca="false">W$18</f>
        <v>38</v>
      </c>
      <c r="X129" s="9" t="n">
        <f aca="false">SUMPRODUCT(K129:N129,T129:W129)/O129</f>
        <v>38.8504048116</v>
      </c>
      <c r="Y129" s="9" t="n">
        <f aca="false">$Y$18/1000*CURVES!K88+$Y$14</f>
        <v>77.7996327284946</v>
      </c>
      <c r="Z129" s="9" t="n">
        <f aca="false">(O129*X129+P129*Y129)/Q129</f>
        <v>55.9766949585781</v>
      </c>
      <c r="AA129" s="9" t="n">
        <f aca="false">CHOOSE(AA$18,CURVES!F88,CURVES!G88)</f>
        <v>37.6781609195402</v>
      </c>
      <c r="AB129" s="9" t="n">
        <f aca="false">(Q129*Z129+R129*AA129)/H129</f>
        <v>47.0018039395673</v>
      </c>
      <c r="AD129" s="9"/>
      <c r="AH129" s="50" t="n">
        <f aca="false">AH117</f>
        <v>1925.74685025101</v>
      </c>
      <c r="AI129" s="50" t="n">
        <f aca="false">AI117</f>
        <v>0</v>
      </c>
      <c r="AJ129" s="50" t="n">
        <f aca="false">AJ117</f>
        <v>2201.92738718254</v>
      </c>
      <c r="AK129" s="50" t="n">
        <f aca="false">AK117</f>
        <v>548.475477754164</v>
      </c>
      <c r="AL129" s="50" t="n">
        <f aca="false">SUM(AH129:AK129)</f>
        <v>4676.14971518771</v>
      </c>
      <c r="AM129" s="50" t="n">
        <f aca="false">AM117</f>
        <v>2161.54564434524</v>
      </c>
      <c r="AN129" s="50" t="n">
        <f aca="false">AL129+AM129</f>
        <v>6837.69535953295</v>
      </c>
      <c r="AO129" s="8" t="n">
        <f aca="false">I129-AL129-AM129</f>
        <v>5890.05249214383</v>
      </c>
      <c r="AQ129" s="9" t="n">
        <f aca="false">$AQ$18</f>
        <v>43</v>
      </c>
      <c r="AR129" s="9"/>
      <c r="AS129" s="9" t="n">
        <f aca="false">AS$18</f>
        <v>30</v>
      </c>
      <c r="AT129" s="9" t="n">
        <f aca="false">AT$18</f>
        <v>38</v>
      </c>
      <c r="AU129" s="9" t="n">
        <f aca="false">SUMPRODUCT(AH129:AK129,AQ129:AT129)/AL129</f>
        <v>36.2920382509856</v>
      </c>
      <c r="AV129" s="9" t="n">
        <f aca="false">$Y$18/1000*CURVES!O88+$AV$14</f>
        <v>74.2066192880191</v>
      </c>
      <c r="AW129" s="9" t="n">
        <f aca="false">(AL129*AU129+AM129*AV129)/AN129</f>
        <v>48.277669840073</v>
      </c>
      <c r="AX129" s="9" t="n">
        <f aca="false">CHOOSE(AX$18,CURVES!B88,CURVES!C88)</f>
        <v>43.0994252873563</v>
      </c>
      <c r="AY129" s="9" t="n">
        <f aca="false">(AN129*AW129+AO129*AX129)/I129</f>
        <v>45.8813203375456</v>
      </c>
    </row>
    <row r="130" customFormat="false" ht="12.75" hidden="false" customHeight="false" outlineLevel="0" collapsed="false">
      <c r="A130" s="85" t="n">
        <v>39508</v>
      </c>
      <c r="B130" s="31" t="n">
        <f aca="false">YEAR(A130)</f>
        <v>2008</v>
      </c>
      <c r="C130" s="31" t="n">
        <f aca="false">MONTH(A130)</f>
        <v>3</v>
      </c>
      <c r="D130" s="86" t="n">
        <v>0.058396740696269</v>
      </c>
      <c r="E130" s="87" t="n">
        <f aca="false">(1+D130/2)^(-2*(DATE($B131,$C131,20)-$E$17)/365.25)</f>
        <v>2.72793557643828</v>
      </c>
      <c r="F130" s="87"/>
      <c r="G130" s="8"/>
      <c r="H130" s="8" t="n">
        <f aca="false">(1+$I$17)*H118</f>
        <v>13364.9321329598</v>
      </c>
      <c r="I130" s="8" t="n">
        <f aca="false">(1+$I$17)*I118</f>
        <v>12442.0140620194</v>
      </c>
      <c r="K130" s="50" t="n">
        <f aca="false">K118</f>
        <v>2263.94623655914</v>
      </c>
      <c r="L130" s="50" t="n">
        <f aca="false">L118</f>
        <v>1258.63037634409</v>
      </c>
      <c r="M130" s="50" t="n">
        <f aca="false">M118</f>
        <v>620.646505376344</v>
      </c>
      <c r="N130" s="50" t="n">
        <f aca="false">N118</f>
        <v>2.58198924731183</v>
      </c>
      <c r="O130" s="50" t="n">
        <f aca="false">SUM(K130:N130)</f>
        <v>4145.80510752688</v>
      </c>
      <c r="P130" s="50" t="n">
        <f aca="false">P118</f>
        <v>2834.39732902856</v>
      </c>
      <c r="Q130" s="50" t="n">
        <f aca="false">O130+P130</f>
        <v>6980.20243655544</v>
      </c>
      <c r="R130" s="8" t="n">
        <f aca="false">H130-O130-P130</f>
        <v>6384.72969640438</v>
      </c>
      <c r="T130" s="9" t="n">
        <f aca="false">$T$18</f>
        <v>48.72</v>
      </c>
      <c r="U130" s="9" t="n">
        <f aca="false">U$18</f>
        <v>23</v>
      </c>
      <c r="V130" s="9" t="n">
        <f aca="false">V$18</f>
        <v>34</v>
      </c>
      <c r="W130" s="9" t="n">
        <f aca="false">W$18</f>
        <v>38</v>
      </c>
      <c r="X130" s="9" t="n">
        <f aca="false">SUMPRODUCT(K130:N130,T130:W130)/O130</f>
        <v>38.7013021388701</v>
      </c>
      <c r="Y130" s="9" t="n">
        <f aca="false">$Y$18/1000*CURVES!K89+$Y$14</f>
        <v>76.2246327284946</v>
      </c>
      <c r="Z130" s="9" t="n">
        <f aca="false">(O130*X130+P130*Y130)/Q130</f>
        <v>53.938113530256</v>
      </c>
      <c r="AA130" s="9" t="n">
        <f aca="false">CHOOSE(AA$18,CURVES!F89,CURVES!G89)</f>
        <v>37.0698924731183</v>
      </c>
      <c r="AB130" s="9" t="n">
        <f aca="false">(Q130*Z130+R130*AA130)/H130</f>
        <v>45.8797836534121</v>
      </c>
      <c r="AD130" s="9"/>
      <c r="AH130" s="50" t="n">
        <f aca="false">AH118</f>
        <v>1891.23873243112</v>
      </c>
      <c r="AI130" s="50" t="n">
        <f aca="false">AI118</f>
        <v>0</v>
      </c>
      <c r="AJ130" s="50" t="n">
        <f aca="false">AJ118</f>
        <v>1966.55049263563</v>
      </c>
      <c r="AK130" s="50" t="n">
        <f aca="false">AK118</f>
        <v>526.073305014923</v>
      </c>
      <c r="AL130" s="50" t="n">
        <f aca="false">SUM(AH130:AK130)</f>
        <v>4383.86253008167</v>
      </c>
      <c r="AM130" s="50" t="n">
        <f aca="false">AM118</f>
        <v>2044.22227284946</v>
      </c>
      <c r="AN130" s="50" t="n">
        <f aca="false">AL130+AM130</f>
        <v>6428.08480293113</v>
      </c>
      <c r="AO130" s="8" t="n">
        <f aca="false">I130-AL130-AM130</f>
        <v>6013.92925908822</v>
      </c>
      <c r="AQ130" s="9" t="n">
        <f aca="false">$AQ$18</f>
        <v>43</v>
      </c>
      <c r="AR130" s="9"/>
      <c r="AS130" s="9" t="n">
        <f aca="false">AS$18</f>
        <v>30</v>
      </c>
      <c r="AT130" s="9" t="n">
        <f aca="false">AT$18</f>
        <v>38</v>
      </c>
      <c r="AU130" s="9" t="n">
        <f aca="false">SUMPRODUCT(AH130:AK130,AQ130:AT130)/AL130</f>
        <v>36.5683377989472</v>
      </c>
      <c r="AV130" s="9" t="n">
        <f aca="false">$Y$18/1000*CURVES!O89+$AV$14</f>
        <v>72.6316192880192</v>
      </c>
      <c r="AW130" s="9" t="n">
        <f aca="false">(AL130*AU130+AM130*AV130)/AN130</f>
        <v>48.0369735609373</v>
      </c>
      <c r="AX130" s="9" t="n">
        <f aca="false">CHOOSE(AX$18,CURVES!B89,CURVES!C89)</f>
        <v>40.8521505376344</v>
      </c>
      <c r="AY130" s="9" t="n">
        <f aca="false">(AN130*AW130+AO130*AX130)/I130</f>
        <v>44.564142137839</v>
      </c>
    </row>
    <row r="131" customFormat="false" ht="12.75" hidden="false" customHeight="false" outlineLevel="0" collapsed="false">
      <c r="A131" s="85" t="n">
        <v>39539</v>
      </c>
      <c r="B131" s="31" t="n">
        <f aca="false">YEAR(A131)</f>
        <v>2008</v>
      </c>
      <c r="C131" s="31" t="n">
        <f aca="false">MONTH(A131)</f>
        <v>4</v>
      </c>
      <c r="D131" s="86" t="n">
        <v>0.058455768366667</v>
      </c>
      <c r="E131" s="87" t="n">
        <f aca="false">(1+D131/2)^(-2*(DATE($B132,$C132,20)-$E$17)/365.25)</f>
        <v>2.71777239404563</v>
      </c>
      <c r="F131" s="87"/>
      <c r="G131" s="8"/>
      <c r="H131" s="8" t="n">
        <f aca="false">(1+$I$17)*H119</f>
        <v>13424.2365165219</v>
      </c>
      <c r="I131" s="8" t="n">
        <f aca="false">(1+$I$17)*I119</f>
        <v>12154.5637460147</v>
      </c>
      <c r="K131" s="50" t="n">
        <f aca="false">K119</f>
        <v>2319.84027777778</v>
      </c>
      <c r="L131" s="50" t="n">
        <f aca="false">L119</f>
        <v>1179.16597222222</v>
      </c>
      <c r="M131" s="50" t="n">
        <f aca="false">M119</f>
        <v>811.586111111111</v>
      </c>
      <c r="N131" s="50" t="n">
        <f aca="false">N119</f>
        <v>3.04166666666667</v>
      </c>
      <c r="O131" s="50" t="n">
        <f aca="false">SUM(K131:N131)</f>
        <v>4313.63402777778</v>
      </c>
      <c r="P131" s="50" t="n">
        <f aca="false">P119</f>
        <v>2923.39459068154</v>
      </c>
      <c r="Q131" s="50" t="n">
        <f aca="false">O131+P131</f>
        <v>7237.02861845932</v>
      </c>
      <c r="R131" s="8" t="n">
        <f aca="false">H131-O131-P131</f>
        <v>6187.20789806259</v>
      </c>
      <c r="T131" s="9" t="n">
        <f aca="false">$T$18</f>
        <v>48.72</v>
      </c>
      <c r="U131" s="9" t="n">
        <f aca="false">U$18</f>
        <v>23</v>
      </c>
      <c r="V131" s="9" t="n">
        <f aca="false">V$18</f>
        <v>34</v>
      </c>
      <c r="W131" s="9" t="n">
        <f aca="false">W$18</f>
        <v>38</v>
      </c>
      <c r="X131" s="9" t="n">
        <f aca="false">SUMPRODUCT(K131:N131,T131:W131)/O131</f>
        <v>38.9121899828918</v>
      </c>
      <c r="Y131" s="9" t="n">
        <f aca="false">$Y$18/1000*CURVES!K90+$Y$14</f>
        <v>75.5631327284946</v>
      </c>
      <c r="Z131" s="9" t="n">
        <f aca="false">(O131*X131+P131*Y131)/Q131</f>
        <v>53.7173225054552</v>
      </c>
      <c r="AA131" s="9" t="n">
        <f aca="false">CHOOSE(AA$18,CURVES!F90,CURVES!G90)</f>
        <v>36.9422222222222</v>
      </c>
      <c r="AB131" s="9" t="n">
        <f aca="false">(Q131*Z131+R131*AA131)/H131</f>
        <v>45.9857071666261</v>
      </c>
      <c r="AD131" s="9"/>
      <c r="AH131" s="50" t="n">
        <f aca="false">AH119</f>
        <v>1937.93108490741</v>
      </c>
      <c r="AI131" s="50" t="n">
        <f aca="false">AI119</f>
        <v>0</v>
      </c>
      <c r="AJ131" s="50" t="n">
        <f aca="false">AJ119</f>
        <v>2070.95002093926</v>
      </c>
      <c r="AK131" s="50" t="n">
        <f aca="false">AK119</f>
        <v>513.919329218532</v>
      </c>
      <c r="AL131" s="50" t="n">
        <f aca="false">SUM(AH131:AK131)</f>
        <v>4522.8004350652</v>
      </c>
      <c r="AM131" s="50" t="n">
        <f aca="false">AM119</f>
        <v>2152.99685890411</v>
      </c>
      <c r="AN131" s="50" t="n">
        <f aca="false">AL131+AM131</f>
        <v>6675.79729396931</v>
      </c>
      <c r="AO131" s="8" t="n">
        <f aca="false">I131-AL131-AM131</f>
        <v>5478.76645204543</v>
      </c>
      <c r="AQ131" s="9" t="n">
        <f aca="false">$AQ$18</f>
        <v>43</v>
      </c>
      <c r="AR131" s="9"/>
      <c r="AS131" s="9" t="n">
        <f aca="false">AS$18</f>
        <v>30</v>
      </c>
      <c r="AT131" s="9" t="n">
        <f aca="false">AT$18</f>
        <v>38</v>
      </c>
      <c r="AU131" s="9" t="n">
        <f aca="false">SUMPRODUCT(AH131:AK131,AQ131:AT131)/AL131</f>
        <v>36.4792729987261</v>
      </c>
      <c r="AV131" s="9" t="n">
        <f aca="false">$Y$18/1000*CURVES!O90+$AV$14</f>
        <v>70.7101192880192</v>
      </c>
      <c r="AW131" s="9" t="n">
        <f aca="false">(AL131*AU131+AM131*AV131)/AN131</f>
        <v>47.5189887499899</v>
      </c>
      <c r="AX131" s="9" t="n">
        <f aca="false">CHOOSE(AX$18,CURVES!B90,CURVES!C90)</f>
        <v>39.18</v>
      </c>
      <c r="AY131" s="9" t="n">
        <f aca="false">(AN131*AW131+AO131*AX131)/I131</f>
        <v>43.7601231286377</v>
      </c>
    </row>
    <row r="132" customFormat="false" ht="12.75" hidden="false" customHeight="false" outlineLevel="0" collapsed="false">
      <c r="A132" s="85" t="n">
        <v>39569</v>
      </c>
      <c r="B132" s="31" t="n">
        <f aca="false">YEAR(A132)</f>
        <v>2008</v>
      </c>
      <c r="C132" s="31" t="n">
        <f aca="false">MONTH(A132)</f>
        <v>5</v>
      </c>
      <c r="D132" s="86" t="n">
        <v>0.058512891919768</v>
      </c>
      <c r="E132" s="87" t="n">
        <f aca="false">(1+D132/2)^(-2*(DATE($B133,$C133,20)-$E$17)/365.25)</f>
        <v>2.70710749360926</v>
      </c>
      <c r="F132" s="87"/>
      <c r="G132" s="8"/>
      <c r="H132" s="8" t="n">
        <f aca="false">(1+$I$17)*H120</f>
        <v>14185.3749967569</v>
      </c>
      <c r="I132" s="8" t="n">
        <f aca="false">(1+$I$17)*I120</f>
        <v>13239.5802512059</v>
      </c>
      <c r="K132" s="50" t="n">
        <f aca="false">K120</f>
        <v>2226.06720430108</v>
      </c>
      <c r="L132" s="50" t="n">
        <f aca="false">L120</f>
        <v>1023.62634408602</v>
      </c>
      <c r="M132" s="50" t="n">
        <f aca="false">M120</f>
        <v>950.165322580645</v>
      </c>
      <c r="N132" s="50" t="n">
        <f aca="false">N120</f>
        <v>3.30510752688172</v>
      </c>
      <c r="O132" s="50" t="n">
        <f aca="false">SUM(K132:N132)</f>
        <v>4203.16397849462</v>
      </c>
      <c r="P132" s="50" t="n">
        <f aca="false">P120</f>
        <v>2831.51050210493</v>
      </c>
      <c r="Q132" s="50" t="n">
        <f aca="false">O132+P132</f>
        <v>7034.67448059955</v>
      </c>
      <c r="R132" s="8" t="n">
        <f aca="false">H132-O132-P132</f>
        <v>7150.70051615731</v>
      </c>
      <c r="T132" s="9" t="n">
        <f aca="false">$T$18</f>
        <v>48.72</v>
      </c>
      <c r="U132" s="9" t="n">
        <f aca="false">U$18</f>
        <v>23</v>
      </c>
      <c r="V132" s="9" t="n">
        <f aca="false">V$18</f>
        <v>34</v>
      </c>
      <c r="W132" s="9" t="n">
        <f aca="false">W$18</f>
        <v>38</v>
      </c>
      <c r="X132" s="9" t="n">
        <f aca="false">SUMPRODUCT(K132:N132,T132:W132)/O132</f>
        <v>39.1201999261949</v>
      </c>
      <c r="Y132" s="9" t="n">
        <f aca="false">$Y$18/1000*CURVES!K91+$Y$14</f>
        <v>75.3006327284946</v>
      </c>
      <c r="Z132" s="9" t="n">
        <f aca="false">(O132*X132+P132*Y132)/Q132</f>
        <v>53.683101981285</v>
      </c>
      <c r="AA132" s="9" t="n">
        <f aca="false">CHOOSE(AA$18,CURVES!F91,CURVES!G91)</f>
        <v>35.7344086021505</v>
      </c>
      <c r="AB132" s="9" t="n">
        <f aca="false">(Q132*Z132+R132*AA132)/H132</f>
        <v>44.6353516722612</v>
      </c>
      <c r="AD132" s="9"/>
      <c r="AH132" s="50" t="n">
        <f aca="false">AH120</f>
        <v>1895.25910320262</v>
      </c>
      <c r="AI132" s="50" t="n">
        <f aca="false">AI120</f>
        <v>0</v>
      </c>
      <c r="AJ132" s="50" t="n">
        <f aca="false">AJ120</f>
        <v>1877.63033247346</v>
      </c>
      <c r="AK132" s="50" t="n">
        <f aca="false">AK120</f>
        <v>570.53181663935</v>
      </c>
      <c r="AL132" s="50" t="n">
        <f aca="false">SUM(AH132:AK132)</f>
        <v>4343.42125231544</v>
      </c>
      <c r="AM132" s="50" t="n">
        <f aca="false">AM120</f>
        <v>2186.84183198925</v>
      </c>
      <c r="AN132" s="50" t="n">
        <f aca="false">AL132+AM132</f>
        <v>6530.26308430469</v>
      </c>
      <c r="AO132" s="8" t="n">
        <f aca="false">I132-AL132-AM132</f>
        <v>6709.31716690119</v>
      </c>
      <c r="AQ132" s="9" t="n">
        <f aca="false">$AQ$18</f>
        <v>43</v>
      </c>
      <c r="AR132" s="9"/>
      <c r="AS132" s="9" t="n">
        <f aca="false">AS$18</f>
        <v>30</v>
      </c>
      <c r="AT132" s="9" t="n">
        <f aca="false">AT$18</f>
        <v>38</v>
      </c>
      <c r="AU132" s="9" t="n">
        <f aca="false">SUMPRODUCT(AH132:AK132,AQ132:AT132)/AL132</f>
        <v>36.7234148332219</v>
      </c>
      <c r="AV132" s="9" t="n">
        <f aca="false">$Y$18/1000*CURVES!O91+$AV$14</f>
        <v>70.4476192880192</v>
      </c>
      <c r="AW132" s="9" t="n">
        <f aca="false">(AL132*AU132+AM132*AV132)/AN132</f>
        <v>48.0169109910664</v>
      </c>
      <c r="AX132" s="9" t="n">
        <f aca="false">CHOOSE(AX$18,CURVES!B91,CURVES!C91)</f>
        <v>39.0327956989247</v>
      </c>
      <c r="AY132" s="9" t="n">
        <f aca="false">(AN132*AW132+AO132*AX132)/I132</f>
        <v>43.4641020790546</v>
      </c>
    </row>
    <row r="133" customFormat="false" ht="12.75" hidden="false" customHeight="false" outlineLevel="0" collapsed="false">
      <c r="A133" s="85" t="n">
        <v>39600</v>
      </c>
      <c r="B133" s="31" t="n">
        <f aca="false">YEAR(A133)</f>
        <v>2008</v>
      </c>
      <c r="C133" s="31" t="n">
        <f aca="false">MONTH(A133)</f>
        <v>6</v>
      </c>
      <c r="D133" s="86" t="n">
        <v>0.058571919592445</v>
      </c>
      <c r="E133" s="87" t="n">
        <f aca="false">(1+D133/2)^(-2*(DATE($B134,$C134,20)-$E$17)/365.25)</f>
        <v>2.69697092652699</v>
      </c>
      <c r="F133" s="87"/>
      <c r="G133" s="8"/>
      <c r="H133" s="8" t="n">
        <f aca="false">(1+$I$17)*H121</f>
        <v>15676.5697979822</v>
      </c>
      <c r="I133" s="8" t="n">
        <f aca="false">(1+$I$17)*I121</f>
        <v>14929.2992851806</v>
      </c>
      <c r="K133" s="50" t="n">
        <f aca="false">K121</f>
        <v>2252.13333333333</v>
      </c>
      <c r="L133" s="50" t="n">
        <f aca="false">L121</f>
        <v>1398.39166666667</v>
      </c>
      <c r="M133" s="50" t="n">
        <f aca="false">M121</f>
        <v>957.040277777778</v>
      </c>
      <c r="N133" s="50" t="n">
        <f aca="false">N121</f>
        <v>3.52638888888889</v>
      </c>
      <c r="O133" s="50" t="n">
        <f aca="false">SUM(K133:N133)</f>
        <v>4611.09166666667</v>
      </c>
      <c r="P133" s="50" t="n">
        <f aca="false">P121</f>
        <v>3175.74117813466</v>
      </c>
      <c r="Q133" s="50" t="n">
        <f aca="false">O133+P133</f>
        <v>7786.83284480132</v>
      </c>
      <c r="R133" s="8" t="n">
        <f aca="false">H133-O133-P133</f>
        <v>7889.73695318087</v>
      </c>
      <c r="T133" s="9" t="n">
        <f aca="false">$T$18</f>
        <v>48.72</v>
      </c>
      <c r="U133" s="9" t="n">
        <f aca="false">U$18</f>
        <v>23</v>
      </c>
      <c r="V133" s="9" t="n">
        <f aca="false">V$18</f>
        <v>34</v>
      </c>
      <c r="W133" s="9" t="n">
        <f aca="false">W$18</f>
        <v>38</v>
      </c>
      <c r="X133" s="9" t="n">
        <f aca="false">SUMPRODUCT(K133:N133,T133:W133)/O133</f>
        <v>37.8566138290945</v>
      </c>
      <c r="Y133" s="9" t="n">
        <f aca="false">$Y$18/1000*CURVES!K92+$Y$14</f>
        <v>75.6051327284946</v>
      </c>
      <c r="Z133" s="9" t="n">
        <f aca="false">(O133*X133+P133*Y133)/Q133</f>
        <v>53.2517723321377</v>
      </c>
      <c r="AA133" s="9" t="n">
        <f aca="false">CHOOSE(AA$18,CURVES!F92,CURVES!G92)</f>
        <v>46.25</v>
      </c>
      <c r="AB133" s="9" t="n">
        <f aca="false">(Q133*Z133+R133*AA133)/H133</f>
        <v>49.7279056560402</v>
      </c>
      <c r="AD133" s="9"/>
      <c r="AH133" s="50" t="n">
        <f aca="false">AH121</f>
        <v>1881.37055634004</v>
      </c>
      <c r="AI133" s="50" t="n">
        <f aca="false">AI121</f>
        <v>0</v>
      </c>
      <c r="AJ133" s="50" t="n">
        <f aca="false">AJ121</f>
        <v>1162.16168617347</v>
      </c>
      <c r="AK133" s="50" t="n">
        <f aca="false">AK121</f>
        <v>631.240712103584</v>
      </c>
      <c r="AL133" s="50" t="n">
        <f aca="false">SUM(AH133:AK133)</f>
        <v>3674.77295461709</v>
      </c>
      <c r="AM133" s="50" t="n">
        <f aca="false">AM121</f>
        <v>2754.04614109589</v>
      </c>
      <c r="AN133" s="50" t="n">
        <f aca="false">AL133+AM133</f>
        <v>6428.81909571298</v>
      </c>
      <c r="AO133" s="8" t="n">
        <f aca="false">I133-AL133-AM133</f>
        <v>8500.48018946766</v>
      </c>
      <c r="AQ133" s="9" t="n">
        <f aca="false">$AQ$18</f>
        <v>43</v>
      </c>
      <c r="AR133" s="9"/>
      <c r="AS133" s="9" t="n">
        <f aca="false">AS$18</f>
        <v>30</v>
      </c>
      <c r="AT133" s="9" t="n">
        <f aca="false">AT$18</f>
        <v>38</v>
      </c>
      <c r="AU133" s="9" t="n">
        <f aca="false">SUMPRODUCT(AH133:AK133,AQ133:AT133)/AL133</f>
        <v>38.0298138942638</v>
      </c>
      <c r="AV133" s="9" t="n">
        <f aca="false">$Y$18/1000*CURVES!O92+$AV$14</f>
        <v>70.7521192880191</v>
      </c>
      <c r="AW133" s="9" t="n">
        <f aca="false">(AL133*AU133+AM133*AV133)/AN133</f>
        <v>52.0477443346348</v>
      </c>
      <c r="AX133" s="9" t="n">
        <f aca="false">CHOOSE(AX$18,CURVES!B92,CURVES!C92)</f>
        <v>43.9222222222222</v>
      </c>
      <c r="AY133" s="9" t="n">
        <f aca="false">(AN133*AW133+AO133*AX133)/I133</f>
        <v>47.421215089943</v>
      </c>
    </row>
    <row r="134" customFormat="false" ht="12.75" hidden="false" customHeight="false" outlineLevel="0" collapsed="false">
      <c r="A134" s="85" t="n">
        <v>39630</v>
      </c>
      <c r="B134" s="31" t="n">
        <f aca="false">YEAR(A134)</f>
        <v>2008</v>
      </c>
      <c r="C134" s="31" t="n">
        <f aca="false">MONTH(A134)</f>
        <v>7</v>
      </c>
      <c r="D134" s="86" t="n">
        <v>0.058629043147752</v>
      </c>
      <c r="E134" s="87" t="n">
        <f aca="false">(1+D134/2)^(-2*(DATE($B135,$C135,20)-$E$17)/365.25)</f>
        <v>2.68633688013863</v>
      </c>
      <c r="F134" s="87"/>
      <c r="G134" s="8"/>
      <c r="H134" s="8" t="n">
        <f aca="false">(1+$I$17)*H122</f>
        <v>15472.6592552039</v>
      </c>
      <c r="I134" s="8" t="n">
        <f aca="false">(1+$I$17)*I122</f>
        <v>14172.2454518561</v>
      </c>
      <c r="K134" s="50" t="n">
        <f aca="false">K122</f>
        <v>2248.45698924731</v>
      </c>
      <c r="L134" s="50" t="n">
        <f aca="false">L122</f>
        <v>1358.32258064516</v>
      </c>
      <c r="M134" s="50" t="n">
        <f aca="false">M122</f>
        <v>653.551075268817</v>
      </c>
      <c r="N134" s="50" t="n">
        <f aca="false">N122</f>
        <v>3.83736559139785</v>
      </c>
      <c r="O134" s="50" t="n">
        <f aca="false">SUM(K134:N134)</f>
        <v>4264.16801075269</v>
      </c>
      <c r="P134" s="50" t="n">
        <f aca="false">P122</f>
        <v>3349.38956238808</v>
      </c>
      <c r="Q134" s="50" t="n">
        <f aca="false">O134+P134</f>
        <v>7613.55757314076</v>
      </c>
      <c r="R134" s="8" t="n">
        <f aca="false">H134-O134-P134</f>
        <v>7859.10168206318</v>
      </c>
      <c r="T134" s="9" t="n">
        <f aca="false">$T$18</f>
        <v>48.72</v>
      </c>
      <c r="U134" s="9" t="n">
        <f aca="false">U$18</f>
        <v>23</v>
      </c>
      <c r="V134" s="9" t="n">
        <f aca="false">V$18</f>
        <v>34</v>
      </c>
      <c r="W134" s="9" t="n">
        <f aca="false">W$18</f>
        <v>38</v>
      </c>
      <c r="X134" s="9" t="n">
        <f aca="false">SUMPRODUCT(K134:N134,T134:W134)/O134</f>
        <v>38.2613442789234</v>
      </c>
      <c r="Y134" s="9" t="n">
        <f aca="false">$Y$18/1000*CURVES!K93+$Y$14</f>
        <v>75.9201327284946</v>
      </c>
      <c r="Z134" s="9" t="n">
        <f aca="false">(O134*X134+P134*Y134)/Q134</f>
        <v>54.828363278051</v>
      </c>
      <c r="AA134" s="9" t="n">
        <f aca="false">CHOOSE(AA$18,CURVES!F93,CURVES!G93)</f>
        <v>58.8548387096774</v>
      </c>
      <c r="AB134" s="9" t="n">
        <f aca="false">(Q134*Z134+R134*AA134)/H134</f>
        <v>56.8735501664547</v>
      </c>
      <c r="AD134" s="9"/>
      <c r="AH134" s="50" t="n">
        <f aca="false">AH122</f>
        <v>1914.32162011861</v>
      </c>
      <c r="AI134" s="50" t="n">
        <f aca="false">AI122</f>
        <v>0</v>
      </c>
      <c r="AJ134" s="50" t="n">
        <f aca="false">AJ122</f>
        <v>1193.33197430598</v>
      </c>
      <c r="AK134" s="50" t="n">
        <f aca="false">AK122</f>
        <v>610.723058442111</v>
      </c>
      <c r="AL134" s="50" t="n">
        <f aca="false">SUM(AH134:AK134)</f>
        <v>3718.37665286669</v>
      </c>
      <c r="AM134" s="50" t="n">
        <f aca="false">AM122</f>
        <v>2586.73186021505</v>
      </c>
      <c r="AN134" s="50" t="n">
        <f aca="false">AL134+AM134</f>
        <v>6305.10851308175</v>
      </c>
      <c r="AO134" s="8" t="n">
        <f aca="false">I134-AL134-AM134</f>
        <v>7867.13693877434</v>
      </c>
      <c r="AQ134" s="9" t="n">
        <f aca="false">$AQ$18</f>
        <v>43</v>
      </c>
      <c r="AR134" s="9"/>
      <c r="AS134" s="9" t="n">
        <f aca="false">AS$18</f>
        <v>30</v>
      </c>
      <c r="AT134" s="9" t="n">
        <f aca="false">AT$18</f>
        <v>38</v>
      </c>
      <c r="AU134" s="9" t="n">
        <f aca="false">SUMPRODUCT(AH134:AK134,AQ134:AT134)/AL134</f>
        <v>38.0067105375476</v>
      </c>
      <c r="AV134" s="9" t="n">
        <f aca="false">$Y$18/1000*CURVES!O93+$AV$14</f>
        <v>71.0671192880192</v>
      </c>
      <c r="AW134" s="9" t="n">
        <f aca="false">(AL134*AU134+AM134*AV134)/AN134</f>
        <v>51.5700635629785</v>
      </c>
      <c r="AX134" s="9" t="n">
        <f aca="false">CHOOSE(AX$18,CURVES!B93,CURVES!C93)</f>
        <v>56.3634408602151</v>
      </c>
      <c r="AY134" s="9" t="n">
        <f aca="false">(AN134*AW134+AO134*AX134)/I134</f>
        <v>54.2309090672901</v>
      </c>
    </row>
    <row r="135" customFormat="false" ht="12.75" hidden="false" customHeight="false" outlineLevel="0" collapsed="false">
      <c r="A135" s="85" t="n">
        <v>39661</v>
      </c>
      <c r="B135" s="31" t="n">
        <f aca="false">YEAR(A135)</f>
        <v>2008</v>
      </c>
      <c r="C135" s="31" t="n">
        <f aca="false">MONTH(A135)</f>
        <v>8</v>
      </c>
      <c r="D135" s="86" t="n">
        <v>0.058688070822709</v>
      </c>
      <c r="E135" s="87" t="n">
        <f aca="false">(1+D135/2)^(-2*(DATE($B136,$C136,20)-$E$17)/365.25)</f>
        <v>2.67580370976672</v>
      </c>
      <c r="F135" s="87"/>
      <c r="G135" s="8"/>
      <c r="H135" s="8" t="n">
        <f aca="false">(1+$I$17)*H123</f>
        <v>16592.4439496466</v>
      </c>
      <c r="I135" s="8" t="n">
        <f aca="false">(1+$I$17)*I123</f>
        <v>14698.9635865113</v>
      </c>
      <c r="K135" s="50" t="n">
        <f aca="false">K123</f>
        <v>2226.06586021505</v>
      </c>
      <c r="L135" s="50" t="n">
        <f aca="false">L123</f>
        <v>1361.98924731183</v>
      </c>
      <c r="M135" s="50" t="n">
        <f aca="false">M123</f>
        <v>483.364247311828</v>
      </c>
      <c r="N135" s="50" t="n">
        <f aca="false">N123</f>
        <v>3.9247311827957</v>
      </c>
      <c r="O135" s="50" t="n">
        <f aca="false">SUM(K135:N135)</f>
        <v>4075.34408602151</v>
      </c>
      <c r="P135" s="50" t="n">
        <f aca="false">P123</f>
        <v>3426.25292884001</v>
      </c>
      <c r="Q135" s="50" t="n">
        <f aca="false">O135+P135</f>
        <v>7501.59701486152</v>
      </c>
      <c r="R135" s="8" t="n">
        <f aca="false">H135-O135-P135</f>
        <v>9090.84693478504</v>
      </c>
      <c r="T135" s="9" t="n">
        <f aca="false">$T$18</f>
        <v>48.72</v>
      </c>
      <c r="U135" s="9" t="n">
        <f aca="false">U$18</f>
        <v>23</v>
      </c>
      <c r="V135" s="9" t="n">
        <f aca="false">V$18</f>
        <v>34</v>
      </c>
      <c r="W135" s="9" t="n">
        <f aca="false">W$18</f>
        <v>38</v>
      </c>
      <c r="X135" s="9" t="n">
        <f aca="false">SUMPRODUCT(K135:N135,T135:W135)/O135</f>
        <v>38.3680990588564</v>
      </c>
      <c r="Y135" s="9" t="n">
        <f aca="false">$Y$18/1000*CURVES!K94+$Y$14</f>
        <v>76.1301327284946</v>
      </c>
      <c r="Z135" s="9" t="n">
        <f aca="false">(O135*X135+P135*Y135)/Q135</f>
        <v>55.6153969613207</v>
      </c>
      <c r="AA135" s="9" t="n">
        <f aca="false">CHOOSE(AA$18,CURVES!F94,CURVES!G94)</f>
        <v>64.0913978494624</v>
      </c>
      <c r="AB135" s="9" t="n">
        <f aca="false">(Q135*Z135+R135*AA135)/H135</f>
        <v>60.2593196364272</v>
      </c>
      <c r="AD135" s="9"/>
      <c r="AH135" s="50" t="n">
        <f aca="false">AH123</f>
        <v>1859.59450264151</v>
      </c>
      <c r="AI135" s="50" t="n">
        <f aca="false">AI123</f>
        <v>0</v>
      </c>
      <c r="AJ135" s="50" t="n">
        <f aca="false">AJ123</f>
        <v>1584.50880376937</v>
      </c>
      <c r="AK135" s="50" t="n">
        <f aca="false">AK123</f>
        <v>621.501656862376</v>
      </c>
      <c r="AL135" s="50" t="n">
        <f aca="false">SUM(AH135:AK135)</f>
        <v>4065.60496327325</v>
      </c>
      <c r="AM135" s="50" t="n">
        <f aca="false">AM123</f>
        <v>2208.28901612903</v>
      </c>
      <c r="AN135" s="50" t="n">
        <f aca="false">AL135+AM135</f>
        <v>6273.89397940229</v>
      </c>
      <c r="AO135" s="8" t="n">
        <f aca="false">I135-AL135-AM135</f>
        <v>8425.06960710904</v>
      </c>
      <c r="AQ135" s="9" t="n">
        <f aca="false">$AQ$18</f>
        <v>43</v>
      </c>
      <c r="AR135" s="9"/>
      <c r="AS135" s="9" t="n">
        <f aca="false">AS$18</f>
        <v>30</v>
      </c>
      <c r="AT135" s="9" t="n">
        <f aca="false">AT$18</f>
        <v>38</v>
      </c>
      <c r="AU135" s="9" t="n">
        <f aca="false">SUMPRODUCT(AH135:AK135,AQ135:AT135)/AL135</f>
        <v>37.1691032583186</v>
      </c>
      <c r="AV135" s="9" t="n">
        <f aca="false">$Y$18/1000*CURVES!O94+$AV$14</f>
        <v>71.2771192880192</v>
      </c>
      <c r="AW135" s="9" t="n">
        <f aca="false">(AL135*AU135+AM135*AV135)/AN135</f>
        <v>49.17446347123</v>
      </c>
      <c r="AX135" s="9" t="n">
        <f aca="false">CHOOSE(AX$18,CURVES!B94,CURVES!C94)</f>
        <v>64.9037634408602</v>
      </c>
      <c r="AY135" s="9" t="n">
        <f aca="false">(AN135*AW135+AO135*AX135)/I135</f>
        <v>58.190095514624</v>
      </c>
    </row>
    <row r="136" customFormat="false" ht="12.75" hidden="false" customHeight="false" outlineLevel="0" collapsed="false">
      <c r="A136" s="85" t="n">
        <v>39692</v>
      </c>
      <c r="B136" s="31" t="n">
        <f aca="false">YEAR(A136)</f>
        <v>2008</v>
      </c>
      <c r="C136" s="31" t="n">
        <f aca="false">MONTH(A136)</f>
        <v>9</v>
      </c>
      <c r="D136" s="86" t="n">
        <v>0.058747098498824</v>
      </c>
      <c r="E136" s="87" t="n">
        <f aca="false">(1+D136/2)^(-2*(DATE($B137,$C137,20)-$E$17)/365.25)</f>
        <v>2.66570836605608</v>
      </c>
      <c r="F136" s="87"/>
      <c r="G136" s="8"/>
      <c r="H136" s="8" t="n">
        <f aca="false">(1+$I$17)*H124</f>
        <v>15029.6290261788</v>
      </c>
      <c r="I136" s="8" t="n">
        <f aca="false">(1+$I$17)*I124</f>
        <v>13845.4799568937</v>
      </c>
      <c r="K136" s="50" t="n">
        <f aca="false">K124</f>
        <v>2263.63333333333</v>
      </c>
      <c r="L136" s="50" t="n">
        <f aca="false">L124</f>
        <v>1380.73611111111</v>
      </c>
      <c r="M136" s="50" t="n">
        <f aca="false">M124</f>
        <v>542.602777777778</v>
      </c>
      <c r="N136" s="50" t="n">
        <f aca="false">N124</f>
        <v>3.41944444444444</v>
      </c>
      <c r="O136" s="50" t="n">
        <f aca="false">SUM(K136:N136)</f>
        <v>4190.39166666667</v>
      </c>
      <c r="P136" s="50" t="n">
        <f aca="false">P124</f>
        <v>3348.13393235473</v>
      </c>
      <c r="Q136" s="50" t="n">
        <f aca="false">O136+P136</f>
        <v>7538.52559902139</v>
      </c>
      <c r="R136" s="8" t="n">
        <f aca="false">H136-O136-P136</f>
        <v>7491.10342715739</v>
      </c>
      <c r="T136" s="9" t="n">
        <f aca="false">$T$18</f>
        <v>48.72</v>
      </c>
      <c r="U136" s="9" t="n">
        <f aca="false">U$18</f>
        <v>23</v>
      </c>
      <c r="V136" s="9" t="n">
        <f aca="false">V$18</f>
        <v>34</v>
      </c>
      <c r="W136" s="9" t="n">
        <f aca="false">W$18</f>
        <v>38</v>
      </c>
      <c r="X136" s="9" t="n">
        <f aca="false">SUMPRODUCT(K136:N136,T136:W136)/O136</f>
        <v>38.3304456159959</v>
      </c>
      <c r="Y136" s="9" t="n">
        <f aca="false">$Y$18/1000*CURVES!K95+$Y$14</f>
        <v>76.3506327284946</v>
      </c>
      <c r="Z136" s="9" t="n">
        <f aca="false">(O136*X136+P136*Y136)/Q136</f>
        <v>55.2165962184901</v>
      </c>
      <c r="AA136" s="9" t="n">
        <f aca="false">CHOOSE(AA$18,CURVES!F95,CURVES!G95)</f>
        <v>58.6388888888889</v>
      </c>
      <c r="AB136" s="9" t="n">
        <f aca="false">(Q136*Z136+R136*AA136)/H136</f>
        <v>56.9223434666294</v>
      </c>
      <c r="AD136" s="9"/>
      <c r="AH136" s="50" t="n">
        <f aca="false">AH124</f>
        <v>1890.97734163897</v>
      </c>
      <c r="AI136" s="50" t="n">
        <f aca="false">AI124</f>
        <v>0</v>
      </c>
      <c r="AJ136" s="50" t="n">
        <f aca="false">AJ124</f>
        <v>765.820605438213</v>
      </c>
      <c r="AK136" s="50" t="n">
        <f aca="false">AK124</f>
        <v>570.922545092046</v>
      </c>
      <c r="AL136" s="50" t="n">
        <f aca="false">SUM(AH136:AK136)</f>
        <v>3227.72049216923</v>
      </c>
      <c r="AM136" s="50" t="n">
        <f aca="false">AM124</f>
        <v>2371.57693150685</v>
      </c>
      <c r="AN136" s="50" t="n">
        <f aca="false">AL136+AM136</f>
        <v>5599.29742367608</v>
      </c>
      <c r="AO136" s="8" t="n">
        <f aca="false">I136-AL136-AM136</f>
        <v>8246.18253321762</v>
      </c>
      <c r="AQ136" s="9" t="n">
        <f aca="false">$AQ$18</f>
        <v>43</v>
      </c>
      <c r="AR136" s="9"/>
      <c r="AS136" s="9" t="n">
        <f aca="false">AS$18</f>
        <v>30</v>
      </c>
      <c r="AT136" s="9" t="n">
        <f aca="false">AT$18</f>
        <v>38</v>
      </c>
      <c r="AU136" s="9" t="n">
        <f aca="false">SUMPRODUCT(AH136:AK136,AQ136:AT136)/AL136</f>
        <v>39.0311679319086</v>
      </c>
      <c r="AV136" s="9" t="n">
        <f aca="false">$Y$18/1000*CURVES!O95+$AV$14</f>
        <v>71.4976192880192</v>
      </c>
      <c r="AW136" s="9" t="n">
        <f aca="false">(AL136*AU136+AM136*AV136)/AN136</f>
        <v>52.7823015577932</v>
      </c>
      <c r="AX136" s="9" t="n">
        <f aca="false">CHOOSE(AX$18,CURVES!B95,CURVES!C95)</f>
        <v>57.0222222222222</v>
      </c>
      <c r="AY136" s="9" t="n">
        <f aca="false">(AN136*AW136+AO136*AX136)/I136</f>
        <v>55.3075415519355</v>
      </c>
    </row>
    <row r="137" customFormat="false" ht="12.75" hidden="false" customHeight="false" outlineLevel="0" collapsed="false">
      <c r="A137" s="85" t="n">
        <v>39722</v>
      </c>
      <c r="B137" s="31" t="n">
        <f aca="false">YEAR(A137)</f>
        <v>2008</v>
      </c>
      <c r="C137" s="31" t="n">
        <f aca="false">MONTH(A137)</f>
        <v>10</v>
      </c>
      <c r="D137" s="86" t="n">
        <v>0.058804222057458</v>
      </c>
      <c r="E137" s="87" t="n">
        <f aca="false">(1+D137/2)^(-2*(DATE($B138,$C138,20)-$E$17)/365.25)</f>
        <v>2.6551219074159</v>
      </c>
      <c r="F137" s="87"/>
      <c r="G137" s="8"/>
      <c r="H137" s="8" t="n">
        <f aca="false">(1+$I$17)*H125</f>
        <v>13962.5097457132</v>
      </c>
      <c r="I137" s="8" t="n">
        <f aca="false">(1+$I$17)*I125</f>
        <v>11984.2616377358</v>
      </c>
      <c r="K137" s="50" t="n">
        <f aca="false">K125</f>
        <v>2069.29166666667</v>
      </c>
      <c r="L137" s="50" t="n">
        <f aca="false">L125</f>
        <v>1227.52419354839</v>
      </c>
      <c r="M137" s="50" t="n">
        <f aca="false">M125</f>
        <v>369.340053763441</v>
      </c>
      <c r="N137" s="50" t="n">
        <f aca="false">N125</f>
        <v>3.27822580645161</v>
      </c>
      <c r="O137" s="50" t="n">
        <f aca="false">SUM(K137:N137)</f>
        <v>3669.43413978495</v>
      </c>
      <c r="P137" s="50" t="n">
        <f aca="false">P125</f>
        <v>3171.07549498463</v>
      </c>
      <c r="Q137" s="50" t="n">
        <f aca="false">O137+P137</f>
        <v>6840.50963476957</v>
      </c>
      <c r="R137" s="8" t="n">
        <f aca="false">H137-O137-P137</f>
        <v>7122.00011094368</v>
      </c>
      <c r="T137" s="9" t="n">
        <f aca="false">$T$18</f>
        <v>48.72</v>
      </c>
      <c r="U137" s="9" t="n">
        <f aca="false">U$18</f>
        <v>23</v>
      </c>
      <c r="V137" s="9" t="n">
        <f aca="false">V$18</f>
        <v>34</v>
      </c>
      <c r="W137" s="9" t="n">
        <f aca="false">W$18</f>
        <v>38</v>
      </c>
      <c r="X137" s="9" t="n">
        <f aca="false">SUMPRODUCT(K137:N137,T137:W137)/O137</f>
        <v>38.624778497461</v>
      </c>
      <c r="Y137" s="9" t="n">
        <f aca="false">$Y$18/1000*CURVES!K96+$Y$14</f>
        <v>76.6656327284946</v>
      </c>
      <c r="Z137" s="9" t="n">
        <f aca="false">(O137*X137+P137*Y137)/Q137</f>
        <v>56.2594909825018</v>
      </c>
      <c r="AA137" s="9" t="n">
        <f aca="false">CHOOSE(AA$18,CURVES!F96,CURVES!G96)</f>
        <v>45.458064516129</v>
      </c>
      <c r="AB137" s="9" t="n">
        <f aca="false">(Q137*Z137+R137*AA137)/H137</f>
        <v>50.7498969415397</v>
      </c>
      <c r="AD137" s="9"/>
      <c r="AH137" s="50" t="n">
        <f aca="false">AH125</f>
        <v>1913.83994918903</v>
      </c>
      <c r="AI137" s="50" t="n">
        <f aca="false">AI125</f>
        <v>0</v>
      </c>
      <c r="AJ137" s="50" t="n">
        <f aca="false">AJ125</f>
        <v>1075.38011608834</v>
      </c>
      <c r="AK137" s="50" t="n">
        <f aca="false">AK125</f>
        <v>576.385560502926</v>
      </c>
      <c r="AL137" s="50" t="n">
        <f aca="false">SUM(AH137:AK137)</f>
        <v>3565.6056257803</v>
      </c>
      <c r="AM137" s="50" t="n">
        <f aca="false">AM125</f>
        <v>2259.71325</v>
      </c>
      <c r="AN137" s="50" t="n">
        <f aca="false">AL137+AM137</f>
        <v>5825.3188757803</v>
      </c>
      <c r="AO137" s="8" t="n">
        <f aca="false">I137-AL137-AM137</f>
        <v>6158.9427619555</v>
      </c>
      <c r="AQ137" s="9" t="n">
        <f aca="false">$AQ$18</f>
        <v>43</v>
      </c>
      <c r="AR137" s="9"/>
      <c r="AS137" s="9" t="n">
        <f aca="false">AS$18</f>
        <v>30</v>
      </c>
      <c r="AT137" s="9" t="n">
        <f aca="false">AT$18</f>
        <v>38</v>
      </c>
      <c r="AU137" s="9" t="n">
        <f aca="false">SUMPRODUCT(AH137:AK137,AQ137:AT137)/AL137</f>
        <v>38.2709662589303</v>
      </c>
      <c r="AV137" s="9" t="n">
        <f aca="false">$Y$18/1000*CURVES!O96+$AV$14</f>
        <v>71.8126192880192</v>
      </c>
      <c r="AW137" s="9" t="n">
        <f aca="false">(AL137*AU137+AM137*AV137)/AN137</f>
        <v>51.2821883727724</v>
      </c>
      <c r="AX137" s="9" t="n">
        <f aca="false">CHOOSE(AX$18,CURVES!B96,CURVES!C96)</f>
        <v>43.5903225806452</v>
      </c>
      <c r="AY137" s="9" t="n">
        <f aca="false">(AN137*AW137+AO137*AX137)/I137</f>
        <v>47.3291904678213</v>
      </c>
    </row>
    <row r="138" customFormat="false" ht="12.75" hidden="false" customHeight="false" outlineLevel="0" collapsed="false">
      <c r="A138" s="85" t="n">
        <v>39753</v>
      </c>
      <c r="B138" s="31" t="n">
        <f aca="false">YEAR(A138)</f>
        <v>2008</v>
      </c>
      <c r="C138" s="31" t="n">
        <f aca="false">MONTH(A138)</f>
        <v>11</v>
      </c>
      <c r="D138" s="86" t="n">
        <v>0.058863249735853</v>
      </c>
      <c r="E138" s="87" t="n">
        <f aca="false">(1+D138/2)^(-2*(DATE($B139,$C139,20)-$E$17)/365.25)</f>
        <v>2.64505460294069</v>
      </c>
      <c r="F138" s="87"/>
      <c r="G138" s="8"/>
      <c r="H138" s="8" t="n">
        <f aca="false">(1+$I$17)*H126</f>
        <v>13658.0925970487</v>
      </c>
      <c r="I138" s="8" t="n">
        <f aca="false">(1+$I$17)*I126</f>
        <v>12166.1721900854</v>
      </c>
      <c r="K138" s="50" t="n">
        <f aca="false">K126</f>
        <v>2201.15833333333</v>
      </c>
      <c r="L138" s="50" t="n">
        <f aca="false">L126</f>
        <v>1270.02777777778</v>
      </c>
      <c r="M138" s="50" t="n">
        <f aca="false">M126</f>
        <v>241.311111111111</v>
      </c>
      <c r="N138" s="50" t="n">
        <f aca="false">N126</f>
        <v>3.11944444444444</v>
      </c>
      <c r="O138" s="50" t="n">
        <f aca="false">SUM(K138:N138)</f>
        <v>3715.61666666667</v>
      </c>
      <c r="P138" s="50" t="n">
        <f aca="false">P126</f>
        <v>3029.03315829808</v>
      </c>
      <c r="Q138" s="50" t="n">
        <f aca="false">O138+P138</f>
        <v>6744.64982496475</v>
      </c>
      <c r="R138" s="8" t="n">
        <f aca="false">H138-O138-P138</f>
        <v>6913.44277208394</v>
      </c>
      <c r="T138" s="9" t="n">
        <f aca="false">$T$18</f>
        <v>48.72</v>
      </c>
      <c r="U138" s="9" t="n">
        <f aca="false">U$18</f>
        <v>23</v>
      </c>
      <c r="V138" s="9" t="n">
        <f aca="false">V$18</f>
        <v>34</v>
      </c>
      <c r="W138" s="9" t="n">
        <f aca="false">W$18</f>
        <v>38</v>
      </c>
      <c r="X138" s="9" t="n">
        <f aca="false">SUMPRODUCT(K138:N138,T138:W138)/O138</f>
        <v>38.9637044247179</v>
      </c>
      <c r="Y138" s="9" t="n">
        <f aca="false">$Y$18/1000*CURVES!K97+$Y$14</f>
        <v>76.8756327284946</v>
      </c>
      <c r="Z138" s="9" t="n">
        <f aca="false">(O138*X138+P138*Y138)/Q138</f>
        <v>55.9900128183875</v>
      </c>
      <c r="AA138" s="9" t="n">
        <f aca="false">CHOOSE(AA$18,CURVES!F97,CURVES!G97)</f>
        <v>36.7133333333333</v>
      </c>
      <c r="AB138" s="9" t="n">
        <f aca="false">(Q138*Z138+R138*AA138)/H138</f>
        <v>46.2325580706781</v>
      </c>
      <c r="AD138" s="9"/>
      <c r="AH138" s="50" t="n">
        <f aca="false">AH126</f>
        <v>1838.78743628671</v>
      </c>
      <c r="AI138" s="50" t="n">
        <f aca="false">AI126</f>
        <v>0</v>
      </c>
      <c r="AJ138" s="50" t="n">
        <f aca="false">AJ126</f>
        <v>1347.87918472112</v>
      </c>
      <c r="AK138" s="50" t="n">
        <f aca="false">AK126</f>
        <v>499.439112514422</v>
      </c>
      <c r="AL138" s="50" t="n">
        <f aca="false">SUM(AH138:AK138)</f>
        <v>3686.10573352225</v>
      </c>
      <c r="AM138" s="50" t="n">
        <f aca="false">AM126</f>
        <v>2451.23764109589</v>
      </c>
      <c r="AN138" s="50" t="n">
        <f aca="false">AL138+AM138</f>
        <v>6137.34337461814</v>
      </c>
      <c r="AO138" s="8" t="n">
        <f aca="false">I138-AL138-AM138</f>
        <v>6028.82881546728</v>
      </c>
      <c r="AQ138" s="9" t="n">
        <f aca="false">$AQ$18</f>
        <v>43</v>
      </c>
      <c r="AR138" s="9"/>
      <c r="AS138" s="9" t="n">
        <f aca="false">AS$18</f>
        <v>30</v>
      </c>
      <c r="AT138" s="9" t="n">
        <f aca="false">AT$18</f>
        <v>38</v>
      </c>
      <c r="AU138" s="9" t="n">
        <f aca="false">SUMPRODUCT(AH138:AK138,AQ138:AT138)/AL138</f>
        <v>37.5688956282822</v>
      </c>
      <c r="AV138" s="9" t="n">
        <f aca="false">$Y$18/1000*CURVES!O97+$AV$14</f>
        <v>73.2826192880192</v>
      </c>
      <c r="AW138" s="9" t="n">
        <f aca="false">(AL138*AU138+AM138*AV138)/AN138</f>
        <v>51.8328561719419</v>
      </c>
      <c r="AX138" s="9" t="n">
        <f aca="false">CHOOSE(AX$18,CURVES!B97,CURVES!C97)</f>
        <v>41.34</v>
      </c>
      <c r="AY138" s="9" t="n">
        <f aca="false">(AN138*AW138+AO138*AX138)/I138</f>
        <v>46.6332229054072</v>
      </c>
    </row>
    <row r="139" customFormat="false" ht="12.75" hidden="false" customHeight="false" outlineLevel="0" collapsed="false">
      <c r="A139" s="85" t="n">
        <v>39783</v>
      </c>
      <c r="B139" s="31" t="n">
        <f aca="false">YEAR(A139)</f>
        <v>2008</v>
      </c>
      <c r="C139" s="31" t="n">
        <f aca="false">MONTH(A139)</f>
        <v>12</v>
      </c>
      <c r="D139" s="86" t="n">
        <v>0.058920373296692</v>
      </c>
      <c r="E139" s="87" t="n">
        <f aca="false">(1+D139/2)^(-2*(DATE($B140,$C140,20)-$E$17)/365.25)</f>
        <v>2.63450038418756</v>
      </c>
      <c r="F139" s="87"/>
      <c r="G139" s="8"/>
      <c r="H139" s="8" t="n">
        <f aca="false">(1+$I$17)*H127</f>
        <v>13559.7472749135</v>
      </c>
      <c r="I139" s="8" t="n">
        <f aca="false">(1+$I$17)*I127</f>
        <v>12138.5327660694</v>
      </c>
      <c r="K139" s="50" t="n">
        <f aca="false">K127</f>
        <v>2256.4126344086</v>
      </c>
      <c r="L139" s="50" t="n">
        <f aca="false">L127</f>
        <v>1157.21505376344</v>
      </c>
      <c r="M139" s="50" t="n">
        <f aca="false">M127</f>
        <v>239.860215053763</v>
      </c>
      <c r="N139" s="50" t="n">
        <f aca="false">N127</f>
        <v>2.96908602150538</v>
      </c>
      <c r="O139" s="50" t="n">
        <f aca="false">SUM(K139:N139)</f>
        <v>3656.45698924731</v>
      </c>
      <c r="P139" s="50" t="n">
        <f aca="false">P127</f>
        <v>2977.59684973097</v>
      </c>
      <c r="Q139" s="50" t="n">
        <f aca="false">O139+P139</f>
        <v>6634.05383897828</v>
      </c>
      <c r="R139" s="8" t="n">
        <f aca="false">H139-O139-P139</f>
        <v>6925.69343593519</v>
      </c>
      <c r="T139" s="9" t="n">
        <f aca="false">$T$18</f>
        <v>48.72</v>
      </c>
      <c r="U139" s="9" t="n">
        <f aca="false">U$18</f>
        <v>23</v>
      </c>
      <c r="V139" s="9" t="n">
        <f aca="false">V$18</f>
        <v>34</v>
      </c>
      <c r="W139" s="9" t="n">
        <f aca="false">W$18</f>
        <v>38</v>
      </c>
      <c r="X139" s="9" t="n">
        <f aca="false">SUMPRODUCT(K139:N139,T139:W139)/O139</f>
        <v>39.6056736867024</v>
      </c>
      <c r="Y139" s="9" t="n">
        <f aca="false">$Y$18/1000*CURVES!K98+$Y$14</f>
        <v>78.1881327284946</v>
      </c>
      <c r="Z139" s="9" t="n">
        <f aca="false">(O139*X139+P139*Y139)/Q139</f>
        <v>56.9228392217063</v>
      </c>
      <c r="AA139" s="9" t="n">
        <f aca="false">CHOOSE(AA$18,CURVES!F98,CURVES!G98)</f>
        <v>36.7344086021505</v>
      </c>
      <c r="AB139" s="9" t="n">
        <f aca="false">(Q139*Z139+R139*AA139)/H139</f>
        <v>46.6115200954003</v>
      </c>
      <c r="AD139" s="9"/>
      <c r="AH139" s="50" t="n">
        <f aca="false">AH127</f>
        <v>1921.09500453605</v>
      </c>
      <c r="AI139" s="50" t="n">
        <f aca="false">AI127</f>
        <v>0</v>
      </c>
      <c r="AJ139" s="50" t="n">
        <f aca="false">AJ127</f>
        <v>1326.47869273451</v>
      </c>
      <c r="AK139" s="50" t="n">
        <f aca="false">AK127</f>
        <v>519.619723134563</v>
      </c>
      <c r="AL139" s="50" t="n">
        <f aca="false">SUM(AH139:AK139)</f>
        <v>3767.19342040512</v>
      </c>
      <c r="AM139" s="50" t="n">
        <f aca="false">AM127</f>
        <v>2024.24791129032</v>
      </c>
      <c r="AN139" s="50" t="n">
        <f aca="false">AL139+AM139</f>
        <v>5791.44133169545</v>
      </c>
      <c r="AO139" s="8" t="n">
        <f aca="false">I139-AL139-AM139</f>
        <v>6347.091434374</v>
      </c>
      <c r="AQ139" s="9" t="n">
        <f aca="false">$AQ$18</f>
        <v>43</v>
      </c>
      <c r="AR139" s="9"/>
      <c r="AS139" s="9" t="n">
        <f aca="false">AS$18</f>
        <v>30</v>
      </c>
      <c r="AT139" s="9" t="n">
        <f aca="false">AT$18</f>
        <v>38</v>
      </c>
      <c r="AU139" s="9" t="n">
        <f aca="false">SUMPRODUCT(AH139:AK139,AQ139:AT139)/AL139</f>
        <v>37.7328635918334</v>
      </c>
      <c r="AV139" s="9" t="n">
        <f aca="false">$Y$18/1000*CURVES!O98+$AV$14</f>
        <v>74.5951192880192</v>
      </c>
      <c r="AW139" s="9" t="n">
        <f aca="false">(AL139*AU139+AM139*AV139)/AN139</f>
        <v>50.6171077419178</v>
      </c>
      <c r="AX139" s="9" t="n">
        <f aca="false">CHOOSE(AX$18,CURVES!B98,CURVES!C98)</f>
        <v>40.9193548387097</v>
      </c>
      <c r="AY139" s="9" t="n">
        <f aca="false">(AN139*AW139+AO139*AX139)/I139</f>
        <v>45.546270469337</v>
      </c>
    </row>
    <row r="140" customFormat="false" ht="12.75" hidden="false" customHeight="false" outlineLevel="0" collapsed="false">
      <c r="A140" s="85" t="n">
        <v>39814</v>
      </c>
      <c r="B140" s="31" t="n">
        <f aca="false">YEAR(A140)</f>
        <v>2009</v>
      </c>
      <c r="C140" s="31" t="n">
        <f aca="false">MONTH(A140)</f>
        <v>1</v>
      </c>
      <c r="D140" s="86" t="n">
        <v>0.058979400977367</v>
      </c>
      <c r="E140" s="87" t="n">
        <f aca="false">(1+D140/2)^(-2*(DATE($B141,$C141,20)-$E$17)/365.25)</f>
        <v>2.62404404527404</v>
      </c>
      <c r="F140" s="87"/>
      <c r="G140" s="8"/>
      <c r="H140" s="8" t="n">
        <f aca="false">(1+$I$17)*H128</f>
        <v>13808.8938783813</v>
      </c>
      <c r="I140" s="8" t="n">
        <f aca="false">(1+$I$17)*I128</f>
        <v>13127.0755754773</v>
      </c>
      <c r="K140" s="50" t="n">
        <f aca="false">K128</f>
        <v>2185.91801075269</v>
      </c>
      <c r="L140" s="50" t="n">
        <f aca="false">L128</f>
        <v>1282.33064516129</v>
      </c>
      <c r="M140" s="50" t="n">
        <f aca="false">M128</f>
        <v>142.852150537634</v>
      </c>
      <c r="N140" s="50" t="n">
        <f aca="false">N128</f>
        <v>3.16801075268817</v>
      </c>
      <c r="O140" s="50" t="n">
        <f aca="false">SUM(K140:N140)</f>
        <v>3614.2688172043</v>
      </c>
      <c r="P140" s="50" t="n">
        <f aca="false">P128</f>
        <v>2792.6655547379</v>
      </c>
      <c r="Q140" s="50" t="n">
        <f aca="false">O140+P140</f>
        <v>6406.9343719422</v>
      </c>
      <c r="R140" s="8" t="n">
        <f aca="false">H140-O140-P140</f>
        <v>7401.95950643907</v>
      </c>
      <c r="T140" s="9" t="n">
        <f aca="false">$T$18</f>
        <v>48.72</v>
      </c>
      <c r="U140" s="9" t="n">
        <f aca="false">U$18</f>
        <v>23</v>
      </c>
      <c r="V140" s="9" t="n">
        <f aca="false">V$18</f>
        <v>34</v>
      </c>
      <c r="W140" s="9" t="n">
        <f aca="false">W$18</f>
        <v>38</v>
      </c>
      <c r="X140" s="9" t="n">
        <f aca="false">SUMPRODUCT(K140:N140,T140:W140)/O140</f>
        <v>39.0034319468534</v>
      </c>
      <c r="Y140" s="9" t="n">
        <f aca="false">$Y$18/1000*CURVES!K99+$Y$14</f>
        <v>79.3851327284946</v>
      </c>
      <c r="Z140" s="9" t="n">
        <f aca="false">(O140*X140+P140*Y140)/Q140</f>
        <v>56.6050770188687</v>
      </c>
      <c r="AA140" s="9" t="n">
        <f aca="false">CHOOSE(AA$18,CURVES!F99,CURVES!G99)</f>
        <v>38.8569892473118</v>
      </c>
      <c r="AB140" s="9" t="n">
        <f aca="false">(Q140*Z140+R140*AA140)/H140</f>
        <v>47.0915976512374</v>
      </c>
      <c r="AD140" s="9"/>
      <c r="AH140" s="50" t="n">
        <f aca="false">AH128</f>
        <v>1826.05608785899</v>
      </c>
      <c r="AI140" s="50" t="n">
        <f aca="false">AI128</f>
        <v>0</v>
      </c>
      <c r="AJ140" s="50" t="n">
        <f aca="false">AJ128</f>
        <v>1744.08931864439</v>
      </c>
      <c r="AK140" s="50" t="n">
        <f aca="false">AK128</f>
        <v>538.872892801371</v>
      </c>
      <c r="AL140" s="50" t="n">
        <f aca="false">SUM(AH140:AK140)</f>
        <v>4109.01829930475</v>
      </c>
      <c r="AM140" s="50" t="n">
        <f aca="false">AM128</f>
        <v>2445.3687016129</v>
      </c>
      <c r="AN140" s="50" t="n">
        <f aca="false">AL140+AM140</f>
        <v>6554.38700091765</v>
      </c>
      <c r="AO140" s="8" t="n">
        <f aca="false">I140-AL140-AM140</f>
        <v>6572.6885745596</v>
      </c>
      <c r="AQ140" s="9" t="n">
        <f aca="false">$AQ$18</f>
        <v>43</v>
      </c>
      <c r="AR140" s="9"/>
      <c r="AS140" s="9" t="n">
        <f aca="false">AS$18</f>
        <v>30</v>
      </c>
      <c r="AT140" s="9" t="n">
        <f aca="false">AT$18</f>
        <v>38</v>
      </c>
      <c r="AU140" s="9" t="n">
        <f aca="false">SUMPRODUCT(AH140:AK140,AQ140:AT140)/AL140</f>
        <v>36.8263780400598</v>
      </c>
      <c r="AV140" s="9" t="n">
        <f aca="false">$Y$18/1000*CURVES!O99+$AV$14</f>
        <v>75.7921192880192</v>
      </c>
      <c r="AW140" s="9" t="n">
        <f aca="false">(AL140*AU140+AM140*AV140)/AN140</f>
        <v>51.364061589958</v>
      </c>
      <c r="AX140" s="9" t="n">
        <f aca="false">CHOOSE(AX$18,CURVES!B99,CURVES!C99)</f>
        <v>44.9096774193548</v>
      </c>
      <c r="AY140" s="9" t="n">
        <f aca="false">(AN140*AW140+AO140*AX140)/I140</f>
        <v>48.1323702014212</v>
      </c>
    </row>
    <row r="141" customFormat="false" ht="12.75" hidden="false" customHeight="false" outlineLevel="0" collapsed="false">
      <c r="A141" s="85" t="n">
        <v>39845</v>
      </c>
      <c r="B141" s="31" t="n">
        <f aca="false">YEAR(A141)</f>
        <v>2009</v>
      </c>
      <c r="C141" s="31" t="n">
        <f aca="false">MONTH(A141)</f>
        <v>2</v>
      </c>
      <c r="D141" s="86" t="n">
        <v>0.059038428659198</v>
      </c>
      <c r="E141" s="87" t="n">
        <f aca="false">(1+D141/2)^(-2*(DATE($B142,$C142,20)-$E$17)/365.25)</f>
        <v>2.61485302760332</v>
      </c>
      <c r="F141" s="87"/>
      <c r="G141" s="8"/>
      <c r="H141" s="8" t="n">
        <f aca="false">(1+$I$17)*H129</f>
        <v>13846.0370688079</v>
      </c>
      <c r="I141" s="8" t="n">
        <f aca="false">(1+$I$17)*I129</f>
        <v>13109.5802872271</v>
      </c>
      <c r="K141" s="50" t="n">
        <f aca="false">K129</f>
        <v>2261.87643678161</v>
      </c>
      <c r="L141" s="50" t="n">
        <f aca="false">L129</f>
        <v>1335.97988505747</v>
      </c>
      <c r="M141" s="50" t="n">
        <f aca="false">M129</f>
        <v>236.002873563218</v>
      </c>
      <c r="N141" s="50" t="n">
        <f aca="false">N129</f>
        <v>3.84913793103448</v>
      </c>
      <c r="O141" s="50" t="n">
        <f aca="false">SUM(K141:N141)</f>
        <v>3837.70833333333</v>
      </c>
      <c r="P141" s="50" t="n">
        <f aca="false">P129</f>
        <v>3011.77170136767</v>
      </c>
      <c r="Q141" s="50" t="n">
        <f aca="false">O141+P141</f>
        <v>6849.48003470101</v>
      </c>
      <c r="R141" s="8" t="n">
        <f aca="false">H141-O141-P141</f>
        <v>6996.55703410684</v>
      </c>
      <c r="T141" s="9" t="n">
        <f aca="false">$T$18</f>
        <v>48.72</v>
      </c>
      <c r="U141" s="9" t="n">
        <f aca="false">U$18</f>
        <v>23</v>
      </c>
      <c r="V141" s="9" t="n">
        <f aca="false">V$18</f>
        <v>34</v>
      </c>
      <c r="W141" s="9" t="n">
        <f aca="false">W$18</f>
        <v>38</v>
      </c>
      <c r="X141" s="9" t="n">
        <f aca="false">SUMPRODUCT(K141:N141,T141:W141)/O141</f>
        <v>38.8504048116</v>
      </c>
      <c r="Y141" s="9" t="n">
        <f aca="false">$Y$18/1000*CURVES!K100+$Y$14</f>
        <v>78.3771327284946</v>
      </c>
      <c r="Z141" s="9" t="n">
        <f aca="false">(O141*X141+P141*Y141)/Q141</f>
        <v>56.2306263736239</v>
      </c>
      <c r="AA141" s="9" t="n">
        <f aca="false">CHOOSE(AA$18,CURVES!F100,CURVES!G100)</f>
        <v>38.1965443248856</v>
      </c>
      <c r="AB141" s="9" t="n">
        <f aca="false">(Q141*Z141+R141*AA141)/H141</f>
        <v>47.1178034781827</v>
      </c>
      <c r="AD141" s="9"/>
      <c r="AH141" s="50" t="n">
        <f aca="false">AH129</f>
        <v>1925.74685025101</v>
      </c>
      <c r="AI141" s="50" t="n">
        <f aca="false">AI129</f>
        <v>0</v>
      </c>
      <c r="AJ141" s="50" t="n">
        <f aca="false">AJ129</f>
        <v>2201.92738718254</v>
      </c>
      <c r="AK141" s="50" t="n">
        <f aca="false">AK129</f>
        <v>548.475477754164</v>
      </c>
      <c r="AL141" s="50" t="n">
        <f aca="false">SUM(AH141:AK141)</f>
        <v>4676.14971518771</v>
      </c>
      <c r="AM141" s="50" t="n">
        <f aca="false">AM129</f>
        <v>2161.54564434524</v>
      </c>
      <c r="AN141" s="50" t="n">
        <f aca="false">AL141+AM141</f>
        <v>6837.69535953295</v>
      </c>
      <c r="AO141" s="8" t="n">
        <f aca="false">I141-AL141-AM141</f>
        <v>6271.88492769413</v>
      </c>
      <c r="AQ141" s="9" t="n">
        <f aca="false">$AQ$18</f>
        <v>43</v>
      </c>
      <c r="AR141" s="9"/>
      <c r="AS141" s="9" t="n">
        <f aca="false">AS$18</f>
        <v>30</v>
      </c>
      <c r="AT141" s="9" t="n">
        <f aca="false">AT$18</f>
        <v>38</v>
      </c>
      <c r="AU141" s="9" t="n">
        <f aca="false">SUMPRODUCT(AH141:AK141,AQ141:AT141)/AL141</f>
        <v>36.2920382509856</v>
      </c>
      <c r="AV141" s="9" t="n">
        <f aca="false">$Y$18/1000*CURVES!O100+$AV$14</f>
        <v>74.7841192880192</v>
      </c>
      <c r="AW141" s="9" t="n">
        <f aca="false">(AL141*AU141+AM141*AV141)/AN141</f>
        <v>48.4602302707405</v>
      </c>
      <c r="AX141" s="9" t="n">
        <f aca="false">CHOOSE(AX$18,CURVES!B100,CURVES!C100)</f>
        <v>43.5928571428571</v>
      </c>
      <c r="AY141" s="9" t="n">
        <f aca="false">(AN141*AW141+AO141*AX141)/I141</f>
        <v>46.1315817946349</v>
      </c>
    </row>
    <row r="142" customFormat="false" ht="12.75" hidden="false" customHeight="false" outlineLevel="0" collapsed="false">
      <c r="A142" s="85" t="n">
        <v>39873</v>
      </c>
      <c r="B142" s="31" t="n">
        <f aca="false">YEAR(A142)</f>
        <v>2009</v>
      </c>
      <c r="C142" s="31" t="n">
        <f aca="false">MONTH(A142)</f>
        <v>3</v>
      </c>
      <c r="D142" s="86" t="n">
        <v>0.05909174398572</v>
      </c>
      <c r="E142" s="87" t="n">
        <f aca="false">(1+D142/2)^(-2*(DATE($B143,$C143,20)-$E$17)/365.25)</f>
        <v>2.6041875711579</v>
      </c>
      <c r="F142" s="87"/>
      <c r="G142" s="8"/>
      <c r="H142" s="8" t="n">
        <f aca="false">(1+$I$17)*H130</f>
        <v>13765.8800969486</v>
      </c>
      <c r="I142" s="8" t="n">
        <f aca="false">(1+$I$17)*I130</f>
        <v>12815.2744838799</v>
      </c>
      <c r="K142" s="50" t="n">
        <f aca="false">K130</f>
        <v>2263.94623655914</v>
      </c>
      <c r="L142" s="50" t="n">
        <f aca="false">L130</f>
        <v>1258.63037634409</v>
      </c>
      <c r="M142" s="50" t="n">
        <f aca="false">M130</f>
        <v>620.646505376344</v>
      </c>
      <c r="N142" s="50" t="n">
        <f aca="false">N130</f>
        <v>2.58198924731183</v>
      </c>
      <c r="O142" s="50" t="n">
        <f aca="false">SUM(K142:N142)</f>
        <v>4145.80510752688</v>
      </c>
      <c r="P142" s="50" t="n">
        <f aca="false">P130</f>
        <v>2834.39732902856</v>
      </c>
      <c r="Q142" s="50" t="n">
        <f aca="false">O142+P142</f>
        <v>6980.20243655544</v>
      </c>
      <c r="R142" s="8" t="n">
        <f aca="false">H142-O142-P142</f>
        <v>6785.67766039317</v>
      </c>
      <c r="T142" s="9" t="n">
        <f aca="false">$T$18</f>
        <v>48.72</v>
      </c>
      <c r="U142" s="9" t="n">
        <f aca="false">U$18</f>
        <v>23</v>
      </c>
      <c r="V142" s="9" t="n">
        <f aca="false">V$18</f>
        <v>34</v>
      </c>
      <c r="W142" s="9" t="n">
        <f aca="false">W$18</f>
        <v>38</v>
      </c>
      <c r="X142" s="9" t="n">
        <f aca="false">SUMPRODUCT(K142:N142,T142:W142)/O142</f>
        <v>38.7013021388701</v>
      </c>
      <c r="Y142" s="9" t="n">
        <f aca="false">$Y$18/1000*CURVES!K101+$Y$14</f>
        <v>76.8021327284946</v>
      </c>
      <c r="Z142" s="9" t="n">
        <f aca="false">(O142*X142+P142*Y142)/Q142</f>
        <v>54.1726145311069</v>
      </c>
      <c r="AA142" s="9" t="n">
        <f aca="false">CHOOSE(AA$18,CURVES!F101,CURVES!G101)</f>
        <v>37.6181240168235</v>
      </c>
      <c r="AB142" s="9" t="n">
        <f aca="false">(Q142*Z142+R142*AA142)/H142</f>
        <v>46.0123345002745</v>
      </c>
      <c r="AD142" s="9"/>
      <c r="AH142" s="50" t="n">
        <f aca="false">AH130</f>
        <v>1891.23873243112</v>
      </c>
      <c r="AI142" s="50" t="n">
        <f aca="false">AI130</f>
        <v>0</v>
      </c>
      <c r="AJ142" s="50" t="n">
        <f aca="false">AJ130</f>
        <v>1966.55049263563</v>
      </c>
      <c r="AK142" s="50" t="n">
        <f aca="false">AK130</f>
        <v>526.073305014923</v>
      </c>
      <c r="AL142" s="50" t="n">
        <f aca="false">SUM(AH142:AK142)</f>
        <v>4383.86253008167</v>
      </c>
      <c r="AM142" s="50" t="n">
        <f aca="false">AM130</f>
        <v>2044.22227284946</v>
      </c>
      <c r="AN142" s="50" t="n">
        <f aca="false">AL142+AM142</f>
        <v>6428.08480293113</v>
      </c>
      <c r="AO142" s="8" t="n">
        <f aca="false">I142-AL142-AM142</f>
        <v>6387.18968094881</v>
      </c>
      <c r="AQ142" s="9" t="n">
        <f aca="false">$AQ$18</f>
        <v>43</v>
      </c>
      <c r="AR142" s="9"/>
      <c r="AS142" s="9" t="n">
        <f aca="false">AS$18</f>
        <v>30</v>
      </c>
      <c r="AT142" s="9" t="n">
        <f aca="false">AT$18</f>
        <v>38</v>
      </c>
      <c r="AU142" s="9" t="n">
        <f aca="false">SUMPRODUCT(AH142:AK142,AQ142:AT142)/AL142</f>
        <v>36.5683377989472</v>
      </c>
      <c r="AV142" s="9" t="n">
        <f aca="false">$Y$18/1000*CURVES!O101+$AV$14</f>
        <v>73.2091192880192</v>
      </c>
      <c r="AW142" s="9" t="n">
        <f aca="false">(AL142*AU142+AM142*AV142)/AN142</f>
        <v>48.2206267638372</v>
      </c>
      <c r="AX142" s="9" t="n">
        <f aca="false">CHOOSE(AX$18,CURVES!B101,CURVES!C101)</f>
        <v>41.3801075268817</v>
      </c>
      <c r="AY142" s="9" t="n">
        <f aca="false">(AN142*AW142+AO142*AX142)/I142</f>
        <v>44.8112816157818</v>
      </c>
    </row>
    <row r="143" customFormat="false" ht="12.75" hidden="false" customHeight="false" outlineLevel="0" collapsed="false">
      <c r="A143" s="85" t="n">
        <v>39904</v>
      </c>
      <c r="B143" s="31" t="n">
        <f aca="false">YEAR(A143)</f>
        <v>2009</v>
      </c>
      <c r="C143" s="31" t="n">
        <f aca="false">MONTH(A143)</f>
        <v>4</v>
      </c>
      <c r="D143" s="86" t="n">
        <v>0.059150771669757</v>
      </c>
      <c r="E143" s="87" t="n">
        <f aca="false">(1+D143/2)^(-2*(DATE($B144,$C144,20)-$E$17)/365.25)</f>
        <v>2.59419204306178</v>
      </c>
      <c r="F143" s="87"/>
      <c r="G143" s="8"/>
      <c r="H143" s="8" t="n">
        <f aca="false">(1+$I$17)*H131</f>
        <v>13826.9636120176</v>
      </c>
      <c r="I143" s="8" t="n">
        <f aca="false">(1+$I$17)*I131</f>
        <v>12519.2006583952</v>
      </c>
      <c r="K143" s="50" t="n">
        <f aca="false">K131</f>
        <v>2319.84027777778</v>
      </c>
      <c r="L143" s="50" t="n">
        <f aca="false">L131</f>
        <v>1179.16597222222</v>
      </c>
      <c r="M143" s="50" t="n">
        <f aca="false">M131</f>
        <v>811.586111111111</v>
      </c>
      <c r="N143" s="50" t="n">
        <f aca="false">N131</f>
        <v>3.04166666666667</v>
      </c>
      <c r="O143" s="50" t="n">
        <f aca="false">SUM(K143:N143)</f>
        <v>4313.63402777778</v>
      </c>
      <c r="P143" s="50" t="n">
        <f aca="false">P131</f>
        <v>2923.39459068154</v>
      </c>
      <c r="Q143" s="50" t="n">
        <f aca="false">O143+P143</f>
        <v>7237.02861845932</v>
      </c>
      <c r="R143" s="8" t="n">
        <f aca="false">H143-O143-P143</f>
        <v>6589.93499355825</v>
      </c>
      <c r="T143" s="9" t="n">
        <f aca="false">$T$18</f>
        <v>48.72</v>
      </c>
      <c r="U143" s="9" t="n">
        <f aca="false">U$18</f>
        <v>23</v>
      </c>
      <c r="V143" s="9" t="n">
        <f aca="false">V$18</f>
        <v>34</v>
      </c>
      <c r="W143" s="9" t="n">
        <f aca="false">W$18</f>
        <v>38</v>
      </c>
      <c r="X143" s="9" t="n">
        <f aca="false">SUMPRODUCT(K143:N143,T143:W143)/O143</f>
        <v>38.9121899828918</v>
      </c>
      <c r="Y143" s="9" t="n">
        <f aca="false">$Y$18/1000*CURVES!K102+$Y$14</f>
        <v>76.1406327284946</v>
      </c>
      <c r="Z143" s="9" t="n">
        <f aca="false">(O143*X143+P143*Y143)/Q143</f>
        <v>53.950603381506</v>
      </c>
      <c r="AA143" s="9" t="n">
        <f aca="false">CHOOSE(AA$18,CURVES!F102,CURVES!G102)</f>
        <v>37.2133333333333</v>
      </c>
      <c r="AB143" s="9" t="n">
        <f aca="false">(Q143*Z143+R143*AA143)/H143</f>
        <v>45.9736154699139</v>
      </c>
      <c r="AD143" s="9"/>
      <c r="AH143" s="50" t="n">
        <f aca="false">AH131</f>
        <v>1937.93108490741</v>
      </c>
      <c r="AI143" s="50" t="n">
        <f aca="false">AI131</f>
        <v>0</v>
      </c>
      <c r="AJ143" s="50" t="n">
        <f aca="false">AJ131</f>
        <v>2070.95002093926</v>
      </c>
      <c r="AK143" s="50" t="n">
        <f aca="false">AK131</f>
        <v>513.919329218532</v>
      </c>
      <c r="AL143" s="50" t="n">
        <f aca="false">SUM(AH143:AK143)</f>
        <v>4522.8004350652</v>
      </c>
      <c r="AM143" s="50" t="n">
        <f aca="false">AM131</f>
        <v>2152.99685890411</v>
      </c>
      <c r="AN143" s="50" t="n">
        <f aca="false">AL143+AM143</f>
        <v>6675.79729396931</v>
      </c>
      <c r="AO143" s="8" t="n">
        <f aca="false">I143-AL143-AM143</f>
        <v>5843.40336442587</v>
      </c>
      <c r="AQ143" s="9" t="n">
        <f aca="false">$AQ$18</f>
        <v>43</v>
      </c>
      <c r="AR143" s="9"/>
      <c r="AS143" s="9" t="n">
        <f aca="false">AS$18</f>
        <v>30</v>
      </c>
      <c r="AT143" s="9" t="n">
        <f aca="false">AT$18</f>
        <v>38</v>
      </c>
      <c r="AU143" s="9" t="n">
        <f aca="false">SUMPRODUCT(AH143:AK143,AQ143:AT143)/AL143</f>
        <v>36.4792729987261</v>
      </c>
      <c r="AV143" s="9" t="n">
        <f aca="false">$Y$18/1000*CURVES!O102+$AV$14</f>
        <v>71.2876192880192</v>
      </c>
      <c r="AW143" s="9" t="n">
        <f aca="false">(AL143*AU143+AM143*AV143)/AN143</f>
        <v>47.7052370183638</v>
      </c>
      <c r="AX143" s="9" t="n">
        <f aca="false">CHOOSE(AX$18,CURVES!B102,CURVES!C102)</f>
        <v>39.7088888888889</v>
      </c>
      <c r="AY143" s="9" t="n">
        <f aca="false">(AN143*AW143+AO143*AX143)/I143</f>
        <v>43.9728990809924</v>
      </c>
    </row>
    <row r="144" customFormat="false" ht="12.75" hidden="false" customHeight="false" outlineLevel="0" collapsed="false">
      <c r="A144" s="85" t="n">
        <v>39934</v>
      </c>
      <c r="B144" s="31" t="n">
        <f aca="false">YEAR(A144)</f>
        <v>2009</v>
      </c>
      <c r="C144" s="31" t="n">
        <f aca="false">MONTH(A144)</f>
        <v>5</v>
      </c>
      <c r="D144" s="86" t="n">
        <v>0.059207895236056</v>
      </c>
      <c r="E144" s="87" t="n">
        <f aca="false">(1+D144/2)^(-2*(DATE($B145,$C145,20)-$E$17)/365.25)</f>
        <v>2.58371993158874</v>
      </c>
      <c r="F144" s="87"/>
      <c r="G144" s="8"/>
      <c r="H144" s="8" t="n">
        <f aca="false">(1+$I$17)*H132</f>
        <v>14610.9362466596</v>
      </c>
      <c r="I144" s="8" t="n">
        <f aca="false">(1+$I$17)*I132</f>
        <v>13636.7676587421</v>
      </c>
      <c r="K144" s="50" t="n">
        <f aca="false">K132</f>
        <v>2226.06720430108</v>
      </c>
      <c r="L144" s="50" t="n">
        <f aca="false">L132</f>
        <v>1023.62634408602</v>
      </c>
      <c r="M144" s="50" t="n">
        <f aca="false">M132</f>
        <v>950.165322580645</v>
      </c>
      <c r="N144" s="50" t="n">
        <f aca="false">N132</f>
        <v>3.30510752688172</v>
      </c>
      <c r="O144" s="50" t="n">
        <f aca="false">SUM(K144:N144)</f>
        <v>4203.16397849462</v>
      </c>
      <c r="P144" s="50" t="n">
        <f aca="false">P132</f>
        <v>2831.51050210493</v>
      </c>
      <c r="Q144" s="50" t="n">
        <f aca="false">O144+P144</f>
        <v>7034.67448059955</v>
      </c>
      <c r="R144" s="8" t="n">
        <f aca="false">H144-O144-P144</f>
        <v>7576.26176606001</v>
      </c>
      <c r="T144" s="9" t="n">
        <f aca="false">$T$18</f>
        <v>48.72</v>
      </c>
      <c r="U144" s="9" t="n">
        <f aca="false">U$18</f>
        <v>23</v>
      </c>
      <c r="V144" s="9" t="n">
        <f aca="false">V$18</f>
        <v>34</v>
      </c>
      <c r="W144" s="9" t="n">
        <f aca="false">W$18</f>
        <v>38</v>
      </c>
      <c r="X144" s="9" t="n">
        <f aca="false">SUMPRODUCT(K144:N144,T144:W144)/O144</f>
        <v>39.1201999261949</v>
      </c>
      <c r="Y144" s="9" t="n">
        <f aca="false">$Y$18/1000*CURVES!K103+$Y$14</f>
        <v>75.8781327284946</v>
      </c>
      <c r="Z144" s="9" t="n">
        <f aca="false">(O144*X144+P144*Y144)/Q144</f>
        <v>53.9155501662686</v>
      </c>
      <c r="AA144" s="9" t="n">
        <f aca="false">CHOOSE(AA$18,CURVES!F103,CURVES!G103)</f>
        <v>35.9830188722534</v>
      </c>
      <c r="AB144" s="9" t="n">
        <f aca="false">(Q144*Z144+R144*AA144)/H144</f>
        <v>44.6169296728294</v>
      </c>
      <c r="AD144" s="9"/>
      <c r="AH144" s="50" t="n">
        <f aca="false">AH132</f>
        <v>1895.25910320262</v>
      </c>
      <c r="AI144" s="50" t="n">
        <f aca="false">AI132</f>
        <v>0</v>
      </c>
      <c r="AJ144" s="50" t="n">
        <f aca="false">AJ132</f>
        <v>1877.63033247346</v>
      </c>
      <c r="AK144" s="50" t="n">
        <f aca="false">AK132</f>
        <v>570.53181663935</v>
      </c>
      <c r="AL144" s="50" t="n">
        <f aca="false">SUM(AH144:AK144)</f>
        <v>4343.42125231544</v>
      </c>
      <c r="AM144" s="50" t="n">
        <f aca="false">AM132</f>
        <v>2186.84183198925</v>
      </c>
      <c r="AN144" s="50" t="n">
        <f aca="false">AL144+AM144</f>
        <v>6530.26308430469</v>
      </c>
      <c r="AO144" s="8" t="n">
        <f aca="false">I144-AL144-AM144</f>
        <v>7106.50457443737</v>
      </c>
      <c r="AQ144" s="9" t="n">
        <f aca="false">$AQ$18</f>
        <v>43</v>
      </c>
      <c r="AR144" s="9"/>
      <c r="AS144" s="9" t="n">
        <f aca="false">AS$18</f>
        <v>30</v>
      </c>
      <c r="AT144" s="9" t="n">
        <f aca="false">AT$18</f>
        <v>38</v>
      </c>
      <c r="AU144" s="9" t="n">
        <f aca="false">SUMPRODUCT(AH144:AK144,AQ144:AT144)/AL144</f>
        <v>36.7234148332219</v>
      </c>
      <c r="AV144" s="9" t="n">
        <f aca="false">$Y$18/1000*CURVES!O103+$AV$14</f>
        <v>71.0251192880192</v>
      </c>
      <c r="AW144" s="9" t="n">
        <f aca="false">(AL144*AU144+AM144*AV144)/AN144</f>
        <v>48.2103030706304</v>
      </c>
      <c r="AX144" s="9" t="n">
        <f aca="false">CHOOSE(AX$18,CURVES!B103,CURVES!C103)</f>
        <v>39.2295698924731</v>
      </c>
      <c r="AY144" s="9" t="n">
        <f aca="false">(AN144*AW144+AO144*AX144)/I144</f>
        <v>43.5301894975681</v>
      </c>
    </row>
    <row r="145" customFormat="false" ht="12.75" hidden="false" customHeight="false" outlineLevel="0" collapsed="false">
      <c r="A145" s="85" t="n">
        <v>39965</v>
      </c>
      <c r="B145" s="31" t="n">
        <f aca="false">YEAR(A145)</f>
        <v>2009</v>
      </c>
      <c r="C145" s="31" t="n">
        <f aca="false">MONTH(A145)</f>
        <v>6</v>
      </c>
      <c r="D145" s="86" t="n">
        <v>0.059266922922372</v>
      </c>
      <c r="E145" s="87" t="n">
        <f aca="false">(1+D145/2)^(-2*(DATE($B146,$C146,20)-$E$17)/365.25)</f>
        <v>2.57375433573772</v>
      </c>
      <c r="F145" s="87"/>
      <c r="G145" s="8"/>
      <c r="H145" s="8" t="n">
        <f aca="false">(1+$I$17)*H133</f>
        <v>16146.8668919217</v>
      </c>
      <c r="I145" s="8" t="n">
        <f aca="false">(1+$I$17)*I133</f>
        <v>15377.1782637361</v>
      </c>
      <c r="K145" s="50" t="n">
        <f aca="false">K133</f>
        <v>2252.13333333333</v>
      </c>
      <c r="L145" s="50" t="n">
        <f aca="false">L133</f>
        <v>1398.39166666667</v>
      </c>
      <c r="M145" s="50" t="n">
        <f aca="false">M133</f>
        <v>957.040277777778</v>
      </c>
      <c r="N145" s="50" t="n">
        <f aca="false">N133</f>
        <v>3.52638888888889</v>
      </c>
      <c r="O145" s="50" t="n">
        <f aca="false">SUM(K145:N145)</f>
        <v>4611.09166666667</v>
      </c>
      <c r="P145" s="50" t="n">
        <f aca="false">P133</f>
        <v>3175.74117813466</v>
      </c>
      <c r="Q145" s="50" t="n">
        <f aca="false">O145+P145</f>
        <v>7786.83284480132</v>
      </c>
      <c r="R145" s="8" t="n">
        <f aca="false">H145-O145-P145</f>
        <v>8360.03404712034</v>
      </c>
      <c r="T145" s="9" t="n">
        <f aca="false">$T$18</f>
        <v>48.72</v>
      </c>
      <c r="U145" s="9" t="n">
        <f aca="false">U$18</f>
        <v>23</v>
      </c>
      <c r="V145" s="9" t="n">
        <f aca="false">V$18</f>
        <v>34</v>
      </c>
      <c r="W145" s="9" t="n">
        <f aca="false">W$18</f>
        <v>38</v>
      </c>
      <c r="X145" s="9" t="n">
        <f aca="false">SUMPRODUCT(K145:N145,T145:W145)/O145</f>
        <v>37.8566138290945</v>
      </c>
      <c r="Y145" s="9" t="n">
        <f aca="false">$Y$18/1000*CURVES!K104+$Y$14</f>
        <v>76.1826327284946</v>
      </c>
      <c r="Z145" s="9" t="n">
        <f aca="false">(O145*X145+P145*Y145)/Q145</f>
        <v>53.4872969115047</v>
      </c>
      <c r="AA145" s="9" t="n">
        <f aca="false">CHOOSE(AA$18,CURVES!F104,CURVES!G104)</f>
        <v>47.4224620591595</v>
      </c>
      <c r="AB145" s="9" t="n">
        <f aca="false">(Q145*Z145+R145*AA145)/H145</f>
        <v>50.3472310278171</v>
      </c>
      <c r="AD145" s="9"/>
      <c r="AH145" s="50" t="n">
        <f aca="false">AH133</f>
        <v>1881.37055634004</v>
      </c>
      <c r="AI145" s="50" t="n">
        <f aca="false">AI133</f>
        <v>0</v>
      </c>
      <c r="AJ145" s="50" t="n">
        <f aca="false">AJ133</f>
        <v>1162.16168617347</v>
      </c>
      <c r="AK145" s="50" t="n">
        <f aca="false">AK133</f>
        <v>631.240712103584</v>
      </c>
      <c r="AL145" s="50" t="n">
        <f aca="false">SUM(AH145:AK145)</f>
        <v>3674.77295461709</v>
      </c>
      <c r="AM145" s="50" t="n">
        <f aca="false">AM133</f>
        <v>2754.04614109589</v>
      </c>
      <c r="AN145" s="50" t="n">
        <f aca="false">AL145+AM145</f>
        <v>6428.81909571298</v>
      </c>
      <c r="AO145" s="8" t="n">
        <f aca="false">I145-AL145-AM145</f>
        <v>8948.35916802308</v>
      </c>
      <c r="AQ145" s="9" t="n">
        <f aca="false">$AQ$18</f>
        <v>43</v>
      </c>
      <c r="AR145" s="9"/>
      <c r="AS145" s="9" t="n">
        <f aca="false">AS$18</f>
        <v>30</v>
      </c>
      <c r="AT145" s="9" t="n">
        <f aca="false">AT$18</f>
        <v>38</v>
      </c>
      <c r="AU145" s="9" t="n">
        <f aca="false">SUMPRODUCT(AH145:AK145,AQ145:AT145)/AL145</f>
        <v>38.0298138942638</v>
      </c>
      <c r="AV145" s="9" t="n">
        <f aca="false">$Y$18/1000*CURVES!O104+$AV$14</f>
        <v>71.3296192880192</v>
      </c>
      <c r="AW145" s="9" t="n">
        <f aca="false">(AL145*AU145+AM145*AV145)/AN145</f>
        <v>52.2951399484799</v>
      </c>
      <c r="AX145" s="9" t="n">
        <f aca="false">CHOOSE(AX$18,CURVES!B104,CURVES!C104)</f>
        <v>44.92</v>
      </c>
      <c r="AY145" s="9" t="n">
        <f aca="false">(AN145*AW145+AO145*AX145)/I145</f>
        <v>48.0033641726166</v>
      </c>
    </row>
    <row r="146" customFormat="false" ht="12.75" hidden="false" customHeight="false" outlineLevel="0" collapsed="false">
      <c r="A146" s="85" t="n">
        <v>39995</v>
      </c>
      <c r="B146" s="31" t="n">
        <f aca="false">YEAR(A146)</f>
        <v>2009</v>
      </c>
      <c r="C146" s="31" t="n">
        <f aca="false">MONTH(A146)</f>
        <v>7</v>
      </c>
      <c r="D146" s="86" t="n">
        <v>0.059324046490877</v>
      </c>
      <c r="E146" s="87" t="n">
        <f aca="false">(1+D146/2)^(-2*(DATE($B147,$C147,20)-$E$17)/365.25)</f>
        <v>2.56331630212934</v>
      </c>
      <c r="F146" s="87"/>
      <c r="G146" s="8"/>
      <c r="H146" s="8" t="n">
        <f aca="false">(1+$I$17)*H134</f>
        <v>15936.8390328601</v>
      </c>
      <c r="I146" s="8" t="n">
        <f aca="false">(1+$I$17)*I134</f>
        <v>14597.4128154118</v>
      </c>
      <c r="K146" s="50" t="n">
        <f aca="false">K134</f>
        <v>2248.45698924731</v>
      </c>
      <c r="L146" s="50" t="n">
        <f aca="false">L134</f>
        <v>1358.32258064516</v>
      </c>
      <c r="M146" s="50" t="n">
        <f aca="false">M134</f>
        <v>653.551075268817</v>
      </c>
      <c r="N146" s="50" t="n">
        <f aca="false">N134</f>
        <v>3.83736559139785</v>
      </c>
      <c r="O146" s="50" t="n">
        <f aca="false">SUM(K146:N146)</f>
        <v>4264.16801075269</v>
      </c>
      <c r="P146" s="50" t="n">
        <f aca="false">P134</f>
        <v>3349.38956238808</v>
      </c>
      <c r="Q146" s="50" t="n">
        <f aca="false">O146+P146</f>
        <v>7613.55757314076</v>
      </c>
      <c r="R146" s="8" t="n">
        <f aca="false">H146-O146-P146</f>
        <v>8323.2814597193</v>
      </c>
      <c r="T146" s="9" t="n">
        <f aca="false">$T$18</f>
        <v>48.72</v>
      </c>
      <c r="U146" s="9" t="n">
        <f aca="false">U$18</f>
        <v>23</v>
      </c>
      <c r="V146" s="9" t="n">
        <f aca="false">V$18</f>
        <v>34</v>
      </c>
      <c r="W146" s="9" t="n">
        <f aca="false">W$18</f>
        <v>38</v>
      </c>
      <c r="X146" s="9" t="n">
        <f aca="false">SUMPRODUCT(K146:N146,T146:W146)/O146</f>
        <v>38.2613442789234</v>
      </c>
      <c r="Y146" s="9" t="n">
        <f aca="false">$Y$18/1000*CURVES!K105+$Y$14</f>
        <v>76.4976327284946</v>
      </c>
      <c r="Z146" s="9" t="n">
        <f aca="false">(O146*X146+P146*Y146)/Q146</f>
        <v>55.0824196050305</v>
      </c>
      <c r="AA146" s="9" t="n">
        <f aca="false">CHOOSE(AA$18,CURVES!F105,CURVES!G105)</f>
        <v>59.1268817204301</v>
      </c>
      <c r="AB146" s="9" t="n">
        <f aca="false">(Q146*Z146+R146*AA146)/H146</f>
        <v>57.194707773985</v>
      </c>
      <c r="AD146" s="9"/>
      <c r="AH146" s="50" t="n">
        <f aca="false">AH134</f>
        <v>1914.32162011861</v>
      </c>
      <c r="AI146" s="50" t="n">
        <f aca="false">AI134</f>
        <v>0</v>
      </c>
      <c r="AJ146" s="50" t="n">
        <f aca="false">AJ134</f>
        <v>1193.33197430598</v>
      </c>
      <c r="AK146" s="50" t="n">
        <f aca="false">AK134</f>
        <v>610.723058442111</v>
      </c>
      <c r="AL146" s="50" t="n">
        <f aca="false">SUM(AH146:AK146)</f>
        <v>3718.37665286669</v>
      </c>
      <c r="AM146" s="50" t="n">
        <f aca="false">AM134</f>
        <v>2586.73186021505</v>
      </c>
      <c r="AN146" s="50" t="n">
        <f aca="false">AL146+AM146</f>
        <v>6305.10851308175</v>
      </c>
      <c r="AO146" s="8" t="n">
        <f aca="false">I146-AL146-AM146</f>
        <v>8292.30430233002</v>
      </c>
      <c r="AQ146" s="9" t="n">
        <f aca="false">$AQ$18</f>
        <v>43</v>
      </c>
      <c r="AR146" s="9"/>
      <c r="AS146" s="9" t="n">
        <f aca="false">AS$18</f>
        <v>30</v>
      </c>
      <c r="AT146" s="9" t="n">
        <f aca="false">AT$18</f>
        <v>38</v>
      </c>
      <c r="AU146" s="9" t="n">
        <f aca="false">SUMPRODUCT(AH146:AK146,AQ146:AT146)/AL146</f>
        <v>38.0067105375476</v>
      </c>
      <c r="AV146" s="9" t="n">
        <f aca="false">$Y$18/1000*CURVES!O105+$AV$14</f>
        <v>71.6446192880192</v>
      </c>
      <c r="AW146" s="9" t="n">
        <f aca="false">(AL146*AU146+AM146*AV146)/AN146</f>
        <v>51.8069885336074</v>
      </c>
      <c r="AX146" s="9" t="n">
        <f aca="false">CHOOSE(AX$18,CURVES!B105,CURVES!C105)</f>
        <v>56.8913978494624</v>
      </c>
      <c r="AY146" s="9" t="n">
        <f aca="false">(AN146*AW146+AO146*AX146)/I146</f>
        <v>54.6952722163267</v>
      </c>
    </row>
    <row r="147" customFormat="false" ht="12.75" hidden="false" customHeight="false" outlineLevel="0" collapsed="false">
      <c r="A147" s="85" t="n">
        <v>40026</v>
      </c>
      <c r="B147" s="31" t="n">
        <f aca="false">YEAR(A147)</f>
        <v>2009</v>
      </c>
      <c r="C147" s="31" t="n">
        <f aca="false">MONTH(A147)</f>
        <v>8</v>
      </c>
      <c r="D147" s="86" t="n">
        <v>0.059383074179471</v>
      </c>
      <c r="E147" s="87" t="n">
        <f aca="false">(1+D147/2)^(-2*(DATE($B148,$C148,20)-$E$17)/365.25)</f>
        <v>2.55297210848226</v>
      </c>
      <c r="F147" s="87"/>
      <c r="G147" s="8"/>
      <c r="H147" s="8" t="n">
        <f aca="false">(1+$I$17)*H135</f>
        <v>17090.217268136</v>
      </c>
      <c r="I147" s="8" t="n">
        <f aca="false">(1+$I$17)*I135</f>
        <v>15139.9324941067</v>
      </c>
      <c r="K147" s="50" t="n">
        <f aca="false">K135</f>
        <v>2226.06586021505</v>
      </c>
      <c r="L147" s="50" t="n">
        <f aca="false">L135</f>
        <v>1361.98924731183</v>
      </c>
      <c r="M147" s="50" t="n">
        <f aca="false">M135</f>
        <v>483.364247311828</v>
      </c>
      <c r="N147" s="50" t="n">
        <f aca="false">N135</f>
        <v>3.9247311827957</v>
      </c>
      <c r="O147" s="50" t="n">
        <f aca="false">SUM(K147:N147)</f>
        <v>4075.34408602151</v>
      </c>
      <c r="P147" s="50" t="n">
        <f aca="false">P135</f>
        <v>3426.25292884001</v>
      </c>
      <c r="Q147" s="50" t="n">
        <f aca="false">O147+P147</f>
        <v>7501.59701486152</v>
      </c>
      <c r="R147" s="8" t="n">
        <f aca="false">H147-O147-P147</f>
        <v>9588.62025327444</v>
      </c>
      <c r="T147" s="9" t="n">
        <f aca="false">$T$18</f>
        <v>48.72</v>
      </c>
      <c r="U147" s="9" t="n">
        <f aca="false">U$18</f>
        <v>23</v>
      </c>
      <c r="V147" s="9" t="n">
        <f aca="false">V$18</f>
        <v>34</v>
      </c>
      <c r="W147" s="9" t="n">
        <f aca="false">W$18</f>
        <v>38</v>
      </c>
      <c r="X147" s="9" t="n">
        <f aca="false">SUMPRODUCT(K147:N147,T147:W147)/O147</f>
        <v>38.3680990588564</v>
      </c>
      <c r="Y147" s="9" t="n">
        <f aca="false">$Y$18/1000*CURVES!K106+$Y$14</f>
        <v>76.7076327284946</v>
      </c>
      <c r="Z147" s="9" t="n">
        <f aca="false">(O147*X147+P147*Y147)/Q147</f>
        <v>55.8791622718919</v>
      </c>
      <c r="AA147" s="9" t="n">
        <f aca="false">CHOOSE(AA$18,CURVES!F106,CURVES!G106)</f>
        <v>63.6641555084366</v>
      </c>
      <c r="AB147" s="9" t="n">
        <f aca="false">(Q147*Z147+R147*AA147)/H147</f>
        <v>60.2470028117962</v>
      </c>
      <c r="AD147" s="9"/>
      <c r="AH147" s="50" t="n">
        <f aca="false">AH135</f>
        <v>1859.59450264151</v>
      </c>
      <c r="AI147" s="50" t="n">
        <f aca="false">AI135</f>
        <v>0</v>
      </c>
      <c r="AJ147" s="50" t="n">
        <f aca="false">AJ135</f>
        <v>1584.50880376937</v>
      </c>
      <c r="AK147" s="50" t="n">
        <f aca="false">AK135</f>
        <v>621.501656862376</v>
      </c>
      <c r="AL147" s="50" t="n">
        <f aca="false">SUM(AH147:AK147)</f>
        <v>4065.60496327325</v>
      </c>
      <c r="AM147" s="50" t="n">
        <f aca="false">AM135</f>
        <v>2208.28901612903</v>
      </c>
      <c r="AN147" s="50" t="n">
        <f aca="false">AL147+AM147</f>
        <v>6273.89397940229</v>
      </c>
      <c r="AO147" s="8" t="n">
        <f aca="false">I147-AL147-AM147</f>
        <v>8866.03851470438</v>
      </c>
      <c r="AQ147" s="9" t="n">
        <f aca="false">$AQ$18</f>
        <v>43</v>
      </c>
      <c r="AR147" s="9"/>
      <c r="AS147" s="9" t="n">
        <f aca="false">AS$18</f>
        <v>30</v>
      </c>
      <c r="AT147" s="9" t="n">
        <f aca="false">AT$18</f>
        <v>38</v>
      </c>
      <c r="AU147" s="9" t="n">
        <f aca="false">SUMPRODUCT(AH147:AK147,AQ147:AT147)/AL147</f>
        <v>37.1691032583186</v>
      </c>
      <c r="AV147" s="9" t="n">
        <f aca="false">$Y$18/1000*CURVES!O106+$AV$14</f>
        <v>71.8546192880192</v>
      </c>
      <c r="AW147" s="9" t="n">
        <f aca="false">(AL147*AU147+AM147*AV147)/AN147</f>
        <v>49.3777322722333</v>
      </c>
      <c r="AX147" s="9" t="n">
        <f aca="false">CHOOSE(AX$18,CURVES!B106,CURVES!C106)</f>
        <v>65.4317204301075</v>
      </c>
      <c r="AY147" s="9" t="n">
        <f aca="false">(AN147*AW147+AO147*AX147)/I147</f>
        <v>58.7790474615663</v>
      </c>
    </row>
    <row r="148" customFormat="false" ht="12.75" hidden="false" customHeight="false" outlineLevel="0" collapsed="false">
      <c r="A148" s="85" t="n">
        <v>40057</v>
      </c>
      <c r="B148" s="31" t="n">
        <f aca="false">YEAR(A148)</f>
        <v>2009</v>
      </c>
      <c r="C148" s="31" t="n">
        <f aca="false">MONTH(A148)</f>
        <v>9</v>
      </c>
      <c r="D148" s="86" t="n">
        <v>0.059442101869223</v>
      </c>
      <c r="E148" s="87" t="n">
        <f aca="false">(1+D148/2)^(-2*(DATE($B149,$C149,20)-$E$17)/365.25)</f>
        <v>2.54305265130709</v>
      </c>
      <c r="F148" s="87"/>
      <c r="G148" s="8"/>
      <c r="H148" s="8" t="n">
        <f aca="false">(1+$I$17)*H136</f>
        <v>15480.5178969641</v>
      </c>
      <c r="I148" s="8" t="n">
        <f aca="false">(1+$I$17)*I136</f>
        <v>14260.8443556005</v>
      </c>
      <c r="K148" s="50" t="n">
        <f aca="false">K136</f>
        <v>2263.63333333333</v>
      </c>
      <c r="L148" s="50" t="n">
        <f aca="false">L136</f>
        <v>1380.73611111111</v>
      </c>
      <c r="M148" s="50" t="n">
        <f aca="false">M136</f>
        <v>542.602777777778</v>
      </c>
      <c r="N148" s="50" t="n">
        <f aca="false">N136</f>
        <v>3.41944444444444</v>
      </c>
      <c r="O148" s="50" t="n">
        <f aca="false">SUM(K148:N148)</f>
        <v>4190.39166666667</v>
      </c>
      <c r="P148" s="50" t="n">
        <f aca="false">P136</f>
        <v>3348.13393235473</v>
      </c>
      <c r="Q148" s="50" t="n">
        <f aca="false">O148+P148</f>
        <v>7538.52559902139</v>
      </c>
      <c r="R148" s="8" t="n">
        <f aca="false">H148-O148-P148</f>
        <v>7941.99229794275</v>
      </c>
      <c r="T148" s="9" t="n">
        <f aca="false">$T$18</f>
        <v>48.72</v>
      </c>
      <c r="U148" s="9" t="n">
        <f aca="false">U$18</f>
        <v>23</v>
      </c>
      <c r="V148" s="9" t="n">
        <f aca="false">V$18</f>
        <v>34</v>
      </c>
      <c r="W148" s="9" t="n">
        <f aca="false">W$18</f>
        <v>38</v>
      </c>
      <c r="X148" s="9" t="n">
        <f aca="false">SUMPRODUCT(K148:N148,T148:W148)/O148</f>
        <v>38.3304456159959</v>
      </c>
      <c r="Y148" s="9" t="n">
        <f aca="false">$Y$18/1000*CURVES!K107+$Y$14</f>
        <v>76.9281327284946</v>
      </c>
      <c r="Z148" s="9" t="n">
        <f aca="false">(O148*X148+P148*Y148)/Q148</f>
        <v>55.4730850133528</v>
      </c>
      <c r="AA148" s="9" t="n">
        <f aca="false">CHOOSE(AA$18,CURVES!F107,CURVES!G107)</f>
        <v>58.2163083577415</v>
      </c>
      <c r="AB148" s="9" t="n">
        <f aca="false">(Q148*Z148+R148*AA148)/H148</f>
        <v>56.8804448198968</v>
      </c>
      <c r="AD148" s="9"/>
      <c r="AH148" s="50" t="n">
        <f aca="false">AH136</f>
        <v>1890.97734163897</v>
      </c>
      <c r="AI148" s="50" t="n">
        <f aca="false">AI136</f>
        <v>0</v>
      </c>
      <c r="AJ148" s="50" t="n">
        <f aca="false">AJ136</f>
        <v>765.820605438213</v>
      </c>
      <c r="AK148" s="50" t="n">
        <f aca="false">AK136</f>
        <v>570.922545092046</v>
      </c>
      <c r="AL148" s="50" t="n">
        <f aca="false">SUM(AH148:AK148)</f>
        <v>3227.72049216923</v>
      </c>
      <c r="AM148" s="50" t="n">
        <f aca="false">AM136</f>
        <v>2371.57693150685</v>
      </c>
      <c r="AN148" s="50" t="n">
        <f aca="false">AL148+AM148</f>
        <v>5599.29742367608</v>
      </c>
      <c r="AO148" s="8" t="n">
        <f aca="false">I148-AL148-AM148</f>
        <v>8661.54693192443</v>
      </c>
      <c r="AQ148" s="9" t="n">
        <f aca="false">$AQ$18</f>
        <v>43</v>
      </c>
      <c r="AR148" s="9"/>
      <c r="AS148" s="9" t="n">
        <f aca="false">AS$18</f>
        <v>30</v>
      </c>
      <c r="AT148" s="9" t="n">
        <f aca="false">AT$18</f>
        <v>38</v>
      </c>
      <c r="AU148" s="9" t="n">
        <f aca="false">SUMPRODUCT(AH148:AK148,AQ148:AT148)/AL148</f>
        <v>39.0311679319086</v>
      </c>
      <c r="AV148" s="9" t="n">
        <f aca="false">$Y$18/1000*CURVES!O107+$AV$14</f>
        <v>72.0751192880192</v>
      </c>
      <c r="AW148" s="9" t="n">
        <f aca="false">(AL148*AU148+AM148*AV148)/AN148</f>
        <v>53.0269011163296</v>
      </c>
      <c r="AX148" s="9" t="n">
        <f aca="false">CHOOSE(AX$18,CURVES!B107,CURVES!C107)</f>
        <v>57.55</v>
      </c>
      <c r="AY148" s="9" t="n">
        <f aca="false">(AN148*AW148+AO148*AX148)/I148</f>
        <v>55.7740759877292</v>
      </c>
    </row>
    <row r="149" customFormat="false" ht="12.75" hidden="false" customHeight="false" outlineLevel="0" collapsed="false">
      <c r="A149" s="85" t="n">
        <v>40087</v>
      </c>
      <c r="B149" s="31" t="n">
        <f aca="false">YEAR(A149)</f>
        <v>2009</v>
      </c>
      <c r="C149" s="31" t="n">
        <f aca="false">MONTH(A149)</f>
        <v>10</v>
      </c>
      <c r="D149" s="86" t="n">
        <v>0.059499225441054</v>
      </c>
      <c r="E149" s="87" t="n">
        <f aca="false">(1+D149/2)^(-2*(DATE($B150,$C150,20)-$E$17)/365.25)</f>
        <v>2.53266697788712</v>
      </c>
      <c r="F149" s="87"/>
      <c r="G149" s="8"/>
      <c r="H149" s="8" t="n">
        <f aca="false">(1+$I$17)*H137</f>
        <v>14381.3850380846</v>
      </c>
      <c r="I149" s="8" t="n">
        <f aca="false">(1+$I$17)*I137</f>
        <v>12343.7894868679</v>
      </c>
      <c r="K149" s="50" t="n">
        <f aca="false">K137</f>
        <v>2069.29166666667</v>
      </c>
      <c r="L149" s="50" t="n">
        <f aca="false">L137</f>
        <v>1227.52419354839</v>
      </c>
      <c r="M149" s="50" t="n">
        <f aca="false">M137</f>
        <v>369.340053763441</v>
      </c>
      <c r="N149" s="50" t="n">
        <f aca="false">N137</f>
        <v>3.27822580645161</v>
      </c>
      <c r="O149" s="50" t="n">
        <f aca="false">SUM(K149:N149)</f>
        <v>3669.43413978495</v>
      </c>
      <c r="P149" s="50" t="n">
        <f aca="false">P137</f>
        <v>3171.07549498463</v>
      </c>
      <c r="Q149" s="50" t="n">
        <f aca="false">O149+P149</f>
        <v>6840.50963476957</v>
      </c>
      <c r="R149" s="8" t="n">
        <f aca="false">H149-O149-P149</f>
        <v>7540.87540331507</v>
      </c>
      <c r="T149" s="9" t="n">
        <f aca="false">$T$18</f>
        <v>48.72</v>
      </c>
      <c r="U149" s="9" t="n">
        <f aca="false">U$18</f>
        <v>23</v>
      </c>
      <c r="V149" s="9" t="n">
        <f aca="false">V$18</f>
        <v>34</v>
      </c>
      <c r="W149" s="9" t="n">
        <f aca="false">W$18</f>
        <v>38</v>
      </c>
      <c r="X149" s="9" t="n">
        <f aca="false">SUMPRODUCT(K149:N149,T149:W149)/O149</f>
        <v>38.624778497461</v>
      </c>
      <c r="Y149" s="9" t="n">
        <f aca="false">$Y$18/1000*CURVES!K108+$Y$14</f>
        <v>77.2431327284946</v>
      </c>
      <c r="Z149" s="9" t="n">
        <f aca="false">(O149*X149+P149*Y149)/Q149</f>
        <v>56.5272043834223</v>
      </c>
      <c r="AA149" s="9" t="n">
        <f aca="false">CHOOSE(AA$18,CURVES!F108,CURVES!G108)</f>
        <v>45.7290322580645</v>
      </c>
      <c r="AB149" s="9" t="n">
        <f aca="false">(Q149*Z149+R149*AA149)/H149</f>
        <v>50.8651857137854</v>
      </c>
      <c r="AD149" s="9"/>
      <c r="AH149" s="50" t="n">
        <f aca="false">AH137</f>
        <v>1913.83994918903</v>
      </c>
      <c r="AI149" s="50" t="n">
        <f aca="false">AI137</f>
        <v>0</v>
      </c>
      <c r="AJ149" s="50" t="n">
        <f aca="false">AJ137</f>
        <v>1075.38011608834</v>
      </c>
      <c r="AK149" s="50" t="n">
        <f aca="false">AK137</f>
        <v>576.385560502926</v>
      </c>
      <c r="AL149" s="50" t="n">
        <f aca="false">SUM(AH149:AK149)</f>
        <v>3565.6056257803</v>
      </c>
      <c r="AM149" s="50" t="n">
        <f aca="false">AM137</f>
        <v>2259.71325</v>
      </c>
      <c r="AN149" s="50" t="n">
        <f aca="false">AL149+AM149</f>
        <v>5825.3188757803</v>
      </c>
      <c r="AO149" s="8" t="n">
        <f aca="false">I149-AL149-AM149</f>
        <v>6518.47061108758</v>
      </c>
      <c r="AQ149" s="9" t="n">
        <f aca="false">$AQ$18</f>
        <v>43</v>
      </c>
      <c r="AR149" s="9"/>
      <c r="AS149" s="9" t="n">
        <f aca="false">AS$18</f>
        <v>30</v>
      </c>
      <c r="AT149" s="9" t="n">
        <f aca="false">AT$18</f>
        <v>38</v>
      </c>
      <c r="AU149" s="9" t="n">
        <f aca="false">SUMPRODUCT(AH149:AK149,AQ149:AT149)/AL149</f>
        <v>38.2709662589303</v>
      </c>
      <c r="AV149" s="9" t="n">
        <f aca="false">$Y$18/1000*CURVES!O108+$AV$14</f>
        <v>72.3901192880192</v>
      </c>
      <c r="AW149" s="9" t="n">
        <f aca="false">(AL149*AU149+AM149*AV149)/AN149</f>
        <v>51.5062077663374</v>
      </c>
      <c r="AX149" s="9" t="n">
        <f aca="false">CHOOSE(AX$18,CURVES!B108,CURVES!C108)</f>
        <v>44.1193548387097</v>
      </c>
      <c r="AY149" s="9" t="n">
        <f aca="false">(AN149*AW149+AO149*AX149)/I149</f>
        <v>47.6053810576193</v>
      </c>
    </row>
    <row r="150" customFormat="false" ht="12.75" hidden="false" customHeight="false" outlineLevel="0" collapsed="false">
      <c r="A150" s="85" t="n">
        <v>40118</v>
      </c>
      <c r="B150" s="31" t="n">
        <f aca="false">YEAR(A150)</f>
        <v>2009</v>
      </c>
      <c r="C150" s="31" t="n">
        <f aca="false">MONTH(A150)</f>
        <v>11</v>
      </c>
      <c r="D150" s="86" t="n">
        <v>0.059558253133085</v>
      </c>
      <c r="E150" s="87" t="n">
        <f aca="false">(1+D150/2)^(-2*(DATE($B151,$C151,20)-$E$17)/365.25)</f>
        <v>2.52277876094936</v>
      </c>
      <c r="F150" s="87"/>
      <c r="G150" s="8"/>
      <c r="H150" s="8" t="n">
        <f aca="false">(1+$I$17)*H138</f>
        <v>14067.8353749601</v>
      </c>
      <c r="I150" s="8" t="n">
        <f aca="false">(1+$I$17)*I138</f>
        <v>12531.157355788</v>
      </c>
      <c r="K150" s="50" t="n">
        <f aca="false">K138</f>
        <v>2201.15833333333</v>
      </c>
      <c r="L150" s="50" t="n">
        <f aca="false">L138</f>
        <v>1270.02777777778</v>
      </c>
      <c r="M150" s="50" t="n">
        <f aca="false">M138</f>
        <v>241.311111111111</v>
      </c>
      <c r="N150" s="50" t="n">
        <f aca="false">N138</f>
        <v>3.11944444444444</v>
      </c>
      <c r="O150" s="50" t="n">
        <f aca="false">SUM(K150:N150)</f>
        <v>3715.61666666667</v>
      </c>
      <c r="P150" s="50" t="n">
        <f aca="false">P138</f>
        <v>3029.03315829808</v>
      </c>
      <c r="Q150" s="50" t="n">
        <f aca="false">O150+P150</f>
        <v>6744.64982496475</v>
      </c>
      <c r="R150" s="8" t="n">
        <f aca="false">H150-O150-P150</f>
        <v>7323.1855499954</v>
      </c>
      <c r="T150" s="9" t="n">
        <f aca="false">$T$18</f>
        <v>48.72</v>
      </c>
      <c r="U150" s="9" t="n">
        <f aca="false">U$18</f>
        <v>23</v>
      </c>
      <c r="V150" s="9" t="n">
        <f aca="false">V$18</f>
        <v>34</v>
      </c>
      <c r="W150" s="9" t="n">
        <f aca="false">W$18</f>
        <v>38</v>
      </c>
      <c r="X150" s="9" t="n">
        <f aca="false">SUMPRODUCT(K150:N150,T150:W150)/O150</f>
        <v>38.9637044247179</v>
      </c>
      <c r="Y150" s="9" t="n">
        <f aca="false">$Y$18/1000*CURVES!K109+$Y$14</f>
        <v>77.4531327284946</v>
      </c>
      <c r="Z150" s="9" t="n">
        <f aca="false">(O150*X150+P150*Y150)/Q150</f>
        <v>56.2493690035585</v>
      </c>
      <c r="AA150" s="9" t="n">
        <f aca="false">CHOOSE(AA$18,CURVES!F109,CURVES!G109)</f>
        <v>37.1818684105846</v>
      </c>
      <c r="AB150" s="9" t="n">
        <f aca="false">(Q150*Z150+R150*AA150)/H150</f>
        <v>46.3235459401513</v>
      </c>
      <c r="AD150" s="9"/>
      <c r="AH150" s="50" t="n">
        <f aca="false">AH138</f>
        <v>1838.78743628671</v>
      </c>
      <c r="AI150" s="50" t="n">
        <f aca="false">AI138</f>
        <v>0</v>
      </c>
      <c r="AJ150" s="50" t="n">
        <f aca="false">AJ138</f>
        <v>1347.87918472112</v>
      </c>
      <c r="AK150" s="50" t="n">
        <f aca="false">AK138</f>
        <v>499.439112514422</v>
      </c>
      <c r="AL150" s="50" t="n">
        <f aca="false">SUM(AH150:AK150)</f>
        <v>3686.10573352225</v>
      </c>
      <c r="AM150" s="50" t="n">
        <f aca="false">AM138</f>
        <v>2451.23764109589</v>
      </c>
      <c r="AN150" s="50" t="n">
        <f aca="false">AL150+AM150</f>
        <v>6137.34337461814</v>
      </c>
      <c r="AO150" s="8" t="n">
        <f aca="false">I150-AL150-AM150</f>
        <v>6393.81398116984</v>
      </c>
      <c r="AQ150" s="9" t="n">
        <f aca="false">$AQ$18</f>
        <v>43</v>
      </c>
      <c r="AR150" s="9"/>
      <c r="AS150" s="9" t="n">
        <f aca="false">AS$18</f>
        <v>30</v>
      </c>
      <c r="AT150" s="9" t="n">
        <f aca="false">AT$18</f>
        <v>38</v>
      </c>
      <c r="AU150" s="9" t="n">
        <f aca="false">SUMPRODUCT(AH150:AK150,AQ150:AT150)/AL150</f>
        <v>37.5688956282822</v>
      </c>
      <c r="AV150" s="9" t="n">
        <f aca="false">$Y$18/1000*CURVES!O109+$AV$14</f>
        <v>73.8601192880192</v>
      </c>
      <c r="AW150" s="9" t="n">
        <f aca="false">(AL150*AU150+AM150*AV150)/AN150</f>
        <v>52.063508043823</v>
      </c>
      <c r="AX150" s="9" t="n">
        <f aca="false">CHOOSE(AX$18,CURVES!B109,CURVES!C109)</f>
        <v>41.8666666666667</v>
      </c>
      <c r="AY150" s="9" t="n">
        <f aca="false">(AN150*AW150+AO150*AX150)/I150</f>
        <v>46.8607398469238</v>
      </c>
    </row>
    <row r="151" customFormat="false" ht="12.75" hidden="false" customHeight="false" outlineLevel="0" collapsed="false">
      <c r="A151" s="85" t="n">
        <v>40148</v>
      </c>
      <c r="B151" s="31" t="n">
        <f aca="false">YEAR(A151)</f>
        <v>2009</v>
      </c>
      <c r="C151" s="31" t="n">
        <f aca="false">MONTH(A151)</f>
        <v>12</v>
      </c>
      <c r="D151" s="86" t="n">
        <v>0.059615376707121</v>
      </c>
      <c r="E151" s="87" t="n">
        <f aca="false">(1+D151/2)^(-2*(DATE($B152,$C152,20)-$E$17)/365.25)</f>
        <v>2.51242843211971</v>
      </c>
      <c r="F151" s="87"/>
      <c r="G151" s="8"/>
      <c r="H151" s="8" t="n">
        <f aca="false">(1+$I$17)*H139</f>
        <v>13966.5396931609</v>
      </c>
      <c r="I151" s="8" t="n">
        <f aca="false">(1+$I$17)*I139</f>
        <v>12502.6887490515</v>
      </c>
      <c r="K151" s="50" t="n">
        <f aca="false">K139</f>
        <v>2256.4126344086</v>
      </c>
      <c r="L151" s="50" t="n">
        <f aca="false">L139</f>
        <v>1157.21505376344</v>
      </c>
      <c r="M151" s="50" t="n">
        <f aca="false">M139</f>
        <v>239.860215053763</v>
      </c>
      <c r="N151" s="50" t="n">
        <f aca="false">N139</f>
        <v>2.96908602150538</v>
      </c>
      <c r="O151" s="50" t="n">
        <f aca="false">SUM(K151:N151)</f>
        <v>3656.45698924731</v>
      </c>
      <c r="P151" s="50" t="n">
        <f aca="false">P139</f>
        <v>2977.59684973097</v>
      </c>
      <c r="Q151" s="50" t="n">
        <f aca="false">O151+P151</f>
        <v>6634.05383897828</v>
      </c>
      <c r="R151" s="8" t="n">
        <f aca="false">H151-O151-P151</f>
        <v>7332.48585418259</v>
      </c>
      <c r="T151" s="9" t="n">
        <f aca="false">$T$18</f>
        <v>48.72</v>
      </c>
      <c r="U151" s="9" t="n">
        <f aca="false">U$18</f>
        <v>23</v>
      </c>
      <c r="V151" s="9" t="n">
        <f aca="false">V$18</f>
        <v>34</v>
      </c>
      <c r="W151" s="9" t="n">
        <f aca="false">W$18</f>
        <v>38</v>
      </c>
      <c r="X151" s="9" t="n">
        <f aca="false">SUMPRODUCT(K151:N151,T151:W151)/O151</f>
        <v>39.6056736867024</v>
      </c>
      <c r="Y151" s="9" t="n">
        <f aca="false">$Y$18/1000*CURVES!K110+$Y$14</f>
        <v>78.7656327284946</v>
      </c>
      <c r="Z151" s="9" t="n">
        <f aca="false">(O151*X151+P151*Y151)/Q151</f>
        <v>57.1820415469296</v>
      </c>
      <c r="AA151" s="9" t="n">
        <f aca="false">CHOOSE(AA$18,CURVES!F110,CURVES!G110)</f>
        <v>37.2110986024946</v>
      </c>
      <c r="AB151" s="9" t="n">
        <f aca="false">(Q151*Z151+R151*AA151)/H151</f>
        <v>46.6972214088059</v>
      </c>
      <c r="AD151" s="9"/>
      <c r="AH151" s="50" t="n">
        <f aca="false">AH139</f>
        <v>1921.09500453605</v>
      </c>
      <c r="AI151" s="50" t="n">
        <f aca="false">AI139</f>
        <v>0</v>
      </c>
      <c r="AJ151" s="50" t="n">
        <f aca="false">AJ139</f>
        <v>1326.47869273451</v>
      </c>
      <c r="AK151" s="50" t="n">
        <f aca="false">AK139</f>
        <v>519.619723134563</v>
      </c>
      <c r="AL151" s="50" t="n">
        <f aca="false">SUM(AH151:AK151)</f>
        <v>3767.19342040512</v>
      </c>
      <c r="AM151" s="50" t="n">
        <f aca="false">AM139</f>
        <v>2024.24791129032</v>
      </c>
      <c r="AN151" s="50" t="n">
        <f aca="false">AL151+AM151</f>
        <v>5791.44133169545</v>
      </c>
      <c r="AO151" s="8" t="n">
        <f aca="false">I151-AL151-AM151</f>
        <v>6711.24741735608</v>
      </c>
      <c r="AQ151" s="9" t="n">
        <f aca="false">$AQ$18</f>
        <v>43</v>
      </c>
      <c r="AR151" s="9"/>
      <c r="AS151" s="9" t="n">
        <f aca="false">AS$18</f>
        <v>30</v>
      </c>
      <c r="AT151" s="9" t="n">
        <f aca="false">AT$18</f>
        <v>38</v>
      </c>
      <c r="AU151" s="9" t="n">
        <f aca="false">SUMPRODUCT(AH151:AK151,AQ151:AT151)/AL151</f>
        <v>37.7328635918334</v>
      </c>
      <c r="AV151" s="9" t="n">
        <f aca="false">$Y$18/1000*CURVES!O110+$AV$14</f>
        <v>75.1726192880192</v>
      </c>
      <c r="AW151" s="9" t="n">
        <f aca="false">(AL151*AU151+AM151*AV151)/AN151</f>
        <v>50.8189578689962</v>
      </c>
      <c r="AX151" s="9" t="n">
        <f aca="false">CHOOSE(AX$18,CURVES!B110,CURVES!C110)</f>
        <v>41.447311827957</v>
      </c>
      <c r="AY151" s="9" t="n">
        <f aca="false">(AN151*AW151+AO151*AX151)/I151</f>
        <v>45.7884051173674</v>
      </c>
    </row>
    <row r="152" customFormat="false" ht="12.75" hidden="false" customHeight="false" outlineLevel="0" collapsed="false">
      <c r="A152" s="85" t="n">
        <v>40179</v>
      </c>
      <c r="B152" s="31" t="n">
        <f aca="false">YEAR(A152)</f>
        <v>2010</v>
      </c>
      <c r="C152" s="31" t="n">
        <f aca="false">MONTH(A152)</f>
        <v>1</v>
      </c>
      <c r="D152" s="86" t="n">
        <v>0.059674404401431</v>
      </c>
      <c r="E152" s="87" t="n">
        <f aca="false">(1+D152/2)^(-2*(DATE($B153,$C153,20)-$E$17)/365.25)</f>
        <v>2.50216910749528</v>
      </c>
      <c r="F152" s="87"/>
      <c r="G152" s="8"/>
      <c r="H152" s="8" t="n">
        <f aca="false">(1+$I$17)*H140</f>
        <v>14223.1606947327</v>
      </c>
      <c r="I152" s="8" t="n">
        <f aca="false">(1+$I$17)*I140</f>
        <v>13520.8878427416</v>
      </c>
      <c r="K152" s="50" t="n">
        <f aca="false">K140</f>
        <v>2185.91801075269</v>
      </c>
      <c r="L152" s="50" t="n">
        <f aca="false">L140</f>
        <v>1282.33064516129</v>
      </c>
      <c r="M152" s="50" t="n">
        <f aca="false">M140</f>
        <v>142.852150537634</v>
      </c>
      <c r="N152" s="50" t="n">
        <f aca="false">N140</f>
        <v>3.16801075268817</v>
      </c>
      <c r="O152" s="50" t="n">
        <f aca="false">SUM(K152:N152)</f>
        <v>3614.2688172043</v>
      </c>
      <c r="P152" s="50" t="n">
        <f aca="false">P140</f>
        <v>2792.6655547379</v>
      </c>
      <c r="Q152" s="50" t="n">
        <f aca="false">O152+P152</f>
        <v>6406.9343719422</v>
      </c>
      <c r="R152" s="8" t="n">
        <f aca="false">H152-O152-P152</f>
        <v>7816.22632279051</v>
      </c>
      <c r="T152" s="9" t="n">
        <f aca="false">$T$18</f>
        <v>48.72</v>
      </c>
      <c r="U152" s="9" t="n">
        <f aca="false">U$18</f>
        <v>23</v>
      </c>
      <c r="V152" s="9" t="n">
        <f aca="false">V$18</f>
        <v>34</v>
      </c>
      <c r="W152" s="9" t="n">
        <f aca="false">W$18</f>
        <v>38</v>
      </c>
      <c r="X152" s="9" t="n">
        <f aca="false">SUMPRODUCT(K152:N152,T152:W152)/O152</f>
        <v>39.0034319468534</v>
      </c>
      <c r="Y152" s="9" t="n">
        <f aca="false">$Y$18/1000*CURVES!K111+$Y$14</f>
        <v>80.0676327284946</v>
      </c>
      <c r="Z152" s="9" t="n">
        <f aca="false">(O152*X152+P152*Y152)/Q152</f>
        <v>56.9025662907201</v>
      </c>
      <c r="AA152" s="9" t="n">
        <f aca="false">CHOOSE(AA$18,CURVES!F111,CURVES!G111)</f>
        <v>38.8548387096774</v>
      </c>
      <c r="AB152" s="9" t="n">
        <f aca="false">(Q152*Z152+R152*AA152)/H152</f>
        <v>46.9845792544252</v>
      </c>
      <c r="AD152" s="9"/>
      <c r="AH152" s="50" t="n">
        <f aca="false">AH140</f>
        <v>1826.05608785899</v>
      </c>
      <c r="AI152" s="50" t="n">
        <f aca="false">AI140</f>
        <v>0</v>
      </c>
      <c r="AJ152" s="50" t="n">
        <f aca="false">AJ140</f>
        <v>1744.08931864439</v>
      </c>
      <c r="AK152" s="50" t="n">
        <f aca="false">AK140</f>
        <v>538.872892801371</v>
      </c>
      <c r="AL152" s="50" t="n">
        <f aca="false">SUM(AH152:AK152)</f>
        <v>4109.01829930475</v>
      </c>
      <c r="AM152" s="50" t="n">
        <f aca="false">AM140</f>
        <v>2445.3687016129</v>
      </c>
      <c r="AN152" s="50" t="n">
        <f aca="false">AL152+AM152</f>
        <v>6554.38700091765</v>
      </c>
      <c r="AO152" s="8" t="n">
        <f aca="false">I152-AL152-AM152</f>
        <v>6966.50084182392</v>
      </c>
      <c r="AQ152" s="9" t="n">
        <f aca="false">$AQ$18</f>
        <v>43</v>
      </c>
      <c r="AR152" s="9"/>
      <c r="AS152" s="9" t="n">
        <f aca="false">AS$18</f>
        <v>30</v>
      </c>
      <c r="AT152" s="9" t="n">
        <f aca="false">AT$18</f>
        <v>38</v>
      </c>
      <c r="AU152" s="9" t="n">
        <f aca="false">SUMPRODUCT(AH152:AK152,AQ152:AT152)/AL152</f>
        <v>36.8263780400598</v>
      </c>
      <c r="AV152" s="9" t="n">
        <f aca="false">$Y$18/1000*CURVES!O111+$AV$14</f>
        <v>76.4746192880192</v>
      </c>
      <c r="AW152" s="9" t="n">
        <f aca="false">(AL152*AU152+AM152*AV152)/AN152</f>
        <v>51.6186947293526</v>
      </c>
      <c r="AX152" s="9" t="n">
        <f aca="false">CHOOSE(AX$18,CURVES!B111,CURVES!C111)</f>
        <v>45.2860215053763</v>
      </c>
      <c r="AY152" s="9" t="n">
        <f aca="false">(AN152*AW152+AO152*AX152)/I152</f>
        <v>48.3558488379484</v>
      </c>
    </row>
    <row r="153" customFormat="false" ht="12.75" hidden="false" customHeight="false" outlineLevel="0" collapsed="false">
      <c r="A153" s="85" t="n">
        <v>40210</v>
      </c>
      <c r="B153" s="31" t="n">
        <f aca="false">YEAR(A153)</f>
        <v>2010</v>
      </c>
      <c r="C153" s="31" t="n">
        <f aca="false">MONTH(A153)</f>
        <v>2</v>
      </c>
      <c r="D153" s="86" t="n">
        <v>0.059733432096898</v>
      </c>
      <c r="E153" s="87" t="n">
        <f aca="false">(1+D153/2)^(-2*(DATE($B154,$C154,20)-$E$17)/365.25)</f>
        <v>2.49313235494765</v>
      </c>
      <c r="F153" s="87"/>
      <c r="G153" s="8"/>
      <c r="H153" s="8" t="n">
        <f aca="false">(1+$I$17)*H141</f>
        <v>14261.4181808721</v>
      </c>
      <c r="I153" s="8" t="n">
        <f aca="false">(1+$I$17)*I141</f>
        <v>13502.8676958439</v>
      </c>
      <c r="K153" s="50" t="n">
        <f aca="false">K141</f>
        <v>2261.87643678161</v>
      </c>
      <c r="L153" s="50" t="n">
        <f aca="false">L141</f>
        <v>1335.97988505747</v>
      </c>
      <c r="M153" s="50" t="n">
        <f aca="false">M141</f>
        <v>236.002873563218</v>
      </c>
      <c r="N153" s="50" t="n">
        <f aca="false">N141</f>
        <v>3.84913793103448</v>
      </c>
      <c r="O153" s="50" t="n">
        <f aca="false">SUM(K153:N153)</f>
        <v>3837.70833333333</v>
      </c>
      <c r="P153" s="50" t="n">
        <f aca="false">P141</f>
        <v>3011.77170136767</v>
      </c>
      <c r="Q153" s="50" t="n">
        <f aca="false">O153+P153</f>
        <v>6849.48003470101</v>
      </c>
      <c r="R153" s="8" t="n">
        <f aca="false">H153-O153-P153</f>
        <v>7411.93814617108</v>
      </c>
      <c r="T153" s="9" t="n">
        <f aca="false">$T$18</f>
        <v>48.72</v>
      </c>
      <c r="U153" s="9" t="n">
        <f aca="false">U$18</f>
        <v>23</v>
      </c>
      <c r="V153" s="9" t="n">
        <f aca="false">V$18</f>
        <v>34</v>
      </c>
      <c r="W153" s="9" t="n">
        <f aca="false">W$18</f>
        <v>38</v>
      </c>
      <c r="X153" s="9" t="n">
        <f aca="false">SUMPRODUCT(K153:N153,T153:W153)/O153</f>
        <v>38.8504048116</v>
      </c>
      <c r="Y153" s="9" t="n">
        <f aca="false">$Y$18/1000*CURVES!K112+$Y$14</f>
        <v>79.0596327284946</v>
      </c>
      <c r="Z153" s="9" t="n">
        <f aca="false">(O153*X153+P153*Y153)/Q153</f>
        <v>56.5307271368599</v>
      </c>
      <c r="AA153" s="9" t="n">
        <f aca="false">CHOOSE(AA$18,CURVES!F112,CURVES!G112)</f>
        <v>38.7080759191925</v>
      </c>
      <c r="AB153" s="9" t="n">
        <f aca="false">(Q153*Z153+R153*AA153)/H153</f>
        <v>47.2679464827375</v>
      </c>
      <c r="AD153" s="9"/>
      <c r="AH153" s="50" t="n">
        <f aca="false">AH141</f>
        <v>1925.74685025101</v>
      </c>
      <c r="AI153" s="50" t="n">
        <f aca="false">AI141</f>
        <v>0</v>
      </c>
      <c r="AJ153" s="50" t="n">
        <f aca="false">AJ141</f>
        <v>2201.92738718254</v>
      </c>
      <c r="AK153" s="50" t="n">
        <f aca="false">AK141</f>
        <v>548.475477754164</v>
      </c>
      <c r="AL153" s="50" t="n">
        <f aca="false">SUM(AH153:AK153)</f>
        <v>4676.14971518771</v>
      </c>
      <c r="AM153" s="50" t="n">
        <f aca="false">AM141</f>
        <v>2161.54564434524</v>
      </c>
      <c r="AN153" s="50" t="n">
        <f aca="false">AL153+AM153</f>
        <v>6837.69535953295</v>
      </c>
      <c r="AO153" s="8" t="n">
        <f aca="false">I153-AL153-AM153</f>
        <v>6665.17233631095</v>
      </c>
      <c r="AQ153" s="9" t="n">
        <f aca="false">$AQ$18</f>
        <v>43</v>
      </c>
      <c r="AR153" s="9"/>
      <c r="AS153" s="9" t="n">
        <f aca="false">AS$18</f>
        <v>30</v>
      </c>
      <c r="AT153" s="9" t="n">
        <f aca="false">AT$18</f>
        <v>38</v>
      </c>
      <c r="AU153" s="9" t="n">
        <f aca="false">SUMPRODUCT(AH153:AK153,AQ153:AT153)/AL153</f>
        <v>36.2920382509856</v>
      </c>
      <c r="AV153" s="9" t="n">
        <f aca="false">$Y$18/1000*CURVES!O112+$AV$14</f>
        <v>75.4666192880192</v>
      </c>
      <c r="AW153" s="9" t="n">
        <f aca="false">(AL153*AU153+AM153*AV153)/AN153</f>
        <v>48.6759835069839</v>
      </c>
      <c r="AX153" s="9" t="n">
        <f aca="false">CHOOSE(AX$18,CURVES!B112,CURVES!C112)</f>
        <v>44.2357142857143</v>
      </c>
      <c r="AY153" s="9" t="n">
        <f aca="false">(AN153*AW153+AO153*AX153)/I153</f>
        <v>46.4842150437197</v>
      </c>
    </row>
    <row r="154" customFormat="false" ht="12.75" hidden="false" customHeight="false" outlineLevel="0" collapsed="false">
      <c r="A154" s="85" t="n">
        <v>40238</v>
      </c>
      <c r="B154" s="31" t="n">
        <f aca="false">YEAR(A154)</f>
        <v>2010</v>
      </c>
      <c r="C154" s="31" t="n">
        <f aca="false">MONTH(A154)</f>
        <v>3</v>
      </c>
      <c r="D154" s="86" t="n">
        <v>0.059786747435735</v>
      </c>
      <c r="E154" s="87" t="n">
        <f aca="false">(1+D154/2)^(-2*(DATE($B155,$C155,20)-$E$17)/365.25)</f>
        <v>2.48269198370328</v>
      </c>
      <c r="F154" s="87"/>
      <c r="G154" s="8"/>
      <c r="H154" s="8" t="n">
        <f aca="false">(1+$I$17)*H142</f>
        <v>14178.8564998571</v>
      </c>
      <c r="I154" s="8" t="n">
        <f aca="false">(1+$I$17)*I142</f>
        <v>13199.7327183963</v>
      </c>
      <c r="K154" s="50" t="n">
        <f aca="false">K142</f>
        <v>2263.94623655914</v>
      </c>
      <c r="L154" s="50" t="n">
        <f aca="false">L142</f>
        <v>1258.63037634409</v>
      </c>
      <c r="M154" s="50" t="n">
        <f aca="false">M142</f>
        <v>620.646505376344</v>
      </c>
      <c r="N154" s="50" t="n">
        <f aca="false">N142</f>
        <v>2.58198924731183</v>
      </c>
      <c r="O154" s="50" t="n">
        <f aca="false">SUM(K154:N154)</f>
        <v>4145.80510752688</v>
      </c>
      <c r="P154" s="50" t="n">
        <f aca="false">P142</f>
        <v>2834.39732902856</v>
      </c>
      <c r="Q154" s="50" t="n">
        <f aca="false">O154+P154</f>
        <v>6980.20243655544</v>
      </c>
      <c r="R154" s="8" t="n">
        <f aca="false">H154-O154-P154</f>
        <v>7198.65406330163</v>
      </c>
      <c r="T154" s="9" t="n">
        <f aca="false">$T$18</f>
        <v>48.72</v>
      </c>
      <c r="U154" s="9" t="n">
        <f aca="false">U$18</f>
        <v>23</v>
      </c>
      <c r="V154" s="9" t="n">
        <f aca="false">V$18</f>
        <v>34</v>
      </c>
      <c r="W154" s="9" t="n">
        <f aca="false">W$18</f>
        <v>38</v>
      </c>
      <c r="X154" s="9" t="n">
        <f aca="false">SUMPRODUCT(K154:N154,T154:W154)/O154</f>
        <v>38.7013021388701</v>
      </c>
      <c r="Y154" s="9" t="n">
        <f aca="false">$Y$18/1000*CURVES!K113+$Y$14</f>
        <v>77.4846327284946</v>
      </c>
      <c r="Z154" s="9" t="n">
        <f aca="false">(O154*X154+P154*Y154)/Q154</f>
        <v>54.449752077567</v>
      </c>
      <c r="AA154" s="9" t="n">
        <f aca="false">CHOOSE(AA$18,CURVES!F113,CURVES!G113)</f>
        <v>38.3961094017602</v>
      </c>
      <c r="AB154" s="9" t="n">
        <f aca="false">(Q154*Z154+R154*AA154)/H154</f>
        <v>46.2992626442228</v>
      </c>
      <c r="AD154" s="9"/>
      <c r="AH154" s="50" t="n">
        <f aca="false">AH142</f>
        <v>1891.23873243112</v>
      </c>
      <c r="AI154" s="50" t="n">
        <f aca="false">AI142</f>
        <v>0</v>
      </c>
      <c r="AJ154" s="50" t="n">
        <f aca="false">AJ142</f>
        <v>1966.55049263563</v>
      </c>
      <c r="AK154" s="50" t="n">
        <f aca="false">AK142</f>
        <v>526.073305014923</v>
      </c>
      <c r="AL154" s="50" t="n">
        <f aca="false">SUM(AH154:AK154)</f>
        <v>4383.86253008167</v>
      </c>
      <c r="AM154" s="50" t="n">
        <f aca="false">AM142</f>
        <v>2044.22227284946</v>
      </c>
      <c r="AN154" s="50" t="n">
        <f aca="false">AL154+AM154</f>
        <v>6428.08480293113</v>
      </c>
      <c r="AO154" s="8" t="n">
        <f aca="false">I154-AL154-AM154</f>
        <v>6771.6479154652</v>
      </c>
      <c r="AQ154" s="9" t="n">
        <f aca="false">$AQ$18</f>
        <v>43</v>
      </c>
      <c r="AR154" s="9"/>
      <c r="AS154" s="9" t="n">
        <f aca="false">AS$18</f>
        <v>30</v>
      </c>
      <c r="AT154" s="9" t="n">
        <f aca="false">AT$18</f>
        <v>38</v>
      </c>
      <c r="AU154" s="9" t="n">
        <f aca="false">SUMPRODUCT(AH154:AK154,AQ154:AT154)/AL154</f>
        <v>36.5683377989472</v>
      </c>
      <c r="AV154" s="9" t="n">
        <f aca="false">$Y$18/1000*CURVES!O113+$AV$14</f>
        <v>73.8916192880192</v>
      </c>
      <c r="AW154" s="9" t="n">
        <f aca="false">(AL154*AU154+AM154*AV154)/AN154</f>
        <v>48.4376714581734</v>
      </c>
      <c r="AX154" s="9" t="n">
        <f aca="false">CHOOSE(AX$18,CURVES!B113,CURVES!C113)</f>
        <v>42.2725806451613</v>
      </c>
      <c r="AY154" s="9" t="n">
        <f aca="false">(AN154*AW154+AO154*AX154)/I154</f>
        <v>45.2748934502215</v>
      </c>
    </row>
    <row r="155" customFormat="false" ht="12.75" hidden="false" customHeight="false" outlineLevel="0" collapsed="false">
      <c r="A155" s="85" t="n">
        <v>40269</v>
      </c>
      <c r="B155" s="31" t="n">
        <f aca="false">YEAR(A155)</f>
        <v>2010</v>
      </c>
      <c r="C155" s="31" t="n">
        <f aca="false">MONTH(A155)</f>
        <v>4</v>
      </c>
      <c r="D155" s="86" t="n">
        <v>0.059845775133406</v>
      </c>
      <c r="E155" s="87" t="n">
        <f aca="false">(1+D155/2)^(-2*(DATE($B156,$C156,20)-$E$17)/365.25)</f>
        <v>2.47288326700436</v>
      </c>
      <c r="F155" s="87"/>
      <c r="G155" s="8"/>
      <c r="H155" s="8" t="n">
        <f aca="false">(1+$I$17)*H143</f>
        <v>14241.7725203781</v>
      </c>
      <c r="I155" s="8" t="n">
        <f aca="false">(1+$I$17)*I143</f>
        <v>12894.776678147</v>
      </c>
      <c r="K155" s="50" t="n">
        <f aca="false">K143</f>
        <v>2319.84027777778</v>
      </c>
      <c r="L155" s="50" t="n">
        <f aca="false">L143</f>
        <v>1179.16597222222</v>
      </c>
      <c r="M155" s="50" t="n">
        <f aca="false">M143</f>
        <v>811.586111111111</v>
      </c>
      <c r="N155" s="50" t="n">
        <f aca="false">N143</f>
        <v>3.04166666666667</v>
      </c>
      <c r="O155" s="50" t="n">
        <f aca="false">SUM(K155:N155)</f>
        <v>4313.63402777778</v>
      </c>
      <c r="P155" s="50" t="n">
        <f aca="false">P143</f>
        <v>2923.39459068154</v>
      </c>
      <c r="Q155" s="50" t="n">
        <f aca="false">O155+P155</f>
        <v>7237.02861845932</v>
      </c>
      <c r="R155" s="8" t="n">
        <f aca="false">H155-O155-P155</f>
        <v>7004.74390191877</v>
      </c>
      <c r="T155" s="9" t="n">
        <f aca="false">$T$18</f>
        <v>48.72</v>
      </c>
      <c r="U155" s="9" t="n">
        <f aca="false">U$18</f>
        <v>23</v>
      </c>
      <c r="V155" s="9" t="n">
        <f aca="false">V$18</f>
        <v>34</v>
      </c>
      <c r="W155" s="9" t="n">
        <f aca="false">W$18</f>
        <v>38</v>
      </c>
      <c r="X155" s="9" t="n">
        <f aca="false">SUMPRODUCT(K155:N155,T155:W155)/O155</f>
        <v>38.9121899828918</v>
      </c>
      <c r="Y155" s="9" t="n">
        <f aca="false">$Y$18/1000*CURVES!K114+$Y$14</f>
        <v>76.8231327284946</v>
      </c>
      <c r="Z155" s="9" t="n">
        <f aca="false">(O155*X155+P155*Y155)/Q155</f>
        <v>54.2262989622932</v>
      </c>
      <c r="AA155" s="9" t="n">
        <f aca="false">CHOOSE(AA$18,CURVES!F114,CURVES!G114)</f>
        <v>37.4633333333333</v>
      </c>
      <c r="AB155" s="9" t="n">
        <f aca="false">(Q155*Z155+R155*AA155)/H155</f>
        <v>45.9815189603997</v>
      </c>
      <c r="AD155" s="9"/>
      <c r="AH155" s="50" t="n">
        <f aca="false">AH143</f>
        <v>1937.93108490741</v>
      </c>
      <c r="AI155" s="50" t="n">
        <f aca="false">AI143</f>
        <v>0</v>
      </c>
      <c r="AJ155" s="50" t="n">
        <f aca="false">AJ143</f>
        <v>2070.95002093926</v>
      </c>
      <c r="AK155" s="50" t="n">
        <f aca="false">AK143</f>
        <v>513.919329218532</v>
      </c>
      <c r="AL155" s="50" t="n">
        <f aca="false">SUM(AH155:AK155)</f>
        <v>4522.8004350652</v>
      </c>
      <c r="AM155" s="50" t="n">
        <f aca="false">AM143</f>
        <v>2152.99685890411</v>
      </c>
      <c r="AN155" s="50" t="n">
        <f aca="false">AL155+AM155</f>
        <v>6675.79729396931</v>
      </c>
      <c r="AO155" s="8" t="n">
        <f aca="false">I155-AL155-AM155</f>
        <v>6218.97938417773</v>
      </c>
      <c r="AQ155" s="9" t="n">
        <f aca="false">$AQ$18</f>
        <v>43</v>
      </c>
      <c r="AR155" s="9"/>
      <c r="AS155" s="9" t="n">
        <f aca="false">AS$18</f>
        <v>30</v>
      </c>
      <c r="AT155" s="9" t="n">
        <f aca="false">AT$18</f>
        <v>38</v>
      </c>
      <c r="AU155" s="9" t="n">
        <f aca="false">SUMPRODUCT(AH155:AK155,AQ155:AT155)/AL155</f>
        <v>36.4792729987261</v>
      </c>
      <c r="AV155" s="9" t="n">
        <f aca="false">$Y$18/1000*CURVES!O114+$AV$14</f>
        <v>71.9701192880192</v>
      </c>
      <c r="AW155" s="9" t="n">
        <f aca="false">(AL155*AU155+AM155*AV155)/AN155</f>
        <v>47.9253486082603</v>
      </c>
      <c r="AX155" s="9" t="n">
        <f aca="false">CHOOSE(AX$18,CURVES!B114,CURVES!C114)</f>
        <v>40.3533333333333</v>
      </c>
      <c r="AY155" s="9" t="n">
        <f aca="false">(AN155*AW155+AO155*AX155)/I155</f>
        <v>44.2734662944507</v>
      </c>
    </row>
    <row r="156" customFormat="false" ht="12.75" hidden="false" customHeight="false" outlineLevel="0" collapsed="false">
      <c r="A156" s="85" t="n">
        <v>40299</v>
      </c>
      <c r="B156" s="31" t="n">
        <f aca="false">YEAR(A156)</f>
        <v>2010</v>
      </c>
      <c r="C156" s="31" t="n">
        <f aca="false">MONTH(A156)</f>
        <v>5</v>
      </c>
      <c r="D156" s="86" t="n">
        <v>0.0599028987129</v>
      </c>
      <c r="E156" s="87" t="n">
        <f aca="false">(1+D156/2)^(-2*(DATE($B157,$C157,20)-$E$17)/365.25)</f>
        <v>2.46262252570038</v>
      </c>
      <c r="F156" s="87"/>
      <c r="G156" s="8"/>
      <c r="H156" s="8" t="n">
        <f aca="false">(1+$I$17)*H144</f>
        <v>15049.2643340594</v>
      </c>
      <c r="I156" s="8" t="n">
        <f aca="false">(1+$I$17)*I144</f>
        <v>14045.8706885043</v>
      </c>
      <c r="K156" s="50" t="n">
        <f aca="false">K144</f>
        <v>2226.06720430108</v>
      </c>
      <c r="L156" s="50" t="n">
        <f aca="false">L144</f>
        <v>1023.62634408602</v>
      </c>
      <c r="M156" s="50" t="n">
        <f aca="false">M144</f>
        <v>950.165322580645</v>
      </c>
      <c r="N156" s="50" t="n">
        <f aca="false">N144</f>
        <v>3.30510752688172</v>
      </c>
      <c r="O156" s="50" t="n">
        <f aca="false">SUM(K156:N156)</f>
        <v>4203.16397849462</v>
      </c>
      <c r="P156" s="50" t="n">
        <f aca="false">P144</f>
        <v>2831.51050210493</v>
      </c>
      <c r="Q156" s="50" t="n">
        <f aca="false">O156+P156</f>
        <v>7034.67448059955</v>
      </c>
      <c r="R156" s="8" t="n">
        <f aca="false">H156-O156-P156</f>
        <v>8014.5898534598</v>
      </c>
      <c r="T156" s="9" t="n">
        <f aca="false">$T$18</f>
        <v>48.72</v>
      </c>
      <c r="U156" s="9" t="n">
        <f aca="false">U$18</f>
        <v>23</v>
      </c>
      <c r="V156" s="9" t="n">
        <f aca="false">V$18</f>
        <v>34</v>
      </c>
      <c r="W156" s="9" t="n">
        <f aca="false">W$18</f>
        <v>38</v>
      </c>
      <c r="X156" s="9" t="n">
        <f aca="false">SUMPRODUCT(K156:N156,T156:W156)/O156</f>
        <v>39.1201999261949</v>
      </c>
      <c r="Y156" s="9" t="n">
        <f aca="false">$Y$18/1000*CURVES!K115+$Y$14</f>
        <v>76.5606327284946</v>
      </c>
      <c r="Z156" s="9" t="n">
        <f aca="false">(O156*X156+P156*Y156)/Q156</f>
        <v>54.1902616576128</v>
      </c>
      <c r="AA156" s="9" t="n">
        <f aca="false">CHOOSE(AA$18,CURVES!F115,CURVES!G115)</f>
        <v>36.4324855077456</v>
      </c>
      <c r="AB156" s="9" t="n">
        <f aca="false">(Q156*Z156+R156*AA156)/H156</f>
        <v>44.7332350952821</v>
      </c>
      <c r="AD156" s="9"/>
      <c r="AH156" s="50" t="n">
        <f aca="false">AH144</f>
        <v>1895.25910320262</v>
      </c>
      <c r="AI156" s="50" t="n">
        <f aca="false">AI144</f>
        <v>0</v>
      </c>
      <c r="AJ156" s="50" t="n">
        <f aca="false">AJ144</f>
        <v>1877.63033247346</v>
      </c>
      <c r="AK156" s="50" t="n">
        <f aca="false">AK144</f>
        <v>570.53181663935</v>
      </c>
      <c r="AL156" s="50" t="n">
        <f aca="false">SUM(AH156:AK156)</f>
        <v>4343.42125231544</v>
      </c>
      <c r="AM156" s="50" t="n">
        <f aca="false">AM144</f>
        <v>2186.84183198925</v>
      </c>
      <c r="AN156" s="50" t="n">
        <f aca="false">AL156+AM156</f>
        <v>6530.26308430469</v>
      </c>
      <c r="AO156" s="8" t="n">
        <f aca="false">I156-AL156-AM156</f>
        <v>7515.60760419963</v>
      </c>
      <c r="AQ156" s="9" t="n">
        <f aca="false">$AQ$18</f>
        <v>43</v>
      </c>
      <c r="AR156" s="9"/>
      <c r="AS156" s="9" t="n">
        <f aca="false">AS$18</f>
        <v>30</v>
      </c>
      <c r="AT156" s="9" t="n">
        <f aca="false">AT$18</f>
        <v>38</v>
      </c>
      <c r="AU156" s="9" t="n">
        <f aca="false">SUMPRODUCT(AH156:AK156,AQ156:AT156)/AL156</f>
        <v>36.7234148332219</v>
      </c>
      <c r="AV156" s="9" t="n">
        <f aca="false">$Y$18/1000*CURVES!O115+$AV$14</f>
        <v>71.7076192880192</v>
      </c>
      <c r="AW156" s="9" t="n">
        <f aca="false">(AL156*AU156+AM156*AV156)/AN156</f>
        <v>48.4388573464788</v>
      </c>
      <c r="AX156" s="9" t="n">
        <f aca="false">CHOOSE(AX$18,CURVES!B115,CURVES!C115)</f>
        <v>39.8639784946237</v>
      </c>
      <c r="AY156" s="9" t="n">
        <f aca="false">(AN156*AW156+AO156*AX156)/I156</f>
        <v>43.8506458974842</v>
      </c>
    </row>
    <row r="157" customFormat="false" ht="12.75" hidden="false" customHeight="false" outlineLevel="0" collapsed="false">
      <c r="A157" s="85" t="n">
        <v>40330</v>
      </c>
      <c r="B157" s="31" t="n">
        <f aca="false">YEAR(A157)</f>
        <v>2010</v>
      </c>
      <c r="C157" s="31" t="n">
        <f aca="false">MONTH(A157)</f>
        <v>6</v>
      </c>
      <c r="D157" s="86" t="n">
        <v>0.059961926412849</v>
      </c>
      <c r="E157" s="87" t="n">
        <f aca="false">(1+D157/2)^(-2*(DATE($B158,$C158,20)-$E$17)/365.25)</f>
        <v>2.45284678046411</v>
      </c>
      <c r="F157" s="87"/>
      <c r="G157" s="8"/>
      <c r="H157" s="8" t="n">
        <f aca="false">(1+$I$17)*H145</f>
        <v>16631.2728986793</v>
      </c>
      <c r="I157" s="8" t="n">
        <f aca="false">(1+$I$17)*I145</f>
        <v>15838.4936116481</v>
      </c>
      <c r="K157" s="50" t="n">
        <f aca="false">K145</f>
        <v>2252.13333333333</v>
      </c>
      <c r="L157" s="50" t="n">
        <f aca="false">L145</f>
        <v>1398.39166666667</v>
      </c>
      <c r="M157" s="50" t="n">
        <f aca="false">M145</f>
        <v>957.040277777778</v>
      </c>
      <c r="N157" s="50" t="n">
        <f aca="false">N145</f>
        <v>3.52638888888889</v>
      </c>
      <c r="O157" s="50" t="n">
        <f aca="false">SUM(K157:N157)</f>
        <v>4611.09166666667</v>
      </c>
      <c r="P157" s="50" t="n">
        <f aca="false">P145</f>
        <v>3175.74117813466</v>
      </c>
      <c r="Q157" s="50" t="n">
        <f aca="false">O157+P157</f>
        <v>7786.83284480132</v>
      </c>
      <c r="R157" s="8" t="n">
        <f aca="false">H157-O157-P157</f>
        <v>8844.44005387799</v>
      </c>
      <c r="T157" s="9" t="n">
        <f aca="false">$T$18</f>
        <v>48.72</v>
      </c>
      <c r="U157" s="9" t="n">
        <f aca="false">U$18</f>
        <v>23</v>
      </c>
      <c r="V157" s="9" t="n">
        <f aca="false">V$18</f>
        <v>34</v>
      </c>
      <c r="W157" s="9" t="n">
        <f aca="false">W$18</f>
        <v>38</v>
      </c>
      <c r="X157" s="9" t="n">
        <f aca="false">SUMPRODUCT(K157:N157,T157:W157)/O157</f>
        <v>37.8566138290945</v>
      </c>
      <c r="Y157" s="9" t="n">
        <f aca="false">$Y$18/1000*CURVES!K116+$Y$14</f>
        <v>76.8651327284946</v>
      </c>
      <c r="Z157" s="9" t="n">
        <f aca="false">(O157*X157+P157*Y157)/Q157</f>
        <v>53.7656441416656</v>
      </c>
      <c r="AA157" s="9" t="n">
        <f aca="false">CHOOSE(AA$18,CURVES!F116,CURVES!G116)</f>
        <v>47.886822203435</v>
      </c>
      <c r="AB157" s="9" t="n">
        <f aca="false">(Q157*Z157+R157*AA157)/H157</f>
        <v>50.639311687327</v>
      </c>
      <c r="AD157" s="9"/>
      <c r="AH157" s="50" t="n">
        <f aca="false">AH145</f>
        <v>1881.37055634004</v>
      </c>
      <c r="AI157" s="50" t="n">
        <f aca="false">AI145</f>
        <v>0</v>
      </c>
      <c r="AJ157" s="50" t="n">
        <f aca="false">AJ145</f>
        <v>1162.16168617347</v>
      </c>
      <c r="AK157" s="50" t="n">
        <f aca="false">AK145</f>
        <v>631.240712103584</v>
      </c>
      <c r="AL157" s="50" t="n">
        <f aca="false">SUM(AH157:AK157)</f>
        <v>3674.77295461709</v>
      </c>
      <c r="AM157" s="50" t="n">
        <f aca="false">AM145</f>
        <v>2754.04614109589</v>
      </c>
      <c r="AN157" s="50" t="n">
        <f aca="false">AL157+AM157</f>
        <v>6428.81909571298</v>
      </c>
      <c r="AO157" s="8" t="n">
        <f aca="false">I157-AL157-AM157</f>
        <v>9409.67451593516</v>
      </c>
      <c r="AQ157" s="9" t="n">
        <f aca="false">$AQ$18</f>
        <v>43</v>
      </c>
      <c r="AR157" s="9"/>
      <c r="AS157" s="9" t="n">
        <f aca="false">AS$18</f>
        <v>30</v>
      </c>
      <c r="AT157" s="9" t="n">
        <f aca="false">AT$18</f>
        <v>38</v>
      </c>
      <c r="AU157" s="9" t="n">
        <f aca="false">SUMPRODUCT(AH157:AK157,AQ157:AT157)/AL157</f>
        <v>38.0298138942638</v>
      </c>
      <c r="AV157" s="9" t="n">
        <f aca="false">$Y$18/1000*CURVES!O116+$AV$14</f>
        <v>72.0121192880192</v>
      </c>
      <c r="AW157" s="9" t="n">
        <f aca="false">(AL157*AU157+AM157*AV157)/AN157</f>
        <v>52.5875165830241</v>
      </c>
      <c r="AX157" s="9" t="n">
        <f aca="false">CHOOSE(AX$18,CURVES!B116,CURVES!C116)</f>
        <v>45.5644444444444</v>
      </c>
      <c r="AY157" s="9" t="n">
        <f aca="false">(AN157*AW157+AO157*AX157)/I157</f>
        <v>48.4150981355168</v>
      </c>
    </row>
    <row r="158" customFormat="false" ht="12.75" hidden="false" customHeight="false" outlineLevel="0" collapsed="false">
      <c r="A158" s="85" t="n">
        <v>40360</v>
      </c>
      <c r="B158" s="31" t="n">
        <f aca="false">YEAR(A158)</f>
        <v>2010</v>
      </c>
      <c r="C158" s="31" t="n">
        <f aca="false">MONTH(A158)</f>
        <v>7</v>
      </c>
      <c r="D158" s="86" t="n">
        <v>0.060019049994547</v>
      </c>
      <c r="E158" s="87" t="n">
        <f aca="false">(1+D158/2)^(-2*(DATE($B159,$C159,20)-$E$17)/365.25)</f>
        <v>2.44262305577274</v>
      </c>
      <c r="F158" s="87"/>
      <c r="G158" s="8"/>
      <c r="H158" s="8" t="n">
        <f aca="false">(1+$I$17)*H146</f>
        <v>16414.9442038459</v>
      </c>
      <c r="I158" s="8" t="n">
        <f aca="false">(1+$I$17)*I146</f>
        <v>15035.3351998741</v>
      </c>
      <c r="K158" s="50" t="n">
        <f aca="false">K146</f>
        <v>2248.45698924731</v>
      </c>
      <c r="L158" s="50" t="n">
        <f aca="false">L146</f>
        <v>1358.32258064516</v>
      </c>
      <c r="M158" s="50" t="n">
        <f aca="false">M146</f>
        <v>653.551075268817</v>
      </c>
      <c r="N158" s="50" t="n">
        <f aca="false">N146</f>
        <v>3.83736559139785</v>
      </c>
      <c r="O158" s="50" t="n">
        <f aca="false">SUM(K158:N158)</f>
        <v>4264.16801075269</v>
      </c>
      <c r="P158" s="50" t="n">
        <f aca="false">P146</f>
        <v>3349.38956238808</v>
      </c>
      <c r="Q158" s="50" t="n">
        <f aca="false">O158+P158</f>
        <v>7613.55757314076</v>
      </c>
      <c r="R158" s="8" t="n">
        <f aca="false">H158-O158-P158</f>
        <v>8801.3866307051</v>
      </c>
      <c r="T158" s="9" t="n">
        <f aca="false">$T$18</f>
        <v>48.72</v>
      </c>
      <c r="U158" s="9" t="n">
        <f aca="false">U$18</f>
        <v>23</v>
      </c>
      <c r="V158" s="9" t="n">
        <f aca="false">V$18</f>
        <v>34</v>
      </c>
      <c r="W158" s="9" t="n">
        <f aca="false">W$18</f>
        <v>38</v>
      </c>
      <c r="X158" s="9" t="n">
        <f aca="false">SUMPRODUCT(K158:N158,T158:W158)/O158</f>
        <v>38.2613442789234</v>
      </c>
      <c r="Y158" s="9" t="n">
        <f aca="false">$Y$18/1000*CURVES!K117+$Y$14</f>
        <v>77.1801327284946</v>
      </c>
      <c r="Z158" s="9" t="n">
        <f aca="false">(O158*X158+P158*Y158)/Q158</f>
        <v>55.3826679914608</v>
      </c>
      <c r="AA158" s="9" t="n">
        <f aca="false">CHOOSE(AA$18,CURVES!F117,CURVES!G117)</f>
        <v>59.3768817204301</v>
      </c>
      <c r="AB158" s="9" t="n">
        <f aca="false">(Q158*Z158+R158*AA158)/H158</f>
        <v>57.5242908247625</v>
      </c>
      <c r="AD158" s="9"/>
      <c r="AH158" s="50" t="n">
        <f aca="false">AH146</f>
        <v>1914.32162011861</v>
      </c>
      <c r="AI158" s="50" t="n">
        <f aca="false">AI146</f>
        <v>0</v>
      </c>
      <c r="AJ158" s="50" t="n">
        <f aca="false">AJ146</f>
        <v>1193.33197430598</v>
      </c>
      <c r="AK158" s="50" t="n">
        <f aca="false">AK146</f>
        <v>610.723058442111</v>
      </c>
      <c r="AL158" s="50" t="n">
        <f aca="false">SUM(AH158:AK158)</f>
        <v>3718.37665286669</v>
      </c>
      <c r="AM158" s="50" t="n">
        <f aca="false">AM146</f>
        <v>2586.73186021505</v>
      </c>
      <c r="AN158" s="50" t="n">
        <f aca="false">AL158+AM158</f>
        <v>6305.10851308175</v>
      </c>
      <c r="AO158" s="8" t="n">
        <f aca="false">I158-AL158-AM158</f>
        <v>8730.22668679238</v>
      </c>
      <c r="AQ158" s="9" t="n">
        <f aca="false">$AQ$18</f>
        <v>43</v>
      </c>
      <c r="AR158" s="9"/>
      <c r="AS158" s="9" t="n">
        <f aca="false">AS$18</f>
        <v>30</v>
      </c>
      <c r="AT158" s="9" t="n">
        <f aca="false">AT$18</f>
        <v>38</v>
      </c>
      <c r="AU158" s="9" t="n">
        <f aca="false">SUMPRODUCT(AH158:AK158,AQ158:AT158)/AL158</f>
        <v>38.0067105375476</v>
      </c>
      <c r="AV158" s="9" t="n">
        <f aca="false">$Y$18/1000*CURVES!O117+$AV$14</f>
        <v>72.3271192880192</v>
      </c>
      <c r="AW158" s="9" t="n">
        <f aca="false">(AL158*AU158+AM158*AV158)/AN158</f>
        <v>52.0869907716235</v>
      </c>
      <c r="AX158" s="9" t="n">
        <f aca="false">CHOOSE(AX$18,CURVES!B117,CURVES!C117)</f>
        <v>57.5311827956989</v>
      </c>
      <c r="AY158" s="9" t="n">
        <f aca="false">(AN158*AW158+AO158*AX158)/I158</f>
        <v>55.2481461342923</v>
      </c>
    </row>
    <row r="159" customFormat="false" ht="12.75" hidden="false" customHeight="false" outlineLevel="0" collapsed="false">
      <c r="A159" s="85" t="n">
        <v>40391</v>
      </c>
      <c r="B159" s="31" t="n">
        <f aca="false">YEAR(A159)</f>
        <v>2010</v>
      </c>
      <c r="C159" s="31" t="n">
        <f aca="false">MONTH(A159)</f>
        <v>8</v>
      </c>
      <c r="D159" s="86" t="n">
        <v>0.060078077696774</v>
      </c>
      <c r="E159" s="87" t="n">
        <f aca="false">(1+D159/2)^(-2*(DATE($B160,$C160,20)-$E$17)/365.25)</f>
        <v>2.4324865152927</v>
      </c>
      <c r="F159" s="87"/>
      <c r="G159" s="8"/>
      <c r="H159" s="8" t="n">
        <f aca="false">(1+$I$17)*H147</f>
        <v>17602.92378618</v>
      </c>
      <c r="I159" s="8" t="n">
        <f aca="false">(1+$I$17)*I147</f>
        <v>15594.1304689299</v>
      </c>
      <c r="K159" s="50" t="n">
        <f aca="false">K147</f>
        <v>2226.06586021505</v>
      </c>
      <c r="L159" s="50" t="n">
        <f aca="false">L147</f>
        <v>1361.98924731183</v>
      </c>
      <c r="M159" s="50" t="n">
        <f aca="false">M147</f>
        <v>483.364247311828</v>
      </c>
      <c r="N159" s="50" t="n">
        <f aca="false">N147</f>
        <v>3.9247311827957</v>
      </c>
      <c r="O159" s="50" t="n">
        <f aca="false">SUM(K159:N159)</f>
        <v>4075.34408602151</v>
      </c>
      <c r="P159" s="50" t="n">
        <f aca="false">P147</f>
        <v>3426.25292884001</v>
      </c>
      <c r="Q159" s="50" t="n">
        <f aca="false">O159+P159</f>
        <v>7501.59701486152</v>
      </c>
      <c r="R159" s="8" t="n">
        <f aca="false">H159-O159-P159</f>
        <v>10101.3267713185</v>
      </c>
      <c r="T159" s="9" t="n">
        <f aca="false">$T$18</f>
        <v>48.72</v>
      </c>
      <c r="U159" s="9" t="n">
        <f aca="false">U$18</f>
        <v>23</v>
      </c>
      <c r="V159" s="9" t="n">
        <f aca="false">V$18</f>
        <v>34</v>
      </c>
      <c r="W159" s="9" t="n">
        <f aca="false">W$18</f>
        <v>38</v>
      </c>
      <c r="X159" s="9" t="n">
        <f aca="false">SUMPRODUCT(K159:N159,T159:W159)/O159</f>
        <v>38.3680990588564</v>
      </c>
      <c r="Y159" s="9" t="n">
        <f aca="false">$Y$18/1000*CURVES!K118+$Y$14</f>
        <v>77.3901327284946</v>
      </c>
      <c r="Z159" s="9" t="n">
        <f aca="false">(O159*X159+P159*Y159)/Q159</f>
        <v>56.1908849116579</v>
      </c>
      <c r="AA159" s="9" t="n">
        <f aca="false">CHOOSE(AA$18,CURVES!F118,CURVES!G118)</f>
        <v>63.2662367683432</v>
      </c>
      <c r="AB159" s="9" t="n">
        <f aca="false">(Q159*Z159+R159*AA159)/H159</f>
        <v>60.2510309416341</v>
      </c>
      <c r="AD159" s="9"/>
      <c r="AH159" s="50" t="n">
        <f aca="false">AH147</f>
        <v>1859.59450264151</v>
      </c>
      <c r="AI159" s="50" t="n">
        <f aca="false">AI147</f>
        <v>0</v>
      </c>
      <c r="AJ159" s="50" t="n">
        <f aca="false">AJ147</f>
        <v>1584.50880376937</v>
      </c>
      <c r="AK159" s="50" t="n">
        <f aca="false">AK147</f>
        <v>621.501656862376</v>
      </c>
      <c r="AL159" s="50" t="n">
        <f aca="false">SUM(AH159:AK159)</f>
        <v>4065.60496327325</v>
      </c>
      <c r="AM159" s="50" t="n">
        <f aca="false">AM147</f>
        <v>2208.28901612903</v>
      </c>
      <c r="AN159" s="50" t="n">
        <f aca="false">AL159+AM159</f>
        <v>6273.89397940229</v>
      </c>
      <c r="AO159" s="8" t="n">
        <f aca="false">I159-AL159-AM159</f>
        <v>9320.23648952758</v>
      </c>
      <c r="AQ159" s="9" t="n">
        <f aca="false">$AQ$18</f>
        <v>43</v>
      </c>
      <c r="AR159" s="9"/>
      <c r="AS159" s="9" t="n">
        <f aca="false">AS$18</f>
        <v>30</v>
      </c>
      <c r="AT159" s="9" t="n">
        <f aca="false">AT$18</f>
        <v>38</v>
      </c>
      <c r="AU159" s="9" t="n">
        <f aca="false">SUMPRODUCT(AH159:AK159,AQ159:AT159)/AL159</f>
        <v>37.1691032583186</v>
      </c>
      <c r="AV159" s="9" t="n">
        <f aca="false">$Y$18/1000*CURVES!O118+$AV$14</f>
        <v>72.5371192880192</v>
      </c>
      <c r="AW159" s="9" t="n">
        <f aca="false">(AL159*AU159+AM159*AV159)/AN159</f>
        <v>49.6179590370553</v>
      </c>
      <c r="AX159" s="9" t="n">
        <f aca="false">CHOOSE(AX$18,CURVES!B118,CURVES!C118)</f>
        <v>66.0715053763441</v>
      </c>
      <c r="AY159" s="9" t="n">
        <f aca="false">(AN159*AW159+AO159*AX159)/I159</f>
        <v>59.4518477094062</v>
      </c>
    </row>
    <row r="160" customFormat="false" ht="12.75" hidden="false" customHeight="false" outlineLevel="0" collapsed="false">
      <c r="A160" s="85" t="n">
        <v>40422</v>
      </c>
      <c r="B160" s="31" t="n">
        <f aca="false">YEAR(A160)</f>
        <v>2010</v>
      </c>
      <c r="C160" s="31" t="n">
        <f aca="false">MONTH(A160)</f>
        <v>9</v>
      </c>
      <c r="D160" s="86" t="n">
        <v>0.06013710540016</v>
      </c>
      <c r="E160" s="87" t="n">
        <f aca="false">(1+D160/2)^(-2*(DATE($B161,$C161,20)-$E$17)/365.25)</f>
        <v>2.4227614040285</v>
      </c>
      <c r="F160" s="87"/>
      <c r="G160" s="8"/>
      <c r="H160" s="8" t="n">
        <f aca="false">(1+$I$17)*H148</f>
        <v>15944.9334338731</v>
      </c>
      <c r="I160" s="8" t="n">
        <f aca="false">(1+$I$17)*I148</f>
        <v>14688.6696862685</v>
      </c>
      <c r="K160" s="50" t="n">
        <f aca="false">K148</f>
        <v>2263.63333333333</v>
      </c>
      <c r="L160" s="50" t="n">
        <f aca="false">L148</f>
        <v>1380.73611111111</v>
      </c>
      <c r="M160" s="50" t="n">
        <f aca="false">M148</f>
        <v>542.602777777778</v>
      </c>
      <c r="N160" s="50" t="n">
        <f aca="false">N148</f>
        <v>3.41944444444444</v>
      </c>
      <c r="O160" s="50" t="n">
        <f aca="false">SUM(K160:N160)</f>
        <v>4190.39166666667</v>
      </c>
      <c r="P160" s="50" t="n">
        <f aca="false">P148</f>
        <v>3348.13393235473</v>
      </c>
      <c r="Q160" s="50" t="n">
        <f aca="false">O160+P160</f>
        <v>7538.52559902139</v>
      </c>
      <c r="R160" s="8" t="n">
        <f aca="false">H160-O160-P160</f>
        <v>8406.40783485168</v>
      </c>
      <c r="T160" s="9" t="n">
        <f aca="false">$T$18</f>
        <v>48.72</v>
      </c>
      <c r="U160" s="9" t="n">
        <f aca="false">U$18</f>
        <v>23</v>
      </c>
      <c r="V160" s="9" t="n">
        <f aca="false">V$18</f>
        <v>34</v>
      </c>
      <c r="W160" s="9" t="n">
        <f aca="false">W$18</f>
        <v>38</v>
      </c>
      <c r="X160" s="9" t="n">
        <f aca="false">SUMPRODUCT(K160:N160,T160:W160)/O160</f>
        <v>38.3304456159959</v>
      </c>
      <c r="Y160" s="9" t="n">
        <f aca="false">$Y$18/1000*CURVES!K119+$Y$14</f>
        <v>77.6106327284946</v>
      </c>
      <c r="Z160" s="9" t="n">
        <f aca="false">(O160*X160+P160*Y160)/Q160</f>
        <v>55.7762081345542</v>
      </c>
      <c r="AA160" s="9" t="n">
        <f aca="false">CHOOSE(AA$18,CURVES!F119,CURVES!G119)</f>
        <v>57.8225429429051</v>
      </c>
      <c r="AB160" s="9" t="n">
        <f aca="false">(Q160*Z160+R160*AA160)/H160</f>
        <v>56.8550665090336</v>
      </c>
      <c r="AD160" s="9"/>
      <c r="AH160" s="50" t="n">
        <f aca="false">AH148</f>
        <v>1890.97734163897</v>
      </c>
      <c r="AI160" s="50" t="n">
        <f aca="false">AI148</f>
        <v>0</v>
      </c>
      <c r="AJ160" s="50" t="n">
        <f aca="false">AJ148</f>
        <v>765.820605438213</v>
      </c>
      <c r="AK160" s="50" t="n">
        <f aca="false">AK148</f>
        <v>570.922545092046</v>
      </c>
      <c r="AL160" s="50" t="n">
        <f aca="false">SUM(AH160:AK160)</f>
        <v>3227.72049216923</v>
      </c>
      <c r="AM160" s="50" t="n">
        <f aca="false">AM148</f>
        <v>2371.57693150685</v>
      </c>
      <c r="AN160" s="50" t="n">
        <f aca="false">AL160+AM160</f>
        <v>5599.29742367608</v>
      </c>
      <c r="AO160" s="8" t="n">
        <f aca="false">I160-AL160-AM160</f>
        <v>9089.37226259245</v>
      </c>
      <c r="AQ160" s="9" t="n">
        <f aca="false">$AQ$18</f>
        <v>43</v>
      </c>
      <c r="AR160" s="9"/>
      <c r="AS160" s="9" t="n">
        <f aca="false">AS$18</f>
        <v>30</v>
      </c>
      <c r="AT160" s="9" t="n">
        <f aca="false">AT$18</f>
        <v>38</v>
      </c>
      <c r="AU160" s="9" t="n">
        <f aca="false">SUMPRODUCT(AH160:AK160,AQ160:AT160)/AL160</f>
        <v>39.0311679319086</v>
      </c>
      <c r="AV160" s="9" t="n">
        <f aca="false">$Y$18/1000*CURVES!O119+$AV$14</f>
        <v>72.7576192880192</v>
      </c>
      <c r="AW160" s="9" t="n">
        <f aca="false">(AL160*AU160+AM160*AV160)/AN160</f>
        <v>53.3159733218726</v>
      </c>
      <c r="AX160" s="9" t="n">
        <f aca="false">CHOOSE(AX$18,CURVES!B119,CURVES!C119)</f>
        <v>58.1888888888889</v>
      </c>
      <c r="AY160" s="9" t="n">
        <f aca="false">(AN160*AW160+AO160*AX160)/I160</f>
        <v>56.3313412577585</v>
      </c>
    </row>
    <row r="161" customFormat="false" ht="12.75" hidden="false" customHeight="false" outlineLevel="0" collapsed="false">
      <c r="A161" s="85" t="n">
        <v>40452</v>
      </c>
      <c r="B161" s="31" t="n">
        <f aca="false">YEAR(A161)</f>
        <v>2010</v>
      </c>
      <c r="C161" s="31" t="n">
        <f aca="false">MONTH(A161)</f>
        <v>10</v>
      </c>
      <c r="D161" s="86" t="n">
        <v>0.060194228985183</v>
      </c>
      <c r="E161" s="87" t="n">
        <f aca="false">(1+D161/2)^(-2*(DATE($B162,$C162,20)-$E$17)/365.25)</f>
        <v>2.41259438112739</v>
      </c>
      <c r="F161" s="87"/>
      <c r="G161" s="8"/>
      <c r="H161" s="8" t="n">
        <f aca="false">(1+$I$17)*H149</f>
        <v>14812.8265892272</v>
      </c>
      <c r="I161" s="8" t="n">
        <f aca="false">(1+$I$17)*I149</f>
        <v>12714.1031714739</v>
      </c>
      <c r="K161" s="50" t="n">
        <f aca="false">K149</f>
        <v>2069.29166666667</v>
      </c>
      <c r="L161" s="50" t="n">
        <f aca="false">L149</f>
        <v>1227.52419354839</v>
      </c>
      <c r="M161" s="50" t="n">
        <f aca="false">M149</f>
        <v>369.340053763441</v>
      </c>
      <c r="N161" s="50" t="n">
        <f aca="false">N149</f>
        <v>3.27822580645161</v>
      </c>
      <c r="O161" s="50" t="n">
        <f aca="false">SUM(K161:N161)</f>
        <v>3669.43413978495</v>
      </c>
      <c r="P161" s="50" t="n">
        <f aca="false">P149</f>
        <v>3171.07549498463</v>
      </c>
      <c r="Q161" s="50" t="n">
        <f aca="false">O161+P161</f>
        <v>6840.50963476957</v>
      </c>
      <c r="R161" s="8" t="n">
        <f aca="false">H161-O161-P161</f>
        <v>7972.31695445761</v>
      </c>
      <c r="T161" s="9" t="n">
        <f aca="false">$T$18</f>
        <v>48.72</v>
      </c>
      <c r="U161" s="9" t="n">
        <f aca="false">U$18</f>
        <v>23</v>
      </c>
      <c r="V161" s="9" t="n">
        <f aca="false">V$18</f>
        <v>34</v>
      </c>
      <c r="W161" s="9" t="n">
        <f aca="false">W$18</f>
        <v>38</v>
      </c>
      <c r="X161" s="9" t="n">
        <f aca="false">SUMPRODUCT(K161:N161,T161:W161)/O161</f>
        <v>38.624778497461</v>
      </c>
      <c r="Y161" s="9" t="n">
        <f aca="false">$Y$18/1000*CURVES!K120+$Y$14</f>
        <v>77.9256327284946</v>
      </c>
      <c r="Z161" s="9" t="n">
        <f aca="false">(O161*X161+P161*Y161)/Q161</f>
        <v>56.8435929481466</v>
      </c>
      <c r="AA161" s="9" t="n">
        <f aca="false">CHOOSE(AA$18,CURVES!F120,CURVES!G120)</f>
        <v>45.6112903225806</v>
      </c>
      <c r="AB161" s="9" t="n">
        <f aca="false">(Q161*Z161+R161*AA161)/H161</f>
        <v>50.798326967343</v>
      </c>
      <c r="AD161" s="9"/>
      <c r="AH161" s="50" t="n">
        <f aca="false">AH149</f>
        <v>1913.83994918903</v>
      </c>
      <c r="AI161" s="50" t="n">
        <f aca="false">AI149</f>
        <v>0</v>
      </c>
      <c r="AJ161" s="50" t="n">
        <f aca="false">AJ149</f>
        <v>1075.38011608834</v>
      </c>
      <c r="AK161" s="50" t="n">
        <f aca="false">AK149</f>
        <v>576.385560502926</v>
      </c>
      <c r="AL161" s="50" t="n">
        <f aca="false">SUM(AH161:AK161)</f>
        <v>3565.6056257803</v>
      </c>
      <c r="AM161" s="50" t="n">
        <f aca="false">AM149</f>
        <v>2259.71325</v>
      </c>
      <c r="AN161" s="50" t="n">
        <f aca="false">AL161+AM161</f>
        <v>5825.3188757803</v>
      </c>
      <c r="AO161" s="8" t="n">
        <f aca="false">I161-AL161-AM161</f>
        <v>6888.78429569362</v>
      </c>
      <c r="AQ161" s="9" t="n">
        <f aca="false">$AQ$18</f>
        <v>43</v>
      </c>
      <c r="AR161" s="9"/>
      <c r="AS161" s="9" t="n">
        <f aca="false">AS$18</f>
        <v>30</v>
      </c>
      <c r="AT161" s="9" t="n">
        <f aca="false">AT$18</f>
        <v>38</v>
      </c>
      <c r="AU161" s="9" t="n">
        <f aca="false">SUMPRODUCT(AH161:AK161,AQ161:AT161)/AL161</f>
        <v>38.2709662589303</v>
      </c>
      <c r="AV161" s="9" t="n">
        <f aca="false">$Y$18/1000*CURVES!O120+$AV$14</f>
        <v>73.0726192880192</v>
      </c>
      <c r="AW161" s="9" t="n">
        <f aca="false">(AL161*AU161+AM161*AV161)/AN161</f>
        <v>51.7709579587324</v>
      </c>
      <c r="AX161" s="9" t="n">
        <f aca="false">CHOOSE(AX$18,CURVES!B120,CURVES!C120)</f>
        <v>44.447311827957</v>
      </c>
      <c r="AY161" s="9" t="n">
        <f aca="false">(AN161*AW161+AO161*AX161)/I161</f>
        <v>47.8028433561942</v>
      </c>
    </row>
    <row r="162" customFormat="false" ht="12.75" hidden="false" customHeight="false" outlineLevel="0" collapsed="false">
      <c r="A162" s="85" t="n">
        <v>40483</v>
      </c>
      <c r="B162" s="31" t="n">
        <f aca="false">YEAR(A162)</f>
        <v>2010</v>
      </c>
      <c r="C162" s="31" t="n">
        <f aca="false">MONTH(A162)</f>
        <v>11</v>
      </c>
      <c r="D162" s="86" t="n">
        <v>0.060253256690845</v>
      </c>
      <c r="E162" s="87" t="n">
        <f aca="false">(1+D162/2)^(-2*(DATE($B163,$C163,20)-$E$17)/365.25)</f>
        <v>2.40290343193729</v>
      </c>
      <c r="F162" s="87"/>
      <c r="G162" s="8"/>
      <c r="H162" s="8" t="n">
        <f aca="false">(1+$I$17)*H150</f>
        <v>14489.870436209</v>
      </c>
      <c r="I162" s="8" t="n">
        <f aca="false">(1+$I$17)*I150</f>
        <v>12907.0920764616</v>
      </c>
      <c r="K162" s="50" t="n">
        <f aca="false">K150</f>
        <v>2201.15833333333</v>
      </c>
      <c r="L162" s="50" t="n">
        <f aca="false">L150</f>
        <v>1270.02777777778</v>
      </c>
      <c r="M162" s="50" t="n">
        <f aca="false">M150</f>
        <v>241.311111111111</v>
      </c>
      <c r="N162" s="50" t="n">
        <f aca="false">N150</f>
        <v>3.11944444444444</v>
      </c>
      <c r="O162" s="50" t="n">
        <f aca="false">SUM(K162:N162)</f>
        <v>3715.61666666667</v>
      </c>
      <c r="P162" s="50" t="n">
        <f aca="false">P150</f>
        <v>3029.03315829808</v>
      </c>
      <c r="Q162" s="50" t="n">
        <f aca="false">O162+P162</f>
        <v>6744.64982496475</v>
      </c>
      <c r="R162" s="8" t="n">
        <f aca="false">H162-O162-P162</f>
        <v>7745.22061124421</v>
      </c>
      <c r="T162" s="9" t="n">
        <f aca="false">$T$18</f>
        <v>48.72</v>
      </c>
      <c r="U162" s="9" t="n">
        <f aca="false">U$18</f>
        <v>23</v>
      </c>
      <c r="V162" s="9" t="n">
        <f aca="false">V$18</f>
        <v>34</v>
      </c>
      <c r="W162" s="9" t="n">
        <f aca="false">W$18</f>
        <v>38</v>
      </c>
      <c r="X162" s="9" t="n">
        <f aca="false">SUMPRODUCT(K162:N162,T162:W162)/O162</f>
        <v>38.9637044247179</v>
      </c>
      <c r="Y162" s="9" t="n">
        <f aca="false">$Y$18/1000*CURVES!K121+$Y$14</f>
        <v>78.1356327284946</v>
      </c>
      <c r="Z162" s="9" t="n">
        <f aca="false">(O162*X162+P162*Y162)/Q162</f>
        <v>56.5558808587606</v>
      </c>
      <c r="AA162" s="9" t="n">
        <f aca="false">CHOOSE(AA$18,CURVES!F121,CURVES!G121)</f>
        <v>37.8861758350751</v>
      </c>
      <c r="AB162" s="9" t="n">
        <f aca="false">(Q162*Z162+R162*AA162)/H162</f>
        <v>46.5764276406039</v>
      </c>
      <c r="AD162" s="9"/>
      <c r="AH162" s="50" t="n">
        <f aca="false">AH150</f>
        <v>1838.78743628671</v>
      </c>
      <c r="AI162" s="50" t="n">
        <f aca="false">AI150</f>
        <v>0</v>
      </c>
      <c r="AJ162" s="50" t="n">
        <f aca="false">AJ150</f>
        <v>1347.87918472112</v>
      </c>
      <c r="AK162" s="50" t="n">
        <f aca="false">AK150</f>
        <v>499.439112514422</v>
      </c>
      <c r="AL162" s="50" t="n">
        <f aca="false">SUM(AH162:AK162)</f>
        <v>3686.10573352225</v>
      </c>
      <c r="AM162" s="50" t="n">
        <f aca="false">AM150</f>
        <v>2451.23764109589</v>
      </c>
      <c r="AN162" s="50" t="n">
        <f aca="false">AL162+AM162</f>
        <v>6137.34337461814</v>
      </c>
      <c r="AO162" s="8" t="n">
        <f aca="false">I162-AL162-AM162</f>
        <v>6769.74870184348</v>
      </c>
      <c r="AQ162" s="9" t="n">
        <f aca="false">$AQ$18</f>
        <v>43</v>
      </c>
      <c r="AR162" s="9"/>
      <c r="AS162" s="9" t="n">
        <f aca="false">AS$18</f>
        <v>30</v>
      </c>
      <c r="AT162" s="9" t="n">
        <f aca="false">AT$18</f>
        <v>38</v>
      </c>
      <c r="AU162" s="9" t="n">
        <f aca="false">SUMPRODUCT(AH162:AK162,AQ162:AT162)/AL162</f>
        <v>37.5688956282822</v>
      </c>
      <c r="AV162" s="9" t="n">
        <f aca="false">$Y$18/1000*CURVES!O121+$AV$14</f>
        <v>74.5426192880192</v>
      </c>
      <c r="AW162" s="9" t="n">
        <f aca="false">(AL162*AU162+AM162*AV162)/AN162</f>
        <v>52.3360966196825</v>
      </c>
      <c r="AX162" s="9" t="n">
        <f aca="false">CHOOSE(AX$18,CURVES!B121,CURVES!C121)</f>
        <v>42.8666666666667</v>
      </c>
      <c r="AY162" s="9" t="n">
        <f aca="false">(AN162*AW162+AO162*AX162)/I162</f>
        <v>47.3693960838945</v>
      </c>
    </row>
    <row r="163" customFormat="false" ht="12.75" hidden="false" customHeight="false" outlineLevel="0" collapsed="false">
      <c r="A163" s="85" t="n">
        <v>40513</v>
      </c>
      <c r="B163" s="31" t="n">
        <f aca="false">YEAR(A163)</f>
        <v>2010</v>
      </c>
      <c r="C163" s="31" t="n">
        <f aca="false">MONTH(A163)</f>
        <v>12</v>
      </c>
      <c r="D163" s="86" t="n">
        <v>0.060310380278073</v>
      </c>
      <c r="E163" s="87" t="n">
        <f aca="false">(1+D163/2)^(-2*(DATE($B164,$C164,20)-$E$17)/365.25)</f>
        <v>2.39277457215422</v>
      </c>
      <c r="F163" s="87"/>
      <c r="G163" s="8"/>
      <c r="H163" s="8" t="n">
        <f aca="false">(1+$I$17)*H151</f>
        <v>14385.5358839557</v>
      </c>
      <c r="I163" s="8" t="n">
        <f aca="false">(1+$I$17)*I151</f>
        <v>12877.7694115231</v>
      </c>
      <c r="K163" s="50" t="n">
        <f aca="false">K151</f>
        <v>2256.4126344086</v>
      </c>
      <c r="L163" s="50" t="n">
        <f aca="false">L151</f>
        <v>1157.21505376344</v>
      </c>
      <c r="M163" s="50" t="n">
        <f aca="false">M151</f>
        <v>239.860215053763</v>
      </c>
      <c r="N163" s="50" t="n">
        <f aca="false">N151</f>
        <v>2.96908602150538</v>
      </c>
      <c r="O163" s="50" t="n">
        <f aca="false">SUM(K163:N163)</f>
        <v>3656.45698924731</v>
      </c>
      <c r="P163" s="50" t="n">
        <f aca="false">P151</f>
        <v>2977.59684973097</v>
      </c>
      <c r="Q163" s="50" t="n">
        <f aca="false">O163+P163</f>
        <v>6634.05383897828</v>
      </c>
      <c r="R163" s="8" t="n">
        <f aca="false">H163-O163-P163</f>
        <v>7751.48204497742</v>
      </c>
      <c r="T163" s="9" t="n">
        <f aca="false">$T$18</f>
        <v>48.72</v>
      </c>
      <c r="U163" s="9" t="n">
        <f aca="false">U$18</f>
        <v>23</v>
      </c>
      <c r="V163" s="9" t="n">
        <f aca="false">V$18</f>
        <v>34</v>
      </c>
      <c r="W163" s="9" t="n">
        <f aca="false">W$18</f>
        <v>38</v>
      </c>
      <c r="X163" s="9" t="n">
        <f aca="false">SUMPRODUCT(K163:N163,T163:W163)/O163</f>
        <v>39.6056736867024</v>
      </c>
      <c r="Y163" s="9" t="n">
        <f aca="false">$Y$18/1000*CURVES!K122+$Y$14</f>
        <v>79.4481327284946</v>
      </c>
      <c r="Z163" s="9" t="n">
        <f aca="false">(O163*X163+P163*Y163)/Q163</f>
        <v>57.488371567648</v>
      </c>
      <c r="AA163" s="9" t="n">
        <f aca="false">CHOOSE(AA$18,CURVES!F122,CURVES!G122)</f>
        <v>37.6507103028283</v>
      </c>
      <c r="AB163" s="9" t="n">
        <f aca="false">(Q163*Z163+R163*AA163)/H163</f>
        <v>46.7990739044239</v>
      </c>
      <c r="AD163" s="9"/>
      <c r="AH163" s="50" t="n">
        <f aca="false">AH151</f>
        <v>1921.09500453605</v>
      </c>
      <c r="AI163" s="50" t="n">
        <f aca="false">AI151</f>
        <v>0</v>
      </c>
      <c r="AJ163" s="50" t="n">
        <f aca="false">AJ151</f>
        <v>1326.47869273451</v>
      </c>
      <c r="AK163" s="50" t="n">
        <f aca="false">AK151</f>
        <v>519.619723134563</v>
      </c>
      <c r="AL163" s="50" t="n">
        <f aca="false">SUM(AH163:AK163)</f>
        <v>3767.19342040512</v>
      </c>
      <c r="AM163" s="50" t="n">
        <f aca="false">AM151</f>
        <v>2024.24791129032</v>
      </c>
      <c r="AN163" s="50" t="n">
        <f aca="false">AL163+AM163</f>
        <v>5791.44133169545</v>
      </c>
      <c r="AO163" s="8" t="n">
        <f aca="false">I163-AL163-AM163</f>
        <v>7086.32807982763</v>
      </c>
      <c r="AQ163" s="9" t="n">
        <f aca="false">$AQ$18</f>
        <v>43</v>
      </c>
      <c r="AR163" s="9"/>
      <c r="AS163" s="9" t="n">
        <f aca="false">AS$18</f>
        <v>30</v>
      </c>
      <c r="AT163" s="9" t="n">
        <f aca="false">AT$18</f>
        <v>38</v>
      </c>
      <c r="AU163" s="9" t="n">
        <f aca="false">SUMPRODUCT(AH163:AK163,AQ163:AT163)/AL163</f>
        <v>37.7328635918334</v>
      </c>
      <c r="AV163" s="9" t="n">
        <f aca="false">$Y$18/1000*CURVES!O122+$AV$14</f>
        <v>75.8551192880192</v>
      </c>
      <c r="AW163" s="9" t="n">
        <f aca="false">(AL163*AU163+AM163*AV163)/AN163</f>
        <v>51.0575080191798</v>
      </c>
      <c r="AX163" s="9" t="n">
        <f aca="false">CHOOSE(AX$18,CURVES!B122,CURVES!C122)</f>
        <v>42.0870967741936</v>
      </c>
      <c r="AY163" s="9" t="n">
        <f aca="false">(AN163*AW163+AO163*AX163)/I163</f>
        <v>46.1213055557262</v>
      </c>
    </row>
    <row r="164" customFormat="false" ht="12.75" hidden="false" customHeight="false" outlineLevel="0" collapsed="false">
      <c r="A164" s="85" t="n">
        <v>40544</v>
      </c>
      <c r="B164" s="31" t="n">
        <f aca="false">YEAR(A164)</f>
        <v>2011</v>
      </c>
      <c r="C164" s="31" t="n">
        <f aca="false">MONTH(A164)</f>
        <v>1</v>
      </c>
      <c r="D164" s="86" t="n">
        <v>0.060369407986013</v>
      </c>
      <c r="E164" s="87" t="n">
        <f aca="false">(1+D164/2)^(-2*(DATE($B165,$C165,20)-$E$17)/365.25)</f>
        <v>2.38273021767304</v>
      </c>
      <c r="F164" s="87"/>
      <c r="G164" s="8"/>
      <c r="H164" s="8" t="n">
        <f aca="false">(1+$I$17)*H152</f>
        <v>14649.8555155747</v>
      </c>
      <c r="I164" s="8" t="n">
        <f aca="false">(1+$I$17)*I152</f>
        <v>13926.5144780238</v>
      </c>
      <c r="K164" s="50" t="n">
        <f aca="false">K152</f>
        <v>2185.91801075269</v>
      </c>
      <c r="L164" s="50" t="n">
        <f aca="false">L152</f>
        <v>1282.33064516129</v>
      </c>
      <c r="M164" s="50" t="n">
        <f aca="false">M152</f>
        <v>142.852150537634</v>
      </c>
      <c r="N164" s="50" t="n">
        <f aca="false">N152</f>
        <v>3.16801075268817</v>
      </c>
      <c r="O164" s="50" t="n">
        <f aca="false">SUM(K164:N164)</f>
        <v>3614.2688172043</v>
      </c>
      <c r="P164" s="50" t="n">
        <f aca="false">P152</f>
        <v>2792.6655547379</v>
      </c>
      <c r="Q164" s="50" t="n">
        <f aca="false">O164+P164</f>
        <v>6406.9343719422</v>
      </c>
      <c r="R164" s="8" t="n">
        <f aca="false">H164-O164-P164</f>
        <v>8242.9211436325</v>
      </c>
      <c r="T164" s="9" t="n">
        <f aca="false">$T$18</f>
        <v>48.72</v>
      </c>
      <c r="U164" s="9" t="n">
        <f aca="false">U$18</f>
        <v>23</v>
      </c>
      <c r="V164" s="9" t="n">
        <f aca="false">V$18</f>
        <v>34</v>
      </c>
      <c r="W164" s="9" t="n">
        <f aca="false">W$18</f>
        <v>38</v>
      </c>
      <c r="X164" s="9" t="n">
        <f aca="false">SUMPRODUCT(K164:N164,T164:W164)/O164</f>
        <v>39.0034319468534</v>
      </c>
      <c r="Y164" s="9" t="n">
        <f aca="false">$Y$18/1000*CURVES!K123+$Y$14</f>
        <v>80.8551327284946</v>
      </c>
      <c r="Z164" s="9" t="n">
        <f aca="false">(O164*X164+P164*Y164)/Q164</f>
        <v>57.2458231428563</v>
      </c>
      <c r="AA164" s="9" t="n">
        <f aca="false">CHOOSE(AA$18,CURVES!F123,CURVES!G123)</f>
        <v>39.1048387096774</v>
      </c>
      <c r="AB164" s="9" t="n">
        <f aca="false">(Q164*Z164+R164*AA164)/H164</f>
        <v>47.0385754337179</v>
      </c>
      <c r="AD164" s="9"/>
      <c r="AH164" s="50" t="n">
        <f aca="false">AH152</f>
        <v>1826.05608785899</v>
      </c>
      <c r="AI164" s="50" t="n">
        <f aca="false">AI152</f>
        <v>0</v>
      </c>
      <c r="AJ164" s="50" t="n">
        <f aca="false">AJ152</f>
        <v>1744.08931864439</v>
      </c>
      <c r="AK164" s="50" t="n">
        <f aca="false">AK152</f>
        <v>538.872892801371</v>
      </c>
      <c r="AL164" s="50" t="n">
        <f aca="false">SUM(AH164:AK164)</f>
        <v>4109.01829930475</v>
      </c>
      <c r="AM164" s="50" t="n">
        <f aca="false">AM152</f>
        <v>2445.3687016129</v>
      </c>
      <c r="AN164" s="50" t="n">
        <f aca="false">AL164+AM164</f>
        <v>6554.38700091765</v>
      </c>
      <c r="AO164" s="8" t="n">
        <f aca="false">I164-AL164-AM164</f>
        <v>7372.12747710617</v>
      </c>
      <c r="AQ164" s="9" t="n">
        <f aca="false">$AQ$18</f>
        <v>43</v>
      </c>
      <c r="AR164" s="9"/>
      <c r="AS164" s="9" t="n">
        <f aca="false">AS$18</f>
        <v>30</v>
      </c>
      <c r="AT164" s="9" t="n">
        <f aca="false">AT$18</f>
        <v>38</v>
      </c>
      <c r="AU164" s="9" t="n">
        <f aca="false">SUMPRODUCT(AH164:AK164,AQ164:AT164)/AL164</f>
        <v>36.8263780400598</v>
      </c>
      <c r="AV164" s="9" t="n">
        <f aca="false">$Y$18/1000*CURVES!O123+$AV$14</f>
        <v>77.2621192880192</v>
      </c>
      <c r="AW164" s="9" t="n">
        <f aca="false">(AL164*AU164+AM164*AV164)/AN164</f>
        <v>51.9125021978848</v>
      </c>
      <c r="AX164" s="9" t="n">
        <f aca="false">CHOOSE(AX$18,CURVES!B123,CURVES!C123)</f>
        <v>45.9204301075269</v>
      </c>
      <c r="AY164" s="9" t="n">
        <f aca="false">(AN164*AW164+AO164*AX164)/I164</f>
        <v>48.7405441769574</v>
      </c>
    </row>
    <row r="165" customFormat="false" ht="12.75" hidden="false" customHeight="false" outlineLevel="0" collapsed="false">
      <c r="A165" s="85" t="n">
        <v>40575</v>
      </c>
      <c r="B165" s="31" t="n">
        <f aca="false">YEAR(A165)</f>
        <v>2011</v>
      </c>
      <c r="C165" s="31" t="n">
        <f aca="false">MONTH(A165)</f>
        <v>2</v>
      </c>
      <c r="D165" s="86" t="n">
        <v>0.060406163350889</v>
      </c>
      <c r="E165" s="87" t="n">
        <f aca="false">(1+D165/2)^(-2*(DATE($B166,$C166,20)-$E$17)/365.25)</f>
        <v>2.37312023887586</v>
      </c>
      <c r="F165" s="87"/>
      <c r="G165" s="8"/>
      <c r="H165" s="8" t="n">
        <f aca="false">(1+$I$17)*H153</f>
        <v>14689.2607262983</v>
      </c>
      <c r="I165" s="8" t="n">
        <f aca="false">(1+$I$17)*I153</f>
        <v>13907.9537267192</v>
      </c>
      <c r="K165" s="50" t="n">
        <f aca="false">K153</f>
        <v>2261.87643678161</v>
      </c>
      <c r="L165" s="50" t="n">
        <f aca="false">L153</f>
        <v>1335.97988505747</v>
      </c>
      <c r="M165" s="50" t="n">
        <f aca="false">M153</f>
        <v>236.002873563218</v>
      </c>
      <c r="N165" s="50" t="n">
        <f aca="false">N153</f>
        <v>3.84913793103448</v>
      </c>
      <c r="O165" s="50" t="n">
        <f aca="false">SUM(K165:N165)</f>
        <v>3837.70833333333</v>
      </c>
      <c r="P165" s="50" t="n">
        <f aca="false">P153</f>
        <v>3011.77170136767</v>
      </c>
      <c r="Q165" s="50" t="n">
        <f aca="false">O165+P165</f>
        <v>6849.48003470101</v>
      </c>
      <c r="R165" s="8" t="n">
        <f aca="false">H165-O165-P165</f>
        <v>7839.78069159724</v>
      </c>
      <c r="T165" s="9" t="n">
        <f aca="false">$T$18</f>
        <v>48.72</v>
      </c>
      <c r="U165" s="9" t="n">
        <f aca="false">U$18</f>
        <v>23</v>
      </c>
      <c r="V165" s="9" t="n">
        <f aca="false">V$18</f>
        <v>34</v>
      </c>
      <c r="W165" s="9" t="n">
        <f aca="false">W$18</f>
        <v>38</v>
      </c>
      <c r="X165" s="9" t="n">
        <f aca="false">SUMPRODUCT(K165:N165,T165:W165)/O165</f>
        <v>38.8504048116</v>
      </c>
      <c r="Y165" s="9" t="n">
        <f aca="false">$Y$18/1000*CURVES!K124+$Y$14</f>
        <v>79.8471327284946</v>
      </c>
      <c r="Z165" s="9" t="n">
        <f aca="false">(O165*X165+P165*Y165)/Q165</f>
        <v>56.876997248286</v>
      </c>
      <c r="AA165" s="9" t="n">
        <f aca="false">CHOOSE(AA$18,CURVES!F124,CURVES!G124)</f>
        <v>39.2003903647056</v>
      </c>
      <c r="AB165" s="9" t="n">
        <f aca="false">(Q165*Z165+R165*AA165)/H165</f>
        <v>47.4428450522707</v>
      </c>
      <c r="AD165" s="9"/>
      <c r="AH165" s="50" t="n">
        <f aca="false">AH153</f>
        <v>1925.74685025101</v>
      </c>
      <c r="AI165" s="50" t="n">
        <f aca="false">AI153</f>
        <v>0</v>
      </c>
      <c r="AJ165" s="50" t="n">
        <f aca="false">AJ153</f>
        <v>2201.92738718254</v>
      </c>
      <c r="AK165" s="50" t="n">
        <f aca="false">AK153</f>
        <v>548.475477754164</v>
      </c>
      <c r="AL165" s="50" t="n">
        <f aca="false">SUM(AH165:AK165)</f>
        <v>4676.14971518771</v>
      </c>
      <c r="AM165" s="50" t="n">
        <f aca="false">AM153</f>
        <v>2161.54564434524</v>
      </c>
      <c r="AN165" s="50" t="n">
        <f aca="false">AL165+AM165</f>
        <v>6837.69535953295</v>
      </c>
      <c r="AO165" s="8" t="n">
        <f aca="false">I165-AL165-AM165</f>
        <v>7070.25836718626</v>
      </c>
      <c r="AQ165" s="9" t="n">
        <f aca="false">$AQ$18</f>
        <v>43</v>
      </c>
      <c r="AR165" s="9"/>
      <c r="AS165" s="9" t="n">
        <f aca="false">AS$18</f>
        <v>30</v>
      </c>
      <c r="AT165" s="9" t="n">
        <f aca="false">AT$18</f>
        <v>38</v>
      </c>
      <c r="AU165" s="9" t="n">
        <f aca="false">SUMPRODUCT(AH165:AK165,AQ165:AT165)/AL165</f>
        <v>36.2920382509856</v>
      </c>
      <c r="AV165" s="9" t="n">
        <f aca="false">$Y$18/1000*CURVES!O124+$AV$14</f>
        <v>76.2541192880192</v>
      </c>
      <c r="AW165" s="9" t="n">
        <f aca="false">(AL165*AU165+AM165*AV165)/AN165</f>
        <v>48.9249295488031</v>
      </c>
      <c r="AX165" s="9" t="n">
        <f aca="false">CHOOSE(AX$18,CURVES!B124,CURVES!C124)</f>
        <v>44.8785714285714</v>
      </c>
      <c r="AY165" s="9" t="n">
        <f aca="false">(AN165*AW165+AO165*AX165)/I165</f>
        <v>46.8679197313748</v>
      </c>
    </row>
    <row r="166" customFormat="false" ht="12.75" hidden="false" customHeight="false" outlineLevel="0" collapsed="false">
      <c r="A166" s="85" t="n">
        <v>40603</v>
      </c>
      <c r="B166" s="31" t="n">
        <f aca="false">YEAR(A166)</f>
        <v>2011</v>
      </c>
      <c r="C166" s="31" t="n">
        <f aca="false">MONTH(A166)</f>
        <v>3</v>
      </c>
      <c r="D166" s="86" t="n">
        <v>0.060428297419457</v>
      </c>
      <c r="E166" s="87" t="n">
        <f aca="false">(1+D166/2)^(-2*(DATE($B167,$C167,20)-$E$17)/365.25)</f>
        <v>2.36189636955295</v>
      </c>
      <c r="F166" s="87"/>
      <c r="G166" s="8"/>
      <c r="H166" s="8" t="n">
        <f aca="false">(1+$I$17)*H154</f>
        <v>14604.2221948528</v>
      </c>
      <c r="I166" s="8" t="n">
        <f aca="false">(1+$I$17)*I154</f>
        <v>13595.7246999482</v>
      </c>
      <c r="K166" s="50" t="n">
        <f aca="false">K154</f>
        <v>2263.94623655914</v>
      </c>
      <c r="L166" s="50" t="n">
        <f aca="false">L154</f>
        <v>1258.63037634409</v>
      </c>
      <c r="M166" s="50" t="n">
        <f aca="false">M154</f>
        <v>620.646505376344</v>
      </c>
      <c r="N166" s="50" t="n">
        <f aca="false">N154</f>
        <v>2.58198924731183</v>
      </c>
      <c r="O166" s="50" t="n">
        <f aca="false">SUM(K166:N166)</f>
        <v>4145.80510752688</v>
      </c>
      <c r="P166" s="50" t="n">
        <f aca="false">P154</f>
        <v>2834.39732902856</v>
      </c>
      <c r="Q166" s="50" t="n">
        <f aca="false">O166+P166</f>
        <v>6980.20243655544</v>
      </c>
      <c r="R166" s="8" t="n">
        <f aca="false">H166-O166-P166</f>
        <v>7624.01975829734</v>
      </c>
      <c r="T166" s="9" t="n">
        <f aca="false">$T$18</f>
        <v>48.72</v>
      </c>
      <c r="U166" s="9" t="n">
        <f aca="false">U$18</f>
        <v>23</v>
      </c>
      <c r="V166" s="9" t="n">
        <f aca="false">V$18</f>
        <v>34</v>
      </c>
      <c r="W166" s="9" t="n">
        <f aca="false">W$18</f>
        <v>38</v>
      </c>
      <c r="X166" s="9" t="n">
        <f aca="false">SUMPRODUCT(K166:N166,T166:W166)/O166</f>
        <v>38.7013021388701</v>
      </c>
      <c r="Y166" s="9" t="n">
        <f aca="false">$Y$18/1000*CURVES!K125+$Y$14</f>
        <v>78.2721327284946</v>
      </c>
      <c r="Z166" s="9" t="n">
        <f aca="false">(O166*X166+P166*Y166)/Q166</f>
        <v>54.7695261696364</v>
      </c>
      <c r="AA166" s="9" t="n">
        <f aca="false">CHOOSE(AA$18,CURVES!F125,CURVES!G125)</f>
        <v>38.8923321447815</v>
      </c>
      <c r="AB166" s="9" t="n">
        <f aca="false">(Q166*Z166+R166*AA166)/H166</f>
        <v>46.4809614424798</v>
      </c>
      <c r="AD166" s="9"/>
      <c r="AH166" s="50" t="n">
        <f aca="false">AH154</f>
        <v>1891.23873243112</v>
      </c>
      <c r="AI166" s="50" t="n">
        <f aca="false">AI154</f>
        <v>0</v>
      </c>
      <c r="AJ166" s="50" t="n">
        <f aca="false">AJ154</f>
        <v>1966.55049263563</v>
      </c>
      <c r="AK166" s="50" t="n">
        <f aca="false">AK154</f>
        <v>526.073305014923</v>
      </c>
      <c r="AL166" s="50" t="n">
        <f aca="false">SUM(AH166:AK166)</f>
        <v>4383.86253008167</v>
      </c>
      <c r="AM166" s="50" t="n">
        <f aca="false">AM154</f>
        <v>2044.22227284946</v>
      </c>
      <c r="AN166" s="50" t="n">
        <f aca="false">AL166+AM166</f>
        <v>6428.08480293113</v>
      </c>
      <c r="AO166" s="8" t="n">
        <f aca="false">I166-AL166-AM166</f>
        <v>7167.63989701709</v>
      </c>
      <c r="AQ166" s="9" t="n">
        <f aca="false">$AQ$18</f>
        <v>43</v>
      </c>
      <c r="AR166" s="9"/>
      <c r="AS166" s="9" t="n">
        <f aca="false">AS$18</f>
        <v>30</v>
      </c>
      <c r="AT166" s="9" t="n">
        <f aca="false">AT$18</f>
        <v>38</v>
      </c>
      <c r="AU166" s="9" t="n">
        <f aca="false">SUMPRODUCT(AH166:AK166,AQ166:AT166)/AL166</f>
        <v>36.5683377989472</v>
      </c>
      <c r="AV166" s="9" t="n">
        <f aca="false">$Y$18/1000*CURVES!O125+$AV$14</f>
        <v>74.6791192880192</v>
      </c>
      <c r="AW166" s="9" t="n">
        <f aca="false">(AL166*AU166+AM166*AV166)/AN166</f>
        <v>48.688107643946</v>
      </c>
      <c r="AX166" s="9" t="n">
        <f aca="false">CHOOSE(AX$18,CURVES!B125,CURVES!C125)</f>
        <v>42.9177419354839</v>
      </c>
      <c r="AY166" s="9" t="n">
        <f aca="false">(AN166*AW166+AO166*AX166)/I166</f>
        <v>45.6459819474387</v>
      </c>
    </row>
    <row r="167" customFormat="false" ht="12.75" hidden="false" customHeight="false" outlineLevel="0" collapsed="false">
      <c r="A167" s="85" t="n">
        <v>40634</v>
      </c>
      <c r="B167" s="31" t="n">
        <f aca="false">YEAR(A167)</f>
        <v>2011</v>
      </c>
      <c r="C167" s="31" t="n">
        <f aca="false">MONTH(A167)</f>
        <v>4</v>
      </c>
      <c r="D167" s="86" t="n">
        <v>0.06045280299556</v>
      </c>
      <c r="E167" s="87" t="n">
        <f aca="false">(1+D167/2)^(-2*(DATE($B168,$C168,20)-$E$17)/365.25)</f>
        <v>2.35117801381205</v>
      </c>
      <c r="F167" s="87"/>
      <c r="G167" s="8"/>
      <c r="H167" s="8" t="n">
        <f aca="false">(1+$I$17)*H155</f>
        <v>14669.0256959894</v>
      </c>
      <c r="I167" s="8" t="n">
        <f aca="false">(1+$I$17)*I155</f>
        <v>13281.6199784914</v>
      </c>
      <c r="K167" s="50" t="n">
        <f aca="false">K155</f>
        <v>2319.84027777778</v>
      </c>
      <c r="L167" s="50" t="n">
        <f aca="false">L155</f>
        <v>1179.16597222222</v>
      </c>
      <c r="M167" s="50" t="n">
        <f aca="false">M155</f>
        <v>811.586111111111</v>
      </c>
      <c r="N167" s="50" t="n">
        <f aca="false">N155</f>
        <v>3.04166666666667</v>
      </c>
      <c r="O167" s="50" t="n">
        <f aca="false">SUM(K167:N167)</f>
        <v>4313.63402777778</v>
      </c>
      <c r="P167" s="50" t="n">
        <f aca="false">P155</f>
        <v>2923.39459068154</v>
      </c>
      <c r="Q167" s="50" t="n">
        <f aca="false">O167+P167</f>
        <v>7237.02861845932</v>
      </c>
      <c r="R167" s="8" t="n">
        <f aca="false">H167-O167-P167</f>
        <v>7431.99707753012</v>
      </c>
      <c r="T167" s="9" t="n">
        <f aca="false">$T$18</f>
        <v>48.72</v>
      </c>
      <c r="U167" s="9" t="n">
        <f aca="false">U$18</f>
        <v>23</v>
      </c>
      <c r="V167" s="9" t="n">
        <f aca="false">V$18</f>
        <v>34</v>
      </c>
      <c r="W167" s="9" t="n">
        <f aca="false">W$18</f>
        <v>38</v>
      </c>
      <c r="X167" s="9" t="n">
        <f aca="false">SUMPRODUCT(K167:N167,T167:W167)/O167</f>
        <v>38.9121899828918</v>
      </c>
      <c r="Y167" s="9" t="n">
        <f aca="false">$Y$18/1000*CURVES!K126+$Y$14</f>
        <v>77.6106327284946</v>
      </c>
      <c r="Z167" s="9" t="n">
        <f aca="false">(O167*X167+P167*Y167)/Q167</f>
        <v>54.544409247817</v>
      </c>
      <c r="AA167" s="9" t="n">
        <f aca="false">CHOOSE(AA$18,CURVES!F126,CURVES!G126)</f>
        <v>37.7133333333333</v>
      </c>
      <c r="AB167" s="9" t="n">
        <f aca="false">(Q167*Z167+R167*AA167)/H167</f>
        <v>46.0170189766056</v>
      </c>
      <c r="AD167" s="9"/>
      <c r="AH167" s="50" t="n">
        <f aca="false">AH155</f>
        <v>1937.93108490741</v>
      </c>
      <c r="AI167" s="50" t="n">
        <f aca="false">AI155</f>
        <v>0</v>
      </c>
      <c r="AJ167" s="50" t="n">
        <f aca="false">AJ155</f>
        <v>2070.95002093926</v>
      </c>
      <c r="AK167" s="50" t="n">
        <f aca="false">AK155</f>
        <v>513.919329218532</v>
      </c>
      <c r="AL167" s="50" t="n">
        <f aca="false">SUM(AH167:AK167)</f>
        <v>4522.8004350652</v>
      </c>
      <c r="AM167" s="50" t="n">
        <f aca="false">AM155</f>
        <v>2152.99685890411</v>
      </c>
      <c r="AN167" s="50" t="n">
        <f aca="false">AL167+AM167</f>
        <v>6675.79729396931</v>
      </c>
      <c r="AO167" s="8" t="n">
        <f aca="false">I167-AL167-AM167</f>
        <v>6605.82268452214</v>
      </c>
      <c r="AQ167" s="9" t="n">
        <f aca="false">$AQ$18</f>
        <v>43</v>
      </c>
      <c r="AR167" s="9"/>
      <c r="AS167" s="9" t="n">
        <f aca="false">AS$18</f>
        <v>30</v>
      </c>
      <c r="AT167" s="9" t="n">
        <f aca="false">AT$18</f>
        <v>38</v>
      </c>
      <c r="AU167" s="9" t="n">
        <f aca="false">SUMPRODUCT(AH167:AK167,AQ167:AT167)/AL167</f>
        <v>36.4792729987261</v>
      </c>
      <c r="AV167" s="9" t="n">
        <f aca="false">$Y$18/1000*CURVES!O126+$AV$14</f>
        <v>72.7576192880192</v>
      </c>
      <c r="AW167" s="9" t="n">
        <f aca="false">(AL167*AU167+AM167*AV167)/AN167</f>
        <v>48.1793235196793</v>
      </c>
      <c r="AX167" s="9" t="n">
        <f aca="false">CHOOSE(AX$18,CURVES!B126,CURVES!C126)</f>
        <v>40.9977777777778</v>
      </c>
      <c r="AY167" s="9" t="n">
        <f aca="false">(AN167*AW167+AO167*AX167)/I167</f>
        <v>44.6074687422793</v>
      </c>
    </row>
    <row r="168" customFormat="false" ht="12.75" hidden="false" customHeight="false" outlineLevel="0" collapsed="false">
      <c r="A168" s="85" t="n">
        <v>40664</v>
      </c>
      <c r="B168" s="31" t="n">
        <f aca="false">YEAR(A168)</f>
        <v>2011</v>
      </c>
      <c r="C168" s="31" t="n">
        <f aca="false">MONTH(A168)</f>
        <v>5</v>
      </c>
      <c r="D168" s="86" t="n">
        <v>0.060476518069398</v>
      </c>
      <c r="E168" s="87" t="n">
        <f aca="false">(1+D168/2)^(-2*(DATE($B169,$C169,20)-$E$17)/365.25)</f>
        <v>2.34009176137237</v>
      </c>
      <c r="F168" s="87"/>
      <c r="G168" s="8"/>
      <c r="H168" s="8" t="n">
        <f aca="false">(1+$I$17)*H156</f>
        <v>15500.7422640811</v>
      </c>
      <c r="I168" s="8" t="n">
        <f aca="false">(1+$I$17)*I156</f>
        <v>14467.2468091595</v>
      </c>
      <c r="K168" s="50" t="n">
        <f aca="false">K156</f>
        <v>2226.06720430108</v>
      </c>
      <c r="L168" s="50" t="n">
        <f aca="false">L156</f>
        <v>1023.62634408602</v>
      </c>
      <c r="M168" s="50" t="n">
        <f aca="false">M156</f>
        <v>950.165322580645</v>
      </c>
      <c r="N168" s="50" t="n">
        <f aca="false">N156</f>
        <v>3.30510752688172</v>
      </c>
      <c r="O168" s="50" t="n">
        <f aca="false">SUM(K168:N168)</f>
        <v>4203.16397849462</v>
      </c>
      <c r="P168" s="50" t="n">
        <f aca="false">P156</f>
        <v>2831.51050210493</v>
      </c>
      <c r="Q168" s="50" t="n">
        <f aca="false">O168+P168</f>
        <v>7034.67448059955</v>
      </c>
      <c r="R168" s="8" t="n">
        <f aca="false">H168-O168-P168</f>
        <v>8466.06778348158</v>
      </c>
      <c r="T168" s="9" t="n">
        <f aca="false">$T$18</f>
        <v>48.72</v>
      </c>
      <c r="U168" s="9" t="n">
        <f aca="false">U$18</f>
        <v>23</v>
      </c>
      <c r="V168" s="9" t="n">
        <f aca="false">V$18</f>
        <v>34</v>
      </c>
      <c r="W168" s="9" t="n">
        <f aca="false">W$18</f>
        <v>38</v>
      </c>
      <c r="X168" s="9" t="n">
        <f aca="false">SUMPRODUCT(K168:N168,T168:W168)/O168</f>
        <v>39.1201999261949</v>
      </c>
      <c r="Y168" s="9" t="n">
        <f aca="false">$Y$18/1000*CURVES!K127+$Y$14</f>
        <v>77.3481327284946</v>
      </c>
      <c r="Z168" s="9" t="n">
        <f aca="false">(O168*X168+P168*Y168)/Q168</f>
        <v>54.5072364553177</v>
      </c>
      <c r="AA168" s="9" t="n">
        <f aca="false">CHOOSE(AA$18,CURVES!F127,CURVES!G127)</f>
        <v>36.8672937177694</v>
      </c>
      <c r="AB168" s="9" t="n">
        <f aca="false">(Q168*Z168+R168*AA168)/H168</f>
        <v>44.8727977704764</v>
      </c>
      <c r="AD168" s="9"/>
      <c r="AH168" s="50" t="n">
        <f aca="false">AH156</f>
        <v>1895.25910320262</v>
      </c>
      <c r="AI168" s="50" t="n">
        <f aca="false">AI156</f>
        <v>0</v>
      </c>
      <c r="AJ168" s="50" t="n">
        <f aca="false">AJ156</f>
        <v>1877.63033247346</v>
      </c>
      <c r="AK168" s="50" t="n">
        <f aca="false">AK156</f>
        <v>570.53181663935</v>
      </c>
      <c r="AL168" s="50" t="n">
        <f aca="false">SUM(AH168:AK168)</f>
        <v>4343.42125231544</v>
      </c>
      <c r="AM168" s="50" t="n">
        <f aca="false">AM156</f>
        <v>2186.84183198925</v>
      </c>
      <c r="AN168" s="50" t="n">
        <f aca="false">AL168+AM168</f>
        <v>6530.26308430469</v>
      </c>
      <c r="AO168" s="8" t="n">
        <f aca="false">I168-AL168-AM168</f>
        <v>7936.98372485476</v>
      </c>
      <c r="AQ168" s="9" t="n">
        <f aca="false">$AQ$18</f>
        <v>43</v>
      </c>
      <c r="AR168" s="9"/>
      <c r="AS168" s="9" t="n">
        <f aca="false">AS$18</f>
        <v>30</v>
      </c>
      <c r="AT168" s="9" t="n">
        <f aca="false">AT$18</f>
        <v>38</v>
      </c>
      <c r="AU168" s="9" t="n">
        <f aca="false">SUMPRODUCT(AH168:AK168,AQ168:AT168)/AL168</f>
        <v>36.7234148332219</v>
      </c>
      <c r="AV168" s="9" t="n">
        <f aca="false">$Y$18/1000*CURVES!O127+$AV$14</f>
        <v>72.4951192880192</v>
      </c>
      <c r="AW168" s="9" t="n">
        <f aca="false">(AL168*AU168+AM168*AV168)/AN168</f>
        <v>48.7025738186116</v>
      </c>
      <c r="AX168" s="9" t="n">
        <f aca="false">CHOOSE(AX$18,CURVES!B127,CURVES!C127)</f>
        <v>40.4983870967742</v>
      </c>
      <c r="AY168" s="9" t="n">
        <f aca="false">(AN168*AW168+AO168*AX168)/I168</f>
        <v>44.2016140060184</v>
      </c>
    </row>
    <row r="169" customFormat="false" ht="12.75" hidden="false" customHeight="false" outlineLevel="0" collapsed="false">
      <c r="A169" s="85" t="n">
        <v>40695</v>
      </c>
      <c r="B169" s="31" t="n">
        <f aca="false">YEAR(A169)</f>
        <v>2011</v>
      </c>
      <c r="C169" s="31" t="n">
        <f aca="false">MONTH(A169)</f>
        <v>6</v>
      </c>
      <c r="D169" s="86" t="n">
        <v>0.060501023645895</v>
      </c>
      <c r="E169" s="87" t="n">
        <f aca="false">(1+D169/2)^(-2*(DATE($B170,$C170,20)-$E$17)/365.25)</f>
        <v>2.32945412773887</v>
      </c>
      <c r="F169" s="87"/>
      <c r="G169" s="8"/>
      <c r="H169" s="8" t="n">
        <f aca="false">(1+$I$17)*H157</f>
        <v>17130.2110856397</v>
      </c>
      <c r="I169" s="8" t="n">
        <f aca="false">(1+$I$17)*I157</f>
        <v>16313.6484199976</v>
      </c>
      <c r="K169" s="50" t="n">
        <f aca="false">K157</f>
        <v>2252.13333333333</v>
      </c>
      <c r="L169" s="50" t="n">
        <f aca="false">L157</f>
        <v>1398.39166666667</v>
      </c>
      <c r="M169" s="50" t="n">
        <f aca="false">M157</f>
        <v>957.040277777778</v>
      </c>
      <c r="N169" s="50" t="n">
        <f aca="false">N157</f>
        <v>3.52638888888889</v>
      </c>
      <c r="O169" s="50" t="n">
        <f aca="false">SUM(K169:N169)</f>
        <v>4611.09166666667</v>
      </c>
      <c r="P169" s="50" t="n">
        <f aca="false">P157</f>
        <v>3175.74117813466</v>
      </c>
      <c r="Q169" s="50" t="n">
        <f aca="false">O169+P169</f>
        <v>7786.83284480132</v>
      </c>
      <c r="R169" s="8" t="n">
        <f aca="false">H169-O169-P169</f>
        <v>9343.37824083837</v>
      </c>
      <c r="T169" s="9" t="n">
        <f aca="false">$T$18</f>
        <v>48.72</v>
      </c>
      <c r="U169" s="9" t="n">
        <f aca="false">U$18</f>
        <v>23</v>
      </c>
      <c r="V169" s="9" t="n">
        <f aca="false">V$18</f>
        <v>34</v>
      </c>
      <c r="W169" s="9" t="n">
        <f aca="false">W$18</f>
        <v>38</v>
      </c>
      <c r="X169" s="9" t="n">
        <f aca="false">SUMPRODUCT(K169:N169,T169:W169)/O169</f>
        <v>37.8566138290945</v>
      </c>
      <c r="Y169" s="9" t="n">
        <f aca="false">$Y$18/1000*CURVES!K128+$Y$14</f>
        <v>77.6526327284946</v>
      </c>
      <c r="Z169" s="9" t="n">
        <f aca="false">(O169*X169+P169*Y169)/Q169</f>
        <v>54.0868140226206</v>
      </c>
      <c r="AA169" s="9" t="n">
        <f aca="false">CHOOSE(AA$18,CURVES!F128,CURVES!G128)</f>
        <v>48.335429426474</v>
      </c>
      <c r="AB169" s="9" t="n">
        <f aca="false">(Q169*Z169+R169*AA169)/H169</f>
        <v>50.9498204723556</v>
      </c>
      <c r="AD169" s="9"/>
      <c r="AH169" s="50" t="n">
        <f aca="false">AH157</f>
        <v>1881.37055634004</v>
      </c>
      <c r="AI169" s="50" t="n">
        <f aca="false">AI157</f>
        <v>0</v>
      </c>
      <c r="AJ169" s="50" t="n">
        <f aca="false">AJ157</f>
        <v>1162.16168617347</v>
      </c>
      <c r="AK169" s="50" t="n">
        <f aca="false">AK157</f>
        <v>631.240712103584</v>
      </c>
      <c r="AL169" s="50" t="n">
        <f aca="false">SUM(AH169:AK169)</f>
        <v>3674.77295461709</v>
      </c>
      <c r="AM169" s="50" t="n">
        <f aca="false">AM157</f>
        <v>2754.04614109589</v>
      </c>
      <c r="AN169" s="50" t="n">
        <f aca="false">AL169+AM169</f>
        <v>6428.81909571298</v>
      </c>
      <c r="AO169" s="8" t="n">
        <f aca="false">I169-AL169-AM169</f>
        <v>9884.82932428461</v>
      </c>
      <c r="AQ169" s="9" t="n">
        <f aca="false">$AQ$18</f>
        <v>43</v>
      </c>
      <c r="AR169" s="9"/>
      <c r="AS169" s="9" t="n">
        <f aca="false">AS$18</f>
        <v>30</v>
      </c>
      <c r="AT169" s="9" t="n">
        <f aca="false">AT$18</f>
        <v>38</v>
      </c>
      <c r="AU169" s="9" t="n">
        <f aca="false">SUMPRODUCT(AH169:AK169,AQ169:AT169)/AL169</f>
        <v>38.0298138942638</v>
      </c>
      <c r="AV169" s="9" t="n">
        <f aca="false">$Y$18/1000*CURVES!O128+$AV$14</f>
        <v>72.7996192880192</v>
      </c>
      <c r="AW169" s="9" t="n">
        <f aca="false">(AL169*AU169+AM169*AV169)/AN169</f>
        <v>52.9248742382673</v>
      </c>
      <c r="AX169" s="9" t="n">
        <f aca="false">CHOOSE(AX$18,CURVES!B128,CURVES!C128)</f>
        <v>46.2088888888889</v>
      </c>
      <c r="AY169" s="9" t="n">
        <f aca="false">(AN169*AW169+AO169*AX169)/I169</f>
        <v>48.8554982646118</v>
      </c>
    </row>
    <row r="170" customFormat="false" ht="12.75" hidden="false" customHeight="false" outlineLevel="0" collapsed="false">
      <c r="A170" s="85" t="n">
        <v>40725</v>
      </c>
      <c r="B170" s="31" t="n">
        <f aca="false">YEAR(A170)</f>
        <v>2011</v>
      </c>
      <c r="C170" s="31" t="n">
        <f aca="false">MONTH(A170)</f>
        <v>7</v>
      </c>
      <c r="D170" s="86" t="n">
        <v>0.060524738720113</v>
      </c>
      <c r="E170" s="87" t="n">
        <f aca="false">(1+D170/2)^(-2*(DATE($B171,$C171,20)-$E$17)/365.25)</f>
        <v>2.31845216671314</v>
      </c>
      <c r="F170" s="87"/>
      <c r="G170" s="8"/>
      <c r="H170" s="8" t="n">
        <f aca="false">(1+$I$17)*H158</f>
        <v>16907.3925299612</v>
      </c>
      <c r="I170" s="8" t="n">
        <f aca="false">(1+$I$17)*I158</f>
        <v>15486.3952558703</v>
      </c>
      <c r="K170" s="50" t="n">
        <f aca="false">K158</f>
        <v>2248.45698924731</v>
      </c>
      <c r="L170" s="50" t="n">
        <f aca="false">L158</f>
        <v>1358.32258064516</v>
      </c>
      <c r="M170" s="50" t="n">
        <f aca="false">M158</f>
        <v>653.551075268817</v>
      </c>
      <c r="N170" s="50" t="n">
        <f aca="false">N158</f>
        <v>3.83736559139785</v>
      </c>
      <c r="O170" s="50" t="n">
        <f aca="false">SUM(K170:N170)</f>
        <v>4264.16801075269</v>
      </c>
      <c r="P170" s="50" t="n">
        <f aca="false">P158</f>
        <v>3349.38956238808</v>
      </c>
      <c r="Q170" s="50" t="n">
        <f aca="false">O170+P170</f>
        <v>7613.55757314076</v>
      </c>
      <c r="R170" s="8" t="n">
        <f aca="false">H170-O170-P170</f>
        <v>9293.83495682047</v>
      </c>
      <c r="T170" s="9" t="n">
        <f aca="false">$T$18</f>
        <v>48.72</v>
      </c>
      <c r="U170" s="9" t="n">
        <f aca="false">U$18</f>
        <v>23</v>
      </c>
      <c r="V170" s="9" t="n">
        <f aca="false">V$18</f>
        <v>34</v>
      </c>
      <c r="W170" s="9" t="n">
        <f aca="false">W$18</f>
        <v>38</v>
      </c>
      <c r="X170" s="9" t="n">
        <f aca="false">SUMPRODUCT(K170:N170,T170:W170)/O170</f>
        <v>38.2613442789234</v>
      </c>
      <c r="Y170" s="9" t="n">
        <f aca="false">$Y$18/1000*CURVES!K129+$Y$14</f>
        <v>77.9676327284946</v>
      </c>
      <c r="Z170" s="9" t="n">
        <f aca="false">(O170*X170+P170*Y170)/Q170</f>
        <v>55.7291084373419</v>
      </c>
      <c r="AA170" s="9" t="n">
        <f aca="false">CHOOSE(AA$18,CURVES!F129,CURVES!G129)</f>
        <v>58.9989247311828</v>
      </c>
      <c r="AB170" s="9" t="n">
        <f aca="false">(Q170*Z170+R170*AA170)/H170</f>
        <v>57.5264957589072</v>
      </c>
      <c r="AD170" s="9"/>
      <c r="AH170" s="50" t="n">
        <f aca="false">AH158</f>
        <v>1914.32162011861</v>
      </c>
      <c r="AI170" s="50" t="n">
        <f aca="false">AI158</f>
        <v>0</v>
      </c>
      <c r="AJ170" s="50" t="n">
        <f aca="false">AJ158</f>
        <v>1193.33197430598</v>
      </c>
      <c r="AK170" s="50" t="n">
        <f aca="false">AK158</f>
        <v>610.723058442111</v>
      </c>
      <c r="AL170" s="50" t="n">
        <f aca="false">SUM(AH170:AK170)</f>
        <v>3718.37665286669</v>
      </c>
      <c r="AM170" s="50" t="n">
        <f aca="false">AM158</f>
        <v>2586.73186021505</v>
      </c>
      <c r="AN170" s="50" t="n">
        <f aca="false">AL170+AM170</f>
        <v>6305.10851308175</v>
      </c>
      <c r="AO170" s="8" t="n">
        <f aca="false">I170-AL170-AM170</f>
        <v>9181.2867427886</v>
      </c>
      <c r="AQ170" s="9" t="n">
        <f aca="false">$AQ$18</f>
        <v>43</v>
      </c>
      <c r="AR170" s="9"/>
      <c r="AS170" s="9" t="n">
        <f aca="false">AS$18</f>
        <v>30</v>
      </c>
      <c r="AT170" s="9" t="n">
        <f aca="false">AT$18</f>
        <v>38</v>
      </c>
      <c r="AU170" s="9" t="n">
        <f aca="false">SUMPRODUCT(AH170:AK170,AQ170:AT170)/AL170</f>
        <v>38.0067105375476</v>
      </c>
      <c r="AV170" s="9" t="n">
        <f aca="false">$Y$18/1000*CURVES!O129+$AV$14</f>
        <v>73.1146192880192</v>
      </c>
      <c r="AW170" s="9" t="n">
        <f aca="false">(AL170*AU170+AM170*AV170)/AN170</f>
        <v>52.4100702770266</v>
      </c>
      <c r="AX170" s="9" t="n">
        <f aca="false">CHOOSE(AX$18,CURVES!B129,CURVES!C129)</f>
        <v>57.4451612903226</v>
      </c>
      <c r="AY170" s="9" t="n">
        <f aca="false">(AN170*AW170+AO170*AX170)/I170</f>
        <v>55.3951816347898</v>
      </c>
    </row>
    <row r="171" customFormat="false" ht="12.75" hidden="false" customHeight="false" outlineLevel="0" collapsed="false">
      <c r="A171" s="85" t="n">
        <v>40756</v>
      </c>
      <c r="B171" s="31" t="n">
        <f aca="false">YEAR(A171)</f>
        <v>2011</v>
      </c>
      <c r="C171" s="31" t="n">
        <f aca="false">MONTH(A171)</f>
        <v>8</v>
      </c>
      <c r="D171" s="86" t="n">
        <v>0.060549244297002</v>
      </c>
      <c r="E171" s="87" t="n">
        <f aca="false">(1+D171/2)^(-2*(DATE($B172,$C172,20)-$E$17)/365.25)</f>
        <v>2.30751796132485</v>
      </c>
      <c r="F171" s="87"/>
      <c r="G171" s="8"/>
      <c r="H171" s="8" t="n">
        <f aca="false">(1+$I$17)*H159</f>
        <v>18131.0114997654</v>
      </c>
      <c r="I171" s="8" t="n">
        <f aca="false">(1+$I$17)*I159</f>
        <v>16061.9543829978</v>
      </c>
      <c r="K171" s="50" t="n">
        <f aca="false">K159</f>
        <v>2226.06586021505</v>
      </c>
      <c r="L171" s="50" t="n">
        <f aca="false">L159</f>
        <v>1361.98924731183</v>
      </c>
      <c r="M171" s="50" t="n">
        <f aca="false">M159</f>
        <v>483.364247311828</v>
      </c>
      <c r="N171" s="50" t="n">
        <f aca="false">N159</f>
        <v>3.9247311827957</v>
      </c>
      <c r="O171" s="50" t="n">
        <f aca="false">SUM(K171:N171)</f>
        <v>4075.34408602151</v>
      </c>
      <c r="P171" s="50" t="n">
        <f aca="false">P159</f>
        <v>3426.25292884001</v>
      </c>
      <c r="Q171" s="50" t="n">
        <f aca="false">O171+P171</f>
        <v>7501.59701486152</v>
      </c>
      <c r="R171" s="8" t="n">
        <f aca="false">H171-O171-P171</f>
        <v>10629.4144849039</v>
      </c>
      <c r="T171" s="9" t="n">
        <f aca="false">$T$18</f>
        <v>48.72</v>
      </c>
      <c r="U171" s="9" t="n">
        <f aca="false">U$18</f>
        <v>23</v>
      </c>
      <c r="V171" s="9" t="n">
        <f aca="false">V$18</f>
        <v>34</v>
      </c>
      <c r="W171" s="9" t="n">
        <f aca="false">W$18</f>
        <v>38</v>
      </c>
      <c r="X171" s="9" t="n">
        <f aca="false">SUMPRODUCT(K171:N171,T171:W171)/O171</f>
        <v>38.3680990588564</v>
      </c>
      <c r="Y171" s="9" t="n">
        <f aca="false">$Y$18/1000*CURVES!K130+$Y$14</f>
        <v>78.1776327284946</v>
      </c>
      <c r="Z171" s="9" t="n">
        <f aca="false">(O171*X171+P171*Y171)/Q171</f>
        <v>56.5505648806186</v>
      </c>
      <c r="AA171" s="9" t="n">
        <f aca="false">CHOOSE(AA$18,CURVES!F130,CURVES!G130)</f>
        <v>63.5550160778672</v>
      </c>
      <c r="AB171" s="9" t="n">
        <f aca="false">(Q171*Z171+R171*AA171)/H171</f>
        <v>60.6569665017196</v>
      </c>
      <c r="AD171" s="9"/>
      <c r="AH171" s="50" t="n">
        <f aca="false">AH159</f>
        <v>1859.59450264151</v>
      </c>
      <c r="AI171" s="50" t="n">
        <f aca="false">AI159</f>
        <v>0</v>
      </c>
      <c r="AJ171" s="50" t="n">
        <f aca="false">AJ159</f>
        <v>1584.50880376937</v>
      </c>
      <c r="AK171" s="50" t="n">
        <f aca="false">AK159</f>
        <v>621.501656862376</v>
      </c>
      <c r="AL171" s="50" t="n">
        <f aca="false">SUM(AH171:AK171)</f>
        <v>4065.60496327325</v>
      </c>
      <c r="AM171" s="50" t="n">
        <f aca="false">AM159</f>
        <v>2208.28901612903</v>
      </c>
      <c r="AN171" s="50" t="n">
        <f aca="false">AL171+AM171</f>
        <v>6273.89397940229</v>
      </c>
      <c r="AO171" s="8" t="n">
        <f aca="false">I171-AL171-AM171</f>
        <v>9788.06040359547</v>
      </c>
      <c r="AQ171" s="9" t="n">
        <f aca="false">$AQ$18</f>
        <v>43</v>
      </c>
      <c r="AR171" s="9"/>
      <c r="AS171" s="9" t="n">
        <f aca="false">AS$18</f>
        <v>30</v>
      </c>
      <c r="AT171" s="9" t="n">
        <f aca="false">AT$18</f>
        <v>38</v>
      </c>
      <c r="AU171" s="9" t="n">
        <f aca="false">SUMPRODUCT(AH171:AK171,AQ171:AT171)/AL171</f>
        <v>37.1691032583186</v>
      </c>
      <c r="AV171" s="9" t="n">
        <f aca="false">$Y$18/1000*CURVES!O130+$AV$14</f>
        <v>73.3246192880192</v>
      </c>
      <c r="AW171" s="9" t="n">
        <f aca="false">(AL171*AU171+AM171*AV171)/AN171</f>
        <v>49.895143765696</v>
      </c>
      <c r="AX171" s="9" t="n">
        <f aca="false">CHOOSE(AX$18,CURVES!B130,CURVES!C130)</f>
        <v>67.6790322580645</v>
      </c>
      <c r="AY171" s="9" t="n">
        <f aca="false">(AN171*AW171+AO171*AX171)/I171</f>
        <v>60.732540674155</v>
      </c>
    </row>
    <row r="172" customFormat="false" ht="12.75" hidden="false" customHeight="false" outlineLevel="0" collapsed="false">
      <c r="A172" s="85" t="n">
        <v>40787</v>
      </c>
      <c r="B172" s="31" t="n">
        <f aca="false">YEAR(A172)</f>
        <v>2011</v>
      </c>
      <c r="C172" s="31" t="n">
        <f aca="false">MONTH(A172)</f>
        <v>9</v>
      </c>
      <c r="D172" s="86" t="n">
        <v>0.06057374987409</v>
      </c>
      <c r="E172" s="87" t="n">
        <f aca="false">(1+D172/2)^(-2*(DATE($B173,$C173,20)-$E$17)/365.25)</f>
        <v>2.29700129524556</v>
      </c>
      <c r="F172" s="87"/>
      <c r="G172" s="8"/>
      <c r="H172" s="8" t="n">
        <f aca="false">(1+$I$17)*H160</f>
        <v>16423.2814368893</v>
      </c>
      <c r="I172" s="8" t="n">
        <f aca="false">(1+$I$17)*I160</f>
        <v>15129.3297768566</v>
      </c>
      <c r="K172" s="50" t="n">
        <f aca="false">K160</f>
        <v>2263.63333333333</v>
      </c>
      <c r="L172" s="50" t="n">
        <f aca="false">L160</f>
        <v>1380.73611111111</v>
      </c>
      <c r="M172" s="50" t="n">
        <f aca="false">M160</f>
        <v>542.602777777778</v>
      </c>
      <c r="N172" s="50" t="n">
        <f aca="false">N160</f>
        <v>3.41944444444444</v>
      </c>
      <c r="O172" s="50" t="n">
        <f aca="false">SUM(K172:N172)</f>
        <v>4190.39166666667</v>
      </c>
      <c r="P172" s="50" t="n">
        <f aca="false">P160</f>
        <v>3348.13393235473</v>
      </c>
      <c r="Q172" s="50" t="n">
        <f aca="false">O172+P172</f>
        <v>7538.52559902139</v>
      </c>
      <c r="R172" s="8" t="n">
        <f aca="false">H172-O172-P172</f>
        <v>8884.75583786787</v>
      </c>
      <c r="T172" s="9" t="n">
        <f aca="false">$T$18</f>
        <v>48.72</v>
      </c>
      <c r="U172" s="9" t="n">
        <f aca="false">U$18</f>
        <v>23</v>
      </c>
      <c r="V172" s="9" t="n">
        <f aca="false">V$18</f>
        <v>34</v>
      </c>
      <c r="W172" s="9" t="n">
        <f aca="false">W$18</f>
        <v>38</v>
      </c>
      <c r="X172" s="9" t="n">
        <f aca="false">SUMPRODUCT(K172:N172,T172:W172)/O172</f>
        <v>38.3304456159959</v>
      </c>
      <c r="Y172" s="9" t="n">
        <f aca="false">$Y$18/1000*CURVES!K131+$Y$14</f>
        <v>78.3981327284946</v>
      </c>
      <c r="Z172" s="9" t="n">
        <f aca="false">(O172*X172+P172*Y172)/Q172</f>
        <v>56.1259655820943</v>
      </c>
      <c r="AA172" s="9" t="n">
        <f aca="false">CHOOSE(AA$18,CURVES!F131,CURVES!G131)</f>
        <v>57.4760956300581</v>
      </c>
      <c r="AB172" s="9" t="n">
        <f aca="false">(Q172*Z172+R172*AA172)/H172</f>
        <v>56.8563662557735</v>
      </c>
      <c r="AD172" s="9"/>
      <c r="AH172" s="50" t="n">
        <f aca="false">AH160</f>
        <v>1890.97734163897</v>
      </c>
      <c r="AI172" s="50" t="n">
        <f aca="false">AI160</f>
        <v>0</v>
      </c>
      <c r="AJ172" s="50" t="n">
        <f aca="false">AJ160</f>
        <v>765.820605438213</v>
      </c>
      <c r="AK172" s="50" t="n">
        <f aca="false">AK160</f>
        <v>570.922545092046</v>
      </c>
      <c r="AL172" s="50" t="n">
        <f aca="false">SUM(AH172:AK172)</f>
        <v>3227.72049216923</v>
      </c>
      <c r="AM172" s="50" t="n">
        <f aca="false">AM160</f>
        <v>2371.57693150685</v>
      </c>
      <c r="AN172" s="50" t="n">
        <f aca="false">AL172+AM172</f>
        <v>5599.29742367608</v>
      </c>
      <c r="AO172" s="8" t="n">
        <f aca="false">I172-AL172-AM172</f>
        <v>9530.03235318051</v>
      </c>
      <c r="AQ172" s="9" t="n">
        <f aca="false">$AQ$18</f>
        <v>43</v>
      </c>
      <c r="AR172" s="9"/>
      <c r="AS172" s="9" t="n">
        <f aca="false">AS$18</f>
        <v>30</v>
      </c>
      <c r="AT172" s="9" t="n">
        <f aca="false">AT$18</f>
        <v>38</v>
      </c>
      <c r="AU172" s="9" t="n">
        <f aca="false">SUMPRODUCT(AH172:AK172,AQ172:AT172)/AL172</f>
        <v>39.0311679319086</v>
      </c>
      <c r="AV172" s="9" t="n">
        <f aca="false">$Y$18/1000*CURVES!O131+$AV$14</f>
        <v>73.5451192880192</v>
      </c>
      <c r="AW172" s="9" t="n">
        <f aca="false">(AL172*AU172+AM172*AV172)/AN172</f>
        <v>53.6495181744223</v>
      </c>
      <c r="AX172" s="9" t="n">
        <f aca="false">CHOOSE(AX$18,CURVES!B131,CURVES!C131)</f>
        <v>58.8277777777778</v>
      </c>
      <c r="AY172" s="9" t="n">
        <f aca="false">(AN172*AW172+AO172*AX172)/I172</f>
        <v>56.9113270107023</v>
      </c>
    </row>
    <row r="173" customFormat="false" ht="12.75" hidden="false" customHeight="false" outlineLevel="0" collapsed="false">
      <c r="A173" s="85" t="n">
        <v>40817</v>
      </c>
      <c r="B173" s="31" t="n">
        <f aca="false">YEAR(A173)</f>
        <v>2011</v>
      </c>
      <c r="C173" s="31" t="n">
        <f aca="false">MONTH(A173)</f>
        <v>10</v>
      </c>
      <c r="D173" s="86" t="n">
        <v>0.060597464948881</v>
      </c>
      <c r="E173" s="87" t="n">
        <f aca="false">(1+D173/2)^(-2*(DATE($B174,$C174,20)-$E$17)/365.25)</f>
        <v>2.28612563088179</v>
      </c>
      <c r="F173" s="87"/>
      <c r="G173" s="8"/>
      <c r="H173" s="8" t="n">
        <f aca="false">(1+$I$17)*H161</f>
        <v>15257.211386904</v>
      </c>
      <c r="I173" s="8" t="n">
        <f aca="false">(1+$I$17)*I161</f>
        <v>13095.5262666181</v>
      </c>
      <c r="K173" s="50" t="n">
        <f aca="false">K161</f>
        <v>2069.29166666667</v>
      </c>
      <c r="L173" s="50" t="n">
        <f aca="false">L161</f>
        <v>1227.52419354839</v>
      </c>
      <c r="M173" s="50" t="n">
        <f aca="false">M161</f>
        <v>369.340053763441</v>
      </c>
      <c r="N173" s="50" t="n">
        <f aca="false">N161</f>
        <v>3.27822580645161</v>
      </c>
      <c r="O173" s="50" t="n">
        <f aca="false">SUM(K173:N173)</f>
        <v>3669.43413978495</v>
      </c>
      <c r="P173" s="50" t="n">
        <f aca="false">P161</f>
        <v>3171.07549498463</v>
      </c>
      <c r="Q173" s="50" t="n">
        <f aca="false">O173+P173</f>
        <v>6840.50963476957</v>
      </c>
      <c r="R173" s="8" t="n">
        <f aca="false">H173-O173-P173</f>
        <v>8416.70175213443</v>
      </c>
      <c r="T173" s="9" t="n">
        <f aca="false">$T$18</f>
        <v>48.72</v>
      </c>
      <c r="U173" s="9" t="n">
        <f aca="false">U$18</f>
        <v>23</v>
      </c>
      <c r="V173" s="9" t="n">
        <f aca="false">V$18</f>
        <v>34</v>
      </c>
      <c r="W173" s="9" t="n">
        <f aca="false">W$18</f>
        <v>38</v>
      </c>
      <c r="X173" s="9" t="n">
        <f aca="false">SUMPRODUCT(K173:N173,T173:W173)/O173</f>
        <v>38.624778497461</v>
      </c>
      <c r="Y173" s="9" t="n">
        <f aca="false">$Y$18/1000*CURVES!K132+$Y$14</f>
        <v>78.7131327284946</v>
      </c>
      <c r="Z173" s="9" t="n">
        <f aca="false">(O173*X173+P173*Y173)/Q173</f>
        <v>57.2086566766745</v>
      </c>
      <c r="AA173" s="9" t="n">
        <f aca="false">CHOOSE(AA$18,CURVES!F132,CURVES!G132)</f>
        <v>45.8612903225806</v>
      </c>
      <c r="AB173" s="9" t="n">
        <f aca="false">(Q173*Z173+R173*AA173)/H173</f>
        <v>50.9488365920821</v>
      </c>
      <c r="AD173" s="9"/>
      <c r="AH173" s="50" t="n">
        <f aca="false">AH161</f>
        <v>1913.83994918903</v>
      </c>
      <c r="AI173" s="50" t="n">
        <f aca="false">AI161</f>
        <v>0</v>
      </c>
      <c r="AJ173" s="50" t="n">
        <f aca="false">AJ161</f>
        <v>1075.38011608834</v>
      </c>
      <c r="AK173" s="50" t="n">
        <f aca="false">AK161</f>
        <v>576.385560502926</v>
      </c>
      <c r="AL173" s="50" t="n">
        <f aca="false">SUM(AH173:AK173)</f>
        <v>3565.6056257803</v>
      </c>
      <c r="AM173" s="50" t="n">
        <f aca="false">AM161</f>
        <v>2259.71325</v>
      </c>
      <c r="AN173" s="50" t="n">
        <f aca="false">AL173+AM173</f>
        <v>5825.3188757803</v>
      </c>
      <c r="AO173" s="8" t="n">
        <f aca="false">I173-AL173-AM173</f>
        <v>7270.20739083783</v>
      </c>
      <c r="AQ173" s="9" t="n">
        <f aca="false">$AQ$18</f>
        <v>43</v>
      </c>
      <c r="AR173" s="9"/>
      <c r="AS173" s="9" t="n">
        <f aca="false">AS$18</f>
        <v>30</v>
      </c>
      <c r="AT173" s="9" t="n">
        <f aca="false">AT$18</f>
        <v>38</v>
      </c>
      <c r="AU173" s="9" t="n">
        <f aca="false">SUMPRODUCT(AH173:AK173,AQ173:AT173)/AL173</f>
        <v>38.2709662589303</v>
      </c>
      <c r="AV173" s="9" t="n">
        <f aca="false">$Y$18/1000*CURVES!O132+$AV$14</f>
        <v>73.8601192880192</v>
      </c>
      <c r="AW173" s="9" t="n">
        <f aca="false">(AL173*AU173+AM173*AV173)/AN173</f>
        <v>52.0764389499574</v>
      </c>
      <c r="AX173" s="9" t="n">
        <f aca="false">CHOOSE(AX$18,CURVES!B132,CURVES!C132)</f>
        <v>45.0870967741936</v>
      </c>
      <c r="AY173" s="9" t="n">
        <f aca="false">(AN173*AW173+AO173*AX173)/I173</f>
        <v>48.1961850289781</v>
      </c>
    </row>
    <row r="174" customFormat="false" ht="12.75" hidden="false" customHeight="false" outlineLevel="0" collapsed="false">
      <c r="A174" s="85" t="n">
        <v>40848</v>
      </c>
      <c r="B174" s="31" t="n">
        <f aca="false">YEAR(A174)</f>
        <v>2011</v>
      </c>
      <c r="C174" s="31" t="n">
        <f aca="false">MONTH(A174)</f>
        <v>11</v>
      </c>
      <c r="D174" s="86" t="n">
        <v>0.060621970526362</v>
      </c>
      <c r="E174" s="87" t="n">
        <f aca="false">(1+D174/2)^(-2*(DATE($B175,$C175,20)-$E$17)/365.25)</f>
        <v>2.27568865620335</v>
      </c>
      <c r="F174" s="87"/>
      <c r="G174" s="8"/>
      <c r="H174" s="8" t="n">
        <f aca="false">(1+$I$17)*H162</f>
        <v>14924.5665492952</v>
      </c>
      <c r="I174" s="8" t="n">
        <f aca="false">(1+$I$17)*I162</f>
        <v>13294.3048387555</v>
      </c>
      <c r="K174" s="50" t="n">
        <f aca="false">K162</f>
        <v>2201.15833333333</v>
      </c>
      <c r="L174" s="50" t="n">
        <f aca="false">L162</f>
        <v>1270.02777777778</v>
      </c>
      <c r="M174" s="50" t="n">
        <f aca="false">M162</f>
        <v>241.311111111111</v>
      </c>
      <c r="N174" s="50" t="n">
        <f aca="false">N162</f>
        <v>3.11944444444444</v>
      </c>
      <c r="O174" s="50" t="n">
        <f aca="false">SUM(K174:N174)</f>
        <v>3715.61666666667</v>
      </c>
      <c r="P174" s="50" t="n">
        <f aca="false">P162</f>
        <v>3029.03315829808</v>
      </c>
      <c r="Q174" s="50" t="n">
        <f aca="false">O174+P174</f>
        <v>6744.64982496475</v>
      </c>
      <c r="R174" s="8" t="n">
        <f aca="false">H174-O174-P174</f>
        <v>8179.91672433048</v>
      </c>
      <c r="T174" s="9" t="n">
        <f aca="false">$T$18</f>
        <v>48.72</v>
      </c>
      <c r="U174" s="9" t="n">
        <f aca="false">U$18</f>
        <v>23</v>
      </c>
      <c r="V174" s="9" t="n">
        <f aca="false">V$18</f>
        <v>34</v>
      </c>
      <c r="W174" s="9" t="n">
        <f aca="false">W$18</f>
        <v>38</v>
      </c>
      <c r="X174" s="9" t="n">
        <f aca="false">SUMPRODUCT(K174:N174,T174:W174)/O174</f>
        <v>38.9637044247179</v>
      </c>
      <c r="Y174" s="9" t="n">
        <f aca="false">$Y$18/1000*CURVES!K133+$Y$14</f>
        <v>78.9231327284946</v>
      </c>
      <c r="Z174" s="9" t="n">
        <f aca="false">(O174*X174+P174*Y174)/Q174</f>
        <v>56.9095483839938</v>
      </c>
      <c r="AA174" s="9" t="n">
        <f aca="false">CHOOSE(AA$18,CURVES!F133,CURVES!G133)</f>
        <v>38.3107220471053</v>
      </c>
      <c r="AB174" s="9" t="n">
        <f aca="false">(Q174*Z174+R174*AA174)/H174</f>
        <v>46.7158285125637</v>
      </c>
      <c r="AD174" s="9"/>
      <c r="AH174" s="50" t="n">
        <f aca="false">AH162</f>
        <v>1838.78743628671</v>
      </c>
      <c r="AI174" s="50" t="n">
        <f aca="false">AI162</f>
        <v>0</v>
      </c>
      <c r="AJ174" s="50" t="n">
        <f aca="false">AJ162</f>
        <v>1347.87918472112</v>
      </c>
      <c r="AK174" s="50" t="n">
        <f aca="false">AK162</f>
        <v>499.439112514422</v>
      </c>
      <c r="AL174" s="50" t="n">
        <f aca="false">SUM(AH174:AK174)</f>
        <v>3686.10573352225</v>
      </c>
      <c r="AM174" s="50" t="n">
        <f aca="false">AM162</f>
        <v>2451.23764109589</v>
      </c>
      <c r="AN174" s="50" t="n">
        <f aca="false">AL174+AM174</f>
        <v>6137.34337461814</v>
      </c>
      <c r="AO174" s="8" t="n">
        <f aca="false">I174-AL174-AM174</f>
        <v>7156.96146413733</v>
      </c>
      <c r="AQ174" s="9" t="n">
        <f aca="false">$AQ$18</f>
        <v>43</v>
      </c>
      <c r="AR174" s="9"/>
      <c r="AS174" s="9" t="n">
        <f aca="false">AS$18</f>
        <v>30</v>
      </c>
      <c r="AT174" s="9" t="n">
        <f aca="false">AT$18</f>
        <v>38</v>
      </c>
      <c r="AU174" s="9" t="n">
        <f aca="false">SUMPRODUCT(AH174:AK174,AQ174:AT174)/AL174</f>
        <v>37.5688956282822</v>
      </c>
      <c r="AV174" s="9" t="n">
        <f aca="false">$Y$18/1000*CURVES!O133+$AV$14</f>
        <v>75.3301192880192</v>
      </c>
      <c r="AW174" s="9" t="n">
        <f aca="false">(AL174*AU174+AM174*AV174)/AN174</f>
        <v>52.6506218995204</v>
      </c>
      <c r="AX174" s="9" t="n">
        <f aca="false">CHOOSE(AX$18,CURVES!B133,CURVES!C133)</f>
        <v>43.5055555555556</v>
      </c>
      <c r="AY174" s="9" t="n">
        <f aca="false">(AN174*AW174+AO174*AX174)/I174</f>
        <v>47.7273943818292</v>
      </c>
    </row>
    <row r="175" customFormat="false" ht="12.75" hidden="false" customHeight="false" outlineLevel="0" collapsed="false">
      <c r="A175" s="85" t="n">
        <v>40878</v>
      </c>
      <c r="B175" s="31" t="n">
        <f aca="false">YEAR(A175)</f>
        <v>2011</v>
      </c>
      <c r="C175" s="31" t="n">
        <f aca="false">MONTH(A175)</f>
        <v>12</v>
      </c>
      <c r="D175" s="86" t="n">
        <v>0.060645685601532</v>
      </c>
      <c r="E175" s="87" t="n">
        <f aca="false">(1+D175/2)^(-2*(DATE($B176,$C176,20)-$E$17)/365.25)</f>
        <v>2.26489618103074</v>
      </c>
      <c r="F175" s="87"/>
      <c r="G175" s="8"/>
      <c r="H175" s="8" t="n">
        <f aca="false">(1+$I$17)*H163</f>
        <v>14817.1019604744</v>
      </c>
      <c r="I175" s="8" t="n">
        <f aca="false">(1+$I$17)*I163</f>
        <v>13264.1024938688</v>
      </c>
      <c r="K175" s="50" t="n">
        <f aca="false">K163</f>
        <v>2256.4126344086</v>
      </c>
      <c r="L175" s="50" t="n">
        <f aca="false">L163</f>
        <v>1157.21505376344</v>
      </c>
      <c r="M175" s="50" t="n">
        <f aca="false">M163</f>
        <v>239.860215053763</v>
      </c>
      <c r="N175" s="50" t="n">
        <f aca="false">N163</f>
        <v>2.96908602150538</v>
      </c>
      <c r="O175" s="50" t="n">
        <f aca="false">SUM(K175:N175)</f>
        <v>3656.45698924731</v>
      </c>
      <c r="P175" s="50" t="n">
        <f aca="false">P163</f>
        <v>2977.59684973097</v>
      </c>
      <c r="Q175" s="50" t="n">
        <f aca="false">O175+P175</f>
        <v>6634.05383897828</v>
      </c>
      <c r="R175" s="8" t="n">
        <f aca="false">H175-O175-P175</f>
        <v>8183.04812149609</v>
      </c>
      <c r="T175" s="9" t="n">
        <f aca="false">$T$18</f>
        <v>48.72</v>
      </c>
      <c r="U175" s="9" t="n">
        <f aca="false">U$18</f>
        <v>23</v>
      </c>
      <c r="V175" s="9" t="n">
        <f aca="false">V$18</f>
        <v>34</v>
      </c>
      <c r="W175" s="9" t="n">
        <f aca="false">W$18</f>
        <v>38</v>
      </c>
      <c r="X175" s="9" t="n">
        <f aca="false">SUMPRODUCT(K175:N175,T175:W175)/O175</f>
        <v>39.6056736867024</v>
      </c>
      <c r="Y175" s="9" t="n">
        <f aca="false">$Y$18/1000*CURVES!K134+$Y$14</f>
        <v>80.2356327284946</v>
      </c>
      <c r="Z175" s="9" t="n">
        <f aca="false">(O175*X175+P175*Y175)/Q175</f>
        <v>57.8418292838616</v>
      </c>
      <c r="AA175" s="9" t="n">
        <f aca="false">CHOOSE(AA$18,CURVES!F134,CURVES!G134)</f>
        <v>38.0763826194522</v>
      </c>
      <c r="AB175" s="9" t="n">
        <f aca="false">(Q175*Z175+R175*AA175)/H175</f>
        <v>46.9259564209237</v>
      </c>
      <c r="AD175" s="9"/>
      <c r="AH175" s="50" t="n">
        <f aca="false">AH163</f>
        <v>1921.09500453605</v>
      </c>
      <c r="AI175" s="50" t="n">
        <f aca="false">AI163</f>
        <v>0</v>
      </c>
      <c r="AJ175" s="50" t="n">
        <f aca="false">AJ163</f>
        <v>1326.47869273451</v>
      </c>
      <c r="AK175" s="50" t="n">
        <f aca="false">AK163</f>
        <v>519.619723134563</v>
      </c>
      <c r="AL175" s="50" t="n">
        <f aca="false">SUM(AH175:AK175)</f>
        <v>3767.19342040512</v>
      </c>
      <c r="AM175" s="50" t="n">
        <f aca="false">AM163</f>
        <v>2024.24791129032</v>
      </c>
      <c r="AN175" s="50" t="n">
        <f aca="false">AL175+AM175</f>
        <v>5791.44133169545</v>
      </c>
      <c r="AO175" s="8" t="n">
        <f aca="false">I175-AL175-AM175</f>
        <v>7472.66116217332</v>
      </c>
      <c r="AQ175" s="9" t="n">
        <f aca="false">$AQ$18</f>
        <v>43</v>
      </c>
      <c r="AR175" s="9"/>
      <c r="AS175" s="9" t="n">
        <f aca="false">AS$18</f>
        <v>30</v>
      </c>
      <c r="AT175" s="9" t="n">
        <f aca="false">AT$18</f>
        <v>38</v>
      </c>
      <c r="AU175" s="9" t="n">
        <f aca="false">SUMPRODUCT(AH175:AK175,AQ175:AT175)/AL175</f>
        <v>37.7328635918334</v>
      </c>
      <c r="AV175" s="9" t="n">
        <f aca="false">$Y$18/1000*CURVES!O134+$AV$14</f>
        <v>76.6426192880192</v>
      </c>
      <c r="AW175" s="9" t="n">
        <f aca="false">(AL175*AU175+AM175*AV175)/AN175</f>
        <v>51.3327581924686</v>
      </c>
      <c r="AX175" s="9" t="n">
        <f aca="false">CHOOSE(AX$18,CURVES!B134,CURVES!C134)</f>
        <v>42.7268817204301</v>
      </c>
      <c r="AY175" s="9" t="n">
        <f aca="false">(AN175*AW175+AO175*AX175)/I175</f>
        <v>46.4844242091637</v>
      </c>
    </row>
    <row r="176" customFormat="false" ht="12.75" hidden="false" customHeight="false" outlineLevel="0" collapsed="false">
      <c r="A176" s="85" t="n">
        <v>40909</v>
      </c>
      <c r="B176" s="31" t="n">
        <f aca="false">YEAR(A176)</f>
        <v>2012</v>
      </c>
      <c r="C176" s="31" t="n">
        <f aca="false">MONTH(A176)</f>
        <v>1</v>
      </c>
      <c r="D176" s="86" t="n">
        <v>0.060670191179406</v>
      </c>
      <c r="E176" s="87" t="n">
        <f aca="false">(1+D176/2)^(-2*(DATE($B177,$C177,20)-$E$17)/365.25)</f>
        <v>2.25416959264507</v>
      </c>
      <c r="F176" s="87"/>
      <c r="G176" s="8"/>
      <c r="H176" s="8" t="n">
        <f aca="false">(1+$I$17)*H164</f>
        <v>15089.3511810419</v>
      </c>
      <c r="I176" s="8" t="n">
        <f aca="false">(1+$I$17)*I164</f>
        <v>14344.3099123645</v>
      </c>
      <c r="K176" s="50" t="n">
        <f aca="false">K164</f>
        <v>2185.91801075269</v>
      </c>
      <c r="L176" s="50" t="n">
        <f aca="false">L164</f>
        <v>1282.33064516129</v>
      </c>
      <c r="M176" s="50" t="n">
        <f aca="false">M164</f>
        <v>142.852150537634</v>
      </c>
      <c r="N176" s="50" t="n">
        <f aca="false">N164</f>
        <v>3.16801075268817</v>
      </c>
      <c r="O176" s="50" t="n">
        <f aca="false">SUM(K176:N176)</f>
        <v>3614.2688172043</v>
      </c>
      <c r="P176" s="50" t="n">
        <f aca="false">P164</f>
        <v>2792.6655547379</v>
      </c>
      <c r="Q176" s="50" t="n">
        <f aca="false">O176+P176</f>
        <v>6406.9343719422</v>
      </c>
      <c r="R176" s="8" t="n">
        <f aca="false">H176-O176-P176</f>
        <v>8682.41680909973</v>
      </c>
      <c r="T176" s="9" t="n">
        <f aca="false">$T$18</f>
        <v>48.72</v>
      </c>
      <c r="U176" s="9" t="n">
        <f aca="false">U$18</f>
        <v>23</v>
      </c>
      <c r="V176" s="9" t="n">
        <f aca="false">V$18</f>
        <v>34</v>
      </c>
      <c r="W176" s="9" t="n">
        <f aca="false">W$18</f>
        <v>38</v>
      </c>
      <c r="X176" s="9" t="n">
        <f aca="false">SUMPRODUCT(K176:N176,T176:W176)/O176</f>
        <v>39.0034319468534</v>
      </c>
      <c r="Y176" s="9" t="n">
        <f aca="false">$Y$18/1000*CURVES!K135+$Y$14</f>
        <v>81.6951327284946</v>
      </c>
      <c r="Z176" s="9" t="n">
        <f aca="false">(O176*X176+P176*Y176)/Q176</f>
        <v>57.6119637851349</v>
      </c>
      <c r="AA176" s="9" t="n">
        <f aca="false">CHOOSE(AA$18,CURVES!F135,CURVES!G135)</f>
        <v>39.3679161271781</v>
      </c>
      <c r="AB176" s="9" t="n">
        <f aca="false">(Q176*Z176+R176*AA176)/H176</f>
        <v>47.1143337577766</v>
      </c>
      <c r="AD176" s="9"/>
      <c r="AH176" s="50" t="n">
        <f aca="false">AH164</f>
        <v>1826.05608785899</v>
      </c>
      <c r="AI176" s="50" t="n">
        <f aca="false">AI164</f>
        <v>0</v>
      </c>
      <c r="AJ176" s="50" t="n">
        <f aca="false">AJ164</f>
        <v>1744.08931864439</v>
      </c>
      <c r="AK176" s="50" t="n">
        <f aca="false">AK164</f>
        <v>538.872892801371</v>
      </c>
      <c r="AL176" s="50" t="n">
        <f aca="false">SUM(AH176:AK176)</f>
        <v>4109.01829930475</v>
      </c>
      <c r="AM176" s="50" t="n">
        <f aca="false">AM164</f>
        <v>2445.3687016129</v>
      </c>
      <c r="AN176" s="50" t="n">
        <f aca="false">AL176+AM176</f>
        <v>6554.38700091765</v>
      </c>
      <c r="AO176" s="8" t="n">
        <f aca="false">I176-AL176-AM176</f>
        <v>7789.92291144688</v>
      </c>
      <c r="AQ176" s="9" t="n">
        <f aca="false">$AQ$18</f>
        <v>43</v>
      </c>
      <c r="AR176" s="9"/>
      <c r="AS176" s="9" t="n">
        <f aca="false">AS$18</f>
        <v>30</v>
      </c>
      <c r="AT176" s="9" t="n">
        <f aca="false">AT$18</f>
        <v>38</v>
      </c>
      <c r="AU176" s="9" t="n">
        <f aca="false">SUMPRODUCT(AH176:AK176,AQ176:AT176)/AL176</f>
        <v>36.8263780400598</v>
      </c>
      <c r="AV176" s="9" t="n">
        <f aca="false">$Y$18/1000*CURVES!O135+$AV$14</f>
        <v>78.1021192880192</v>
      </c>
      <c r="AW176" s="9" t="n">
        <f aca="false">(AL176*AU176+AM176*AV176)/AN176</f>
        <v>52.2258968309858</v>
      </c>
      <c r="AX176" s="9" t="n">
        <f aca="false">CHOOSE(AX$18,CURVES!B135,CURVES!C135)</f>
        <v>46.5548387096774</v>
      </c>
      <c r="AY176" s="9" t="n">
        <f aca="false">(AN176*AW176+AO176*AX176)/I176</f>
        <v>49.1461316933651</v>
      </c>
    </row>
    <row r="177" customFormat="false" ht="12.75" hidden="false" customHeight="false" outlineLevel="0" collapsed="false">
      <c r="A177" s="85" t="n">
        <v>40940</v>
      </c>
      <c r="B177" s="31" t="n">
        <f aca="false">YEAR(A177)</f>
        <v>2012</v>
      </c>
      <c r="C177" s="31" t="n">
        <f aca="false">MONTH(A177)</f>
        <v>2</v>
      </c>
      <c r="D177" s="86" t="n">
        <v>0.060694696757479</v>
      </c>
      <c r="E177" s="87" t="n">
        <f aca="false">(1+D177/2)^(-2*(DATE($B178,$C178,20)-$E$17)/365.25)</f>
        <v>2.24421938302756</v>
      </c>
      <c r="F177" s="87"/>
      <c r="G177" s="8"/>
      <c r="H177" s="8" t="n">
        <f aca="false">(1+$I$17)*H165</f>
        <v>15129.9385480872</v>
      </c>
      <c r="I177" s="8" t="n">
        <f aca="false">(1+$I$17)*I165</f>
        <v>14325.1923385208</v>
      </c>
      <c r="K177" s="50" t="n">
        <f aca="false">K165</f>
        <v>2261.87643678161</v>
      </c>
      <c r="L177" s="50" t="n">
        <f aca="false">L165</f>
        <v>1335.97988505747</v>
      </c>
      <c r="M177" s="50" t="n">
        <f aca="false">M165</f>
        <v>236.002873563218</v>
      </c>
      <c r="N177" s="50" t="n">
        <f aca="false">N165</f>
        <v>3.84913793103448</v>
      </c>
      <c r="O177" s="50" t="n">
        <f aca="false">SUM(K177:N177)</f>
        <v>3837.70833333333</v>
      </c>
      <c r="P177" s="50" t="n">
        <f aca="false">P165</f>
        <v>3011.77170136767</v>
      </c>
      <c r="Q177" s="50" t="n">
        <f aca="false">O177+P177</f>
        <v>6849.48003470101</v>
      </c>
      <c r="R177" s="8" t="n">
        <f aca="false">H177-O177-P177</f>
        <v>8280.45851338619</v>
      </c>
      <c r="T177" s="9" t="n">
        <f aca="false">$T$18</f>
        <v>48.72</v>
      </c>
      <c r="U177" s="9" t="n">
        <f aca="false">U$18</f>
        <v>23</v>
      </c>
      <c r="V177" s="9" t="n">
        <f aca="false">V$18</f>
        <v>34</v>
      </c>
      <c r="W177" s="9" t="n">
        <f aca="false">W$18</f>
        <v>38</v>
      </c>
      <c r="X177" s="9" t="n">
        <f aca="false">SUMPRODUCT(K177:N177,T177:W177)/O177</f>
        <v>38.8504048116</v>
      </c>
      <c r="Y177" s="9" t="n">
        <f aca="false">$Y$18/1000*CURVES!K136+$Y$14</f>
        <v>80.6871327284946</v>
      </c>
      <c r="Z177" s="9" t="n">
        <f aca="false">(O177*X177+P177*Y177)/Q177</f>
        <v>57.2463520338072</v>
      </c>
      <c r="AA177" s="9" t="n">
        <f aca="false">CHOOSE(AA$18,CURVES!F136,CURVES!G136)</f>
        <v>39.7373968533734</v>
      </c>
      <c r="AB177" s="9" t="n">
        <f aca="false">(Q177*Z177+R177*AA177)/H177</f>
        <v>47.6638823811034</v>
      </c>
      <c r="AD177" s="9"/>
      <c r="AH177" s="50" t="n">
        <f aca="false">AH165</f>
        <v>1925.74685025101</v>
      </c>
      <c r="AI177" s="50" t="n">
        <f aca="false">AI165</f>
        <v>0</v>
      </c>
      <c r="AJ177" s="50" t="n">
        <f aca="false">AJ165</f>
        <v>2201.92738718254</v>
      </c>
      <c r="AK177" s="50" t="n">
        <f aca="false">AK165</f>
        <v>548.475477754164</v>
      </c>
      <c r="AL177" s="50" t="n">
        <f aca="false">SUM(AH177:AK177)</f>
        <v>4676.14971518771</v>
      </c>
      <c r="AM177" s="50" t="n">
        <f aca="false">AM165</f>
        <v>2161.54564434524</v>
      </c>
      <c r="AN177" s="50" t="n">
        <f aca="false">AL177+AM177</f>
        <v>6837.69535953295</v>
      </c>
      <c r="AO177" s="8" t="n">
        <f aca="false">I177-AL177-AM177</f>
        <v>7487.49697898784</v>
      </c>
      <c r="AQ177" s="9" t="n">
        <f aca="false">$AQ$18</f>
        <v>43</v>
      </c>
      <c r="AR177" s="9"/>
      <c r="AS177" s="9" t="n">
        <f aca="false">AS$18</f>
        <v>30</v>
      </c>
      <c r="AT177" s="9" t="n">
        <f aca="false">AT$18</f>
        <v>38</v>
      </c>
      <c r="AU177" s="9" t="n">
        <f aca="false">SUMPRODUCT(AH177:AK177,AQ177:AT177)/AL177</f>
        <v>36.2920382509856</v>
      </c>
      <c r="AV177" s="9" t="n">
        <f aca="false">$Y$18/1000*CURVES!O136+$AV$14</f>
        <v>77.0941192880192</v>
      </c>
      <c r="AW177" s="9" t="n">
        <f aca="false">(AL177*AU177+AM177*AV177)/AN177</f>
        <v>49.1904719934104</v>
      </c>
      <c r="AX177" s="9" t="n">
        <f aca="false">CHOOSE(AX$18,CURVES!B136,CURVES!C136)</f>
        <v>45.5591954022989</v>
      </c>
      <c r="AY177" s="9" t="n">
        <f aca="false">(AN177*AW177+AO177*AX177)/I177</f>
        <v>47.2924749638903</v>
      </c>
    </row>
    <row r="178" customFormat="false" ht="12.75" hidden="false" customHeight="false" outlineLevel="0" collapsed="false">
      <c r="A178" s="85" t="n">
        <v>40969</v>
      </c>
      <c r="B178" s="31" t="n">
        <f aca="false">YEAR(A178)</f>
        <v>2012</v>
      </c>
      <c r="C178" s="31" t="n">
        <f aca="false">MONTH(A178)</f>
        <v>3</v>
      </c>
      <c r="D178" s="86" t="n">
        <v>0.060717621330695</v>
      </c>
      <c r="E178" s="87" t="n">
        <f aca="false">(1+D178/2)^(-2*(DATE($B179,$C179,20)-$E$17)/365.25)</f>
        <v>2.23352691578269</v>
      </c>
      <c r="F178" s="87"/>
      <c r="G178" s="8"/>
      <c r="H178" s="8" t="n">
        <f aca="false">(1+$I$17)*H166</f>
        <v>15042.3488606984</v>
      </c>
      <c r="I178" s="8" t="n">
        <f aca="false">(1+$I$17)*I166</f>
        <v>14003.5964409467</v>
      </c>
      <c r="K178" s="50" t="n">
        <f aca="false">K166</f>
        <v>2263.94623655914</v>
      </c>
      <c r="L178" s="50" t="n">
        <f aca="false">L166</f>
        <v>1258.63037634409</v>
      </c>
      <c r="M178" s="50" t="n">
        <f aca="false">M166</f>
        <v>620.646505376344</v>
      </c>
      <c r="N178" s="50" t="n">
        <f aca="false">N166</f>
        <v>2.58198924731183</v>
      </c>
      <c r="O178" s="50" t="n">
        <f aca="false">SUM(K178:N178)</f>
        <v>4145.80510752688</v>
      </c>
      <c r="P178" s="50" t="n">
        <f aca="false">P166</f>
        <v>2834.39732902856</v>
      </c>
      <c r="Q178" s="50" t="n">
        <f aca="false">O178+P178</f>
        <v>6980.20243655544</v>
      </c>
      <c r="R178" s="8" t="n">
        <f aca="false">H178-O178-P178</f>
        <v>8062.14642414293</v>
      </c>
      <c r="T178" s="9" t="n">
        <f aca="false">$T$18</f>
        <v>48.72</v>
      </c>
      <c r="U178" s="9" t="n">
        <f aca="false">U$18</f>
        <v>23</v>
      </c>
      <c r="V178" s="9" t="n">
        <f aca="false">V$18</f>
        <v>34</v>
      </c>
      <c r="W178" s="9" t="n">
        <f aca="false">W$18</f>
        <v>38</v>
      </c>
      <c r="X178" s="9" t="n">
        <f aca="false">SUMPRODUCT(K178:N178,T178:W178)/O178</f>
        <v>38.7013021388701</v>
      </c>
      <c r="Y178" s="9" t="n">
        <f aca="false">$Y$18/1000*CURVES!K137+$Y$14</f>
        <v>79.1121327284946</v>
      </c>
      <c r="Z178" s="9" t="n">
        <f aca="false">(O178*X178+P178*Y178)/Q178</f>
        <v>55.1106185345104</v>
      </c>
      <c r="AA178" s="9" t="n">
        <f aca="false">CHOOSE(AA$18,CURVES!F137,CURVES!G137)</f>
        <v>39.3919425373626</v>
      </c>
      <c r="AB178" s="9" t="n">
        <f aca="false">(Q178*Z178+R178*AA178)/H178</f>
        <v>46.6859856094113</v>
      </c>
      <c r="AD178" s="9"/>
      <c r="AH178" s="50" t="n">
        <f aca="false">AH166</f>
        <v>1891.23873243112</v>
      </c>
      <c r="AI178" s="50" t="n">
        <f aca="false">AI166</f>
        <v>0</v>
      </c>
      <c r="AJ178" s="50" t="n">
        <f aca="false">AJ166</f>
        <v>1966.55049263563</v>
      </c>
      <c r="AK178" s="50" t="n">
        <f aca="false">AK166</f>
        <v>526.073305014923</v>
      </c>
      <c r="AL178" s="50" t="n">
        <f aca="false">SUM(AH178:AK178)</f>
        <v>4383.86253008167</v>
      </c>
      <c r="AM178" s="50" t="n">
        <f aca="false">AM166</f>
        <v>2044.22227284946</v>
      </c>
      <c r="AN178" s="50" t="n">
        <f aca="false">AL178+AM178</f>
        <v>6428.08480293113</v>
      </c>
      <c r="AO178" s="8" t="n">
        <f aca="false">I178-AL178-AM178</f>
        <v>7575.51163801554</v>
      </c>
      <c r="AQ178" s="9" t="n">
        <f aca="false">$AQ$18</f>
        <v>43</v>
      </c>
      <c r="AR178" s="9"/>
      <c r="AS178" s="9" t="n">
        <f aca="false">AS$18</f>
        <v>30</v>
      </c>
      <c r="AT178" s="9" t="n">
        <f aca="false">AT$18</f>
        <v>38</v>
      </c>
      <c r="AU178" s="9" t="n">
        <f aca="false">SUMPRODUCT(AH178:AK178,AQ178:AT178)/AL178</f>
        <v>36.5683377989472</v>
      </c>
      <c r="AV178" s="9" t="n">
        <f aca="false">$Y$18/1000*CURVES!O137+$AV$14</f>
        <v>75.5191192880191</v>
      </c>
      <c r="AW178" s="9" t="n">
        <f aca="false">(AL178*AU178+AM178*AV178)/AN178</f>
        <v>48.9552395754368</v>
      </c>
      <c r="AX178" s="9" t="n">
        <f aca="false">CHOOSE(AX$18,CURVES!B137,CURVES!C137)</f>
        <v>43.5629032258065</v>
      </c>
      <c r="AY178" s="9" t="n">
        <f aca="false">(AN178*AW178+AO178*AX178)/I178</f>
        <v>46.0381527438516</v>
      </c>
    </row>
    <row r="179" customFormat="false" ht="12.75" hidden="false" customHeight="false" outlineLevel="0" collapsed="false">
      <c r="A179" s="85" t="n">
        <v>41000</v>
      </c>
      <c r="B179" s="31" t="n">
        <f aca="false">YEAR(A179)</f>
        <v>2012</v>
      </c>
      <c r="C179" s="31" t="n">
        <f aca="false">MONTH(A179)</f>
        <v>4</v>
      </c>
      <c r="D179" s="86" t="n">
        <v>0.060742126909153</v>
      </c>
      <c r="E179" s="87" t="n">
        <f aca="false">(1+D179/2)^(-2*(DATE($B180,$C180,20)-$E$17)/365.25)</f>
        <v>2.223286729012</v>
      </c>
      <c r="F179" s="87"/>
      <c r="G179" s="8"/>
      <c r="H179" s="8" t="n">
        <f aca="false">(1+$I$17)*H167</f>
        <v>15109.0964668691</v>
      </c>
      <c r="I179" s="8" t="n">
        <f aca="false">(1+$I$17)*I167</f>
        <v>13680.0685778462</v>
      </c>
      <c r="K179" s="50" t="n">
        <f aca="false">K167</f>
        <v>2319.84027777778</v>
      </c>
      <c r="L179" s="50" t="n">
        <f aca="false">L167</f>
        <v>1179.16597222222</v>
      </c>
      <c r="M179" s="50" t="n">
        <f aca="false">M167</f>
        <v>811.586111111111</v>
      </c>
      <c r="N179" s="50" t="n">
        <f aca="false">N167</f>
        <v>3.04166666666667</v>
      </c>
      <c r="O179" s="50" t="n">
        <f aca="false">SUM(K179:N179)</f>
        <v>4313.63402777778</v>
      </c>
      <c r="P179" s="50" t="n">
        <f aca="false">P167</f>
        <v>2923.39459068154</v>
      </c>
      <c r="Q179" s="50" t="n">
        <f aca="false">O179+P179</f>
        <v>7237.02861845932</v>
      </c>
      <c r="R179" s="8" t="n">
        <f aca="false">H179-O179-P179</f>
        <v>7872.0678484098</v>
      </c>
      <c r="T179" s="9" t="n">
        <f aca="false">$T$18</f>
        <v>48.72</v>
      </c>
      <c r="U179" s="9" t="n">
        <f aca="false">U$18</f>
        <v>23</v>
      </c>
      <c r="V179" s="9" t="n">
        <f aca="false">V$18</f>
        <v>34</v>
      </c>
      <c r="W179" s="9" t="n">
        <f aca="false">W$18</f>
        <v>38</v>
      </c>
      <c r="X179" s="9" t="n">
        <f aca="false">SUMPRODUCT(K179:N179,T179:W179)/O179</f>
        <v>38.9121899828918</v>
      </c>
      <c r="Y179" s="9" t="n">
        <f aca="false">$Y$18/1000*CURVES!K138+$Y$14</f>
        <v>78.4506327284946</v>
      </c>
      <c r="Z179" s="9" t="n">
        <f aca="false">(O179*X179+P179*Y179)/Q179</f>
        <v>54.883726885709</v>
      </c>
      <c r="AA179" s="9" t="n">
        <f aca="false">CHOOSE(AA$18,CURVES!F138,CURVES!G138)</f>
        <v>37.8153373363412</v>
      </c>
      <c r="AB179" s="9" t="n">
        <f aca="false">(Q179*Z179+R179*AA179)/H179</f>
        <v>45.9908376986989</v>
      </c>
      <c r="AD179" s="9"/>
      <c r="AH179" s="50" t="n">
        <f aca="false">AH167</f>
        <v>1937.93108490741</v>
      </c>
      <c r="AI179" s="50" t="n">
        <f aca="false">AI167</f>
        <v>0</v>
      </c>
      <c r="AJ179" s="50" t="n">
        <f aca="false">AJ167</f>
        <v>2070.95002093926</v>
      </c>
      <c r="AK179" s="50" t="n">
        <f aca="false">AK167</f>
        <v>513.919329218532</v>
      </c>
      <c r="AL179" s="50" t="n">
        <f aca="false">SUM(AH179:AK179)</f>
        <v>4522.8004350652</v>
      </c>
      <c r="AM179" s="50" t="n">
        <f aca="false">AM167</f>
        <v>2152.99685890411</v>
      </c>
      <c r="AN179" s="50" t="n">
        <f aca="false">AL179+AM179</f>
        <v>6675.79729396931</v>
      </c>
      <c r="AO179" s="8" t="n">
        <f aca="false">I179-AL179-AM179</f>
        <v>7004.27128387688</v>
      </c>
      <c r="AQ179" s="9" t="n">
        <f aca="false">$AQ$18</f>
        <v>43</v>
      </c>
      <c r="AR179" s="9"/>
      <c r="AS179" s="9" t="n">
        <f aca="false">AS$18</f>
        <v>30</v>
      </c>
      <c r="AT179" s="9" t="n">
        <f aca="false">AT$18</f>
        <v>38</v>
      </c>
      <c r="AU179" s="9" t="n">
        <f aca="false">SUMPRODUCT(AH179:AK179,AQ179:AT179)/AL179</f>
        <v>36.4792729987261</v>
      </c>
      <c r="AV179" s="9" t="n">
        <f aca="false">$Y$18/1000*CURVES!O138+$AV$14</f>
        <v>73.5976192880192</v>
      </c>
      <c r="AW179" s="9" t="n">
        <f aca="false">(AL179*AU179+AM179*AV179)/AN179</f>
        <v>48.4502300918596</v>
      </c>
      <c r="AX179" s="9" t="n">
        <f aca="false">CHOOSE(AX$18,CURVES!B138,CURVES!C138)</f>
        <v>41.3944444444444</v>
      </c>
      <c r="AY179" s="9" t="n">
        <f aca="false">(AN179*AW179+AO179*AX179)/I179</f>
        <v>44.8376285530476</v>
      </c>
    </row>
    <row r="180" customFormat="false" ht="12.75" hidden="false" customHeight="false" outlineLevel="0" collapsed="false">
      <c r="A180" s="85" t="n">
        <v>41030</v>
      </c>
      <c r="B180" s="31" t="n">
        <f aca="false">YEAR(A180)</f>
        <v>2012</v>
      </c>
      <c r="C180" s="31" t="n">
        <f aca="false">MONTH(A180)</f>
        <v>5</v>
      </c>
      <c r="D180" s="86" t="n">
        <v>0.060765841985271</v>
      </c>
      <c r="E180" s="87" t="n">
        <f aca="false">(1+D180/2)^(-2*(DATE($B181,$C181,20)-$E$17)/365.25)</f>
        <v>2.21269963508723</v>
      </c>
      <c r="F180" s="87"/>
      <c r="G180" s="8"/>
      <c r="H180" s="8" t="n">
        <f aca="false">(1+$I$17)*H168</f>
        <v>15965.7645320036</v>
      </c>
      <c r="I180" s="8" t="n">
        <f aca="false">(1+$I$17)*I168</f>
        <v>14901.2642134342</v>
      </c>
      <c r="K180" s="50" t="n">
        <f aca="false">K168</f>
        <v>2226.06720430108</v>
      </c>
      <c r="L180" s="50" t="n">
        <f aca="false">L168</f>
        <v>1023.62634408602</v>
      </c>
      <c r="M180" s="50" t="n">
        <f aca="false">M168</f>
        <v>950.165322580645</v>
      </c>
      <c r="N180" s="50" t="n">
        <f aca="false">N168</f>
        <v>3.30510752688172</v>
      </c>
      <c r="O180" s="50" t="n">
        <f aca="false">SUM(K180:N180)</f>
        <v>4203.16397849462</v>
      </c>
      <c r="P180" s="50" t="n">
        <f aca="false">P168</f>
        <v>2831.51050210493</v>
      </c>
      <c r="Q180" s="50" t="n">
        <f aca="false">O180+P180</f>
        <v>7034.67448059955</v>
      </c>
      <c r="R180" s="8" t="n">
        <f aca="false">H180-O180-P180</f>
        <v>8931.09005140401</v>
      </c>
      <c r="T180" s="9" t="n">
        <f aca="false">$T$18</f>
        <v>48.72</v>
      </c>
      <c r="U180" s="9" t="n">
        <f aca="false">U$18</f>
        <v>23</v>
      </c>
      <c r="V180" s="9" t="n">
        <f aca="false">V$18</f>
        <v>34</v>
      </c>
      <c r="W180" s="9" t="n">
        <f aca="false">W$18</f>
        <v>38</v>
      </c>
      <c r="X180" s="9" t="n">
        <f aca="false">SUMPRODUCT(K180:N180,T180:W180)/O180</f>
        <v>39.1201999261949</v>
      </c>
      <c r="Y180" s="9" t="n">
        <f aca="false">$Y$18/1000*CURVES!K139+$Y$14</f>
        <v>78.1881327284946</v>
      </c>
      <c r="Z180" s="9" t="n">
        <f aca="false">(O180*X180+P180*Y180)/Q180</f>
        <v>54.8453429062029</v>
      </c>
      <c r="AA180" s="9" t="n">
        <f aca="false">CHOOSE(AA$18,CURVES!F139,CURVES!G139)</f>
        <v>37.6703698553949</v>
      </c>
      <c r="AB180" s="9" t="n">
        <f aca="false">(Q180*Z180+R180*AA180)/H180</f>
        <v>45.2378336234668</v>
      </c>
      <c r="AD180" s="9"/>
      <c r="AH180" s="50" t="n">
        <f aca="false">AH168</f>
        <v>1895.25910320262</v>
      </c>
      <c r="AI180" s="50" t="n">
        <f aca="false">AI168</f>
        <v>0</v>
      </c>
      <c r="AJ180" s="50" t="n">
        <f aca="false">AJ168</f>
        <v>1877.63033247346</v>
      </c>
      <c r="AK180" s="50" t="n">
        <f aca="false">AK168</f>
        <v>570.53181663935</v>
      </c>
      <c r="AL180" s="50" t="n">
        <f aca="false">SUM(AH180:AK180)</f>
        <v>4343.42125231544</v>
      </c>
      <c r="AM180" s="50" t="n">
        <f aca="false">AM168</f>
        <v>2186.84183198925</v>
      </c>
      <c r="AN180" s="50" t="n">
        <f aca="false">AL180+AM180</f>
        <v>6530.26308430469</v>
      </c>
      <c r="AO180" s="8" t="n">
        <f aca="false">I180-AL180-AM180</f>
        <v>8371.00112912955</v>
      </c>
      <c r="AQ180" s="9" t="n">
        <f aca="false">$AQ$18</f>
        <v>43</v>
      </c>
      <c r="AR180" s="9"/>
      <c r="AS180" s="9" t="n">
        <f aca="false">AS$18</f>
        <v>30</v>
      </c>
      <c r="AT180" s="9" t="n">
        <f aca="false">AT$18</f>
        <v>38</v>
      </c>
      <c r="AU180" s="9" t="n">
        <f aca="false">SUMPRODUCT(AH180:AK180,AQ180:AT180)/AL180</f>
        <v>36.7234148332219</v>
      </c>
      <c r="AV180" s="9" t="n">
        <f aca="false">$Y$18/1000*CURVES!O139+$AV$14</f>
        <v>73.3351192880192</v>
      </c>
      <c r="AW180" s="9" t="n">
        <f aca="false">(AL180*AU180+AM180*AV180)/AN180</f>
        <v>48.9838713888865</v>
      </c>
      <c r="AX180" s="9" t="n">
        <f aca="false">CHOOSE(AX$18,CURVES!B139,CURVES!C139)</f>
        <v>41.4801075268817</v>
      </c>
      <c r="AY180" s="9" t="n">
        <f aca="false">(AN180*AW180+AO180*AX180)/I180</f>
        <v>44.7685232907746</v>
      </c>
    </row>
    <row r="181" customFormat="false" ht="12.75" hidden="false" customHeight="false" outlineLevel="0" collapsed="false">
      <c r="A181" s="85" t="n">
        <v>41061</v>
      </c>
      <c r="B181" s="31" t="n">
        <f aca="false">YEAR(A181)</f>
        <v>2012</v>
      </c>
      <c r="C181" s="31" t="n">
        <f aca="false">MONTH(A181)</f>
        <v>6</v>
      </c>
      <c r="D181" s="86" t="n">
        <v>0.060790347564122</v>
      </c>
      <c r="E181" s="87" t="n">
        <f aca="false">(1+D181/2)^(-2*(DATE($B182,$C182,20)-$E$17)/365.25)</f>
        <v>2.20253770532883</v>
      </c>
      <c r="F181" s="87"/>
      <c r="G181" s="8"/>
      <c r="H181" s="8" t="n">
        <f aca="false">(1+$I$17)*H169</f>
        <v>17644.1174182089</v>
      </c>
      <c r="I181" s="8" t="n">
        <f aca="false">(1+$I$17)*I169</f>
        <v>16803.0578725975</v>
      </c>
      <c r="K181" s="50" t="n">
        <f aca="false">K169</f>
        <v>2252.13333333333</v>
      </c>
      <c r="L181" s="50" t="n">
        <f aca="false">L169</f>
        <v>1398.39166666667</v>
      </c>
      <c r="M181" s="50" t="n">
        <f aca="false">M169</f>
        <v>957.040277777778</v>
      </c>
      <c r="N181" s="50" t="n">
        <f aca="false">N169</f>
        <v>3.52638888888889</v>
      </c>
      <c r="O181" s="50" t="n">
        <f aca="false">SUM(K181:N181)</f>
        <v>4611.09166666667</v>
      </c>
      <c r="P181" s="50" t="n">
        <f aca="false">P169</f>
        <v>3175.74117813466</v>
      </c>
      <c r="Q181" s="50" t="n">
        <f aca="false">O181+P181</f>
        <v>7786.83284480132</v>
      </c>
      <c r="R181" s="8" t="n">
        <f aca="false">H181-O181-P181</f>
        <v>9857.28457340756</v>
      </c>
      <c r="T181" s="9" t="n">
        <f aca="false">$T$18</f>
        <v>48.72</v>
      </c>
      <c r="U181" s="9" t="n">
        <f aca="false">U$18</f>
        <v>23</v>
      </c>
      <c r="V181" s="9" t="n">
        <f aca="false">V$18</f>
        <v>34</v>
      </c>
      <c r="W181" s="9" t="n">
        <f aca="false">W$18</f>
        <v>38</v>
      </c>
      <c r="X181" s="9" t="n">
        <f aca="false">SUMPRODUCT(K181:N181,T181:W181)/O181</f>
        <v>37.8566138290945</v>
      </c>
      <c r="Y181" s="9" t="n">
        <f aca="false">$Y$18/1000*CURVES!K140+$Y$14</f>
        <v>78.4926327284946</v>
      </c>
      <c r="Z181" s="9" t="n">
        <f aca="false">(O181*X181+P181*Y181)/Q181</f>
        <v>54.4293952289726</v>
      </c>
      <c r="AA181" s="9" t="n">
        <f aca="false">CHOOSE(AA$18,CURVES!F140,CURVES!G140)</f>
        <v>48.8780929947936</v>
      </c>
      <c r="AB181" s="9" t="n">
        <f aca="false">(Q181*Z181+R181*AA181)/H181</f>
        <v>51.3280348957647</v>
      </c>
      <c r="AD181" s="9"/>
      <c r="AH181" s="50" t="n">
        <f aca="false">AH169</f>
        <v>1881.37055634004</v>
      </c>
      <c r="AI181" s="50" t="n">
        <f aca="false">AI169</f>
        <v>0</v>
      </c>
      <c r="AJ181" s="50" t="n">
        <f aca="false">AJ169</f>
        <v>1162.16168617347</v>
      </c>
      <c r="AK181" s="50" t="n">
        <f aca="false">AK169</f>
        <v>631.240712103584</v>
      </c>
      <c r="AL181" s="50" t="n">
        <f aca="false">SUM(AH181:AK181)</f>
        <v>3674.77295461709</v>
      </c>
      <c r="AM181" s="50" t="n">
        <f aca="false">AM169</f>
        <v>2754.04614109589</v>
      </c>
      <c r="AN181" s="50" t="n">
        <f aca="false">AL181+AM181</f>
        <v>6428.81909571298</v>
      </c>
      <c r="AO181" s="8" t="n">
        <f aca="false">I181-AL181-AM181</f>
        <v>10374.2387768845</v>
      </c>
      <c r="AQ181" s="9" t="n">
        <f aca="false">$AQ$18</f>
        <v>43</v>
      </c>
      <c r="AR181" s="9"/>
      <c r="AS181" s="9" t="n">
        <f aca="false">AS$18</f>
        <v>30</v>
      </c>
      <c r="AT181" s="9" t="n">
        <f aca="false">AT$18</f>
        <v>38</v>
      </c>
      <c r="AU181" s="9" t="n">
        <f aca="false">SUMPRODUCT(AH181:AK181,AQ181:AT181)/AL181</f>
        <v>38.0298138942638</v>
      </c>
      <c r="AV181" s="9" t="n">
        <f aca="false">$Y$18/1000*CURVES!O140+$AV$14</f>
        <v>73.6396192880192</v>
      </c>
      <c r="AW181" s="9" t="n">
        <f aca="false">(AL181*AU181+AM181*AV181)/AN181</f>
        <v>53.2847224038602</v>
      </c>
      <c r="AX181" s="9" t="n">
        <f aca="false">CHOOSE(AX$18,CURVES!B140,CURVES!C140)</f>
        <v>46.8533333333333</v>
      </c>
      <c r="AY181" s="9" t="n">
        <f aca="false">(AN181*AW181+AO181*AX181)/I181</f>
        <v>49.3139709852449</v>
      </c>
    </row>
    <row r="182" customFormat="false" ht="12.75" hidden="false" customHeight="false" outlineLevel="0" collapsed="false">
      <c r="A182" s="85" t="n">
        <v>41091</v>
      </c>
      <c r="B182" s="31" t="n">
        <f aca="false">YEAR(A182)</f>
        <v>2012</v>
      </c>
      <c r="C182" s="31" t="n">
        <f aca="false">MONTH(A182)</f>
        <v>7</v>
      </c>
      <c r="D182" s="86" t="n">
        <v>0.060814062640619</v>
      </c>
      <c r="E182" s="87" t="n">
        <f aca="false">(1+D182/2)^(-2*(DATE($B183,$C183,20)-$E$17)/365.25)</f>
        <v>2.19203226833256</v>
      </c>
      <c r="F182" s="87"/>
      <c r="G182" s="8"/>
      <c r="H182" s="8" t="n">
        <f aca="false">(1+$I$17)*H170</f>
        <v>17414.6143058601</v>
      </c>
      <c r="I182" s="8" t="n">
        <f aca="false">(1+$I$17)*I170</f>
        <v>15950.9871135465</v>
      </c>
      <c r="K182" s="50" t="n">
        <f aca="false">K170</f>
        <v>2248.45698924731</v>
      </c>
      <c r="L182" s="50" t="n">
        <f aca="false">L170</f>
        <v>1358.32258064516</v>
      </c>
      <c r="M182" s="50" t="n">
        <f aca="false">M170</f>
        <v>653.551075268817</v>
      </c>
      <c r="N182" s="50" t="n">
        <f aca="false">N170</f>
        <v>3.83736559139785</v>
      </c>
      <c r="O182" s="50" t="n">
        <f aca="false">SUM(K182:N182)</f>
        <v>4264.16801075269</v>
      </c>
      <c r="P182" s="50" t="n">
        <f aca="false">P170</f>
        <v>3349.38956238808</v>
      </c>
      <c r="Q182" s="50" t="n">
        <f aca="false">O182+P182</f>
        <v>7613.55757314076</v>
      </c>
      <c r="R182" s="8" t="n">
        <f aca="false">H182-O182-P182</f>
        <v>9801.05673271931</v>
      </c>
      <c r="T182" s="9" t="n">
        <f aca="false">$T$18</f>
        <v>48.72</v>
      </c>
      <c r="U182" s="9" t="n">
        <f aca="false">U$18</f>
        <v>23</v>
      </c>
      <c r="V182" s="9" t="n">
        <f aca="false">V$18</f>
        <v>34</v>
      </c>
      <c r="W182" s="9" t="n">
        <f aca="false">W$18</f>
        <v>38</v>
      </c>
      <c r="X182" s="9" t="n">
        <f aca="false">SUMPRODUCT(K182:N182,T182:W182)/O182</f>
        <v>38.2613442789234</v>
      </c>
      <c r="Y182" s="9" t="n">
        <f aca="false">$Y$18/1000*CURVES!K141+$Y$14</f>
        <v>78.8076327284946</v>
      </c>
      <c r="Z182" s="9" t="n">
        <f aca="false">(O182*X182+P182*Y182)/Q182</f>
        <v>56.0986449129485</v>
      </c>
      <c r="AA182" s="9" t="n">
        <f aca="false">CHOOSE(AA$18,CURVES!F141,CURVES!G141)</f>
        <v>59.108740733571</v>
      </c>
      <c r="AB182" s="9" t="n">
        <f aca="false">(Q182*Z182+R182*AA182)/H182</f>
        <v>57.7927461655335</v>
      </c>
      <c r="AD182" s="9"/>
      <c r="AH182" s="50" t="n">
        <f aca="false">AH170</f>
        <v>1914.32162011861</v>
      </c>
      <c r="AI182" s="50" t="n">
        <f aca="false">AI170</f>
        <v>0</v>
      </c>
      <c r="AJ182" s="50" t="n">
        <f aca="false">AJ170</f>
        <v>1193.33197430598</v>
      </c>
      <c r="AK182" s="50" t="n">
        <f aca="false">AK170</f>
        <v>610.723058442111</v>
      </c>
      <c r="AL182" s="50" t="n">
        <f aca="false">SUM(AH182:AK182)</f>
        <v>3718.37665286669</v>
      </c>
      <c r="AM182" s="50" t="n">
        <f aca="false">AM170</f>
        <v>2586.73186021505</v>
      </c>
      <c r="AN182" s="50" t="n">
        <f aca="false">AL182+AM182</f>
        <v>6305.10851308175</v>
      </c>
      <c r="AO182" s="8" t="n">
        <f aca="false">I182-AL182-AM182</f>
        <v>9645.87860046471</v>
      </c>
      <c r="AQ182" s="9" t="n">
        <f aca="false">$AQ$18</f>
        <v>43</v>
      </c>
      <c r="AR182" s="9"/>
      <c r="AS182" s="9" t="n">
        <f aca="false">AS$18</f>
        <v>30</v>
      </c>
      <c r="AT182" s="9" t="n">
        <f aca="false">AT$18</f>
        <v>38</v>
      </c>
      <c r="AU182" s="9" t="n">
        <f aca="false">SUMPRODUCT(AH182:AK182,AQ182:AT182)/AL182</f>
        <v>38.0067105375476</v>
      </c>
      <c r="AV182" s="9" t="n">
        <f aca="false">$Y$18/1000*CURVES!O141+$AV$14</f>
        <v>73.9546192880192</v>
      </c>
      <c r="AW182" s="9" t="n">
        <f aca="false">(AL182*AU182+AM182*AV182)/AN182</f>
        <v>52.7546884161232</v>
      </c>
      <c r="AX182" s="9" t="n">
        <f aca="false">CHOOSE(AX$18,CURVES!B141,CURVES!C141)</f>
        <v>58.0795698924731</v>
      </c>
      <c r="AY182" s="9" t="n">
        <f aca="false">(AN182*AW182+AO182*AX182)/I182</f>
        <v>55.9747499657382</v>
      </c>
    </row>
    <row r="183" customFormat="false" ht="12.75" hidden="false" customHeight="false" outlineLevel="0" collapsed="false">
      <c r="A183" s="85" t="n">
        <v>41122</v>
      </c>
      <c r="B183" s="31" t="n">
        <f aca="false">YEAR(A183)</f>
        <v>2012</v>
      </c>
      <c r="C183" s="31" t="n">
        <f aca="false">MONTH(A183)</f>
        <v>8</v>
      </c>
      <c r="D183" s="86" t="n">
        <v>0.060838568219863</v>
      </c>
      <c r="E183" s="87" t="n">
        <f aca="false">(1+D183/2)^(-2*(DATE($B184,$C184,20)-$E$17)/365.25)</f>
        <v>2.18159019221577</v>
      </c>
      <c r="F183" s="87"/>
      <c r="G183" s="8"/>
      <c r="H183" s="8" t="n">
        <f aca="false">(1+$I$17)*H171</f>
        <v>18674.9418447584</v>
      </c>
      <c r="I183" s="8" t="n">
        <f aca="false">(1+$I$17)*I171</f>
        <v>16543.8130144877</v>
      </c>
      <c r="K183" s="50" t="n">
        <f aca="false">K171</f>
        <v>2226.06586021505</v>
      </c>
      <c r="L183" s="50" t="n">
        <f aca="false">L171</f>
        <v>1361.98924731183</v>
      </c>
      <c r="M183" s="50" t="n">
        <f aca="false">M171</f>
        <v>483.364247311828</v>
      </c>
      <c r="N183" s="50" t="n">
        <f aca="false">N171</f>
        <v>3.9247311827957</v>
      </c>
      <c r="O183" s="50" t="n">
        <f aca="false">SUM(K183:N183)</f>
        <v>4075.34408602151</v>
      </c>
      <c r="P183" s="50" t="n">
        <f aca="false">P171</f>
        <v>3426.25292884001</v>
      </c>
      <c r="Q183" s="50" t="n">
        <f aca="false">O183+P183</f>
        <v>7501.59701486152</v>
      </c>
      <c r="R183" s="8" t="n">
        <f aca="false">H183-O183-P183</f>
        <v>11173.3448298969</v>
      </c>
      <c r="T183" s="9" t="n">
        <f aca="false">$T$18</f>
        <v>48.72</v>
      </c>
      <c r="U183" s="9" t="n">
        <f aca="false">U$18</f>
        <v>23</v>
      </c>
      <c r="V183" s="9" t="n">
        <f aca="false">V$18</f>
        <v>34</v>
      </c>
      <c r="W183" s="9" t="n">
        <f aca="false">W$18</f>
        <v>38</v>
      </c>
      <c r="X183" s="9" t="n">
        <f aca="false">SUMPRODUCT(K183:N183,T183:W183)/O183</f>
        <v>38.3680990588564</v>
      </c>
      <c r="Y183" s="9" t="n">
        <f aca="false">$Y$18/1000*CURVES!K142+$Y$14</f>
        <v>79.0176327284946</v>
      </c>
      <c r="Z183" s="9" t="n">
        <f aca="false">(O183*X183+P183*Y183)/Q183</f>
        <v>56.9342235141768</v>
      </c>
      <c r="AA183" s="9" t="n">
        <f aca="false">CHOOSE(AA$18,CURVES!F142,CURVES!G142)</f>
        <v>63.1224007318165</v>
      </c>
      <c r="AB183" s="9" t="n">
        <f aca="false">(Q183*Z183+R183*AA183)/H183</f>
        <v>60.6366520676883</v>
      </c>
      <c r="AD183" s="9"/>
      <c r="AH183" s="50" t="n">
        <f aca="false">AH171</f>
        <v>1859.59450264151</v>
      </c>
      <c r="AI183" s="50" t="n">
        <f aca="false">AI171</f>
        <v>0</v>
      </c>
      <c r="AJ183" s="50" t="n">
        <f aca="false">AJ171</f>
        <v>1584.50880376937</v>
      </c>
      <c r="AK183" s="50" t="n">
        <f aca="false">AK171</f>
        <v>621.501656862376</v>
      </c>
      <c r="AL183" s="50" t="n">
        <f aca="false">SUM(AH183:AK183)</f>
        <v>4065.60496327325</v>
      </c>
      <c r="AM183" s="50" t="n">
        <f aca="false">AM171</f>
        <v>2208.28901612903</v>
      </c>
      <c r="AN183" s="50" t="n">
        <f aca="false">AL183+AM183</f>
        <v>6273.89397940229</v>
      </c>
      <c r="AO183" s="8" t="n">
        <f aca="false">I183-AL183-AM183</f>
        <v>10269.9190350854</v>
      </c>
      <c r="AQ183" s="9" t="n">
        <f aca="false">$AQ$18</f>
        <v>43</v>
      </c>
      <c r="AR183" s="9"/>
      <c r="AS183" s="9" t="n">
        <f aca="false">AS$18</f>
        <v>30</v>
      </c>
      <c r="AT183" s="9" t="n">
        <f aca="false">AT$18</f>
        <v>38</v>
      </c>
      <c r="AU183" s="9" t="n">
        <f aca="false">SUMPRODUCT(AH183:AK183,AQ183:AT183)/AL183</f>
        <v>37.1691032583186</v>
      </c>
      <c r="AV183" s="9" t="n">
        <f aca="false">$Y$18/1000*CURVES!O142+$AV$14</f>
        <v>74.1646192880192</v>
      </c>
      <c r="AW183" s="9" t="n">
        <f aca="false">(AL183*AU183+AM183*AV183)/AN183</f>
        <v>50.1908074762462</v>
      </c>
      <c r="AX183" s="9" t="n">
        <f aca="false">CHOOSE(AX$18,CURVES!B142,CURVES!C142)</f>
        <v>68.3241935483871</v>
      </c>
      <c r="AY183" s="9" t="n">
        <f aca="false">(AN183*AW183+AO183*AX183)/I183</f>
        <v>61.4474873377599</v>
      </c>
    </row>
    <row r="184" customFormat="false" ht="12.75" hidden="false" customHeight="false" outlineLevel="0" collapsed="false">
      <c r="A184" s="85" t="n">
        <v>41153</v>
      </c>
      <c r="B184" s="31" t="n">
        <f aca="false">YEAR(A184)</f>
        <v>2012</v>
      </c>
      <c r="C184" s="31" t="n">
        <f aca="false">MONTH(A184)</f>
        <v>9</v>
      </c>
      <c r="D184" s="86" t="n">
        <v>0.060863073799306</v>
      </c>
      <c r="E184" s="87" t="n">
        <f aca="false">(1+D184/2)^(-2*(DATE($B185,$C185,20)-$E$17)/365.25)</f>
        <v>2.17154551296314</v>
      </c>
      <c r="F184" s="87"/>
      <c r="G184" s="8"/>
      <c r="H184" s="8" t="n">
        <f aca="false">(1+$I$17)*H172</f>
        <v>16915.9798799959</v>
      </c>
      <c r="I184" s="8" t="n">
        <f aca="false">(1+$I$17)*I172</f>
        <v>15583.2096701623</v>
      </c>
      <c r="K184" s="50" t="n">
        <f aca="false">K172</f>
        <v>2263.63333333333</v>
      </c>
      <c r="L184" s="50" t="n">
        <f aca="false">L172</f>
        <v>1380.73611111111</v>
      </c>
      <c r="M184" s="50" t="n">
        <f aca="false">M172</f>
        <v>542.602777777778</v>
      </c>
      <c r="N184" s="50" t="n">
        <f aca="false">N172</f>
        <v>3.41944444444444</v>
      </c>
      <c r="O184" s="50" t="n">
        <f aca="false">SUM(K184:N184)</f>
        <v>4190.39166666667</v>
      </c>
      <c r="P184" s="50" t="n">
        <f aca="false">P172</f>
        <v>3348.13393235473</v>
      </c>
      <c r="Q184" s="50" t="n">
        <f aca="false">O184+P184</f>
        <v>7538.52559902139</v>
      </c>
      <c r="R184" s="8" t="n">
        <f aca="false">H184-O184-P184</f>
        <v>9377.45428097455</v>
      </c>
      <c r="T184" s="9" t="n">
        <f aca="false">$T$18</f>
        <v>48.72</v>
      </c>
      <c r="U184" s="9" t="n">
        <f aca="false">U$18</f>
        <v>23</v>
      </c>
      <c r="V184" s="9" t="n">
        <f aca="false">V$18</f>
        <v>34</v>
      </c>
      <c r="W184" s="9" t="n">
        <f aca="false">W$18</f>
        <v>38</v>
      </c>
      <c r="X184" s="9" t="n">
        <f aca="false">SUMPRODUCT(K184:N184,T184:W184)/O184</f>
        <v>38.3304456159959</v>
      </c>
      <c r="Y184" s="9" t="n">
        <f aca="false">$Y$18/1000*CURVES!K143+$Y$14</f>
        <v>79.2381327284946</v>
      </c>
      <c r="Z184" s="9" t="n">
        <f aca="false">(O184*X184+P184*Y184)/Q184</f>
        <v>56.4990401928037</v>
      </c>
      <c r="AA184" s="9" t="n">
        <f aca="false">CHOOSE(AA$18,CURVES!F143,CURVES!G143)</f>
        <v>56.547352708439</v>
      </c>
      <c r="AB184" s="9" t="n">
        <f aca="false">(Q184*Z184+R184*AA184)/H184</f>
        <v>56.5258224667117</v>
      </c>
      <c r="AD184" s="9"/>
      <c r="AH184" s="50" t="n">
        <f aca="false">AH172</f>
        <v>1890.97734163897</v>
      </c>
      <c r="AI184" s="50" t="n">
        <f aca="false">AI172</f>
        <v>0</v>
      </c>
      <c r="AJ184" s="50" t="n">
        <f aca="false">AJ172</f>
        <v>765.820605438213</v>
      </c>
      <c r="AK184" s="50" t="n">
        <f aca="false">AK172</f>
        <v>570.922545092046</v>
      </c>
      <c r="AL184" s="50" t="n">
        <f aca="false">SUM(AH184:AK184)</f>
        <v>3227.72049216923</v>
      </c>
      <c r="AM184" s="50" t="n">
        <f aca="false">AM172</f>
        <v>2371.57693150685</v>
      </c>
      <c r="AN184" s="50" t="n">
        <f aca="false">AL184+AM184</f>
        <v>5599.29742367608</v>
      </c>
      <c r="AO184" s="8" t="n">
        <f aca="false">I184-AL184-AM184</f>
        <v>9983.91224648621</v>
      </c>
      <c r="AQ184" s="9" t="n">
        <f aca="false">$AQ$18</f>
        <v>43</v>
      </c>
      <c r="AR184" s="9"/>
      <c r="AS184" s="9" t="n">
        <f aca="false">AS$18</f>
        <v>30</v>
      </c>
      <c r="AT184" s="9" t="n">
        <f aca="false">AT$18</f>
        <v>38</v>
      </c>
      <c r="AU184" s="9" t="n">
        <f aca="false">SUMPRODUCT(AH184:AK184,AQ184:AT184)/AL184</f>
        <v>39.0311679319086</v>
      </c>
      <c r="AV184" s="9" t="n">
        <f aca="false">$Y$18/1000*CURVES!O143+$AV$14</f>
        <v>74.3851192880192</v>
      </c>
      <c r="AW184" s="9" t="n">
        <f aca="false">(AL184*AU184+AM184*AV184)/AN184</f>
        <v>54.0052993504752</v>
      </c>
      <c r="AX184" s="9" t="n">
        <f aca="false">CHOOSE(AX$18,CURVES!B143,CURVES!C143)</f>
        <v>58.7</v>
      </c>
      <c r="AY184" s="9" t="n">
        <f aca="false">(AN184*AW184+AO184*AX184)/I184</f>
        <v>57.0131186829792</v>
      </c>
    </row>
    <row r="185" customFormat="false" ht="12.75" hidden="false" customHeight="false" outlineLevel="0" collapsed="false">
      <c r="A185" s="85" t="n">
        <v>41183</v>
      </c>
      <c r="B185" s="31" t="n">
        <f aca="false">YEAR(A185)</f>
        <v>2012</v>
      </c>
      <c r="C185" s="31" t="n">
        <f aca="false">MONTH(A185)</f>
        <v>10</v>
      </c>
      <c r="D185" s="86" t="n">
        <v>0.060886788876376</v>
      </c>
      <c r="E185" s="87" t="n">
        <f aca="false">(1+D185/2)^(-2*(DATE($B186,$C186,20)-$E$17)/365.25)</f>
        <v>2.16116240193299</v>
      </c>
      <c r="F185" s="87"/>
      <c r="G185" s="8"/>
      <c r="H185" s="8" t="n">
        <f aca="false">(1+$I$17)*H173</f>
        <v>15714.9277285111</v>
      </c>
      <c r="I185" s="8" t="n">
        <f aca="false">(1+$I$17)*I173</f>
        <v>13488.3920546167</v>
      </c>
      <c r="K185" s="50" t="n">
        <f aca="false">K173</f>
        <v>2069.29166666667</v>
      </c>
      <c r="L185" s="50" t="n">
        <f aca="false">L173</f>
        <v>1227.52419354839</v>
      </c>
      <c r="M185" s="50" t="n">
        <f aca="false">M173</f>
        <v>369.340053763441</v>
      </c>
      <c r="N185" s="50" t="n">
        <f aca="false">N173</f>
        <v>3.27822580645161</v>
      </c>
      <c r="O185" s="50" t="n">
        <f aca="false">SUM(K185:N185)</f>
        <v>3669.43413978495</v>
      </c>
      <c r="P185" s="50" t="n">
        <f aca="false">P173</f>
        <v>3171.07549498463</v>
      </c>
      <c r="Q185" s="50" t="n">
        <f aca="false">O185+P185</f>
        <v>6840.50963476957</v>
      </c>
      <c r="R185" s="8" t="n">
        <f aca="false">H185-O185-P185</f>
        <v>8874.41809374155</v>
      </c>
      <c r="T185" s="9" t="n">
        <f aca="false">$T$18</f>
        <v>48.72</v>
      </c>
      <c r="U185" s="9" t="n">
        <f aca="false">U$18</f>
        <v>23</v>
      </c>
      <c r="V185" s="9" t="n">
        <f aca="false">V$18</f>
        <v>34</v>
      </c>
      <c r="W185" s="9" t="n">
        <f aca="false">W$18</f>
        <v>38</v>
      </c>
      <c r="X185" s="9" t="n">
        <f aca="false">SUMPRODUCT(K185:N185,T185:W185)/O185</f>
        <v>38.624778497461</v>
      </c>
      <c r="Y185" s="9" t="n">
        <f aca="false">$Y$18/1000*CURVES!K144+$Y$14</f>
        <v>79.5531327284946</v>
      </c>
      <c r="Z185" s="9" t="n">
        <f aca="false">(O185*X185+P185*Y185)/Q185</f>
        <v>57.5980579871043</v>
      </c>
      <c r="AA185" s="9" t="n">
        <f aca="false">CHOOSE(AA$18,CURVES!F144,CURVES!G144)</f>
        <v>46.4945613812675</v>
      </c>
      <c r="AB185" s="9" t="n">
        <f aca="false">(Q185*Z185+R185*AA185)/H185</f>
        <v>51.3277732689721</v>
      </c>
      <c r="AD185" s="9"/>
      <c r="AH185" s="50" t="n">
        <f aca="false">AH173</f>
        <v>1913.83994918903</v>
      </c>
      <c r="AI185" s="50" t="n">
        <f aca="false">AI173</f>
        <v>0</v>
      </c>
      <c r="AJ185" s="50" t="n">
        <f aca="false">AJ173</f>
        <v>1075.38011608834</v>
      </c>
      <c r="AK185" s="50" t="n">
        <f aca="false">AK173</f>
        <v>576.385560502926</v>
      </c>
      <c r="AL185" s="50" t="n">
        <f aca="false">SUM(AH185:AK185)</f>
        <v>3565.6056257803</v>
      </c>
      <c r="AM185" s="50" t="n">
        <f aca="false">AM173</f>
        <v>2259.71325</v>
      </c>
      <c r="AN185" s="50" t="n">
        <f aca="false">AL185+AM185</f>
        <v>5825.3188757803</v>
      </c>
      <c r="AO185" s="8" t="n">
        <f aca="false">I185-AL185-AM185</f>
        <v>7663.07317883638</v>
      </c>
      <c r="AQ185" s="9" t="n">
        <f aca="false">$AQ$18</f>
        <v>43</v>
      </c>
      <c r="AR185" s="9"/>
      <c r="AS185" s="9" t="n">
        <f aca="false">AS$18</f>
        <v>30</v>
      </c>
      <c r="AT185" s="9" t="n">
        <f aca="false">AT$18</f>
        <v>38</v>
      </c>
      <c r="AU185" s="9" t="n">
        <f aca="false">SUMPRODUCT(AH185:AK185,AQ185:AT185)/AL185</f>
        <v>38.2709662589303</v>
      </c>
      <c r="AV185" s="9" t="n">
        <f aca="false">$Y$18/1000*CURVES!O144+$AV$14</f>
        <v>74.7001192880192</v>
      </c>
      <c r="AW185" s="9" t="n">
        <f aca="false">(AL185*AU185+AM185*AV185)/AN185</f>
        <v>52.4022853405974</v>
      </c>
      <c r="AX185" s="9" t="n">
        <f aca="false">CHOOSE(AX$18,CURVES!B144,CURVES!C144)</f>
        <v>46.0548387096774</v>
      </c>
      <c r="AY185" s="9" t="n">
        <f aca="false">(AN185*AW185+AO185*AX185)/I185</f>
        <v>48.7961514267444</v>
      </c>
    </row>
    <row r="186" customFormat="false" ht="12.75" hidden="false" customHeight="false" outlineLevel="0" collapsed="false">
      <c r="A186" s="85" t="n">
        <v>41214</v>
      </c>
      <c r="B186" s="31" t="n">
        <f aca="false">YEAR(A186)</f>
        <v>2012</v>
      </c>
      <c r="C186" s="31" t="n">
        <f aca="false">MONTH(A186)</f>
        <v>11</v>
      </c>
      <c r="D186" s="86" t="n">
        <v>0.060911294456211</v>
      </c>
      <c r="E186" s="87" t="n">
        <f aca="false">(1+D186/2)^(-2*(DATE($B187,$C187,20)-$E$17)/365.25)</f>
        <v>2.15119495027022</v>
      </c>
      <c r="F186" s="87"/>
      <c r="G186" s="8"/>
      <c r="H186" s="8" t="n">
        <f aca="false">(1+$I$17)*H174</f>
        <v>15372.3035457741</v>
      </c>
      <c r="I186" s="8" t="n">
        <f aca="false">(1+$I$17)*I174</f>
        <v>13693.1339839181</v>
      </c>
      <c r="K186" s="50" t="n">
        <f aca="false">K174</f>
        <v>2201.15833333333</v>
      </c>
      <c r="L186" s="50" t="n">
        <f aca="false">L174</f>
        <v>1270.02777777778</v>
      </c>
      <c r="M186" s="50" t="n">
        <f aca="false">M174</f>
        <v>241.311111111111</v>
      </c>
      <c r="N186" s="50" t="n">
        <f aca="false">N174</f>
        <v>3.11944444444444</v>
      </c>
      <c r="O186" s="50" t="n">
        <f aca="false">SUM(K186:N186)</f>
        <v>3715.61666666667</v>
      </c>
      <c r="P186" s="50" t="n">
        <f aca="false">P174</f>
        <v>3029.03315829808</v>
      </c>
      <c r="Q186" s="50" t="n">
        <f aca="false">O186+P186</f>
        <v>6744.64982496475</v>
      </c>
      <c r="R186" s="8" t="n">
        <f aca="false">H186-O186-P186</f>
        <v>8627.65372080933</v>
      </c>
      <c r="T186" s="9" t="n">
        <f aca="false">$T$18</f>
        <v>48.72</v>
      </c>
      <c r="U186" s="9" t="n">
        <f aca="false">U$18</f>
        <v>23</v>
      </c>
      <c r="V186" s="9" t="n">
        <f aca="false">V$18</f>
        <v>34</v>
      </c>
      <c r="W186" s="9" t="n">
        <f aca="false">W$18</f>
        <v>38</v>
      </c>
      <c r="X186" s="9" t="n">
        <f aca="false">SUMPRODUCT(K186:N186,T186:W186)/O186</f>
        <v>38.9637044247179</v>
      </c>
      <c r="Y186" s="9" t="n">
        <f aca="false">$Y$18/1000*CURVES!K145+$Y$14</f>
        <v>79.7631327284946</v>
      </c>
      <c r="Z186" s="9" t="n">
        <f aca="false">(O186*X186+P186*Y186)/Q186</f>
        <v>57.2867937442425</v>
      </c>
      <c r="AA186" s="9" t="n">
        <f aca="false">CHOOSE(AA$18,CURVES!F145,CURVES!G145)</f>
        <v>38.7534286042227</v>
      </c>
      <c r="AB186" s="9" t="n">
        <f aca="false">(Q186*Z186+R186*AA186)/H186</f>
        <v>46.8850048234553</v>
      </c>
      <c r="AD186" s="9"/>
      <c r="AH186" s="50" t="n">
        <f aca="false">AH174</f>
        <v>1838.78743628671</v>
      </c>
      <c r="AI186" s="50" t="n">
        <f aca="false">AI174</f>
        <v>0</v>
      </c>
      <c r="AJ186" s="50" t="n">
        <f aca="false">AJ174</f>
        <v>1347.87918472112</v>
      </c>
      <c r="AK186" s="50" t="n">
        <f aca="false">AK174</f>
        <v>499.439112514422</v>
      </c>
      <c r="AL186" s="50" t="n">
        <f aca="false">SUM(AH186:AK186)</f>
        <v>3686.10573352225</v>
      </c>
      <c r="AM186" s="50" t="n">
        <f aca="false">AM174</f>
        <v>2451.23764109589</v>
      </c>
      <c r="AN186" s="50" t="n">
        <f aca="false">AL186+AM186</f>
        <v>6137.34337461814</v>
      </c>
      <c r="AO186" s="8" t="n">
        <f aca="false">I186-AL186-AM186</f>
        <v>7555.79060929999</v>
      </c>
      <c r="AQ186" s="9" t="n">
        <f aca="false">$AQ$18</f>
        <v>43</v>
      </c>
      <c r="AR186" s="9"/>
      <c r="AS186" s="9" t="n">
        <f aca="false">AS$18</f>
        <v>30</v>
      </c>
      <c r="AT186" s="9" t="n">
        <f aca="false">AT$18</f>
        <v>38</v>
      </c>
      <c r="AU186" s="9" t="n">
        <f aca="false">SUMPRODUCT(AH186:AK186,AQ186:AT186)/AL186</f>
        <v>37.5688956282822</v>
      </c>
      <c r="AV186" s="9" t="n">
        <f aca="false">$Y$18/1000*CURVES!O145+$AV$14</f>
        <v>76.1701192880192</v>
      </c>
      <c r="AW186" s="9" t="n">
        <f aca="false">(AL186*AU186+AM186*AV186)/AN186</f>
        <v>52.9861155313475</v>
      </c>
      <c r="AX186" s="9" t="n">
        <f aca="false">CHOOSE(AX$18,CURVES!B145,CURVES!C145)</f>
        <v>44.1444444444444</v>
      </c>
      <c r="AY186" s="9" t="n">
        <f aca="false">(AN186*AW186+AO186*AX186)/I186</f>
        <v>48.1073335485376</v>
      </c>
    </row>
    <row r="187" customFormat="false" ht="12.75" hidden="false" customHeight="false" outlineLevel="0" collapsed="false">
      <c r="A187" s="85" t="n">
        <v>41244</v>
      </c>
      <c r="B187" s="31" t="n">
        <f aca="false">YEAR(A187)</f>
        <v>2012</v>
      </c>
      <c r="C187" s="31" t="n">
        <f aca="false">MONTH(A187)</f>
        <v>12</v>
      </c>
      <c r="D187" s="86" t="n">
        <v>0.060935009533661</v>
      </c>
      <c r="E187" s="87" t="n">
        <f aca="false">(1+D187/2)^(-2*(DATE($B188,$C188,20)-$E$17)/365.25)</f>
        <v>2.14089239765055</v>
      </c>
      <c r="F187" s="87"/>
      <c r="G187" s="8"/>
      <c r="H187" s="8" t="n">
        <f aca="false">(1+$I$17)*H175</f>
        <v>15261.6150192886</v>
      </c>
      <c r="I187" s="8" t="n">
        <f aca="false">(1+$I$17)*I175</f>
        <v>13662.0255686848</v>
      </c>
      <c r="K187" s="50" t="n">
        <f aca="false">K175</f>
        <v>2256.4126344086</v>
      </c>
      <c r="L187" s="50" t="n">
        <f aca="false">L175</f>
        <v>1157.21505376344</v>
      </c>
      <c r="M187" s="50" t="n">
        <f aca="false">M175</f>
        <v>239.860215053763</v>
      </c>
      <c r="N187" s="50" t="n">
        <f aca="false">N175</f>
        <v>2.96908602150538</v>
      </c>
      <c r="O187" s="50" t="n">
        <f aca="false">SUM(K187:N187)</f>
        <v>3656.45698924731</v>
      </c>
      <c r="P187" s="50" t="n">
        <f aca="false">P175</f>
        <v>2977.59684973097</v>
      </c>
      <c r="Q187" s="50" t="n">
        <f aca="false">O187+P187</f>
        <v>6634.05383897828</v>
      </c>
      <c r="R187" s="8" t="n">
        <f aca="false">H187-O187-P187</f>
        <v>8627.56118031032</v>
      </c>
      <c r="T187" s="9" t="n">
        <f aca="false">$T$18</f>
        <v>48.72</v>
      </c>
      <c r="U187" s="9" t="n">
        <f aca="false">U$18</f>
        <v>23</v>
      </c>
      <c r="V187" s="9" t="n">
        <f aca="false">V$18</f>
        <v>34</v>
      </c>
      <c r="W187" s="9" t="n">
        <f aca="false">W$18</f>
        <v>38</v>
      </c>
      <c r="X187" s="9" t="n">
        <f aca="false">SUMPRODUCT(K187:N187,T187:W187)/O187</f>
        <v>39.6056736867024</v>
      </c>
      <c r="Y187" s="9" t="n">
        <f aca="false">$Y$18/1000*CURVES!K146+$Y$14</f>
        <v>81.0756327284946</v>
      </c>
      <c r="Z187" s="9" t="n">
        <f aca="false">(O187*X187+P187*Y187)/Q187</f>
        <v>58.2188508478227</v>
      </c>
      <c r="AA187" s="9" t="n">
        <f aca="false">CHOOSE(AA$18,CURVES!F146,CURVES!G146)</f>
        <v>38.253437283208</v>
      </c>
      <c r="AB187" s="9" t="n">
        <f aca="false">(Q187*Z187+R187*AA187)/H187</f>
        <v>46.9321798892638</v>
      </c>
      <c r="AD187" s="9"/>
      <c r="AH187" s="50" t="n">
        <f aca="false">AH175</f>
        <v>1921.09500453605</v>
      </c>
      <c r="AI187" s="50" t="n">
        <f aca="false">AI175</f>
        <v>0</v>
      </c>
      <c r="AJ187" s="50" t="n">
        <f aca="false">AJ175</f>
        <v>1326.47869273451</v>
      </c>
      <c r="AK187" s="50" t="n">
        <f aca="false">AK175</f>
        <v>519.619723134563</v>
      </c>
      <c r="AL187" s="50" t="n">
        <f aca="false">SUM(AH187:AK187)</f>
        <v>3767.19342040512</v>
      </c>
      <c r="AM187" s="50" t="n">
        <f aca="false">AM175</f>
        <v>2024.24791129032</v>
      </c>
      <c r="AN187" s="50" t="n">
        <f aca="false">AL187+AM187</f>
        <v>5791.44133169545</v>
      </c>
      <c r="AO187" s="8" t="n">
        <f aca="false">I187-AL187-AM187</f>
        <v>7870.58423698938</v>
      </c>
      <c r="AQ187" s="9" t="n">
        <f aca="false">$AQ$18</f>
        <v>43</v>
      </c>
      <c r="AR187" s="9"/>
      <c r="AS187" s="9" t="n">
        <f aca="false">AS$18</f>
        <v>30</v>
      </c>
      <c r="AT187" s="9" t="n">
        <f aca="false">AT$18</f>
        <v>38</v>
      </c>
      <c r="AU187" s="9" t="n">
        <f aca="false">SUMPRODUCT(AH187:AK187,AQ187:AT187)/AL187</f>
        <v>37.7328635918334</v>
      </c>
      <c r="AV187" s="9" t="n">
        <f aca="false">$Y$18/1000*CURVES!O146+$AV$14</f>
        <v>77.4826192880192</v>
      </c>
      <c r="AW187" s="9" t="n">
        <f aca="false">(AL187*AU187+AM187*AV187)/AN187</f>
        <v>51.62635837731</v>
      </c>
      <c r="AX187" s="9" t="n">
        <f aca="false">CHOOSE(AX$18,CURVES!B146,CURVES!C146)</f>
        <v>43.0333333333333</v>
      </c>
      <c r="AY187" s="9" t="n">
        <f aca="false">(AN187*AW187+AO187*AX187)/I187</f>
        <v>46.6759850143587</v>
      </c>
    </row>
    <row r="188" customFormat="false" ht="12.75" hidden="false" customHeight="false" outlineLevel="0" collapsed="false">
      <c r="A188" s="85" t="n">
        <v>41275</v>
      </c>
      <c r="B188" s="31" t="n">
        <f aca="false">YEAR(A188)</f>
        <v>2013</v>
      </c>
      <c r="C188" s="31" t="n">
        <f aca="false">MONTH(A188)</f>
        <v>1</v>
      </c>
      <c r="D188" s="86" t="n">
        <v>0.060959515113889</v>
      </c>
      <c r="E188" s="87" t="n">
        <f aca="false">(1+D188/2)^(-2*(DATE($B189,$C189,20)-$E$17)/365.25)</f>
        <v>2.13065144475002</v>
      </c>
      <c r="F188" s="87"/>
      <c r="G188" s="8"/>
      <c r="H188" s="8" t="n">
        <f aca="false">(1+$I$17)*H176</f>
        <v>15542.0317164732</v>
      </c>
      <c r="I188" s="8" t="n">
        <f aca="false">(1+$I$17)*I176</f>
        <v>14774.6392097355</v>
      </c>
      <c r="K188" s="50" t="n">
        <f aca="false">K176</f>
        <v>2185.91801075269</v>
      </c>
      <c r="L188" s="50" t="n">
        <f aca="false">L176</f>
        <v>1282.33064516129</v>
      </c>
      <c r="M188" s="50" t="n">
        <f aca="false">M176</f>
        <v>142.852150537634</v>
      </c>
      <c r="N188" s="50" t="n">
        <f aca="false">N176</f>
        <v>3.16801075268817</v>
      </c>
      <c r="O188" s="50" t="n">
        <f aca="false">SUM(K188:N188)</f>
        <v>3614.2688172043</v>
      </c>
      <c r="P188" s="50" t="n">
        <f aca="false">P176</f>
        <v>2792.6655547379</v>
      </c>
      <c r="Q188" s="50" t="n">
        <f aca="false">O188+P188</f>
        <v>6406.9343719422</v>
      </c>
      <c r="R188" s="8" t="n">
        <f aca="false">H188-O188-P188</f>
        <v>9135.09734453099</v>
      </c>
      <c r="T188" s="9" t="n">
        <f aca="false">$T$18</f>
        <v>48.72</v>
      </c>
      <c r="U188" s="9" t="n">
        <f aca="false">U$18</f>
        <v>23</v>
      </c>
      <c r="V188" s="9" t="n">
        <f aca="false">V$18</f>
        <v>34</v>
      </c>
      <c r="W188" s="9" t="n">
        <f aca="false">W$18</f>
        <v>38</v>
      </c>
      <c r="X188" s="9" t="n">
        <f aca="false">SUMPRODUCT(K188:N188,T188:W188)/O188</f>
        <v>39.0034319468534</v>
      </c>
      <c r="Y188" s="9" t="n">
        <f aca="false">$Y$18/1000*CURVES!K147+$Y$14</f>
        <v>82.5876327284946</v>
      </c>
      <c r="Z188" s="9" t="n">
        <f aca="false">(O188*X188+P188*Y188)/Q188</f>
        <v>58.000988217556</v>
      </c>
      <c r="AA188" s="9" t="n">
        <f aca="false">CHOOSE(AA$18,CURVES!F147,CURVES!G147)</f>
        <v>39.9033140163165</v>
      </c>
      <c r="AB188" s="9" t="n">
        <f aca="false">(Q188*Z188+R188*AA188)/H188</f>
        <v>47.3637679008132</v>
      </c>
      <c r="AD188" s="9"/>
      <c r="AH188" s="50" t="n">
        <f aca="false">AH176</f>
        <v>1826.05608785899</v>
      </c>
      <c r="AI188" s="50" t="n">
        <f aca="false">AI176</f>
        <v>0</v>
      </c>
      <c r="AJ188" s="50" t="n">
        <f aca="false">AJ176</f>
        <v>1744.08931864439</v>
      </c>
      <c r="AK188" s="50" t="n">
        <f aca="false">AK176</f>
        <v>538.872892801371</v>
      </c>
      <c r="AL188" s="50" t="n">
        <f aca="false">SUM(AH188:AK188)</f>
        <v>4109.01829930475</v>
      </c>
      <c r="AM188" s="50" t="n">
        <f aca="false">AM176</f>
        <v>2445.3687016129</v>
      </c>
      <c r="AN188" s="50" t="n">
        <f aca="false">AL188+AM188</f>
        <v>6554.38700091765</v>
      </c>
      <c r="AO188" s="8" t="n">
        <f aca="false">I188-AL188-AM188</f>
        <v>8220.25220881782</v>
      </c>
      <c r="AQ188" s="9" t="n">
        <f aca="false">$AQ$18</f>
        <v>43</v>
      </c>
      <c r="AR188" s="9"/>
      <c r="AS188" s="9" t="n">
        <f aca="false">AS$18</f>
        <v>30</v>
      </c>
      <c r="AT188" s="9" t="n">
        <f aca="false">AT$18</f>
        <v>38</v>
      </c>
      <c r="AU188" s="9" t="n">
        <f aca="false">SUMPRODUCT(AH188:AK188,AQ188:AT188)/AL188</f>
        <v>36.8263780400598</v>
      </c>
      <c r="AV188" s="9" t="n">
        <f aca="false">$Y$18/1000*CURVES!O147+$AV$14</f>
        <v>78.9946192880192</v>
      </c>
      <c r="AW188" s="9" t="n">
        <f aca="false">(AL188*AU188+AM188*AV188)/AN188</f>
        <v>52.5588786286557</v>
      </c>
      <c r="AX188" s="9" t="n">
        <f aca="false">CHOOSE(AX$18,CURVES!B147,CURVES!C147)</f>
        <v>47.4688172043011</v>
      </c>
      <c r="AY188" s="9" t="n">
        <f aca="false">(AN188*AW188+AO188*AX188)/I188</f>
        <v>49.7268914597914</v>
      </c>
    </row>
    <row r="189" customFormat="false" ht="12.75" hidden="false" customHeight="false" outlineLevel="0" collapsed="false">
      <c r="A189" s="85" t="n">
        <v>41306</v>
      </c>
      <c r="B189" s="31" t="n">
        <f aca="false">YEAR(A189)</f>
        <v>2013</v>
      </c>
      <c r="C189" s="31" t="n">
        <f aca="false">MONTH(A189)</f>
        <v>2</v>
      </c>
      <c r="D189" s="86" t="n">
        <v>0.060984020694317</v>
      </c>
      <c r="E189" s="87" t="n">
        <f aca="false">(1+D189/2)^(-2*(DATE($B190,$C190,20)-$E$17)/365.25)</f>
        <v>2.12149742326117</v>
      </c>
      <c r="F189" s="87"/>
      <c r="G189" s="8"/>
      <c r="H189" s="8" t="n">
        <f aca="false">(1+$I$17)*H177</f>
        <v>15583.8367045298</v>
      </c>
      <c r="I189" s="8" t="n">
        <f aca="false">(1+$I$17)*I177</f>
        <v>14754.9481086764</v>
      </c>
      <c r="K189" s="50" t="n">
        <f aca="false">K177</f>
        <v>2261.87643678161</v>
      </c>
      <c r="L189" s="50" t="n">
        <f aca="false">L177</f>
        <v>1335.97988505747</v>
      </c>
      <c r="M189" s="50" t="n">
        <f aca="false">M177</f>
        <v>236.002873563218</v>
      </c>
      <c r="N189" s="50" t="n">
        <f aca="false">N177</f>
        <v>3.84913793103448</v>
      </c>
      <c r="O189" s="50" t="n">
        <f aca="false">SUM(K189:N189)</f>
        <v>3837.70833333333</v>
      </c>
      <c r="P189" s="50" t="n">
        <f aca="false">P177</f>
        <v>3011.77170136767</v>
      </c>
      <c r="Q189" s="50" t="n">
        <f aca="false">O189+P189</f>
        <v>6849.48003470101</v>
      </c>
      <c r="R189" s="8" t="n">
        <f aca="false">H189-O189-P189</f>
        <v>8734.35666982881</v>
      </c>
      <c r="T189" s="9" t="n">
        <f aca="false">$T$18</f>
        <v>48.72</v>
      </c>
      <c r="U189" s="9" t="n">
        <f aca="false">U$18</f>
        <v>23</v>
      </c>
      <c r="V189" s="9" t="n">
        <f aca="false">V$18</f>
        <v>34</v>
      </c>
      <c r="W189" s="9" t="n">
        <f aca="false">W$18</f>
        <v>38</v>
      </c>
      <c r="X189" s="9" t="n">
        <f aca="false">SUMPRODUCT(K189:N189,T189:W189)/O189</f>
        <v>38.8504048116</v>
      </c>
      <c r="Y189" s="9" t="n">
        <f aca="false">$Y$18/1000*CURVES!K148+$Y$14</f>
        <v>81.5796327284946</v>
      </c>
      <c r="Z189" s="9" t="n">
        <f aca="false">(O189*X189+P189*Y189)/Q189</f>
        <v>57.6387914934235</v>
      </c>
      <c r="AA189" s="9" t="n">
        <f aca="false">CHOOSE(AA$18,CURVES!F148,CURVES!G148)</f>
        <v>39.9448831801326</v>
      </c>
      <c r="AB189" s="9" t="n">
        <f aca="false">(Q189*Z189+R189*AA189)/H189</f>
        <v>47.721791654314</v>
      </c>
      <c r="AD189" s="9"/>
      <c r="AH189" s="50" t="n">
        <f aca="false">AH177</f>
        <v>1925.74685025101</v>
      </c>
      <c r="AI189" s="50" t="n">
        <f aca="false">AI177</f>
        <v>0</v>
      </c>
      <c r="AJ189" s="50" t="n">
        <f aca="false">AJ177</f>
        <v>2201.92738718254</v>
      </c>
      <c r="AK189" s="50" t="n">
        <f aca="false">AK177</f>
        <v>548.475477754164</v>
      </c>
      <c r="AL189" s="50" t="n">
        <f aca="false">SUM(AH189:AK189)</f>
        <v>4676.14971518771</v>
      </c>
      <c r="AM189" s="50" t="n">
        <f aca="false">AM177</f>
        <v>2161.54564434524</v>
      </c>
      <c r="AN189" s="50" t="n">
        <f aca="false">AL189+AM189</f>
        <v>6837.69535953295</v>
      </c>
      <c r="AO189" s="8" t="n">
        <f aca="false">I189-AL189-AM189</f>
        <v>7917.25274914346</v>
      </c>
      <c r="AQ189" s="9" t="n">
        <f aca="false">$AQ$18</f>
        <v>43</v>
      </c>
      <c r="AR189" s="9"/>
      <c r="AS189" s="9" t="n">
        <f aca="false">AS$18</f>
        <v>30</v>
      </c>
      <c r="AT189" s="9" t="n">
        <f aca="false">AT$18</f>
        <v>38</v>
      </c>
      <c r="AU189" s="9" t="n">
        <f aca="false">SUMPRODUCT(AH189:AK189,AQ189:AT189)/AL189</f>
        <v>36.2920382509856</v>
      </c>
      <c r="AV189" s="9" t="n">
        <f aca="false">$Y$18/1000*CURVES!O148+$AV$14</f>
        <v>77.9866192880192</v>
      </c>
      <c r="AW189" s="9" t="n">
        <f aca="false">(AL189*AU189+AM189*AV189)/AN189</f>
        <v>49.4726108408056</v>
      </c>
      <c r="AX189" s="9" t="n">
        <f aca="false">CHOOSE(AX$18,CURVES!B148,CURVES!C148)</f>
        <v>46.1642857142857</v>
      </c>
      <c r="AY189" s="9" t="n">
        <f aca="false">(AN189*AW189+AO189*AX189)/I189</f>
        <v>47.6974201718802</v>
      </c>
    </row>
    <row r="190" customFormat="false" ht="12.75" hidden="false" customHeight="false" outlineLevel="0" collapsed="false">
      <c r="A190" s="85" t="n">
        <v>41334</v>
      </c>
      <c r="B190" s="31" t="n">
        <f aca="false">YEAR(A190)</f>
        <v>2013</v>
      </c>
      <c r="C190" s="31" t="n">
        <f aca="false">MONTH(A190)</f>
        <v>3</v>
      </c>
      <c r="D190" s="86" t="n">
        <v>0.061006154767133</v>
      </c>
      <c r="E190" s="87" t="n">
        <f aca="false">(1+D190/2)^(-2*(DATE($B191,$C191,20)-$E$17)/365.25)</f>
        <v>2.11127217772981</v>
      </c>
      <c r="F190" s="87"/>
      <c r="G190" s="8"/>
      <c r="H190" s="8" t="n">
        <f aca="false">(1+$I$17)*H178</f>
        <v>15493.6193265193</v>
      </c>
      <c r="I190" s="8" t="n">
        <f aca="false">(1+$I$17)*I178</f>
        <v>14423.7043341751</v>
      </c>
      <c r="K190" s="50" t="n">
        <f aca="false">K178</f>
        <v>2263.94623655914</v>
      </c>
      <c r="L190" s="50" t="n">
        <f aca="false">L178</f>
        <v>1258.63037634409</v>
      </c>
      <c r="M190" s="50" t="n">
        <f aca="false">M178</f>
        <v>620.646505376344</v>
      </c>
      <c r="N190" s="50" t="n">
        <f aca="false">N178</f>
        <v>2.58198924731183</v>
      </c>
      <c r="O190" s="50" t="n">
        <f aca="false">SUM(K190:N190)</f>
        <v>4145.80510752688</v>
      </c>
      <c r="P190" s="50" t="n">
        <f aca="false">P178</f>
        <v>2834.39732902856</v>
      </c>
      <c r="Q190" s="50" t="n">
        <f aca="false">O190+P190</f>
        <v>6980.20243655544</v>
      </c>
      <c r="R190" s="8" t="n">
        <f aca="false">H190-O190-P190</f>
        <v>8513.41688996388</v>
      </c>
      <c r="T190" s="9" t="n">
        <f aca="false">$T$18</f>
        <v>48.72</v>
      </c>
      <c r="U190" s="9" t="n">
        <f aca="false">U$18</f>
        <v>23</v>
      </c>
      <c r="V190" s="9" t="n">
        <f aca="false">V$18</f>
        <v>34</v>
      </c>
      <c r="W190" s="9" t="n">
        <f aca="false">W$18</f>
        <v>38</v>
      </c>
      <c r="X190" s="9" t="n">
        <f aca="false">SUMPRODUCT(K190:N190,T190:W190)/O190</f>
        <v>38.7013021388701</v>
      </c>
      <c r="Y190" s="9" t="n">
        <f aca="false">$Y$18/1000*CURVES!K149+$Y$14</f>
        <v>80.0046327284946</v>
      </c>
      <c r="Z190" s="9" t="n">
        <f aca="false">(O190*X190+P190*Y190)/Q190</f>
        <v>55.473029172189</v>
      </c>
      <c r="AA190" s="9" t="n">
        <f aca="false">CHOOSE(AA$18,CURVES!F149,CURVES!G149)</f>
        <v>39.3515540393679</v>
      </c>
      <c r="AB190" s="9" t="n">
        <f aca="false">(Q190*Z190+R190*AA190)/H190</f>
        <v>46.6146187650111</v>
      </c>
      <c r="AD190" s="9"/>
      <c r="AH190" s="50" t="n">
        <f aca="false">AH178</f>
        <v>1891.23873243112</v>
      </c>
      <c r="AI190" s="50" t="n">
        <f aca="false">AI178</f>
        <v>0</v>
      </c>
      <c r="AJ190" s="50" t="n">
        <f aca="false">AJ178</f>
        <v>1966.55049263563</v>
      </c>
      <c r="AK190" s="50" t="n">
        <f aca="false">AK178</f>
        <v>526.073305014923</v>
      </c>
      <c r="AL190" s="50" t="n">
        <f aca="false">SUM(AH190:AK190)</f>
        <v>4383.86253008167</v>
      </c>
      <c r="AM190" s="50" t="n">
        <f aca="false">AM178</f>
        <v>2044.22227284946</v>
      </c>
      <c r="AN190" s="50" t="n">
        <f aca="false">AL190+AM190</f>
        <v>6428.08480293113</v>
      </c>
      <c r="AO190" s="8" t="n">
        <f aca="false">I190-AL190-AM190</f>
        <v>7995.61953124394</v>
      </c>
      <c r="AQ190" s="9" t="n">
        <f aca="false">$AQ$18</f>
        <v>43</v>
      </c>
      <c r="AR190" s="9"/>
      <c r="AS190" s="9" t="n">
        <f aca="false">AS$18</f>
        <v>30</v>
      </c>
      <c r="AT190" s="9" t="n">
        <f aca="false">AT$18</f>
        <v>38</v>
      </c>
      <c r="AU190" s="9" t="n">
        <f aca="false">SUMPRODUCT(AH190:AK190,AQ190:AT190)/AL190</f>
        <v>36.5683377989472</v>
      </c>
      <c r="AV190" s="9" t="n">
        <f aca="false">$Y$18/1000*CURVES!O149+$AV$14</f>
        <v>76.4116192880192</v>
      </c>
      <c r="AW190" s="9" t="n">
        <f aca="false">(AL190*AU190+AM190*AV190)/AN190</f>
        <v>49.2390672526458</v>
      </c>
      <c r="AX190" s="9" t="n">
        <f aca="false">CHOOSE(AX$18,CURVES!B149,CURVES!C149)</f>
        <v>43.939247311828</v>
      </c>
      <c r="AY190" s="9" t="n">
        <f aca="false">(AN190*AW190+AO190*AX190)/I190</f>
        <v>46.3011712136597</v>
      </c>
    </row>
    <row r="191" customFormat="false" ht="12.75" hidden="false" customHeight="false" outlineLevel="0" collapsed="false">
      <c r="A191" s="85" t="n">
        <v>41365</v>
      </c>
      <c r="B191" s="31" t="n">
        <f aca="false">YEAR(A191)</f>
        <v>2013</v>
      </c>
      <c r="C191" s="31" t="n">
        <f aca="false">MONTH(A191)</f>
        <v>4</v>
      </c>
      <c r="D191" s="86" t="n">
        <v>0.061030660347939</v>
      </c>
      <c r="E191" s="87" t="n">
        <f aca="false">(1+D191/2)^(-2*(DATE($B192,$C192,20)-$E$17)/365.25)</f>
        <v>2.10149413236836</v>
      </c>
      <c r="F191" s="87"/>
      <c r="G191" s="8"/>
      <c r="H191" s="8" t="n">
        <f aca="false">(1+$I$17)*H179</f>
        <v>15562.3693608752</v>
      </c>
      <c r="I191" s="8" t="n">
        <f aca="false">(1+$I$17)*I179</f>
        <v>14090.4706351816</v>
      </c>
      <c r="K191" s="50" t="n">
        <f aca="false">K179</f>
        <v>2319.84027777778</v>
      </c>
      <c r="L191" s="50" t="n">
        <f aca="false">L179</f>
        <v>1179.16597222222</v>
      </c>
      <c r="M191" s="50" t="n">
        <f aca="false">M179</f>
        <v>811.586111111111</v>
      </c>
      <c r="N191" s="50" t="n">
        <f aca="false">N179</f>
        <v>3.04166666666667</v>
      </c>
      <c r="O191" s="50" t="n">
        <f aca="false">SUM(K191:N191)</f>
        <v>4313.63402777778</v>
      </c>
      <c r="P191" s="50" t="n">
        <f aca="false">P179</f>
        <v>2923.39459068154</v>
      </c>
      <c r="Q191" s="50" t="n">
        <f aca="false">O191+P191</f>
        <v>7237.02861845932</v>
      </c>
      <c r="R191" s="8" t="n">
        <f aca="false">H191-O191-P191</f>
        <v>8325.34074241587</v>
      </c>
      <c r="T191" s="9" t="n">
        <f aca="false">$T$18</f>
        <v>48.72</v>
      </c>
      <c r="U191" s="9" t="n">
        <f aca="false">U$18</f>
        <v>23</v>
      </c>
      <c r="V191" s="9" t="n">
        <f aca="false">V$18</f>
        <v>34</v>
      </c>
      <c r="W191" s="9" t="n">
        <f aca="false">W$18</f>
        <v>38</v>
      </c>
      <c r="X191" s="9" t="n">
        <f aca="false">SUMPRODUCT(K191:N191,T191:W191)/O191</f>
        <v>38.9121899828918</v>
      </c>
      <c r="Y191" s="9" t="n">
        <f aca="false">$Y$18/1000*CURVES!K150+$Y$14</f>
        <v>79.3431327284946</v>
      </c>
      <c r="Z191" s="9" t="n">
        <f aca="false">(O191*X191+P191*Y191)/Q191</f>
        <v>55.2442518759693</v>
      </c>
      <c r="AA191" s="9" t="n">
        <f aca="false">CHOOSE(AA$18,CURVES!F150,CURVES!G150)</f>
        <v>38.3958704225663</v>
      </c>
      <c r="AB191" s="9" t="n">
        <f aca="false">(Q191*Z191+R191*AA191)/H191</f>
        <v>46.2309382021258</v>
      </c>
      <c r="AD191" s="9"/>
      <c r="AH191" s="50" t="n">
        <f aca="false">AH179</f>
        <v>1937.93108490741</v>
      </c>
      <c r="AI191" s="50" t="n">
        <f aca="false">AI179</f>
        <v>0</v>
      </c>
      <c r="AJ191" s="50" t="n">
        <f aca="false">AJ179</f>
        <v>2070.95002093926</v>
      </c>
      <c r="AK191" s="50" t="n">
        <f aca="false">AK179</f>
        <v>513.919329218532</v>
      </c>
      <c r="AL191" s="50" t="n">
        <f aca="false">SUM(AH191:AK191)</f>
        <v>4522.8004350652</v>
      </c>
      <c r="AM191" s="50" t="n">
        <f aca="false">AM179</f>
        <v>2152.99685890411</v>
      </c>
      <c r="AN191" s="50" t="n">
        <f aca="false">AL191+AM191</f>
        <v>6675.79729396931</v>
      </c>
      <c r="AO191" s="8" t="n">
        <f aca="false">I191-AL191-AM191</f>
        <v>7414.67334121227</v>
      </c>
      <c r="AQ191" s="9" t="n">
        <f aca="false">$AQ$18</f>
        <v>43</v>
      </c>
      <c r="AR191" s="9"/>
      <c r="AS191" s="9" t="n">
        <f aca="false">AS$18</f>
        <v>30</v>
      </c>
      <c r="AT191" s="9" t="n">
        <f aca="false">AT$18</f>
        <v>38</v>
      </c>
      <c r="AU191" s="9" t="n">
        <f aca="false">SUMPRODUCT(AH191:AK191,AQ191:AT191)/AL191</f>
        <v>36.4792729987261</v>
      </c>
      <c r="AV191" s="9" t="n">
        <f aca="false">$Y$18/1000*CURVES!O150+$AV$14</f>
        <v>74.4901192880191</v>
      </c>
      <c r="AW191" s="9" t="n">
        <f aca="false">(AL191*AU191+AM191*AV191)/AN191</f>
        <v>48.7380683248011</v>
      </c>
      <c r="AX191" s="9" t="n">
        <f aca="false">CHOOSE(AX$18,CURVES!B150,CURVES!C150)</f>
        <v>42.2866666666667</v>
      </c>
      <c r="AY191" s="9" t="n">
        <f aca="false">(AN191*AW191+AO191*AX191)/I191</f>
        <v>45.3432182075463</v>
      </c>
    </row>
    <row r="192" customFormat="false" ht="12.75" hidden="false" customHeight="false" outlineLevel="0" collapsed="false">
      <c r="A192" s="85" t="n">
        <v>41395</v>
      </c>
      <c r="B192" s="31" t="n">
        <f aca="false">YEAR(A192)</f>
        <v>2013</v>
      </c>
      <c r="C192" s="31" t="n">
        <f aca="false">MONTH(A192)</f>
        <v>5</v>
      </c>
      <c r="D192" s="86" t="n">
        <v>0.06105437542633</v>
      </c>
      <c r="E192" s="87" t="n">
        <f aca="false">(1+D192/2)^(-2*(DATE($B193,$C193,20)-$E$17)/365.25)</f>
        <v>2.09138911424364</v>
      </c>
      <c r="F192" s="87"/>
      <c r="G192" s="8"/>
      <c r="H192" s="8" t="n">
        <f aca="false">(1+$I$17)*H180</f>
        <v>16444.7374679637</v>
      </c>
      <c r="I192" s="8" t="n">
        <f aca="false">(1+$I$17)*I180</f>
        <v>15348.3021398373</v>
      </c>
      <c r="K192" s="50" t="n">
        <f aca="false">K180</f>
        <v>2226.06720430108</v>
      </c>
      <c r="L192" s="50" t="n">
        <f aca="false">L180</f>
        <v>1023.62634408602</v>
      </c>
      <c r="M192" s="50" t="n">
        <f aca="false">M180</f>
        <v>950.165322580645</v>
      </c>
      <c r="N192" s="50" t="n">
        <f aca="false">N180</f>
        <v>3.30510752688172</v>
      </c>
      <c r="O192" s="50" t="n">
        <f aca="false">SUM(K192:N192)</f>
        <v>4203.16397849462</v>
      </c>
      <c r="P192" s="50" t="n">
        <f aca="false">P180</f>
        <v>2831.51050210493</v>
      </c>
      <c r="Q192" s="50" t="n">
        <f aca="false">O192+P192</f>
        <v>7034.67448059955</v>
      </c>
      <c r="R192" s="8" t="n">
        <f aca="false">H192-O192-P192</f>
        <v>9410.06298736412</v>
      </c>
      <c r="T192" s="9" t="n">
        <f aca="false">$T$18</f>
        <v>48.72</v>
      </c>
      <c r="U192" s="9" t="n">
        <f aca="false">U$18</f>
        <v>23</v>
      </c>
      <c r="V192" s="9" t="n">
        <f aca="false">V$18</f>
        <v>34</v>
      </c>
      <c r="W192" s="9" t="n">
        <f aca="false">W$18</f>
        <v>38</v>
      </c>
      <c r="X192" s="9" t="n">
        <f aca="false">SUMPRODUCT(K192:N192,T192:W192)/O192</f>
        <v>39.1201999261949</v>
      </c>
      <c r="Y192" s="9" t="n">
        <f aca="false">$Y$18/1000*CURVES!K151+$Y$14</f>
        <v>79.0806327284946</v>
      </c>
      <c r="Z192" s="9" t="n">
        <f aca="false">(O192*X192+P192*Y192)/Q192</f>
        <v>55.2045810102684</v>
      </c>
      <c r="AA192" s="9" t="n">
        <f aca="false">CHOOSE(AA$18,CURVES!F151,CURVES!G151)</f>
        <v>37.9988902283257</v>
      </c>
      <c r="AB192" s="9" t="n">
        <f aca="false">(Q192*Z192+R192*AA192)/H192</f>
        <v>45.35908275804</v>
      </c>
      <c r="AD192" s="9"/>
      <c r="AH192" s="50" t="n">
        <f aca="false">AH180</f>
        <v>1895.25910320262</v>
      </c>
      <c r="AI192" s="50" t="n">
        <f aca="false">AI180</f>
        <v>0</v>
      </c>
      <c r="AJ192" s="50" t="n">
        <f aca="false">AJ180</f>
        <v>1877.63033247346</v>
      </c>
      <c r="AK192" s="50" t="n">
        <f aca="false">AK180</f>
        <v>570.53181663935</v>
      </c>
      <c r="AL192" s="50" t="n">
        <f aca="false">SUM(AH192:AK192)</f>
        <v>4343.42125231544</v>
      </c>
      <c r="AM192" s="50" t="n">
        <f aca="false">AM180</f>
        <v>2186.84183198925</v>
      </c>
      <c r="AN192" s="50" t="n">
        <f aca="false">AL192+AM192</f>
        <v>6530.26308430469</v>
      </c>
      <c r="AO192" s="8" t="n">
        <f aca="false">I192-AL192-AM192</f>
        <v>8818.03905553257</v>
      </c>
      <c r="AQ192" s="9" t="n">
        <f aca="false">$AQ$18</f>
        <v>43</v>
      </c>
      <c r="AR192" s="9"/>
      <c r="AS192" s="9" t="n">
        <f aca="false">AS$18</f>
        <v>30</v>
      </c>
      <c r="AT192" s="9" t="n">
        <f aca="false">AT$18</f>
        <v>38</v>
      </c>
      <c r="AU192" s="9" t="n">
        <f aca="false">SUMPRODUCT(AH192:AK192,AQ192:AT192)/AL192</f>
        <v>36.7234148332219</v>
      </c>
      <c r="AV192" s="9" t="n">
        <f aca="false">$Y$18/1000*CURVES!O151+$AV$14</f>
        <v>74.2276192880192</v>
      </c>
      <c r="AW192" s="9" t="n">
        <f aca="false">(AL192*AU192+AM192*AV192)/AN192</f>
        <v>49.2827500573036</v>
      </c>
      <c r="AX192" s="9" t="n">
        <f aca="false">CHOOSE(AX$18,CURVES!B151,CURVES!C151)</f>
        <v>42.1198924731183</v>
      </c>
      <c r="AY192" s="9" t="n">
        <f aca="false">(AN192*AW192+AO192*AX192)/I192</f>
        <v>45.1674832772327</v>
      </c>
    </row>
    <row r="193" customFormat="false" ht="12.75" hidden="false" customHeight="false" outlineLevel="0" collapsed="false">
      <c r="A193" s="85" t="n">
        <v>41426</v>
      </c>
      <c r="B193" s="31" t="n">
        <f aca="false">YEAR(A193)</f>
        <v>2013</v>
      </c>
      <c r="C193" s="31" t="n">
        <f aca="false">MONTH(A193)</f>
        <v>6</v>
      </c>
      <c r="D193" s="86" t="n">
        <v>0.061078881007529</v>
      </c>
      <c r="E193" s="87" t="n">
        <f aca="false">(1+D193/2)^(-2*(DATE($B194,$C194,20)-$E$17)/365.25)</f>
        <v>2.08168687215413</v>
      </c>
      <c r="F193" s="87"/>
      <c r="G193" s="8"/>
      <c r="H193" s="8" t="n">
        <f aca="false">(1+$I$17)*H181</f>
        <v>18173.4409407551</v>
      </c>
      <c r="I193" s="8" t="n">
        <f aca="false">(1+$I$17)*I181</f>
        <v>17307.1496087754</v>
      </c>
      <c r="K193" s="50" t="n">
        <f aca="false">K181</f>
        <v>2252.13333333333</v>
      </c>
      <c r="L193" s="50" t="n">
        <f aca="false">L181</f>
        <v>1398.39166666667</v>
      </c>
      <c r="M193" s="50" t="n">
        <f aca="false">M181</f>
        <v>957.040277777778</v>
      </c>
      <c r="N193" s="50" t="n">
        <f aca="false">N181</f>
        <v>3.52638888888889</v>
      </c>
      <c r="O193" s="50" t="n">
        <f aca="false">SUM(K193:N193)</f>
        <v>4611.09166666667</v>
      </c>
      <c r="P193" s="50" t="n">
        <f aca="false">P181</f>
        <v>3175.74117813466</v>
      </c>
      <c r="Q193" s="50" t="n">
        <f aca="false">O193+P193</f>
        <v>7786.83284480132</v>
      </c>
      <c r="R193" s="8" t="n">
        <f aca="false">H193-O193-P193</f>
        <v>10386.6080959538</v>
      </c>
      <c r="T193" s="9" t="n">
        <f aca="false">$T$18</f>
        <v>48.72</v>
      </c>
      <c r="U193" s="9" t="n">
        <f aca="false">U$18</f>
        <v>23</v>
      </c>
      <c r="V193" s="9" t="n">
        <f aca="false">V$18</f>
        <v>34</v>
      </c>
      <c r="W193" s="9" t="n">
        <f aca="false">W$18</f>
        <v>38</v>
      </c>
      <c r="X193" s="9" t="n">
        <f aca="false">SUMPRODUCT(K193:N193,T193:W193)/O193</f>
        <v>37.8566138290945</v>
      </c>
      <c r="Y193" s="9" t="n">
        <f aca="false">$Y$18/1000*CURVES!K152+$Y$14</f>
        <v>79.3851327284946</v>
      </c>
      <c r="Z193" s="9" t="n">
        <f aca="false">(O193*X193+P193*Y193)/Q193</f>
        <v>54.7933877607215</v>
      </c>
      <c r="AA193" s="9" t="n">
        <f aca="false">CHOOSE(AA$18,CURVES!F152,CURVES!G152)</f>
        <v>48.5110703637319</v>
      </c>
      <c r="AB193" s="9" t="n">
        <f aca="false">(Q193*Z193+R193*AA193)/H193</f>
        <v>51.2028751577619</v>
      </c>
      <c r="AD193" s="9"/>
      <c r="AH193" s="50" t="n">
        <f aca="false">AH181</f>
        <v>1881.37055634004</v>
      </c>
      <c r="AI193" s="50" t="n">
        <f aca="false">AI181</f>
        <v>0</v>
      </c>
      <c r="AJ193" s="50" t="n">
        <f aca="false">AJ181</f>
        <v>1162.16168617347</v>
      </c>
      <c r="AK193" s="50" t="n">
        <f aca="false">AK181</f>
        <v>631.240712103584</v>
      </c>
      <c r="AL193" s="50" t="n">
        <f aca="false">SUM(AH193:AK193)</f>
        <v>3674.77295461709</v>
      </c>
      <c r="AM193" s="50" t="n">
        <f aca="false">AM181</f>
        <v>2754.04614109589</v>
      </c>
      <c r="AN193" s="50" t="n">
        <f aca="false">AL193+AM193</f>
        <v>6428.81909571298</v>
      </c>
      <c r="AO193" s="8" t="n">
        <f aca="false">I193-AL193-AM193</f>
        <v>10878.3305130625</v>
      </c>
      <c r="AQ193" s="9" t="n">
        <f aca="false">$AQ$18</f>
        <v>43</v>
      </c>
      <c r="AR193" s="9"/>
      <c r="AS193" s="9" t="n">
        <f aca="false">AS$18</f>
        <v>30</v>
      </c>
      <c r="AT193" s="9" t="n">
        <f aca="false">AT$18</f>
        <v>38</v>
      </c>
      <c r="AU193" s="9" t="n">
        <f aca="false">SUMPRODUCT(AH193:AK193,AQ193:AT193)/AL193</f>
        <v>38.0298138942638</v>
      </c>
      <c r="AV193" s="9" t="n">
        <f aca="false">$Y$18/1000*CURVES!O152+$AV$14</f>
        <v>74.5321192880192</v>
      </c>
      <c r="AW193" s="9" t="n">
        <f aca="false">(AL193*AU193+AM193*AV193)/AN193</f>
        <v>53.6670610798026</v>
      </c>
      <c r="AX193" s="9" t="n">
        <f aca="false">CHOOSE(AX$18,CURVES!B152,CURVES!C152)</f>
        <v>47.0055555555556</v>
      </c>
      <c r="AY193" s="9" t="n">
        <f aca="false">(AN193*AW193+AO193*AX193)/I193</f>
        <v>49.480001948436</v>
      </c>
    </row>
    <row r="194" customFormat="false" ht="12.75" hidden="false" customHeight="false" outlineLevel="0" collapsed="false">
      <c r="A194" s="85" t="n">
        <v>41456</v>
      </c>
      <c r="B194" s="31" t="n">
        <f aca="false">YEAR(A194)</f>
        <v>2013</v>
      </c>
      <c r="C194" s="31" t="n">
        <f aca="false">MONTH(A194)</f>
        <v>7</v>
      </c>
      <c r="D194" s="86" t="n">
        <v>0.061102596086299</v>
      </c>
      <c r="E194" s="87" t="n">
        <f aca="false">(1+D194/2)^(-2*(DATE($B195,$C195,20)-$E$17)/365.25)</f>
        <v>2.07166089404421</v>
      </c>
      <c r="F194" s="87"/>
      <c r="G194" s="8"/>
      <c r="H194" s="8" t="n">
        <f aca="false">(1+$I$17)*H182</f>
        <v>17937.0527350359</v>
      </c>
      <c r="I194" s="8" t="n">
        <f aca="false">(1+$I$17)*I182</f>
        <v>16429.5167269529</v>
      </c>
      <c r="K194" s="50" t="n">
        <f aca="false">K182</f>
        <v>2248.45698924731</v>
      </c>
      <c r="L194" s="50" t="n">
        <f aca="false">L182</f>
        <v>1358.32258064516</v>
      </c>
      <c r="M194" s="50" t="n">
        <f aca="false">M182</f>
        <v>653.551075268817</v>
      </c>
      <c r="N194" s="50" t="n">
        <f aca="false">N182</f>
        <v>3.83736559139785</v>
      </c>
      <c r="O194" s="50" t="n">
        <f aca="false">SUM(K194:N194)</f>
        <v>4264.16801075269</v>
      </c>
      <c r="P194" s="50" t="n">
        <f aca="false">P182</f>
        <v>3349.38956238808</v>
      </c>
      <c r="Q194" s="50" t="n">
        <f aca="false">O194+P194</f>
        <v>7613.55757314076</v>
      </c>
      <c r="R194" s="8" t="n">
        <f aca="false">H194-O194-P194</f>
        <v>10323.4951618951</v>
      </c>
      <c r="T194" s="9" t="n">
        <f aca="false">$T$18</f>
        <v>48.72</v>
      </c>
      <c r="U194" s="9" t="n">
        <f aca="false">U$18</f>
        <v>23</v>
      </c>
      <c r="V194" s="9" t="n">
        <f aca="false">V$18</f>
        <v>34</v>
      </c>
      <c r="W194" s="9" t="n">
        <f aca="false">W$18</f>
        <v>38</v>
      </c>
      <c r="X194" s="9" t="n">
        <f aca="false">SUMPRODUCT(K194:N194,T194:W194)/O194</f>
        <v>38.2613442789234</v>
      </c>
      <c r="Y194" s="9" t="n">
        <f aca="false">$Y$18/1000*CURVES!K153+$Y$14</f>
        <v>79.7001327284946</v>
      </c>
      <c r="Z194" s="9" t="n">
        <f aca="false">(O194*X194+P194*Y194)/Q194</f>
        <v>56.4912774182805</v>
      </c>
      <c r="AA194" s="9" t="n">
        <f aca="false">CHOOSE(AA$18,CURVES!F153,CURVES!G153)</f>
        <v>59.8665961616808</v>
      </c>
      <c r="AB194" s="9" t="n">
        <f aca="false">(Q194*Z194+R194*AA194)/H194</f>
        <v>58.4339090887157</v>
      </c>
      <c r="AD194" s="9"/>
      <c r="AH194" s="50" t="n">
        <f aca="false">AH182</f>
        <v>1914.32162011861</v>
      </c>
      <c r="AI194" s="50" t="n">
        <f aca="false">AI182</f>
        <v>0</v>
      </c>
      <c r="AJ194" s="50" t="n">
        <f aca="false">AJ182</f>
        <v>1193.33197430598</v>
      </c>
      <c r="AK194" s="50" t="n">
        <f aca="false">AK182</f>
        <v>610.723058442111</v>
      </c>
      <c r="AL194" s="50" t="n">
        <f aca="false">SUM(AH194:AK194)</f>
        <v>3718.37665286669</v>
      </c>
      <c r="AM194" s="50" t="n">
        <f aca="false">AM182</f>
        <v>2586.73186021505</v>
      </c>
      <c r="AN194" s="50" t="n">
        <f aca="false">AL194+AM194</f>
        <v>6305.10851308175</v>
      </c>
      <c r="AO194" s="8" t="n">
        <f aca="false">I194-AL194-AM194</f>
        <v>10124.4082138711</v>
      </c>
      <c r="AQ194" s="9" t="n">
        <f aca="false">$AQ$18</f>
        <v>43</v>
      </c>
      <c r="AR194" s="9"/>
      <c r="AS194" s="9" t="n">
        <f aca="false">AS$18</f>
        <v>30</v>
      </c>
      <c r="AT194" s="9" t="n">
        <f aca="false">AT$18</f>
        <v>38</v>
      </c>
      <c r="AU194" s="9" t="n">
        <f aca="false">SUMPRODUCT(AH194:AK194,AQ194:AT194)/AL194</f>
        <v>38.0067105375476</v>
      </c>
      <c r="AV194" s="9" t="n">
        <f aca="false">$Y$18/1000*CURVES!O153+$AV$14</f>
        <v>74.8471192880191</v>
      </c>
      <c r="AW194" s="9" t="n">
        <f aca="false">(AL194*AU194+AM194*AV194)/AN194</f>
        <v>53.1208451889134</v>
      </c>
      <c r="AX194" s="9" t="n">
        <f aca="false">CHOOSE(AX$18,CURVES!B153,CURVES!C153)</f>
        <v>59.4505376344086</v>
      </c>
      <c r="AY194" s="9" t="n">
        <f aca="false">(AN194*AW194+AO194*AX194)/I194</f>
        <v>57.0214097186855</v>
      </c>
    </row>
    <row r="195" customFormat="false" ht="12.75" hidden="false" customHeight="false" outlineLevel="0" collapsed="false">
      <c r="A195" s="85" t="n">
        <v>41487</v>
      </c>
      <c r="B195" s="31" t="n">
        <f aca="false">YEAR(A195)</f>
        <v>2013</v>
      </c>
      <c r="C195" s="31" t="n">
        <f aca="false">MONTH(A195)</f>
        <v>8</v>
      </c>
      <c r="D195" s="86" t="n">
        <v>0.06112710166789</v>
      </c>
      <c r="E195" s="87" t="n">
        <f aca="false">(1+D195/2)^(-2*(DATE($B196,$C196,20)-$E$17)/365.25)</f>
        <v>2.06169414701862</v>
      </c>
      <c r="F195" s="87"/>
      <c r="G195" s="8"/>
      <c r="H195" s="8" t="n">
        <f aca="false">(1+$I$17)*H183</f>
        <v>19235.1901001012</v>
      </c>
      <c r="I195" s="8" t="n">
        <f aca="false">(1+$I$17)*I183</f>
        <v>17040.1274049223</v>
      </c>
      <c r="K195" s="50" t="n">
        <f aca="false">K183</f>
        <v>2226.06586021505</v>
      </c>
      <c r="L195" s="50" t="n">
        <f aca="false">L183</f>
        <v>1361.98924731183</v>
      </c>
      <c r="M195" s="50" t="n">
        <f aca="false">M183</f>
        <v>483.364247311828</v>
      </c>
      <c r="N195" s="50" t="n">
        <f aca="false">N183</f>
        <v>3.9247311827957</v>
      </c>
      <c r="O195" s="50" t="n">
        <f aca="false">SUM(K195:N195)</f>
        <v>4075.34408602151</v>
      </c>
      <c r="P195" s="50" t="n">
        <f aca="false">P183</f>
        <v>3426.25292884001</v>
      </c>
      <c r="Q195" s="50" t="n">
        <f aca="false">O195+P195</f>
        <v>7501.59701486152</v>
      </c>
      <c r="R195" s="8" t="n">
        <f aca="false">H195-O195-P195</f>
        <v>11733.5930852396</v>
      </c>
      <c r="T195" s="9" t="n">
        <f aca="false">$T$18</f>
        <v>48.72</v>
      </c>
      <c r="U195" s="9" t="n">
        <f aca="false">U$18</f>
        <v>23</v>
      </c>
      <c r="V195" s="9" t="n">
        <f aca="false">V$18</f>
        <v>34</v>
      </c>
      <c r="W195" s="9" t="n">
        <f aca="false">W$18</f>
        <v>38</v>
      </c>
      <c r="X195" s="9" t="n">
        <f aca="false">SUMPRODUCT(K195:N195,T195:W195)/O195</f>
        <v>38.3680990588564</v>
      </c>
      <c r="Y195" s="9" t="n">
        <f aca="false">$Y$18/1000*CURVES!K154+$Y$14</f>
        <v>79.9101327284946</v>
      </c>
      <c r="Z195" s="9" t="n">
        <f aca="false">(O195*X195+P195*Y195)/Q195</f>
        <v>57.3418608123323</v>
      </c>
      <c r="AA195" s="9" t="n">
        <f aca="false">CHOOSE(AA$18,CURVES!F154,CURVES!G154)</f>
        <v>63.2983532676169</v>
      </c>
      <c r="AB195" s="9" t="n">
        <f aca="false">(Q195*Z195+R195*AA195)/H195</f>
        <v>60.975360576145</v>
      </c>
      <c r="AD195" s="9"/>
      <c r="AH195" s="50" t="n">
        <f aca="false">AH183</f>
        <v>1859.59450264151</v>
      </c>
      <c r="AI195" s="50" t="n">
        <f aca="false">AI183</f>
        <v>0</v>
      </c>
      <c r="AJ195" s="50" t="n">
        <f aca="false">AJ183</f>
        <v>1584.50880376937</v>
      </c>
      <c r="AK195" s="50" t="n">
        <f aca="false">AK183</f>
        <v>621.501656862376</v>
      </c>
      <c r="AL195" s="50" t="n">
        <f aca="false">SUM(AH195:AK195)</f>
        <v>4065.60496327325</v>
      </c>
      <c r="AM195" s="50" t="n">
        <f aca="false">AM183</f>
        <v>2208.28901612903</v>
      </c>
      <c r="AN195" s="50" t="n">
        <f aca="false">AL195+AM195</f>
        <v>6273.89397940229</v>
      </c>
      <c r="AO195" s="8" t="n">
        <f aca="false">I195-AL195-AM195</f>
        <v>10766.23342552</v>
      </c>
      <c r="AQ195" s="9" t="n">
        <f aca="false">$AQ$18</f>
        <v>43</v>
      </c>
      <c r="AR195" s="9"/>
      <c r="AS195" s="9" t="n">
        <f aca="false">AS$18</f>
        <v>30</v>
      </c>
      <c r="AT195" s="9" t="n">
        <f aca="false">AT$18</f>
        <v>38</v>
      </c>
      <c r="AU195" s="9" t="n">
        <f aca="false">SUMPRODUCT(AH195:AK195,AQ195:AT195)/AL195</f>
        <v>37.1691032583186</v>
      </c>
      <c r="AV195" s="9" t="n">
        <f aca="false">$Y$18/1000*CURVES!O154+$AV$14</f>
        <v>75.0571192880192</v>
      </c>
      <c r="AW195" s="9" t="n">
        <f aca="false">(AL195*AU195+AM195*AV195)/AN195</f>
        <v>50.5049501687058</v>
      </c>
      <c r="AX195" s="9" t="n">
        <f aca="false">CHOOSE(AX$18,CURVES!B154,CURVES!C154)</f>
        <v>68.9693548387097</v>
      </c>
      <c r="AY195" s="9" t="n">
        <f aca="false">(AN195*AW195+AO195*AX195)/I195</f>
        <v>62.1710654515704</v>
      </c>
    </row>
    <row r="196" customFormat="false" ht="12.75" hidden="false" customHeight="false" outlineLevel="0" collapsed="false">
      <c r="A196" s="85" t="n">
        <v>41518</v>
      </c>
      <c r="B196" s="31" t="n">
        <f aca="false">YEAR(A196)</f>
        <v>2013</v>
      </c>
      <c r="C196" s="31" t="n">
        <f aca="false">MONTH(A196)</f>
        <v>9</v>
      </c>
      <c r="D196" s="86" t="n">
        <v>0.061151607249682</v>
      </c>
      <c r="E196" s="87" t="n">
        <f aca="false">(1+D196/2)^(-2*(DATE($B197,$C197,20)-$E$17)/365.25)</f>
        <v>2.05210545719104</v>
      </c>
      <c r="F196" s="87"/>
      <c r="G196" s="8"/>
      <c r="H196" s="8" t="n">
        <f aca="false">(1+$I$17)*H184</f>
        <v>17423.4592763958</v>
      </c>
      <c r="I196" s="8" t="n">
        <f aca="false">(1+$I$17)*I184</f>
        <v>16050.7059602672</v>
      </c>
      <c r="K196" s="50" t="n">
        <f aca="false">K184</f>
        <v>2263.63333333333</v>
      </c>
      <c r="L196" s="50" t="n">
        <f aca="false">L184</f>
        <v>1380.73611111111</v>
      </c>
      <c r="M196" s="50" t="n">
        <f aca="false">M184</f>
        <v>542.602777777778</v>
      </c>
      <c r="N196" s="50" t="n">
        <f aca="false">N184</f>
        <v>3.41944444444444</v>
      </c>
      <c r="O196" s="50" t="n">
        <f aca="false">SUM(K196:N196)</f>
        <v>4190.39166666667</v>
      </c>
      <c r="P196" s="50" t="n">
        <f aca="false">P184</f>
        <v>3348.13393235473</v>
      </c>
      <c r="Q196" s="50" t="n">
        <f aca="false">O196+P196</f>
        <v>7538.52559902139</v>
      </c>
      <c r="R196" s="8" t="n">
        <f aca="false">H196-O196-P196</f>
        <v>9884.93367737443</v>
      </c>
      <c r="T196" s="9" t="n">
        <f aca="false">$T$18</f>
        <v>48.72</v>
      </c>
      <c r="U196" s="9" t="n">
        <f aca="false">U$18</f>
        <v>23</v>
      </c>
      <c r="V196" s="9" t="n">
        <f aca="false">V$18</f>
        <v>34</v>
      </c>
      <c r="W196" s="9" t="n">
        <f aca="false">W$18</f>
        <v>38</v>
      </c>
      <c r="X196" s="9" t="n">
        <f aca="false">SUMPRODUCT(K196:N196,T196:W196)/O196</f>
        <v>38.3304456159959</v>
      </c>
      <c r="Y196" s="9" t="n">
        <f aca="false">$Y$18/1000*CURVES!K155+$Y$14</f>
        <v>80.1306327284946</v>
      </c>
      <c r="Z196" s="9" t="n">
        <f aca="false">(O196*X196+P196*Y196)/Q196</f>
        <v>56.8954319666825</v>
      </c>
      <c r="AA196" s="9" t="n">
        <f aca="false">CHOOSE(AA$18,CURVES!F155,CURVES!G155)</f>
        <v>56.7059360227577</v>
      </c>
      <c r="AB196" s="9" t="n">
        <f aca="false">(Q196*Z196+R196*AA196)/H196</f>
        <v>56.7879243352694</v>
      </c>
      <c r="AD196" s="9"/>
      <c r="AH196" s="50" t="n">
        <f aca="false">AH184</f>
        <v>1890.97734163897</v>
      </c>
      <c r="AI196" s="50" t="n">
        <f aca="false">AI184</f>
        <v>0</v>
      </c>
      <c r="AJ196" s="50" t="n">
        <f aca="false">AJ184</f>
        <v>765.820605438213</v>
      </c>
      <c r="AK196" s="50" t="n">
        <f aca="false">AK184</f>
        <v>570.922545092046</v>
      </c>
      <c r="AL196" s="50" t="n">
        <f aca="false">SUM(AH196:AK196)</f>
        <v>3227.72049216923</v>
      </c>
      <c r="AM196" s="50" t="n">
        <f aca="false">AM184</f>
        <v>2371.57693150685</v>
      </c>
      <c r="AN196" s="50" t="n">
        <f aca="false">AL196+AM196</f>
        <v>5599.29742367608</v>
      </c>
      <c r="AO196" s="8" t="n">
        <f aca="false">I196-AL196-AM196</f>
        <v>10451.4085365911</v>
      </c>
      <c r="AQ196" s="9" t="n">
        <f aca="false">$AQ$18</f>
        <v>43</v>
      </c>
      <c r="AR196" s="9"/>
      <c r="AS196" s="9" t="n">
        <f aca="false">AS$18</f>
        <v>30</v>
      </c>
      <c r="AT196" s="9" t="n">
        <f aca="false">AT$18</f>
        <v>38</v>
      </c>
      <c r="AU196" s="9" t="n">
        <f aca="false">SUMPRODUCT(AH196:AK196,AQ196:AT196)/AL196</f>
        <v>39.0311679319086</v>
      </c>
      <c r="AV196" s="9" t="n">
        <f aca="false">$Y$18/1000*CURVES!O155+$AV$14</f>
        <v>75.2776192880192</v>
      </c>
      <c r="AW196" s="9" t="n">
        <f aca="false">(AL196*AU196+AM196*AV196)/AN196</f>
        <v>54.3833168500315</v>
      </c>
      <c r="AX196" s="9" t="n">
        <f aca="false">CHOOSE(AX$18,CURVES!B155,CURVES!C155)</f>
        <v>59.3333333333333</v>
      </c>
      <c r="AY196" s="9" t="n">
        <f aca="false">(AN196*AW196+AO196*AX196)/I196</f>
        <v>57.6065174156586</v>
      </c>
    </row>
    <row r="197" customFormat="false" ht="12.75" hidden="false" customHeight="false" outlineLevel="0" collapsed="false">
      <c r="A197" s="85" t="n">
        <v>41548</v>
      </c>
      <c r="B197" s="31" t="n">
        <f aca="false">YEAR(A197)</f>
        <v>2013</v>
      </c>
      <c r="C197" s="31" t="n">
        <f aca="false">MONTH(A197)</f>
        <v>10</v>
      </c>
      <c r="D197" s="86" t="n">
        <v>0.061175322329025</v>
      </c>
      <c r="E197" s="87" t="n">
        <f aca="false">(1+D197/2)^(-2*(DATE($B198,$C198,20)-$E$17)/365.25)</f>
        <v>2.04219786251343</v>
      </c>
      <c r="F197" s="87"/>
      <c r="G197" s="8"/>
      <c r="H197" s="8" t="n">
        <f aca="false">(1+$I$17)*H185</f>
        <v>16186.3755603665</v>
      </c>
      <c r="I197" s="8" t="n">
        <f aca="false">(1+$I$17)*I185</f>
        <v>13893.0438162552</v>
      </c>
      <c r="K197" s="50" t="n">
        <f aca="false">K185</f>
        <v>2069.29166666667</v>
      </c>
      <c r="L197" s="50" t="n">
        <f aca="false">L185</f>
        <v>1227.52419354839</v>
      </c>
      <c r="M197" s="50" t="n">
        <f aca="false">M185</f>
        <v>369.340053763441</v>
      </c>
      <c r="N197" s="50" t="n">
        <f aca="false">N185</f>
        <v>3.27822580645161</v>
      </c>
      <c r="O197" s="50" t="n">
        <f aca="false">SUM(K197:N197)</f>
        <v>3669.43413978495</v>
      </c>
      <c r="P197" s="50" t="n">
        <f aca="false">P185</f>
        <v>3171.07549498463</v>
      </c>
      <c r="Q197" s="50" t="n">
        <f aca="false">O197+P197</f>
        <v>6840.50963476957</v>
      </c>
      <c r="R197" s="8" t="n">
        <f aca="false">H197-O197-P197</f>
        <v>9345.86592559688</v>
      </c>
      <c r="T197" s="9" t="n">
        <f aca="false">$T$18</f>
        <v>48.72</v>
      </c>
      <c r="U197" s="9" t="n">
        <f aca="false">U$18</f>
        <v>23</v>
      </c>
      <c r="V197" s="9" t="n">
        <f aca="false">V$18</f>
        <v>34</v>
      </c>
      <c r="W197" s="9" t="n">
        <f aca="false">W$18</f>
        <v>38</v>
      </c>
      <c r="X197" s="9" t="n">
        <f aca="false">SUMPRODUCT(K197:N197,T197:W197)/O197</f>
        <v>38.624778497461</v>
      </c>
      <c r="Y197" s="9" t="n">
        <f aca="false">$Y$18/1000*CURVES!K156+$Y$14</f>
        <v>80.4456327284946</v>
      </c>
      <c r="Z197" s="9" t="n">
        <f aca="false">(O197*X197+P197*Y197)/Q197</f>
        <v>58.011796879436</v>
      </c>
      <c r="AA197" s="9" t="n">
        <f aca="false">CHOOSE(AA$18,CURVES!F156,CURVES!G156)</f>
        <v>46.7592721414089</v>
      </c>
      <c r="AB197" s="9" t="n">
        <f aca="false">(Q197*Z197+R197*AA197)/H197</f>
        <v>51.5146915124033</v>
      </c>
      <c r="AD197" s="9"/>
      <c r="AH197" s="50" t="n">
        <f aca="false">AH185</f>
        <v>1913.83994918903</v>
      </c>
      <c r="AI197" s="50" t="n">
        <f aca="false">AI185</f>
        <v>0</v>
      </c>
      <c r="AJ197" s="50" t="n">
        <f aca="false">AJ185</f>
        <v>1075.38011608834</v>
      </c>
      <c r="AK197" s="50" t="n">
        <f aca="false">AK185</f>
        <v>576.385560502926</v>
      </c>
      <c r="AL197" s="50" t="n">
        <f aca="false">SUM(AH197:AK197)</f>
        <v>3565.6056257803</v>
      </c>
      <c r="AM197" s="50" t="n">
        <f aca="false">AM185</f>
        <v>2259.71325</v>
      </c>
      <c r="AN197" s="50" t="n">
        <f aca="false">AL197+AM197</f>
        <v>5825.3188757803</v>
      </c>
      <c r="AO197" s="8" t="n">
        <f aca="false">I197-AL197-AM197</f>
        <v>8067.72494047488</v>
      </c>
      <c r="AQ197" s="9" t="n">
        <f aca="false">$AQ$18</f>
        <v>43</v>
      </c>
      <c r="AR197" s="9"/>
      <c r="AS197" s="9" t="n">
        <f aca="false">AS$18</f>
        <v>30</v>
      </c>
      <c r="AT197" s="9" t="n">
        <f aca="false">AT$18</f>
        <v>38</v>
      </c>
      <c r="AU197" s="9" t="n">
        <f aca="false">SUMPRODUCT(AH197:AK197,AQ197:AT197)/AL197</f>
        <v>38.2709662589303</v>
      </c>
      <c r="AV197" s="9" t="n">
        <f aca="false">$Y$18/1000*CURVES!O156+$AV$14</f>
        <v>75.5926192880192</v>
      </c>
      <c r="AW197" s="9" t="n">
        <f aca="false">(AL197*AU197+AM197*AV197)/AN197</f>
        <v>52.7484971306524</v>
      </c>
      <c r="AX197" s="9" t="n">
        <f aca="false">CHOOSE(AX$18,CURVES!B156,CURVES!C156)</f>
        <v>46.7</v>
      </c>
      <c r="AY197" s="9" t="n">
        <f aca="false">(AN197*AW197+AO197*AX197)/I197</f>
        <v>49.2361198720231</v>
      </c>
    </row>
    <row r="198" customFormat="false" ht="12.75" hidden="false" customHeight="false" outlineLevel="0" collapsed="false">
      <c r="A198" s="85" t="n">
        <v>41579</v>
      </c>
      <c r="B198" s="31" t="n">
        <f aca="false">YEAR(A198)</f>
        <v>2013</v>
      </c>
      <c r="C198" s="31" t="n">
        <f aca="false">MONTH(A198)</f>
        <v>11</v>
      </c>
      <c r="D198" s="86" t="n">
        <v>0.061199827911208</v>
      </c>
      <c r="E198" s="87" t="n">
        <f aca="false">(1+D198/2)^(-2*(DATE($B199,$C199,20)-$E$17)/365.25)</f>
        <v>2.03268395003295</v>
      </c>
      <c r="F198" s="87"/>
      <c r="G198" s="8"/>
      <c r="H198" s="8" t="n">
        <f aca="false">(1+$I$17)*H186</f>
        <v>15833.4726521473</v>
      </c>
      <c r="I198" s="8" t="n">
        <f aca="false">(1+$I$17)*I186</f>
        <v>14103.9280034357</v>
      </c>
      <c r="K198" s="50" t="n">
        <f aca="false">K186</f>
        <v>2201.15833333333</v>
      </c>
      <c r="L198" s="50" t="n">
        <f aca="false">L186</f>
        <v>1270.02777777778</v>
      </c>
      <c r="M198" s="50" t="n">
        <f aca="false">M186</f>
        <v>241.311111111111</v>
      </c>
      <c r="N198" s="50" t="n">
        <f aca="false">N186</f>
        <v>3.11944444444444</v>
      </c>
      <c r="O198" s="50" t="n">
        <f aca="false">SUM(K198:N198)</f>
        <v>3715.61666666667</v>
      </c>
      <c r="P198" s="50" t="n">
        <f aca="false">P186</f>
        <v>3029.03315829808</v>
      </c>
      <c r="Q198" s="50" t="n">
        <f aca="false">O198+P198</f>
        <v>6744.64982496475</v>
      </c>
      <c r="R198" s="8" t="n">
        <f aca="false">H198-O198-P198</f>
        <v>9088.82282718256</v>
      </c>
      <c r="T198" s="9" t="n">
        <f aca="false">$T$18</f>
        <v>48.72</v>
      </c>
      <c r="U198" s="9" t="n">
        <f aca="false">U$18</f>
        <v>23</v>
      </c>
      <c r="V198" s="9" t="n">
        <f aca="false">V$18</f>
        <v>34</v>
      </c>
      <c r="W198" s="9" t="n">
        <f aca="false">W$18</f>
        <v>38</v>
      </c>
      <c r="X198" s="9" t="n">
        <f aca="false">SUMPRODUCT(K198:N198,T198:W198)/O198</f>
        <v>38.9637044247179</v>
      </c>
      <c r="Y198" s="9" t="n">
        <f aca="false">$Y$18/1000*CURVES!K157+$Y$14</f>
        <v>77.5056327284946</v>
      </c>
      <c r="Z198" s="9" t="n">
        <f aca="false">(O198*X198+P198*Y198)/Q198</f>
        <v>56.272946838574</v>
      </c>
      <c r="AA198" s="9" t="n">
        <f aca="false">CHOOSE(AA$18,CURVES!F157,CURVES!G157)</f>
        <v>39.0061872416944</v>
      </c>
      <c r="AB198" s="9" t="n">
        <f aca="false">(Q198*Z198+R198*AA198)/H198</f>
        <v>46.3613802338652</v>
      </c>
      <c r="AD198" s="9"/>
      <c r="AH198" s="50" t="n">
        <f aca="false">AH186</f>
        <v>1838.78743628671</v>
      </c>
      <c r="AI198" s="50" t="n">
        <f aca="false">AI186</f>
        <v>0</v>
      </c>
      <c r="AJ198" s="50" t="n">
        <f aca="false">AJ186</f>
        <v>1347.87918472112</v>
      </c>
      <c r="AK198" s="50" t="n">
        <f aca="false">AK186</f>
        <v>499.439112514422</v>
      </c>
      <c r="AL198" s="50" t="n">
        <f aca="false">SUM(AH198:AK198)</f>
        <v>3686.10573352225</v>
      </c>
      <c r="AM198" s="50" t="n">
        <f aca="false">AM186</f>
        <v>2451.23764109589</v>
      </c>
      <c r="AN198" s="50" t="n">
        <f aca="false">AL198+AM198</f>
        <v>6137.34337461814</v>
      </c>
      <c r="AO198" s="8" t="n">
        <f aca="false">I198-AL198-AM198</f>
        <v>7966.58462881754</v>
      </c>
      <c r="AQ198" s="9" t="n">
        <f aca="false">$AQ$18</f>
        <v>43</v>
      </c>
      <c r="AR198" s="9"/>
      <c r="AS198" s="9" t="n">
        <f aca="false">AS$18</f>
        <v>30</v>
      </c>
      <c r="AT198" s="9" t="n">
        <f aca="false">AT$18</f>
        <v>38</v>
      </c>
      <c r="AU198" s="9" t="n">
        <f aca="false">SUMPRODUCT(AH198:AK198,AQ198:AT198)/AL198</f>
        <v>37.5688956282822</v>
      </c>
      <c r="AV198" s="9" t="n">
        <f aca="false">$Y$18/1000*CURVES!O157+$AV$14</f>
        <v>77.0626192880192</v>
      </c>
      <c r="AW198" s="9" t="n">
        <f aca="false">(AL198*AU198+AM198*AV198)/AN198</f>
        <v>53.3425775151638</v>
      </c>
      <c r="AX198" s="9" t="n">
        <f aca="false">CHOOSE(AX$18,CURVES!B157,CURVES!C157)</f>
        <v>44.7833333333333</v>
      </c>
      <c r="AY198" s="9" t="n">
        <f aca="false">(AN198*AW198+AO198*AX198)/I198</f>
        <v>48.5079000326457</v>
      </c>
    </row>
    <row r="199" customFormat="false" ht="12.75" hidden="false" customHeight="false" outlineLevel="0" collapsed="false">
      <c r="A199" s="85" t="n">
        <v>41609</v>
      </c>
      <c r="B199" s="31" t="n">
        <f aca="false">YEAR(A199)</f>
        <v>2013</v>
      </c>
      <c r="C199" s="31" t="n">
        <f aca="false">MONTH(A199)</f>
        <v>12</v>
      </c>
      <c r="D199" s="86" t="n">
        <v>0.06122354299093</v>
      </c>
      <c r="E199" s="87" t="n">
        <f aca="false">(1+D199/2)^(-2*(DATE($B200,$C200,20)-$E$17)/365.25)</f>
        <v>2.02285430274453</v>
      </c>
      <c r="F199" s="87"/>
      <c r="G199" s="8"/>
      <c r="H199" s="8" t="n">
        <f aca="false">(1+$I$17)*H187</f>
        <v>15719.4634698673</v>
      </c>
      <c r="I199" s="8" t="n">
        <f aca="false">(1+$I$17)*I187</f>
        <v>14071.8863357454</v>
      </c>
      <c r="K199" s="50" t="n">
        <f aca="false">K187</f>
        <v>2256.4126344086</v>
      </c>
      <c r="L199" s="50" t="n">
        <f aca="false">L187</f>
        <v>1157.21505376344</v>
      </c>
      <c r="M199" s="50" t="n">
        <f aca="false">M187</f>
        <v>239.860215053763</v>
      </c>
      <c r="N199" s="50" t="n">
        <f aca="false">N187</f>
        <v>2.96908602150538</v>
      </c>
      <c r="O199" s="50" t="n">
        <f aca="false">SUM(K199:N199)</f>
        <v>3656.45698924731</v>
      </c>
      <c r="P199" s="50" t="n">
        <f aca="false">P187</f>
        <v>2977.59684973097</v>
      </c>
      <c r="Q199" s="50" t="n">
        <f aca="false">O199+P199</f>
        <v>6634.05383897828</v>
      </c>
      <c r="R199" s="8" t="n">
        <f aca="false">H199-O199-P199</f>
        <v>9085.40963088898</v>
      </c>
      <c r="T199" s="9" t="n">
        <f aca="false">$T$18</f>
        <v>48.72</v>
      </c>
      <c r="U199" s="9" t="n">
        <f aca="false">U$18</f>
        <v>23</v>
      </c>
      <c r="V199" s="9" t="n">
        <f aca="false">V$18</f>
        <v>34</v>
      </c>
      <c r="W199" s="9" t="n">
        <f aca="false">W$18</f>
        <v>38</v>
      </c>
      <c r="X199" s="9" t="n">
        <f aca="false">SUMPRODUCT(K199:N199,T199:W199)/O199</f>
        <v>39.6056736867024</v>
      </c>
      <c r="Y199" s="9" t="n">
        <f aca="false">$Y$18/1000*CURVES!K158+$Y$14</f>
        <v>78.8181327284946</v>
      </c>
      <c r="Z199" s="9" t="n">
        <f aca="false">(O199*X199+P199*Y199)/Q199</f>
        <v>57.2056053946771</v>
      </c>
      <c r="AA199" s="9" t="n">
        <f aca="false">CHOOSE(AA$18,CURVES!F158,CURVES!G158)</f>
        <v>38.5072385293081</v>
      </c>
      <c r="AB199" s="9" t="n">
        <f aca="false">(Q199*Z199+R199*AA199)/H199</f>
        <v>46.398473031275</v>
      </c>
      <c r="AD199" s="9"/>
      <c r="AH199" s="50" t="n">
        <f aca="false">AH187</f>
        <v>1921.09500453605</v>
      </c>
      <c r="AI199" s="50" t="n">
        <f aca="false">AI187</f>
        <v>0</v>
      </c>
      <c r="AJ199" s="50" t="n">
        <f aca="false">AJ187</f>
        <v>1326.47869273451</v>
      </c>
      <c r="AK199" s="50" t="n">
        <f aca="false">AK187</f>
        <v>519.619723134563</v>
      </c>
      <c r="AL199" s="50" t="n">
        <f aca="false">SUM(AH199:AK199)</f>
        <v>3767.19342040512</v>
      </c>
      <c r="AM199" s="50" t="n">
        <f aca="false">AM187</f>
        <v>2024.24791129032</v>
      </c>
      <c r="AN199" s="50" t="n">
        <f aca="false">AL199+AM199</f>
        <v>5791.44133169545</v>
      </c>
      <c r="AO199" s="8" t="n">
        <f aca="false">I199-AL199-AM199</f>
        <v>8280.44500404993</v>
      </c>
      <c r="AQ199" s="9" t="n">
        <f aca="false">$AQ$18</f>
        <v>43</v>
      </c>
      <c r="AR199" s="9"/>
      <c r="AS199" s="9" t="n">
        <f aca="false">AS$18</f>
        <v>30</v>
      </c>
      <c r="AT199" s="9" t="n">
        <f aca="false">AT$18</f>
        <v>38</v>
      </c>
      <c r="AU199" s="9" t="n">
        <f aca="false">SUMPRODUCT(AH199:AK199,AQ199:AT199)/AL199</f>
        <v>37.7328635918334</v>
      </c>
      <c r="AV199" s="9" t="n">
        <f aca="false">$Y$18/1000*CURVES!O158+$AV$14</f>
        <v>78.3751192880192</v>
      </c>
      <c r="AW199" s="9" t="n">
        <f aca="false">(AL199*AU199+AM199*AV199)/AN199</f>
        <v>51.938308573704</v>
      </c>
      <c r="AX199" s="9" t="n">
        <f aca="false">CHOOSE(AX$18,CURVES!B158,CURVES!C158)</f>
        <v>43.6677419354839</v>
      </c>
      <c r="AY199" s="9" t="n">
        <f aca="false">(AN199*AW199+AO199*AX199)/I199</f>
        <v>47.0715856222722</v>
      </c>
    </row>
    <row r="200" customFormat="false" ht="12.75" hidden="false" customHeight="false" outlineLevel="0" collapsed="false">
      <c r="A200" s="85" t="n">
        <v>41640</v>
      </c>
      <c r="B200" s="31" t="n">
        <f aca="false">YEAR(A200)</f>
        <v>2014</v>
      </c>
      <c r="C200" s="31" t="n">
        <f aca="false">MONTH(A200)</f>
        <v>1</v>
      </c>
      <c r="D200" s="86" t="n">
        <v>0.061248048573506</v>
      </c>
      <c r="E200" s="87" t="n">
        <f aca="false">(1+D200/2)^(-2*(DATE($B201,$C201,20)-$E$17)/365.25)</f>
        <v>2.0130822276258</v>
      </c>
      <c r="F200" s="87"/>
      <c r="G200" s="8"/>
      <c r="H200" s="8" t="n">
        <f aca="false">(1+$I$17)*H188</f>
        <v>16008.2926679674</v>
      </c>
      <c r="I200" s="8" t="n">
        <f aca="false">(1+$I$17)*I188</f>
        <v>15217.8783860275</v>
      </c>
      <c r="K200" s="50" t="n">
        <f aca="false">K188</f>
        <v>2185.91801075269</v>
      </c>
      <c r="L200" s="50" t="n">
        <f aca="false">L188</f>
        <v>1282.33064516129</v>
      </c>
      <c r="M200" s="50" t="n">
        <f aca="false">M188</f>
        <v>142.852150537634</v>
      </c>
      <c r="N200" s="50" t="n">
        <f aca="false">N188</f>
        <v>3.16801075268817</v>
      </c>
      <c r="O200" s="50" t="n">
        <f aca="false">SUM(K200:N200)</f>
        <v>3614.2688172043</v>
      </c>
      <c r="P200" s="50" t="n">
        <f aca="false">P188</f>
        <v>2792.6655547379</v>
      </c>
      <c r="Q200" s="50" t="n">
        <f aca="false">O200+P200</f>
        <v>6406.9343719422</v>
      </c>
      <c r="R200" s="8" t="n">
        <f aca="false">H200-O200-P200</f>
        <v>9601.35829602519</v>
      </c>
      <c r="T200" s="9" t="n">
        <f aca="false">$T$18</f>
        <v>48.72</v>
      </c>
      <c r="U200" s="9" t="n">
        <f aca="false">U$18</f>
        <v>23</v>
      </c>
      <c r="V200" s="9" t="n">
        <f aca="false">V$18</f>
        <v>34</v>
      </c>
      <c r="W200" s="9" t="n">
        <f aca="false">W$18</f>
        <v>38</v>
      </c>
      <c r="X200" s="9" t="n">
        <f aca="false">SUMPRODUCT(K200:N200,T200:W200)/O200</f>
        <v>39.0034319468534</v>
      </c>
      <c r="Y200" s="9" t="n">
        <f aca="false">$Y$18/1000*CURVES!K159+$Y$14</f>
        <v>80.3826327284946</v>
      </c>
      <c r="Z200" s="9" t="n">
        <f aca="false">(O200*X200+P200*Y200)/Q200</f>
        <v>57.0398690315746</v>
      </c>
      <c r="AA200" s="9" t="n">
        <f aca="false">CHOOSE(AA$18,CURVES!F159,CURVES!G159)</f>
        <v>40.1533140163165</v>
      </c>
      <c r="AB200" s="9" t="n">
        <f aca="false">(Q200*Z200+R200*AA200)/H200</f>
        <v>46.9117517832272</v>
      </c>
      <c r="AD200" s="9"/>
      <c r="AH200" s="50" t="n">
        <f aca="false">AH188</f>
        <v>1826.05608785899</v>
      </c>
      <c r="AI200" s="50" t="n">
        <f aca="false">AI188</f>
        <v>0</v>
      </c>
      <c r="AJ200" s="50" t="n">
        <f aca="false">AJ188</f>
        <v>1744.08931864439</v>
      </c>
      <c r="AK200" s="50" t="n">
        <f aca="false">AK188</f>
        <v>538.872892801371</v>
      </c>
      <c r="AL200" s="50" t="n">
        <f aca="false">SUM(AH200:AK200)</f>
        <v>4109.01829930475</v>
      </c>
      <c r="AM200" s="50" t="n">
        <f aca="false">AM188</f>
        <v>2445.3687016129</v>
      </c>
      <c r="AN200" s="50" t="n">
        <f aca="false">AL200+AM200</f>
        <v>6554.38700091765</v>
      </c>
      <c r="AO200" s="8" t="n">
        <f aca="false">I200-AL200-AM200</f>
        <v>8663.49138510988</v>
      </c>
      <c r="AQ200" s="9" t="n">
        <f aca="false">$AQ$18</f>
        <v>43</v>
      </c>
      <c r="AR200" s="9"/>
      <c r="AS200" s="9" t="n">
        <f aca="false">AS$18</f>
        <v>30</v>
      </c>
      <c r="AT200" s="9" t="n">
        <f aca="false">AT$18</f>
        <v>38</v>
      </c>
      <c r="AU200" s="9" t="n">
        <f aca="false">SUMPRODUCT(AH200:AK200,AQ200:AT200)/AL200</f>
        <v>36.8263780400598</v>
      </c>
      <c r="AV200" s="9" t="n">
        <f aca="false">$Y$18/1000*CURVES!O159+$AV$14</f>
        <v>79.9396192880191</v>
      </c>
      <c r="AW200" s="9" t="n">
        <f aca="false">(AL200*AU200+AM200*AV200)/AN200</f>
        <v>52.9114475908944</v>
      </c>
      <c r="AX200" s="9" t="n">
        <f aca="false">CHOOSE(AX$18,CURVES!B159,CURVES!C159)</f>
        <v>48.1086021505376</v>
      </c>
      <c r="AY200" s="9" t="n">
        <f aca="false">(AN200*AW200+AO200*AX200)/I200</f>
        <v>50.17720244574</v>
      </c>
    </row>
    <row r="201" customFormat="false" ht="12.75" hidden="false" customHeight="false" outlineLevel="0" collapsed="false">
      <c r="A201" s="85" t="n">
        <v>41671</v>
      </c>
      <c r="B201" s="31" t="n">
        <f aca="false">YEAR(A201)</f>
        <v>2014</v>
      </c>
      <c r="C201" s="31" t="n">
        <f aca="false">MONTH(A201)</f>
        <v>2</v>
      </c>
      <c r="D201" s="86" t="n">
        <v>0.061272554156282</v>
      </c>
      <c r="E201" s="87" t="n">
        <f aca="false">(1+D201/2)^(-2*(DATE($B202,$C202,20)-$E$17)/365.25)</f>
        <v>2.00434259418557</v>
      </c>
      <c r="F201" s="87"/>
      <c r="G201" s="8"/>
      <c r="H201" s="8" t="n">
        <f aca="false">(1+$I$17)*H189</f>
        <v>16051.3518056657</v>
      </c>
      <c r="I201" s="8" t="n">
        <f aca="false">(1+$I$17)*I189</f>
        <v>15197.5965519367</v>
      </c>
      <c r="K201" s="50" t="n">
        <f aca="false">K189</f>
        <v>2261.87643678161</v>
      </c>
      <c r="L201" s="50" t="n">
        <f aca="false">L189</f>
        <v>1335.97988505747</v>
      </c>
      <c r="M201" s="50" t="n">
        <f aca="false">M189</f>
        <v>236.002873563218</v>
      </c>
      <c r="N201" s="50" t="n">
        <f aca="false">N189</f>
        <v>3.84913793103448</v>
      </c>
      <c r="O201" s="50" t="n">
        <f aca="false">SUM(K201:N201)</f>
        <v>3837.70833333333</v>
      </c>
      <c r="P201" s="50" t="n">
        <f aca="false">P189</f>
        <v>3011.77170136767</v>
      </c>
      <c r="Q201" s="50" t="n">
        <f aca="false">O201+P201</f>
        <v>6849.48003470101</v>
      </c>
      <c r="R201" s="8" t="n">
        <f aca="false">H201-O201-P201</f>
        <v>9201.8717709647</v>
      </c>
      <c r="T201" s="9" t="n">
        <f aca="false">$T$18</f>
        <v>48.72</v>
      </c>
      <c r="U201" s="9" t="n">
        <f aca="false">U$18</f>
        <v>23</v>
      </c>
      <c r="V201" s="9" t="n">
        <f aca="false">V$18</f>
        <v>34</v>
      </c>
      <c r="W201" s="9" t="n">
        <f aca="false">W$18</f>
        <v>38</v>
      </c>
      <c r="X201" s="9" t="n">
        <f aca="false">SUMPRODUCT(K201:N201,T201:W201)/O201</f>
        <v>38.8504048116</v>
      </c>
      <c r="Y201" s="9" t="n">
        <f aca="false">$Y$18/1000*CURVES!K160+$Y$14</f>
        <v>79.3746327284946</v>
      </c>
      <c r="Z201" s="9" t="n">
        <f aca="false">(O201*X201+P201*Y201)/Q201</f>
        <v>56.6692351814303</v>
      </c>
      <c r="AA201" s="9" t="n">
        <f aca="false">CHOOSE(AA$18,CURVES!F160,CURVES!G160)</f>
        <v>40.1815599735859</v>
      </c>
      <c r="AB201" s="9" t="n">
        <f aca="false">(Q201*Z201+R201*AA201)/H201</f>
        <v>47.2172292132884</v>
      </c>
      <c r="AD201" s="9"/>
      <c r="AH201" s="50" t="n">
        <f aca="false">AH189</f>
        <v>1925.74685025101</v>
      </c>
      <c r="AI201" s="50" t="n">
        <f aca="false">AI189</f>
        <v>0</v>
      </c>
      <c r="AJ201" s="50" t="n">
        <f aca="false">AJ189</f>
        <v>2201.92738718254</v>
      </c>
      <c r="AK201" s="50" t="n">
        <f aca="false">AK189</f>
        <v>548.475477754164</v>
      </c>
      <c r="AL201" s="50" t="n">
        <f aca="false">SUM(AH201:AK201)</f>
        <v>4676.14971518771</v>
      </c>
      <c r="AM201" s="50" t="n">
        <f aca="false">AM189</f>
        <v>2161.54564434524</v>
      </c>
      <c r="AN201" s="50" t="n">
        <f aca="false">AL201+AM201</f>
        <v>6837.69535953295</v>
      </c>
      <c r="AO201" s="8" t="n">
        <f aca="false">I201-AL201-AM201</f>
        <v>8359.90119240376</v>
      </c>
      <c r="AQ201" s="9" t="n">
        <f aca="false">$AQ$18</f>
        <v>43</v>
      </c>
      <c r="AR201" s="9"/>
      <c r="AS201" s="9" t="n">
        <f aca="false">AS$18</f>
        <v>30</v>
      </c>
      <c r="AT201" s="9" t="n">
        <f aca="false">AT$18</f>
        <v>38</v>
      </c>
      <c r="AU201" s="9" t="n">
        <f aca="false">SUMPRODUCT(AH201:AK201,AQ201:AT201)/AL201</f>
        <v>36.2920382509856</v>
      </c>
      <c r="AV201" s="9" t="n">
        <f aca="false">$Y$18/1000*CURVES!O160+$AV$14</f>
        <v>78.9316192880192</v>
      </c>
      <c r="AW201" s="9" t="n">
        <f aca="false">(AL201*AU201+AM201*AV201)/AN201</f>
        <v>49.7713460909887</v>
      </c>
      <c r="AX201" s="9" t="n">
        <f aca="false">CHOOSE(AX$18,CURVES!B160,CURVES!C160)</f>
        <v>46.8071428571429</v>
      </c>
      <c r="AY201" s="9" t="n">
        <f aca="false">(AN201*AW201+AO201*AX201)/I201</f>
        <v>48.1407957559756</v>
      </c>
    </row>
    <row r="202" customFormat="false" ht="12.75" hidden="false" customHeight="false" outlineLevel="0" collapsed="false">
      <c r="A202" s="85" t="n">
        <v>41699</v>
      </c>
      <c r="B202" s="31" t="n">
        <f aca="false">YEAR(A202)</f>
        <v>2014</v>
      </c>
      <c r="C202" s="31" t="n">
        <f aca="false">MONTH(A202)</f>
        <v>3</v>
      </c>
      <c r="D202" s="86" t="n">
        <v>0.061294688231218</v>
      </c>
      <c r="E202" s="87" t="n">
        <f aca="false">(1+D202/2)^(-2*(DATE($B203,$C203,20)-$E$17)/365.25)</f>
        <v>1.99459173472425</v>
      </c>
      <c r="F202" s="87"/>
      <c r="G202" s="8"/>
      <c r="H202" s="8" t="n">
        <f aca="false">(1+$I$17)*H190</f>
        <v>15958.4279063149</v>
      </c>
      <c r="I202" s="8" t="n">
        <f aca="false">(1+$I$17)*I190</f>
        <v>14856.4154642003</v>
      </c>
      <c r="K202" s="50" t="n">
        <f aca="false">K190</f>
        <v>2263.94623655914</v>
      </c>
      <c r="L202" s="50" t="n">
        <f aca="false">L190</f>
        <v>1258.63037634409</v>
      </c>
      <c r="M202" s="50" t="n">
        <f aca="false">M190</f>
        <v>620.646505376344</v>
      </c>
      <c r="N202" s="50" t="n">
        <f aca="false">N190</f>
        <v>2.58198924731183</v>
      </c>
      <c r="O202" s="50" t="n">
        <f aca="false">SUM(K202:N202)</f>
        <v>4145.80510752688</v>
      </c>
      <c r="P202" s="50" t="n">
        <f aca="false">P190</f>
        <v>2834.39732902856</v>
      </c>
      <c r="Q202" s="50" t="n">
        <f aca="false">O202+P202</f>
        <v>6980.20243655544</v>
      </c>
      <c r="R202" s="8" t="n">
        <f aca="false">H202-O202-P202</f>
        <v>8978.22546975946</v>
      </c>
      <c r="T202" s="9" t="n">
        <f aca="false">$T$18</f>
        <v>48.72</v>
      </c>
      <c r="U202" s="9" t="n">
        <f aca="false">U$18</f>
        <v>23</v>
      </c>
      <c r="V202" s="9" t="n">
        <f aca="false">V$18</f>
        <v>34</v>
      </c>
      <c r="W202" s="9" t="n">
        <f aca="false">W$18</f>
        <v>38</v>
      </c>
      <c r="X202" s="9" t="n">
        <f aca="false">SUMPRODUCT(K202:N202,T202:W202)/O202</f>
        <v>38.7013021388701</v>
      </c>
      <c r="Y202" s="9" t="n">
        <f aca="false">$Y$18/1000*CURVES!K161+$Y$14</f>
        <v>77.7996327284946</v>
      </c>
      <c r="Z202" s="9" t="n">
        <f aca="false">(O202*X202+P202*Y202)/Q202</f>
        <v>54.5776617143948</v>
      </c>
      <c r="AA202" s="9" t="n">
        <f aca="false">CHOOSE(AA$18,CURVES!F161,CURVES!G161)</f>
        <v>39.5885173533921</v>
      </c>
      <c r="AB202" s="9" t="n">
        <f aca="false">(Q202*Z202+R202*AA202)/H202</f>
        <v>46.1447560132885</v>
      </c>
      <c r="AD202" s="9"/>
      <c r="AH202" s="50" t="n">
        <f aca="false">AH190</f>
        <v>1891.23873243112</v>
      </c>
      <c r="AI202" s="50" t="n">
        <f aca="false">AI190</f>
        <v>0</v>
      </c>
      <c r="AJ202" s="50" t="n">
        <f aca="false">AJ190</f>
        <v>1966.55049263563</v>
      </c>
      <c r="AK202" s="50" t="n">
        <f aca="false">AK190</f>
        <v>526.073305014923</v>
      </c>
      <c r="AL202" s="50" t="n">
        <f aca="false">SUM(AH202:AK202)</f>
        <v>4383.86253008167</v>
      </c>
      <c r="AM202" s="50" t="n">
        <f aca="false">AM190</f>
        <v>2044.22227284946</v>
      </c>
      <c r="AN202" s="50" t="n">
        <f aca="false">AL202+AM202</f>
        <v>6428.08480293113</v>
      </c>
      <c r="AO202" s="8" t="n">
        <f aca="false">I202-AL202-AM202</f>
        <v>8428.33066126919</v>
      </c>
      <c r="AQ202" s="9" t="n">
        <f aca="false">$AQ$18</f>
        <v>43</v>
      </c>
      <c r="AR202" s="9"/>
      <c r="AS202" s="9" t="n">
        <f aca="false">AS$18</f>
        <v>30</v>
      </c>
      <c r="AT202" s="9" t="n">
        <f aca="false">AT$18</f>
        <v>38</v>
      </c>
      <c r="AU202" s="9" t="n">
        <f aca="false">SUMPRODUCT(AH202:AK202,AQ202:AT202)/AL202</f>
        <v>36.5683377989472</v>
      </c>
      <c r="AV202" s="9" t="n">
        <f aca="false">$Y$18/1000*CURVES!O161+$AV$14</f>
        <v>77.3566192880192</v>
      </c>
      <c r="AW202" s="9" t="n">
        <f aca="false">(AL202*AU202+AM202*AV202)/AN202</f>
        <v>49.5395906755729</v>
      </c>
      <c r="AX202" s="9" t="n">
        <f aca="false">CHOOSE(AX$18,CURVES!B161,CURVES!C161)</f>
        <v>44.5790322580645</v>
      </c>
      <c r="AY202" s="9" t="n">
        <f aca="false">(AN202*AW202+AO202*AX202)/I202</f>
        <v>46.7253703336573</v>
      </c>
    </row>
    <row r="203" customFormat="false" ht="12.75" hidden="false" customHeight="false" outlineLevel="0" collapsed="false">
      <c r="A203" s="85" t="n">
        <v>41730</v>
      </c>
      <c r="B203" s="31" t="n">
        <f aca="false">YEAR(A203)</f>
        <v>2014</v>
      </c>
      <c r="C203" s="31" t="n">
        <f aca="false">MONTH(A203)</f>
        <v>4</v>
      </c>
      <c r="D203" s="86" t="n">
        <v>0.061319193814373</v>
      </c>
      <c r="E203" s="87" t="n">
        <f aca="false">(1+D203/2)^(-2*(DATE($B204,$C204,20)-$E$17)/365.25)</f>
        <v>1.98526117055504</v>
      </c>
      <c r="F203" s="87"/>
      <c r="G203" s="8"/>
      <c r="H203" s="8" t="n">
        <f aca="false">(1+$I$17)*H191</f>
        <v>16029.2404417015</v>
      </c>
      <c r="I203" s="8" t="n">
        <f aca="false">(1+$I$17)*I191</f>
        <v>14513.184754237</v>
      </c>
      <c r="K203" s="50" t="n">
        <f aca="false">K191</f>
        <v>2319.84027777778</v>
      </c>
      <c r="L203" s="50" t="n">
        <f aca="false">L191</f>
        <v>1179.16597222222</v>
      </c>
      <c r="M203" s="50" t="n">
        <f aca="false">M191</f>
        <v>811.586111111111</v>
      </c>
      <c r="N203" s="50" t="n">
        <f aca="false">N191</f>
        <v>3.04166666666667</v>
      </c>
      <c r="O203" s="50" t="n">
        <f aca="false">SUM(K203:N203)</f>
        <v>4313.63402777778</v>
      </c>
      <c r="P203" s="50" t="n">
        <f aca="false">P191</f>
        <v>2923.39459068154</v>
      </c>
      <c r="Q203" s="50" t="n">
        <f aca="false">O203+P203</f>
        <v>7237.02861845932</v>
      </c>
      <c r="R203" s="8" t="n">
        <f aca="false">H203-O203-P203</f>
        <v>8792.21182324213</v>
      </c>
      <c r="T203" s="9" t="n">
        <f aca="false">$T$18</f>
        <v>48.72</v>
      </c>
      <c r="U203" s="9" t="n">
        <f aca="false">U$18</f>
        <v>23</v>
      </c>
      <c r="V203" s="9" t="n">
        <f aca="false">V$18</f>
        <v>34</v>
      </c>
      <c r="W203" s="9" t="n">
        <f aca="false">W$18</f>
        <v>38</v>
      </c>
      <c r="X203" s="9" t="n">
        <f aca="false">SUMPRODUCT(K203:N203,T203:W203)/O203</f>
        <v>38.9121899828918</v>
      </c>
      <c r="Y203" s="9" t="n">
        <f aca="false">$Y$18/1000*CURVES!K162+$Y$14</f>
        <v>77.7156327284946</v>
      </c>
      <c r="Z203" s="9" t="n">
        <f aca="false">(O203*X203+P203*Y203)/Q203</f>
        <v>54.5868239525535</v>
      </c>
      <c r="AA203" s="9" t="n">
        <f aca="false">CHOOSE(AA$18,CURVES!F162,CURVES!G162)</f>
        <v>38.6458704225663</v>
      </c>
      <c r="AB203" s="9" t="n">
        <f aca="false">(Q203*Z203+R203*AA203)/H203</f>
        <v>45.8430384556763</v>
      </c>
      <c r="AD203" s="9"/>
      <c r="AH203" s="50" t="n">
        <f aca="false">AH191</f>
        <v>1937.93108490741</v>
      </c>
      <c r="AI203" s="50" t="n">
        <f aca="false">AI191</f>
        <v>0</v>
      </c>
      <c r="AJ203" s="50" t="n">
        <f aca="false">AJ191</f>
        <v>2070.95002093926</v>
      </c>
      <c r="AK203" s="50" t="n">
        <f aca="false">AK191</f>
        <v>513.919329218532</v>
      </c>
      <c r="AL203" s="50" t="n">
        <f aca="false">SUM(AH203:AK203)</f>
        <v>4522.8004350652</v>
      </c>
      <c r="AM203" s="50" t="n">
        <f aca="false">AM191</f>
        <v>2152.99685890411</v>
      </c>
      <c r="AN203" s="50" t="n">
        <f aca="false">AL203+AM203</f>
        <v>6675.79729396931</v>
      </c>
      <c r="AO203" s="8" t="n">
        <f aca="false">I203-AL203-AM203</f>
        <v>7837.38746026771</v>
      </c>
      <c r="AQ203" s="9" t="n">
        <f aca="false">$AQ$18</f>
        <v>43</v>
      </c>
      <c r="AR203" s="9"/>
      <c r="AS203" s="9" t="n">
        <f aca="false">AS$18</f>
        <v>30</v>
      </c>
      <c r="AT203" s="9" t="n">
        <f aca="false">AT$18</f>
        <v>38</v>
      </c>
      <c r="AU203" s="9" t="n">
        <f aca="false">SUMPRODUCT(AH203:AK203,AQ203:AT203)/AL203</f>
        <v>36.4792729987261</v>
      </c>
      <c r="AV203" s="9" t="n">
        <f aca="false">$Y$18/1000*CURVES!O162+$AV$14</f>
        <v>75.4351192880192</v>
      </c>
      <c r="AW203" s="9" t="n">
        <f aca="false">(AL203*AU203+AM203*AV203)/AN203</f>
        <v>49.0428382185038</v>
      </c>
      <c r="AX203" s="9" t="n">
        <f aca="false">CHOOSE(AX$18,CURVES!B162,CURVES!C162)</f>
        <v>42.9311111111111</v>
      </c>
      <c r="AY203" s="9" t="n">
        <f aca="false">(AN203*AW203+AO203*AX203)/I203</f>
        <v>45.7423928508478</v>
      </c>
    </row>
    <row r="204" customFormat="false" ht="12.75" hidden="false" customHeight="false" outlineLevel="0" collapsed="false">
      <c r="A204" s="85" t="n">
        <v>41760</v>
      </c>
      <c r="B204" s="31" t="n">
        <f aca="false">YEAR(A204)</f>
        <v>2014</v>
      </c>
      <c r="C204" s="31" t="n">
        <f aca="false">MONTH(A204)</f>
        <v>5</v>
      </c>
      <c r="D204" s="86" t="n">
        <v>0.061342908895035</v>
      </c>
      <c r="E204" s="87" t="n">
        <f aca="false">(1+D204/2)^(-2*(DATE($B205,$C205,20)-$E$17)/365.25)</f>
        <v>1.97562260587159</v>
      </c>
      <c r="F204" s="87"/>
      <c r="G204" s="8"/>
      <c r="H204" s="8" t="n">
        <f aca="false">(1+$I$17)*H192</f>
        <v>16938.0795920026</v>
      </c>
      <c r="I204" s="8" t="n">
        <f aca="false">(1+$I$17)*I192</f>
        <v>15808.7512040324</v>
      </c>
      <c r="K204" s="50" t="n">
        <f aca="false">K192</f>
        <v>2226.06720430108</v>
      </c>
      <c r="L204" s="50" t="n">
        <f aca="false">L192</f>
        <v>1023.62634408602</v>
      </c>
      <c r="M204" s="50" t="n">
        <f aca="false">M192</f>
        <v>950.165322580645</v>
      </c>
      <c r="N204" s="50" t="n">
        <f aca="false">N192</f>
        <v>3.30510752688172</v>
      </c>
      <c r="O204" s="50" t="n">
        <f aca="false">SUM(K204:N204)</f>
        <v>4203.16397849462</v>
      </c>
      <c r="P204" s="50" t="n">
        <f aca="false">P192</f>
        <v>2831.51050210493</v>
      </c>
      <c r="Q204" s="50" t="n">
        <f aca="false">O204+P204</f>
        <v>7034.67448059955</v>
      </c>
      <c r="R204" s="8" t="n">
        <f aca="false">H204-O204-P204</f>
        <v>9903.40511140303</v>
      </c>
      <c r="T204" s="9" t="n">
        <f aca="false">$T$18</f>
        <v>48.72</v>
      </c>
      <c r="U204" s="9" t="n">
        <f aca="false">U$18</f>
        <v>23</v>
      </c>
      <c r="V204" s="9" t="n">
        <f aca="false">V$18</f>
        <v>34</v>
      </c>
      <c r="W204" s="9" t="n">
        <f aca="false">W$18</f>
        <v>38</v>
      </c>
      <c r="X204" s="9" t="n">
        <f aca="false">SUMPRODUCT(K204:N204,T204:W204)/O204</f>
        <v>39.1201999261949</v>
      </c>
      <c r="Y204" s="9" t="n">
        <f aca="false">$Y$18/1000*CURVES!K163+$Y$14</f>
        <v>77.4531327284946</v>
      </c>
      <c r="Z204" s="9" t="n">
        <f aca="false">(O204*X204+P204*Y204)/Q204</f>
        <v>54.5494997616783</v>
      </c>
      <c r="AA204" s="9" t="n">
        <f aca="false">CHOOSE(AA$18,CURVES!F163,CURVES!G163)</f>
        <v>38.2359388983887</v>
      </c>
      <c r="AB204" s="9" t="n">
        <f aca="false">(Q204*Z204+R204*AA204)/H204</f>
        <v>45.0112400574927</v>
      </c>
      <c r="AD204" s="9"/>
      <c r="AH204" s="50" t="n">
        <f aca="false">AH192</f>
        <v>1895.25910320262</v>
      </c>
      <c r="AI204" s="50" t="n">
        <f aca="false">AI192</f>
        <v>0</v>
      </c>
      <c r="AJ204" s="50" t="n">
        <f aca="false">AJ192</f>
        <v>1877.63033247346</v>
      </c>
      <c r="AK204" s="50" t="n">
        <f aca="false">AK192</f>
        <v>570.53181663935</v>
      </c>
      <c r="AL204" s="50" t="n">
        <f aca="false">SUM(AH204:AK204)</f>
        <v>4343.42125231544</v>
      </c>
      <c r="AM204" s="50" t="n">
        <f aca="false">AM192</f>
        <v>2186.84183198925</v>
      </c>
      <c r="AN204" s="50" t="n">
        <f aca="false">AL204+AM204</f>
        <v>6530.26308430469</v>
      </c>
      <c r="AO204" s="8" t="n">
        <f aca="false">I204-AL204-AM204</f>
        <v>9278.48811972769</v>
      </c>
      <c r="AQ204" s="9" t="n">
        <f aca="false">$AQ$18</f>
        <v>43</v>
      </c>
      <c r="AR204" s="9"/>
      <c r="AS204" s="9" t="n">
        <f aca="false">AS$18</f>
        <v>30</v>
      </c>
      <c r="AT204" s="9" t="n">
        <f aca="false">AT$18</f>
        <v>38</v>
      </c>
      <c r="AU204" s="9" t="n">
        <f aca="false">SUMPRODUCT(AH204:AK204,AQ204:AT204)/AL204</f>
        <v>36.7234148332219</v>
      </c>
      <c r="AV204" s="9" t="n">
        <f aca="false">$Y$18/1000*CURVES!O163+$AV$14</f>
        <v>75.1726192880192</v>
      </c>
      <c r="AW204" s="9" t="n">
        <f aca="false">(AL204*AU204+AM204*AV204)/AN204</f>
        <v>49.5992098238629</v>
      </c>
      <c r="AX204" s="9" t="n">
        <f aca="false">CHOOSE(AX$18,CURVES!B163,CURVES!C163)</f>
        <v>42.7596774193548</v>
      </c>
      <c r="AY204" s="9" t="n">
        <f aca="false">(AN204*AW204+AO204*AX204)/I204</f>
        <v>45.5849446019816</v>
      </c>
    </row>
    <row r="205" customFormat="false" ht="12.75" hidden="false" customHeight="false" outlineLevel="0" collapsed="false">
      <c r="A205" s="85" t="n">
        <v>41791</v>
      </c>
      <c r="B205" s="31" t="n">
        <f aca="false">YEAR(A205)</f>
        <v>2014</v>
      </c>
      <c r="C205" s="31" t="n">
        <f aca="false">MONTH(A205)</f>
        <v>6</v>
      </c>
      <c r="D205" s="86" t="n">
        <v>0.061367414478583</v>
      </c>
      <c r="E205" s="87" t="n">
        <f aca="false">(1+D205/2)^(-2*(DATE($B206,$C206,20)-$E$17)/365.25)</f>
        <v>1.96636540104146</v>
      </c>
      <c r="F205" s="87"/>
      <c r="G205" s="8"/>
      <c r="H205" s="8" t="n">
        <f aca="false">(1+$I$17)*H193</f>
        <v>18718.6441689778</v>
      </c>
      <c r="I205" s="8" t="n">
        <f aca="false">(1+$I$17)*I193</f>
        <v>17826.3640970387</v>
      </c>
      <c r="K205" s="50" t="n">
        <f aca="false">K193</f>
        <v>2252.13333333333</v>
      </c>
      <c r="L205" s="50" t="n">
        <f aca="false">L193</f>
        <v>1398.39166666667</v>
      </c>
      <c r="M205" s="50" t="n">
        <f aca="false">M193</f>
        <v>957.040277777778</v>
      </c>
      <c r="N205" s="50" t="n">
        <f aca="false">N193</f>
        <v>3.52638888888889</v>
      </c>
      <c r="O205" s="50" t="n">
        <f aca="false">SUM(K205:N205)</f>
        <v>4611.09166666667</v>
      </c>
      <c r="P205" s="50" t="n">
        <f aca="false">P193</f>
        <v>3175.74117813466</v>
      </c>
      <c r="Q205" s="50" t="n">
        <f aca="false">O205+P205</f>
        <v>7786.83284480132</v>
      </c>
      <c r="R205" s="8" t="n">
        <f aca="false">H205-O205-P205</f>
        <v>10931.8113241765</v>
      </c>
      <c r="T205" s="9" t="n">
        <f aca="false">$T$18</f>
        <v>48.72</v>
      </c>
      <c r="U205" s="9" t="n">
        <f aca="false">U$18</f>
        <v>23</v>
      </c>
      <c r="V205" s="9" t="n">
        <f aca="false">V$18</f>
        <v>34</v>
      </c>
      <c r="W205" s="9" t="n">
        <f aca="false">W$18</f>
        <v>38</v>
      </c>
      <c r="X205" s="9" t="n">
        <f aca="false">SUMPRODUCT(K205:N205,T205:W205)/O205</f>
        <v>37.8566138290945</v>
      </c>
      <c r="Y205" s="9" t="n">
        <f aca="false">$Y$18/1000*CURVES!K164+$Y$14</f>
        <v>77.7576327284946</v>
      </c>
      <c r="Z205" s="9" t="n">
        <f aca="false">(O205*X205+P205*Y205)/Q205</f>
        <v>54.1296366734146</v>
      </c>
      <c r="AA205" s="9" t="n">
        <f aca="false">CHOOSE(AA$18,CURVES!F164,CURVES!G164)</f>
        <v>48.7482020551406</v>
      </c>
      <c r="AB205" s="9" t="n">
        <f aca="false">(Q205*Z205+R205*AA205)/H205</f>
        <v>50.9868434577682</v>
      </c>
      <c r="AD205" s="9"/>
      <c r="AH205" s="50" t="n">
        <f aca="false">AH193</f>
        <v>1881.37055634004</v>
      </c>
      <c r="AI205" s="50" t="n">
        <f aca="false">AI193</f>
        <v>0</v>
      </c>
      <c r="AJ205" s="50" t="n">
        <f aca="false">AJ193</f>
        <v>1162.16168617347</v>
      </c>
      <c r="AK205" s="50" t="n">
        <f aca="false">AK193</f>
        <v>631.240712103584</v>
      </c>
      <c r="AL205" s="50" t="n">
        <f aca="false">SUM(AH205:AK205)</f>
        <v>3674.77295461709</v>
      </c>
      <c r="AM205" s="50" t="n">
        <f aca="false">AM193</f>
        <v>2754.04614109589</v>
      </c>
      <c r="AN205" s="50" t="n">
        <f aca="false">AL205+AM205</f>
        <v>6428.81909571298</v>
      </c>
      <c r="AO205" s="8" t="n">
        <f aca="false">I205-AL205-AM205</f>
        <v>11397.5450013257</v>
      </c>
      <c r="AQ205" s="9" t="n">
        <f aca="false">$AQ$18</f>
        <v>43</v>
      </c>
      <c r="AR205" s="9"/>
      <c r="AS205" s="9" t="n">
        <f aca="false">AS$18</f>
        <v>30</v>
      </c>
      <c r="AT205" s="9" t="n">
        <f aca="false">AT$18</f>
        <v>38</v>
      </c>
      <c r="AU205" s="9" t="n">
        <f aca="false">SUMPRODUCT(AH205:AK205,AQ205:AT205)/AL205</f>
        <v>38.0298138942638</v>
      </c>
      <c r="AV205" s="9" t="n">
        <f aca="false">$Y$18/1000*CURVES!O164+$AV$14</f>
        <v>75.4771192880192</v>
      </c>
      <c r="AW205" s="9" t="n">
        <f aca="false">(AL205*AU205+AM205*AV205)/AN205</f>
        <v>54.0718902660945</v>
      </c>
      <c r="AX205" s="9" t="n">
        <f aca="false">CHOOSE(AX$18,CURVES!B164,CURVES!C164)</f>
        <v>47.6444444444444</v>
      </c>
      <c r="AY205" s="9" t="n">
        <f aca="false">(AN205*AW205+AO205*AX205)/I205</f>
        <v>49.9624093536066</v>
      </c>
    </row>
    <row r="206" customFormat="false" ht="12.75" hidden="false" customHeight="false" outlineLevel="0" collapsed="false">
      <c r="A206" s="85" t="n">
        <v>41821</v>
      </c>
      <c r="B206" s="31" t="n">
        <f aca="false">YEAR(A206)</f>
        <v>2014</v>
      </c>
      <c r="C206" s="31" t="n">
        <f aca="false">MONTH(A206)</f>
        <v>7</v>
      </c>
      <c r="D206" s="86" t="n">
        <v>0.061391129559625</v>
      </c>
      <c r="E206" s="87" t="n">
        <f aca="false">(1+D206/2)^(-2*(DATE($B207,$C207,20)-$E$17)/365.25)</f>
        <v>1.95680327496417</v>
      </c>
      <c r="F206" s="87"/>
      <c r="G206" s="8"/>
      <c r="H206" s="8" t="n">
        <f aca="false">(1+$I$17)*H194</f>
        <v>18475.164317087</v>
      </c>
      <c r="I206" s="8" t="n">
        <f aca="false">(1+$I$17)*I194</f>
        <v>16922.4022287614</v>
      </c>
      <c r="K206" s="50" t="n">
        <f aca="false">K194</f>
        <v>2248.45698924731</v>
      </c>
      <c r="L206" s="50" t="n">
        <f aca="false">L194</f>
        <v>1358.32258064516</v>
      </c>
      <c r="M206" s="50" t="n">
        <f aca="false">M194</f>
        <v>653.551075268817</v>
      </c>
      <c r="N206" s="50" t="n">
        <f aca="false">N194</f>
        <v>3.83736559139785</v>
      </c>
      <c r="O206" s="50" t="n">
        <f aca="false">SUM(K206:N206)</f>
        <v>4264.16801075269</v>
      </c>
      <c r="P206" s="50" t="n">
        <f aca="false">P194</f>
        <v>3349.38956238808</v>
      </c>
      <c r="Q206" s="50" t="n">
        <f aca="false">O206+P206</f>
        <v>7613.55757314076</v>
      </c>
      <c r="R206" s="8" t="n">
        <f aca="false">H206-O206-P206</f>
        <v>10861.6067439462</v>
      </c>
      <c r="T206" s="9" t="n">
        <f aca="false">$T$18</f>
        <v>48.72</v>
      </c>
      <c r="U206" s="9" t="n">
        <f aca="false">U$18</f>
        <v>23</v>
      </c>
      <c r="V206" s="9" t="n">
        <f aca="false">V$18</f>
        <v>34</v>
      </c>
      <c r="W206" s="9" t="n">
        <f aca="false">W$18</f>
        <v>38</v>
      </c>
      <c r="X206" s="9" t="n">
        <f aca="false">SUMPRODUCT(K206:N206,T206:W206)/O206</f>
        <v>38.2613442789234</v>
      </c>
      <c r="Y206" s="9" t="n">
        <f aca="false">$Y$18/1000*CURVES!K165+$Y$14</f>
        <v>78.0726327284946</v>
      </c>
      <c r="Z206" s="9" t="n">
        <f aca="false">(O206*X206+P206*Y206)/Q206</f>
        <v>55.7753004967928</v>
      </c>
      <c r="AA206" s="9" t="n">
        <f aca="false">CHOOSE(AA$18,CURVES!F165,CURVES!G165)</f>
        <v>60.1165961616808</v>
      </c>
      <c r="AB206" s="9" t="n">
        <f aca="false">(Q206*Z206+R206*AA206)/H206</f>
        <v>58.3275617628862</v>
      </c>
      <c r="AD206" s="9"/>
      <c r="AH206" s="50" t="n">
        <f aca="false">AH194</f>
        <v>1914.32162011861</v>
      </c>
      <c r="AI206" s="50" t="n">
        <f aca="false">AI194</f>
        <v>0</v>
      </c>
      <c r="AJ206" s="50" t="n">
        <f aca="false">AJ194</f>
        <v>1193.33197430598</v>
      </c>
      <c r="AK206" s="50" t="n">
        <f aca="false">AK194</f>
        <v>610.723058442111</v>
      </c>
      <c r="AL206" s="50" t="n">
        <f aca="false">SUM(AH206:AK206)</f>
        <v>3718.37665286669</v>
      </c>
      <c r="AM206" s="50" t="n">
        <f aca="false">AM194</f>
        <v>2586.73186021505</v>
      </c>
      <c r="AN206" s="50" t="n">
        <f aca="false">AL206+AM206</f>
        <v>6305.10851308175</v>
      </c>
      <c r="AO206" s="8" t="n">
        <f aca="false">I206-AL206-AM206</f>
        <v>10617.2937156797</v>
      </c>
      <c r="AQ206" s="9" t="n">
        <f aca="false">$AQ$18</f>
        <v>43</v>
      </c>
      <c r="AR206" s="9"/>
      <c r="AS206" s="9" t="n">
        <f aca="false">AS$18</f>
        <v>30</v>
      </c>
      <c r="AT206" s="9" t="n">
        <f aca="false">AT$18</f>
        <v>38</v>
      </c>
      <c r="AU206" s="9" t="n">
        <f aca="false">SUMPRODUCT(AH206:AK206,AQ206:AT206)/AL206</f>
        <v>38.0067105375476</v>
      </c>
      <c r="AV206" s="9" t="n">
        <f aca="false">$Y$18/1000*CURVES!O165+$AV$14</f>
        <v>75.7921192880192</v>
      </c>
      <c r="AW206" s="9" t="n">
        <f aca="false">(AL206*AU206+AM206*AV206)/AN206</f>
        <v>53.5085405953971</v>
      </c>
      <c r="AX206" s="9" t="n">
        <f aca="false">CHOOSE(AX$18,CURVES!B165,CURVES!C165)</f>
        <v>60.0903225806452</v>
      </c>
      <c r="AY206" s="9" t="n">
        <f aca="false">(AN206*AW206+AO206*AX206)/I206</f>
        <v>57.6380200608585</v>
      </c>
    </row>
    <row r="207" customFormat="false" ht="12.75" hidden="false" customHeight="false" outlineLevel="0" collapsed="false">
      <c r="A207" s="85" t="n">
        <v>41852</v>
      </c>
      <c r="B207" s="31" t="n">
        <f aca="false">YEAR(A207)</f>
        <v>2014</v>
      </c>
      <c r="C207" s="31" t="n">
        <f aca="false">MONTH(A207)</f>
        <v>8</v>
      </c>
      <c r="D207" s="86" t="n">
        <v>0.061415635143565</v>
      </c>
      <c r="E207" s="87" t="n">
        <f aca="false">(1+D207/2)^(-2*(DATE($B208,$C208,20)-$E$17)/365.25)</f>
        <v>1.94729649062211</v>
      </c>
      <c r="F207" s="87"/>
      <c r="G207" s="8"/>
      <c r="H207" s="8" t="n">
        <f aca="false">(1+$I$17)*H195</f>
        <v>19812.2458031042</v>
      </c>
      <c r="I207" s="8" t="n">
        <f aca="false">(1+$I$17)*I195</f>
        <v>17551.33122707</v>
      </c>
      <c r="K207" s="50" t="n">
        <f aca="false">K195</f>
        <v>2226.06586021505</v>
      </c>
      <c r="L207" s="50" t="n">
        <f aca="false">L195</f>
        <v>1361.98924731183</v>
      </c>
      <c r="M207" s="50" t="n">
        <f aca="false">M195</f>
        <v>483.364247311828</v>
      </c>
      <c r="N207" s="50" t="n">
        <f aca="false">N195</f>
        <v>3.9247311827957</v>
      </c>
      <c r="O207" s="50" t="n">
        <f aca="false">SUM(K207:N207)</f>
        <v>4075.34408602151</v>
      </c>
      <c r="P207" s="50" t="n">
        <f aca="false">P195</f>
        <v>3426.25292884001</v>
      </c>
      <c r="Q207" s="50" t="n">
        <f aca="false">O207+P207</f>
        <v>7501.59701486152</v>
      </c>
      <c r="R207" s="8" t="n">
        <f aca="false">H207-O207-P207</f>
        <v>12310.6487882427</v>
      </c>
      <c r="T207" s="9" t="n">
        <f aca="false">$T$18</f>
        <v>48.72</v>
      </c>
      <c r="U207" s="9" t="n">
        <f aca="false">U$18</f>
        <v>23</v>
      </c>
      <c r="V207" s="9" t="n">
        <f aca="false">V$18</f>
        <v>34</v>
      </c>
      <c r="W207" s="9" t="n">
        <f aca="false">W$18</f>
        <v>38</v>
      </c>
      <c r="X207" s="9" t="n">
        <f aca="false">SUMPRODUCT(K207:N207,T207:W207)/O207</f>
        <v>38.3680990588564</v>
      </c>
      <c r="Y207" s="9" t="n">
        <f aca="false">$Y$18/1000*CURVES!K166+$Y$14</f>
        <v>78.2826327284946</v>
      </c>
      <c r="Z207" s="9" t="n">
        <f aca="false">(O207*X207+P207*Y207)/Q207</f>
        <v>56.5985222098134</v>
      </c>
      <c r="AA207" s="9" t="n">
        <f aca="false">CHOOSE(AA$18,CURVES!F166,CURVES!G166)</f>
        <v>62.961195814308</v>
      </c>
      <c r="AB207" s="9" t="n">
        <f aca="false">(Q207*Z207+R207*AA207)/H207</f>
        <v>60.5520689645625</v>
      </c>
      <c r="AD207" s="9"/>
      <c r="AH207" s="50" t="n">
        <f aca="false">AH195</f>
        <v>1859.59450264151</v>
      </c>
      <c r="AI207" s="50" t="n">
        <f aca="false">AI195</f>
        <v>0</v>
      </c>
      <c r="AJ207" s="50" t="n">
        <f aca="false">AJ195</f>
        <v>1584.50880376937</v>
      </c>
      <c r="AK207" s="50" t="n">
        <f aca="false">AK195</f>
        <v>621.501656862376</v>
      </c>
      <c r="AL207" s="50" t="n">
        <f aca="false">SUM(AH207:AK207)</f>
        <v>4065.60496327325</v>
      </c>
      <c r="AM207" s="50" t="n">
        <f aca="false">AM195</f>
        <v>2208.28901612903</v>
      </c>
      <c r="AN207" s="50" t="n">
        <f aca="false">AL207+AM207</f>
        <v>6273.89397940229</v>
      </c>
      <c r="AO207" s="8" t="n">
        <f aca="false">I207-AL207-AM207</f>
        <v>11277.4372476677</v>
      </c>
      <c r="AQ207" s="9" t="n">
        <f aca="false">$AQ$18</f>
        <v>43</v>
      </c>
      <c r="AR207" s="9"/>
      <c r="AS207" s="9" t="n">
        <f aca="false">AS$18</f>
        <v>30</v>
      </c>
      <c r="AT207" s="9" t="n">
        <f aca="false">AT$18</f>
        <v>38</v>
      </c>
      <c r="AU207" s="9" t="n">
        <f aca="false">SUMPRODUCT(AH207:AK207,AQ207:AT207)/AL207</f>
        <v>37.1691032583186</v>
      </c>
      <c r="AV207" s="9" t="n">
        <f aca="false">$Y$18/1000*CURVES!O166+$AV$14</f>
        <v>76.0021192880191</v>
      </c>
      <c r="AW207" s="9" t="n">
        <f aca="false">(AL207*AU207+AM207*AV207)/AN207</f>
        <v>50.8375718430747</v>
      </c>
      <c r="AX207" s="9" t="n">
        <f aca="false">CHOOSE(AX$18,CURVES!B166,CURVES!C166)</f>
        <v>68.6306451612903</v>
      </c>
      <c r="AY207" s="9" t="n">
        <f aca="false">(AN207*AW207+AO207*AX207)/I207</f>
        <v>62.2703381212156</v>
      </c>
    </row>
    <row r="208" customFormat="false" ht="12.75" hidden="false" customHeight="false" outlineLevel="0" collapsed="false">
      <c r="A208" s="85" t="n">
        <v>41883</v>
      </c>
      <c r="B208" s="31" t="n">
        <f aca="false">YEAR(A208)</f>
        <v>2014</v>
      </c>
      <c r="C208" s="31" t="n">
        <f aca="false">MONTH(A208)</f>
        <v>9</v>
      </c>
      <c r="D208" s="86" t="n">
        <v>0.061440140727704</v>
      </c>
      <c r="E208" s="87" t="n">
        <f aca="false">(1+D208/2)^(-2*(DATE($B209,$C209,20)-$E$17)/365.25)</f>
        <v>1.93814915618073</v>
      </c>
      <c r="F208" s="87"/>
      <c r="G208" s="8"/>
      <c r="H208" s="8" t="n">
        <f aca="false">(1+$I$17)*H196</f>
        <v>17946.1630546877</v>
      </c>
      <c r="I208" s="8" t="n">
        <f aca="false">(1+$I$17)*I196</f>
        <v>16532.2271390752</v>
      </c>
      <c r="K208" s="50" t="n">
        <f aca="false">K196</f>
        <v>2263.63333333333</v>
      </c>
      <c r="L208" s="50" t="n">
        <f aca="false">L196</f>
        <v>1380.73611111111</v>
      </c>
      <c r="M208" s="50" t="n">
        <f aca="false">M196</f>
        <v>542.602777777778</v>
      </c>
      <c r="N208" s="50" t="n">
        <f aca="false">N196</f>
        <v>3.41944444444444</v>
      </c>
      <c r="O208" s="50" t="n">
        <f aca="false">SUM(K208:N208)</f>
        <v>4190.39166666667</v>
      </c>
      <c r="P208" s="50" t="n">
        <f aca="false">P196</f>
        <v>3348.13393235473</v>
      </c>
      <c r="Q208" s="50" t="n">
        <f aca="false">O208+P208</f>
        <v>7538.52559902139</v>
      </c>
      <c r="R208" s="8" t="n">
        <f aca="false">H208-O208-P208</f>
        <v>10407.6374556663</v>
      </c>
      <c r="T208" s="9" t="n">
        <f aca="false">$T$18</f>
        <v>48.72</v>
      </c>
      <c r="U208" s="9" t="n">
        <f aca="false">U$18</f>
        <v>23</v>
      </c>
      <c r="V208" s="9" t="n">
        <f aca="false">V$18</f>
        <v>34</v>
      </c>
      <c r="W208" s="9" t="n">
        <f aca="false">W$18</f>
        <v>38</v>
      </c>
      <c r="X208" s="9" t="n">
        <f aca="false">SUMPRODUCT(K208:N208,T208:W208)/O208</f>
        <v>38.3304456159959</v>
      </c>
      <c r="Y208" s="9" t="n">
        <f aca="false">$Y$18/1000*CURVES!K167+$Y$14</f>
        <v>78.5031327284946</v>
      </c>
      <c r="Z208" s="9" t="n">
        <f aca="false">(O208*X208+P208*Y208)/Q208</f>
        <v>56.172599908433</v>
      </c>
      <c r="AA208" s="9" t="n">
        <f aca="false">CHOOSE(AA$18,CURVES!F167,CURVES!G167)</f>
        <v>57.5220829960856</v>
      </c>
      <c r="AB208" s="9" t="n">
        <f aca="false">(Q208*Z208+R208*AA208)/H208</f>
        <v>56.9552145924767</v>
      </c>
      <c r="AD208" s="9"/>
      <c r="AH208" s="50" t="n">
        <f aca="false">AH196</f>
        <v>1890.97734163897</v>
      </c>
      <c r="AI208" s="50" t="n">
        <f aca="false">AI196</f>
        <v>0</v>
      </c>
      <c r="AJ208" s="50" t="n">
        <f aca="false">AJ196</f>
        <v>765.820605438213</v>
      </c>
      <c r="AK208" s="50" t="n">
        <f aca="false">AK196</f>
        <v>570.922545092046</v>
      </c>
      <c r="AL208" s="50" t="n">
        <f aca="false">SUM(AH208:AK208)</f>
        <v>3227.72049216923</v>
      </c>
      <c r="AM208" s="50" t="n">
        <f aca="false">AM196</f>
        <v>2371.57693150685</v>
      </c>
      <c r="AN208" s="50" t="n">
        <f aca="false">AL208+AM208</f>
        <v>5599.29742367608</v>
      </c>
      <c r="AO208" s="8" t="n">
        <f aca="false">I208-AL208-AM208</f>
        <v>10932.9297153991</v>
      </c>
      <c r="AQ208" s="9" t="n">
        <f aca="false">$AQ$18</f>
        <v>43</v>
      </c>
      <c r="AR208" s="9"/>
      <c r="AS208" s="9" t="n">
        <f aca="false">AS$18</f>
        <v>30</v>
      </c>
      <c r="AT208" s="9" t="n">
        <f aca="false">AT$18</f>
        <v>38</v>
      </c>
      <c r="AU208" s="9" t="n">
        <f aca="false">SUMPRODUCT(AH208:AK208,AQ208:AT208)/AL208</f>
        <v>39.0311679319086</v>
      </c>
      <c r="AV208" s="9" t="n">
        <f aca="false">$Y$18/1000*CURVES!O167+$AV$14</f>
        <v>76.2226192880192</v>
      </c>
      <c r="AW208" s="9" t="n">
        <f aca="false">(AL208*AU208+AM208*AV208)/AN208</f>
        <v>54.7835706730911</v>
      </c>
      <c r="AX208" s="9" t="n">
        <f aca="false">CHOOSE(AX$18,CURVES!B167,CURVES!C167)</f>
        <v>60.7444444444444</v>
      </c>
      <c r="AY208" s="9" t="n">
        <f aca="false">(AN208*AW208+AO208*AX208)/I208</f>
        <v>58.7255570392558</v>
      </c>
    </row>
    <row r="209" customFormat="false" ht="12.75" hidden="false" customHeight="false" outlineLevel="0" collapsed="false">
      <c r="A209" s="85" t="n">
        <v>41913</v>
      </c>
      <c r="B209" s="31" t="n">
        <f aca="false">YEAR(A209)</f>
        <v>2014</v>
      </c>
      <c r="C209" s="31" t="n">
        <f aca="false">MONTH(A209)</f>
        <v>10</v>
      </c>
      <c r="D209" s="86" t="n">
        <v>0.061463855809319</v>
      </c>
      <c r="E209" s="87" t="n">
        <f aca="false">(1+D209/2)^(-2*(DATE($B210,$C210,20)-$E$17)/365.25)</f>
        <v>1.9287014959482</v>
      </c>
      <c r="F209" s="87"/>
      <c r="G209" s="8"/>
      <c r="H209" s="8" t="n">
        <f aca="false">(1+$I$17)*H197</f>
        <v>16671.9668271774</v>
      </c>
      <c r="I209" s="8" t="n">
        <f aca="false">(1+$I$17)*I197</f>
        <v>14309.8351307428</v>
      </c>
      <c r="K209" s="50" t="n">
        <f aca="false">K197</f>
        <v>2069.29166666667</v>
      </c>
      <c r="L209" s="50" t="n">
        <f aca="false">L197</f>
        <v>1227.52419354839</v>
      </c>
      <c r="M209" s="50" t="n">
        <f aca="false">M197</f>
        <v>369.340053763441</v>
      </c>
      <c r="N209" s="50" t="n">
        <f aca="false">N197</f>
        <v>3.27822580645161</v>
      </c>
      <c r="O209" s="50" t="n">
        <f aca="false">SUM(K209:N209)</f>
        <v>3669.43413978495</v>
      </c>
      <c r="P209" s="50" t="n">
        <f aca="false">P197</f>
        <v>3171.07549498463</v>
      </c>
      <c r="Q209" s="50" t="n">
        <f aca="false">O209+P209</f>
        <v>6840.50963476957</v>
      </c>
      <c r="R209" s="8" t="n">
        <f aca="false">H209-O209-P209</f>
        <v>9831.45719240788</v>
      </c>
      <c r="T209" s="9" t="n">
        <f aca="false">$T$18</f>
        <v>48.72</v>
      </c>
      <c r="U209" s="9" t="n">
        <f aca="false">U$18</f>
        <v>23</v>
      </c>
      <c r="V209" s="9" t="n">
        <f aca="false">V$18</f>
        <v>34</v>
      </c>
      <c r="W209" s="9" t="n">
        <f aca="false">W$18</f>
        <v>38</v>
      </c>
      <c r="X209" s="9" t="n">
        <f aca="false">SUMPRODUCT(K209:N209,T209:W209)/O209</f>
        <v>38.624778497461</v>
      </c>
      <c r="Y209" s="9" t="n">
        <f aca="false">$Y$18/1000*CURVES!K168+$Y$14</f>
        <v>78.8181327284946</v>
      </c>
      <c r="Z209" s="9" t="n">
        <f aca="false">(O209*X209+P209*Y209)/Q209</f>
        <v>57.2573318404782</v>
      </c>
      <c r="AA209" s="9" t="n">
        <f aca="false">CHOOSE(AA$18,CURVES!F168,CURVES!G168)</f>
        <v>47.0092721414089</v>
      </c>
      <c r="AB209" s="9" t="n">
        <f aca="false">(Q209*Z209+R209*AA209)/H209</f>
        <v>51.2140520474547</v>
      </c>
      <c r="AD209" s="9"/>
      <c r="AH209" s="50" t="n">
        <f aca="false">AH197</f>
        <v>1913.83994918903</v>
      </c>
      <c r="AI209" s="50" t="n">
        <f aca="false">AI197</f>
        <v>0</v>
      </c>
      <c r="AJ209" s="50" t="n">
        <f aca="false">AJ197</f>
        <v>1075.38011608834</v>
      </c>
      <c r="AK209" s="50" t="n">
        <f aca="false">AK197</f>
        <v>576.385560502926</v>
      </c>
      <c r="AL209" s="50" t="n">
        <f aca="false">SUM(AH209:AK209)</f>
        <v>3565.6056257803</v>
      </c>
      <c r="AM209" s="50" t="n">
        <f aca="false">AM197</f>
        <v>2259.71325</v>
      </c>
      <c r="AN209" s="50" t="n">
        <f aca="false">AL209+AM209</f>
        <v>5825.3188757803</v>
      </c>
      <c r="AO209" s="8" t="n">
        <f aca="false">I209-AL209-AM209</f>
        <v>8484.51625496254</v>
      </c>
      <c r="AQ209" s="9" t="n">
        <f aca="false">$AQ$18</f>
        <v>43</v>
      </c>
      <c r="AR209" s="9"/>
      <c r="AS209" s="9" t="n">
        <f aca="false">AS$18</f>
        <v>30</v>
      </c>
      <c r="AT209" s="9" t="n">
        <f aca="false">AT$18</f>
        <v>38</v>
      </c>
      <c r="AU209" s="9" t="n">
        <f aca="false">SUMPRODUCT(AH209:AK209,AQ209:AT209)/AL209</f>
        <v>38.2709662589303</v>
      </c>
      <c r="AV209" s="9" t="n">
        <f aca="false">$Y$18/1000*CURVES!O168+$AV$14</f>
        <v>76.5376192880192</v>
      </c>
      <c r="AW209" s="9" t="n">
        <f aca="false">(AL209*AU209+AM209*AV209)/AN209</f>
        <v>53.1150743201224</v>
      </c>
      <c r="AX209" s="9" t="n">
        <f aca="false">CHOOSE(AX$18,CURVES!B168,CURVES!C168)</f>
        <v>47.3451612903226</v>
      </c>
      <c r="AY209" s="9" t="n">
        <f aca="false">(AN209*AW209+AO209*AX209)/I209</f>
        <v>49.6940061915397</v>
      </c>
    </row>
    <row r="210" customFormat="false" ht="12.75" hidden="false" customHeight="false" outlineLevel="0" collapsed="false">
      <c r="A210" s="85" t="n">
        <v>41944</v>
      </c>
      <c r="B210" s="31" t="n">
        <f aca="false">YEAR(A210)</f>
        <v>2014</v>
      </c>
      <c r="C210" s="31" t="n">
        <f aca="false">MONTH(A210)</f>
        <v>11</v>
      </c>
      <c r="D210" s="86" t="n">
        <v>0.06148836139385</v>
      </c>
      <c r="E210" s="87" t="n">
        <f aca="false">(1+D210/2)^(-2*(DATE($B211,$C211,20)-$E$17)/365.25)</f>
        <v>1.91962650049974</v>
      </c>
      <c r="F210" s="87"/>
      <c r="G210" s="8"/>
      <c r="H210" s="8" t="n">
        <f aca="false">(1+$I$17)*H198</f>
        <v>16308.4768317117</v>
      </c>
      <c r="I210" s="8" t="n">
        <f aca="false">(1+$I$17)*I198</f>
        <v>14527.0458435387</v>
      </c>
      <c r="K210" s="50" t="n">
        <f aca="false">K198</f>
        <v>2201.15833333333</v>
      </c>
      <c r="L210" s="50" t="n">
        <f aca="false">L198</f>
        <v>1270.02777777778</v>
      </c>
      <c r="M210" s="50" t="n">
        <f aca="false">M198</f>
        <v>241.311111111111</v>
      </c>
      <c r="N210" s="50" t="n">
        <f aca="false">N198</f>
        <v>3.11944444444444</v>
      </c>
      <c r="O210" s="50" t="n">
        <f aca="false">SUM(K210:N210)</f>
        <v>3715.61666666667</v>
      </c>
      <c r="P210" s="50" t="n">
        <f aca="false">P198</f>
        <v>3029.03315829808</v>
      </c>
      <c r="Q210" s="50" t="n">
        <f aca="false">O210+P210</f>
        <v>6744.64982496475</v>
      </c>
      <c r="R210" s="8" t="n">
        <f aca="false">H210-O210-P210</f>
        <v>9563.82700674698</v>
      </c>
      <c r="T210" s="9" t="n">
        <f aca="false">$T$18</f>
        <v>48.72</v>
      </c>
      <c r="U210" s="9" t="n">
        <f aca="false">U$18</f>
        <v>23</v>
      </c>
      <c r="V210" s="9" t="n">
        <f aca="false">V$18</f>
        <v>34</v>
      </c>
      <c r="W210" s="9" t="n">
        <f aca="false">W$18</f>
        <v>38</v>
      </c>
      <c r="X210" s="9" t="n">
        <f aca="false">SUMPRODUCT(K210:N210,T210:W210)/O210</f>
        <v>38.9637044247179</v>
      </c>
      <c r="Y210" s="9" t="n">
        <f aca="false">$Y$18/1000*CURVES!K169+$Y$14</f>
        <v>78.4506327284946</v>
      </c>
      <c r="Z210" s="9" t="n">
        <f aca="false">(O210*X210+P210*Y210)/Q210</f>
        <v>56.6973478688538</v>
      </c>
      <c r="AA210" s="9" t="n">
        <f aca="false">CHOOSE(AA$18,CURVES!F169,CURVES!G169)</f>
        <v>38.9563779871674</v>
      </c>
      <c r="AB210" s="9" t="n">
        <f aca="false">(Q210*Z210+R210*AA210)/H210</f>
        <v>46.293459839873</v>
      </c>
      <c r="AD210" s="9"/>
      <c r="AH210" s="50" t="n">
        <f aca="false">AH198</f>
        <v>1838.78743628671</v>
      </c>
      <c r="AI210" s="50" t="n">
        <f aca="false">AI198</f>
        <v>0</v>
      </c>
      <c r="AJ210" s="50" t="n">
        <f aca="false">AJ198</f>
        <v>1347.87918472112</v>
      </c>
      <c r="AK210" s="50" t="n">
        <f aca="false">AK198</f>
        <v>499.439112514422</v>
      </c>
      <c r="AL210" s="50" t="n">
        <f aca="false">SUM(AH210:AK210)</f>
        <v>3686.10573352225</v>
      </c>
      <c r="AM210" s="50" t="n">
        <f aca="false">AM198</f>
        <v>2451.23764109589</v>
      </c>
      <c r="AN210" s="50" t="n">
        <f aca="false">AL210+AM210</f>
        <v>6137.34337461814</v>
      </c>
      <c r="AO210" s="8" t="n">
        <f aca="false">I210-AL210-AM210</f>
        <v>8389.70246892061</v>
      </c>
      <c r="AQ210" s="9" t="n">
        <f aca="false">$AQ$18</f>
        <v>43</v>
      </c>
      <c r="AR210" s="9"/>
      <c r="AS210" s="9" t="n">
        <f aca="false">AS$18</f>
        <v>30</v>
      </c>
      <c r="AT210" s="9" t="n">
        <f aca="false">AT$18</f>
        <v>38</v>
      </c>
      <c r="AU210" s="9" t="n">
        <f aca="false">SUMPRODUCT(AH210:AK210,AQ210:AT210)/AL210</f>
        <v>37.5688956282822</v>
      </c>
      <c r="AV210" s="9" t="n">
        <f aca="false">$Y$18/1000*CURVES!O169+$AV$14</f>
        <v>78.0076192880192</v>
      </c>
      <c r="AW210" s="9" t="n">
        <f aca="false">(AL210*AU210+AM210*AV210)/AN210</f>
        <v>53.7200078509692</v>
      </c>
      <c r="AX210" s="9" t="n">
        <f aca="false">CHOOSE(AX$18,CURVES!B169,CURVES!C169)</f>
        <v>45.0333333333333</v>
      </c>
      <c r="AY210" s="9" t="n">
        <f aca="false">(AN210*AW210+AO210*AX210)/I210</f>
        <v>48.7032538989099</v>
      </c>
    </row>
    <row r="211" customFormat="false" ht="12.75" hidden="false" customHeight="false" outlineLevel="0" collapsed="false">
      <c r="A211" s="85" t="n">
        <v>41974</v>
      </c>
      <c r="B211" s="31" t="n">
        <f aca="false">YEAR(A211)</f>
        <v>2014</v>
      </c>
      <c r="C211" s="31" t="n">
        <f aca="false">MONTH(A211)</f>
        <v>12</v>
      </c>
      <c r="D211" s="86" t="n">
        <v>0.061512076475844</v>
      </c>
      <c r="E211" s="87" t="n">
        <f aca="false">(1+D211/2)^(-2*(DATE($B212,$C212,20)-$E$17)/365.25)</f>
        <v>1.91025419419766</v>
      </c>
      <c r="F211" s="87"/>
      <c r="G211" s="8"/>
      <c r="H211" s="8" t="n">
        <f aca="false">(1+$I$17)*H199</f>
        <v>16191.0473739633</v>
      </c>
      <c r="I211" s="8" t="n">
        <f aca="false">(1+$I$17)*I199</f>
        <v>14494.0429258177</v>
      </c>
      <c r="K211" s="50" t="n">
        <f aca="false">K199</f>
        <v>2256.4126344086</v>
      </c>
      <c r="L211" s="50" t="n">
        <f aca="false">L199</f>
        <v>1157.21505376344</v>
      </c>
      <c r="M211" s="50" t="n">
        <f aca="false">M199</f>
        <v>239.860215053763</v>
      </c>
      <c r="N211" s="50" t="n">
        <f aca="false">N199</f>
        <v>2.96908602150538</v>
      </c>
      <c r="O211" s="50" t="n">
        <f aca="false">SUM(K211:N211)</f>
        <v>3656.45698924731</v>
      </c>
      <c r="P211" s="50" t="n">
        <f aca="false">P199</f>
        <v>2977.59684973097</v>
      </c>
      <c r="Q211" s="50" t="n">
        <f aca="false">O211+P211</f>
        <v>6634.05383897828</v>
      </c>
      <c r="R211" s="8" t="n">
        <f aca="false">H211-O211-P211</f>
        <v>9556.993534985</v>
      </c>
      <c r="T211" s="9" t="n">
        <f aca="false">$T$18</f>
        <v>48.72</v>
      </c>
      <c r="U211" s="9" t="n">
        <f aca="false">U$18</f>
        <v>23</v>
      </c>
      <c r="V211" s="9" t="n">
        <f aca="false">V$18</f>
        <v>34</v>
      </c>
      <c r="W211" s="9" t="n">
        <f aca="false">W$18</f>
        <v>38</v>
      </c>
      <c r="X211" s="9" t="n">
        <f aca="false">SUMPRODUCT(K211:N211,T211:W211)/O211</f>
        <v>39.6056736867024</v>
      </c>
      <c r="Y211" s="9" t="n">
        <f aca="false">$Y$18/1000*CURVES!K170+$Y$14</f>
        <v>79.7631327284946</v>
      </c>
      <c r="Z211" s="9" t="n">
        <f aca="false">(O211*X211+P211*Y211)/Q211</f>
        <v>57.6297546541334</v>
      </c>
      <c r="AA211" s="9" t="n">
        <f aca="false">CHOOSE(AA$18,CURVES!F170,CURVES!G170)</f>
        <v>39.0074984574095</v>
      </c>
      <c r="AB211" s="9" t="n">
        <f aca="false">(Q211*Z211+R211*AA211)/H211</f>
        <v>46.6377059022336</v>
      </c>
      <c r="AD211" s="9"/>
      <c r="AH211" s="50" t="n">
        <f aca="false">AH199</f>
        <v>1921.09500453605</v>
      </c>
      <c r="AI211" s="50" t="n">
        <f aca="false">AI199</f>
        <v>0</v>
      </c>
      <c r="AJ211" s="50" t="n">
        <f aca="false">AJ199</f>
        <v>1326.47869273451</v>
      </c>
      <c r="AK211" s="50" t="n">
        <f aca="false">AK199</f>
        <v>519.619723134563</v>
      </c>
      <c r="AL211" s="50" t="n">
        <f aca="false">SUM(AH211:AK211)</f>
        <v>3767.19342040512</v>
      </c>
      <c r="AM211" s="50" t="n">
        <f aca="false">AM199</f>
        <v>2024.24791129032</v>
      </c>
      <c r="AN211" s="50" t="n">
        <f aca="false">AL211+AM211</f>
        <v>5791.44133169545</v>
      </c>
      <c r="AO211" s="8" t="n">
        <f aca="false">I211-AL211-AM211</f>
        <v>8702.60159412229</v>
      </c>
      <c r="AQ211" s="9" t="n">
        <f aca="false">$AQ$18</f>
        <v>43</v>
      </c>
      <c r="AR211" s="9"/>
      <c r="AS211" s="9" t="n">
        <f aca="false">AS$18</f>
        <v>30</v>
      </c>
      <c r="AT211" s="9" t="n">
        <f aca="false">AT$18</f>
        <v>38</v>
      </c>
      <c r="AU211" s="9" t="n">
        <f aca="false">SUMPRODUCT(AH211:AK211,AQ211:AT211)/AL211</f>
        <v>37.7328635918334</v>
      </c>
      <c r="AV211" s="9" t="n">
        <f aca="false">$Y$18/1000*CURVES!O170+$AV$14</f>
        <v>79.3201192880192</v>
      </c>
      <c r="AW211" s="9" t="n">
        <f aca="false">(AL211*AU211+AM211*AV211)/AN211</f>
        <v>52.2686087816506</v>
      </c>
      <c r="AX211" s="9" t="n">
        <f aca="false">CHOOSE(AX$18,CURVES!B170,CURVES!C170)</f>
        <v>44.6462365591398</v>
      </c>
      <c r="AY211" s="9" t="n">
        <f aca="false">(AN211*AW211+AO211*AX211)/I211</f>
        <v>47.6919375937616</v>
      </c>
    </row>
    <row r="212" customFormat="false" ht="12.75" hidden="false" customHeight="false" outlineLevel="0" collapsed="false">
      <c r="A212" s="85" t="n">
        <v>42005</v>
      </c>
      <c r="B212" s="31" t="n">
        <f aca="false">YEAR(A212)</f>
        <v>2015</v>
      </c>
      <c r="C212" s="31" t="n">
        <f aca="false">MONTH(A212)</f>
        <v>1</v>
      </c>
      <c r="D212" s="86" t="n">
        <v>0.061536582060768</v>
      </c>
      <c r="E212" s="87" t="n">
        <f aca="false">(1+D212/2)^(-2*(DATE($B213,$C213,20)-$E$17)/365.25)</f>
        <v>1.90093566798862</v>
      </c>
      <c r="F212" s="87"/>
      <c r="G212" s="8"/>
      <c r="H212" s="8" t="n">
        <f aca="false">(1+$I$17)*H200</f>
        <v>16488.5414480064</v>
      </c>
      <c r="I212" s="8" t="n">
        <f aca="false">(1+$I$17)*I200</f>
        <v>15674.4147376084</v>
      </c>
      <c r="K212" s="50" t="n">
        <f aca="false">K200</f>
        <v>2185.91801075269</v>
      </c>
      <c r="L212" s="50" t="n">
        <f aca="false">L200</f>
        <v>1282.33064516129</v>
      </c>
      <c r="M212" s="50" t="n">
        <f aca="false">M200</f>
        <v>142.852150537634</v>
      </c>
      <c r="N212" s="50" t="n">
        <f aca="false">N200</f>
        <v>3.16801075268817</v>
      </c>
      <c r="O212" s="50" t="n">
        <f aca="false">SUM(K212:N212)</f>
        <v>3614.2688172043</v>
      </c>
      <c r="P212" s="50" t="n">
        <f aca="false">P200</f>
        <v>2792.6655547379</v>
      </c>
      <c r="Q212" s="50" t="n">
        <f aca="false">O212+P212</f>
        <v>6406.9343719422</v>
      </c>
      <c r="R212" s="8" t="n">
        <f aca="false">H212-O212-P212</f>
        <v>10081.6070760642</v>
      </c>
      <c r="T212" s="9" t="n">
        <f aca="false">$T$18</f>
        <v>48.72</v>
      </c>
      <c r="U212" s="9" t="n">
        <f aca="false">U$18</f>
        <v>23</v>
      </c>
      <c r="V212" s="9" t="n">
        <f aca="false">V$18</f>
        <v>34</v>
      </c>
      <c r="W212" s="9" t="n">
        <f aca="false">W$18</f>
        <v>38</v>
      </c>
      <c r="X212" s="9" t="n">
        <f aca="false">SUMPRODUCT(K212:N212,T212:W212)/O212</f>
        <v>39.0034319468534</v>
      </c>
      <c r="Y212" s="9" t="n">
        <f aca="false">$Y$18/1000*CURVES!K171+$Y$14</f>
        <v>81.3801327284946</v>
      </c>
      <c r="Z212" s="9" t="n">
        <f aca="false">(O212*X212+P212*Y212)/Q212</f>
        <v>57.4746610442804</v>
      </c>
      <c r="AA212" s="9" t="n">
        <f aca="false">CHOOSE(AA$18,CURVES!F171,CURVES!G171)</f>
        <v>40.4033140163165</v>
      </c>
      <c r="AB212" s="9" t="n">
        <f aca="false">(Q212*Z212+R212*AA212)/H212</f>
        <v>47.0367085099235</v>
      </c>
      <c r="AD212" s="9"/>
      <c r="AH212" s="50" t="n">
        <f aca="false">AH200</f>
        <v>1826.05608785899</v>
      </c>
      <c r="AI212" s="50" t="n">
        <f aca="false">AI200</f>
        <v>0</v>
      </c>
      <c r="AJ212" s="50" t="n">
        <f aca="false">AJ200</f>
        <v>1744.08931864439</v>
      </c>
      <c r="AK212" s="50" t="n">
        <f aca="false">AK200</f>
        <v>538.872892801371</v>
      </c>
      <c r="AL212" s="50" t="n">
        <f aca="false">SUM(AH212:AK212)</f>
        <v>4109.01829930475</v>
      </c>
      <c r="AM212" s="50" t="n">
        <f aca="false">AM200</f>
        <v>2445.3687016129</v>
      </c>
      <c r="AN212" s="50" t="n">
        <f aca="false">AL212+AM212</f>
        <v>6554.38700091765</v>
      </c>
      <c r="AO212" s="8" t="n">
        <f aca="false">I212-AL212-AM212</f>
        <v>9120.02773669071</v>
      </c>
      <c r="AQ212" s="9" t="n">
        <f aca="false">$AQ$18</f>
        <v>43</v>
      </c>
      <c r="AR212" s="9"/>
      <c r="AS212" s="9" t="n">
        <f aca="false">AS$18</f>
        <v>30</v>
      </c>
      <c r="AT212" s="9" t="n">
        <f aca="false">AT$18</f>
        <v>38</v>
      </c>
      <c r="AU212" s="9" t="n">
        <f aca="false">SUMPRODUCT(AH212:AK212,AQ212:AT212)/AL212</f>
        <v>36.8263780400598</v>
      </c>
      <c r="AV212" s="9" t="n">
        <f aca="false">$Y$18/1000*CURVES!O171+$AV$14</f>
        <v>80.9371192880192</v>
      </c>
      <c r="AW212" s="9" t="n">
        <f aca="false">(AL212*AU212+AM212*AV212)/AN212</f>
        <v>53.2836037177018</v>
      </c>
      <c r="AX212" s="9" t="n">
        <f aca="false">CHOOSE(AX$18,CURVES!B171,CURVES!C171)</f>
        <v>48.7483870967742</v>
      </c>
      <c r="AY212" s="9" t="n">
        <f aca="false">(AN212*AW212+AO212*AX212)/I212</f>
        <v>50.6448256792772</v>
      </c>
    </row>
    <row r="213" customFormat="false" ht="12.75" hidden="false" customHeight="false" outlineLevel="0" collapsed="false">
      <c r="A213" s="85" t="n">
        <v>42036</v>
      </c>
      <c r="B213" s="31" t="n">
        <f aca="false">YEAR(A213)</f>
        <v>2015</v>
      </c>
      <c r="C213" s="31" t="n">
        <f aca="false">MONTH(A213)</f>
        <v>2</v>
      </c>
      <c r="D213" s="86" t="n">
        <v>0.061561087645891</v>
      </c>
      <c r="E213" s="87" t="n">
        <f aca="false">(1+D213/2)^(-2*(DATE($B214,$C214,20)-$E$17)/365.25)</f>
        <v>1.89259725609826</v>
      </c>
      <c r="F213" s="87"/>
      <c r="G213" s="8"/>
      <c r="H213" s="8" t="n">
        <f aca="false">(1+$I$17)*H201</f>
        <v>16532.8923598357</v>
      </c>
      <c r="I213" s="8" t="n">
        <f aca="false">(1+$I$17)*I201</f>
        <v>15653.5244484948</v>
      </c>
      <c r="K213" s="50" t="n">
        <f aca="false">K201</f>
        <v>2261.87643678161</v>
      </c>
      <c r="L213" s="50" t="n">
        <f aca="false">L201</f>
        <v>1335.97988505747</v>
      </c>
      <c r="M213" s="50" t="n">
        <f aca="false">M201</f>
        <v>236.002873563218</v>
      </c>
      <c r="N213" s="50" t="n">
        <f aca="false">N201</f>
        <v>3.84913793103448</v>
      </c>
      <c r="O213" s="50" t="n">
        <f aca="false">SUM(K213:N213)</f>
        <v>3837.70833333333</v>
      </c>
      <c r="P213" s="50" t="n">
        <f aca="false">P201</f>
        <v>3011.77170136767</v>
      </c>
      <c r="Q213" s="50" t="n">
        <f aca="false">O213+P213</f>
        <v>6849.48003470101</v>
      </c>
      <c r="R213" s="8" t="n">
        <f aca="false">H213-O213-P213</f>
        <v>9683.41232513467</v>
      </c>
      <c r="T213" s="9" t="n">
        <f aca="false">$T$18</f>
        <v>48.72</v>
      </c>
      <c r="U213" s="9" t="n">
        <f aca="false">U$18</f>
        <v>23</v>
      </c>
      <c r="V213" s="9" t="n">
        <f aca="false">V$18</f>
        <v>34</v>
      </c>
      <c r="W213" s="9" t="n">
        <f aca="false">W$18</f>
        <v>38</v>
      </c>
      <c r="X213" s="9" t="n">
        <f aca="false">SUMPRODUCT(K213:N213,T213:W213)/O213</f>
        <v>38.8504048116</v>
      </c>
      <c r="Y213" s="9" t="n">
        <f aca="false">$Y$18/1000*CURVES!K172+$Y$14</f>
        <v>80.3721327284946</v>
      </c>
      <c r="Z213" s="9" t="n">
        <f aca="false">(O213*X213+P213*Y213)/Q213</f>
        <v>57.1078439892368</v>
      </c>
      <c r="AA213" s="9" t="n">
        <f aca="false">CHOOSE(AA$18,CURVES!F172,CURVES!G172)</f>
        <v>40.4182367670392</v>
      </c>
      <c r="AB213" s="9" t="n">
        <f aca="false">(Q213*Z213+R213*AA213)/H213</f>
        <v>47.3326428471971</v>
      </c>
      <c r="AD213" s="9"/>
      <c r="AH213" s="50" t="n">
        <f aca="false">AH201</f>
        <v>1925.74685025101</v>
      </c>
      <c r="AI213" s="50" t="n">
        <f aca="false">AI201</f>
        <v>0</v>
      </c>
      <c r="AJ213" s="50" t="n">
        <f aca="false">AJ201</f>
        <v>2201.92738718254</v>
      </c>
      <c r="AK213" s="50" t="n">
        <f aca="false">AK201</f>
        <v>548.475477754164</v>
      </c>
      <c r="AL213" s="50" t="n">
        <f aca="false">SUM(AH213:AK213)</f>
        <v>4676.14971518771</v>
      </c>
      <c r="AM213" s="50" t="n">
        <f aca="false">AM201</f>
        <v>2161.54564434524</v>
      </c>
      <c r="AN213" s="50" t="n">
        <f aca="false">AL213+AM213</f>
        <v>6837.69535953295</v>
      </c>
      <c r="AO213" s="8" t="n">
        <f aca="false">I213-AL213-AM213</f>
        <v>8815.82908896186</v>
      </c>
      <c r="AQ213" s="9" t="n">
        <f aca="false">$AQ$18</f>
        <v>43</v>
      </c>
      <c r="AR213" s="9"/>
      <c r="AS213" s="9" t="n">
        <f aca="false">AS$18</f>
        <v>30</v>
      </c>
      <c r="AT213" s="9" t="n">
        <f aca="false">AT$18</f>
        <v>38</v>
      </c>
      <c r="AU213" s="9" t="n">
        <f aca="false">SUMPRODUCT(AH213:AK213,AQ213:AT213)/AL213</f>
        <v>36.2920382509856</v>
      </c>
      <c r="AV213" s="9" t="n">
        <f aca="false">$Y$18/1000*CURVES!O172+$AV$14</f>
        <v>79.9291192880192</v>
      </c>
      <c r="AW213" s="9" t="n">
        <f aca="false">(AL213*AU213+AM213*AV213)/AN213</f>
        <v>50.0866777439598</v>
      </c>
      <c r="AX213" s="9" t="n">
        <f aca="false">CHOOSE(AX$18,CURVES!B172,CURVES!C172)</f>
        <v>47.45</v>
      </c>
      <c r="AY213" s="9" t="n">
        <f aca="false">(AN213*AW213+AO213*AX213)/I213</f>
        <v>48.6017405702325</v>
      </c>
    </row>
    <row r="214" customFormat="false" ht="12.75" hidden="false" customHeight="false" outlineLevel="0" collapsed="false">
      <c r="A214" s="85" t="n">
        <v>42064</v>
      </c>
      <c r="B214" s="31" t="n">
        <f aca="false">YEAR(A214)</f>
        <v>2015</v>
      </c>
      <c r="C214" s="31" t="n">
        <f aca="false">MONTH(A214)</f>
        <v>3</v>
      </c>
      <c r="D214" s="86" t="n">
        <v>0.061583221722948</v>
      </c>
      <c r="E214" s="87" t="n">
        <f aca="false">(1+D214/2)^(-2*(DATE($B215,$C215,20)-$E$17)/365.25)</f>
        <v>1.88330479782651</v>
      </c>
      <c r="F214" s="87"/>
      <c r="G214" s="8"/>
      <c r="H214" s="8" t="n">
        <f aca="false">(1+$I$17)*H202</f>
        <v>16437.1807435043</v>
      </c>
      <c r="I214" s="8" t="n">
        <f aca="false">(1+$I$17)*I202</f>
        <v>15302.1079281263</v>
      </c>
      <c r="K214" s="50" t="n">
        <f aca="false">K202</f>
        <v>2263.94623655914</v>
      </c>
      <c r="L214" s="50" t="n">
        <f aca="false">L202</f>
        <v>1258.63037634409</v>
      </c>
      <c r="M214" s="50" t="n">
        <f aca="false">M202</f>
        <v>620.646505376344</v>
      </c>
      <c r="N214" s="50" t="n">
        <f aca="false">N202</f>
        <v>2.58198924731183</v>
      </c>
      <c r="O214" s="50" t="n">
        <f aca="false">SUM(K214:N214)</f>
        <v>4145.80510752688</v>
      </c>
      <c r="P214" s="50" t="n">
        <f aca="false">P202</f>
        <v>2834.39732902856</v>
      </c>
      <c r="Q214" s="50" t="n">
        <f aca="false">O214+P214</f>
        <v>6980.20243655544</v>
      </c>
      <c r="R214" s="8" t="n">
        <f aca="false">H214-O214-P214</f>
        <v>9456.9783069489</v>
      </c>
      <c r="T214" s="9" t="n">
        <f aca="false">$T$18</f>
        <v>48.72</v>
      </c>
      <c r="U214" s="9" t="n">
        <f aca="false">U$18</f>
        <v>23</v>
      </c>
      <c r="V214" s="9" t="n">
        <f aca="false">V$18</f>
        <v>34</v>
      </c>
      <c r="W214" s="9" t="n">
        <f aca="false">W$18</f>
        <v>38</v>
      </c>
      <c r="X214" s="9" t="n">
        <f aca="false">SUMPRODUCT(K214:N214,T214:W214)/O214</f>
        <v>38.7013021388701</v>
      </c>
      <c r="Y214" s="9" t="n">
        <f aca="false">$Y$18/1000*CURVES!K173+$Y$14</f>
        <v>78.7971327284946</v>
      </c>
      <c r="Z214" s="9" t="n">
        <f aca="false">(O214*X214+P214*Y214)/Q214</f>
        <v>54.9827088976826</v>
      </c>
      <c r="AA214" s="9" t="n">
        <f aca="false">CHOOSE(AA$18,CURVES!F173,CURVES!G173)</f>
        <v>39.8254806674162</v>
      </c>
      <c r="AB214" s="9" t="n">
        <f aca="false">(Q214*Z214+R214*AA214)/H214</f>
        <v>46.2621393058596</v>
      </c>
      <c r="AD214" s="9"/>
      <c r="AH214" s="50" t="n">
        <f aca="false">AH202</f>
        <v>1891.23873243112</v>
      </c>
      <c r="AI214" s="50" t="n">
        <f aca="false">AI202</f>
        <v>0</v>
      </c>
      <c r="AJ214" s="50" t="n">
        <f aca="false">AJ202</f>
        <v>1966.55049263563</v>
      </c>
      <c r="AK214" s="50" t="n">
        <f aca="false">AK202</f>
        <v>526.073305014923</v>
      </c>
      <c r="AL214" s="50" t="n">
        <f aca="false">SUM(AH214:AK214)</f>
        <v>4383.86253008167</v>
      </c>
      <c r="AM214" s="50" t="n">
        <f aca="false">AM202</f>
        <v>2044.22227284946</v>
      </c>
      <c r="AN214" s="50" t="n">
        <f aca="false">AL214+AM214</f>
        <v>6428.08480293113</v>
      </c>
      <c r="AO214" s="8" t="n">
        <f aca="false">I214-AL214-AM214</f>
        <v>8874.02312519521</v>
      </c>
      <c r="AQ214" s="9" t="n">
        <f aca="false">$AQ$18</f>
        <v>43</v>
      </c>
      <c r="AR214" s="9"/>
      <c r="AS214" s="9" t="n">
        <f aca="false">AS$18</f>
        <v>30</v>
      </c>
      <c r="AT214" s="9" t="n">
        <f aca="false">AT$18</f>
        <v>38</v>
      </c>
      <c r="AU214" s="9" t="n">
        <f aca="false">SUMPRODUCT(AH214:AK214,AQ214:AT214)/AL214</f>
        <v>36.5683377989472</v>
      </c>
      <c r="AV214" s="9" t="n">
        <f aca="false">$Y$18/1000*CURVES!O173+$AV$14</f>
        <v>78.3541192880192</v>
      </c>
      <c r="AW214" s="9" t="n">
        <f aca="false">(AL214*AU214+AM214*AV214)/AN214</f>
        <v>49.8568098442182</v>
      </c>
      <c r="AX214" s="9" t="n">
        <f aca="false">CHOOSE(AX$18,CURVES!B173,CURVES!C173)</f>
        <v>45.2188172043011</v>
      </c>
      <c r="AY214" s="9" t="n">
        <f aca="false">(AN214*AW214+AO214*AX214)/I214</f>
        <v>47.1671376673896</v>
      </c>
    </row>
    <row r="215" customFormat="false" ht="12.75" hidden="false" customHeight="false" outlineLevel="0" collapsed="false">
      <c r="A215" s="85" t="n">
        <v>42095</v>
      </c>
      <c r="B215" s="31" t="n">
        <f aca="false">YEAR(A215)</f>
        <v>2015</v>
      </c>
      <c r="C215" s="31" t="n">
        <f aca="false">MONTH(A215)</f>
        <v>4</v>
      </c>
      <c r="D215" s="86" t="n">
        <v>0.061607727308451</v>
      </c>
      <c r="E215" s="87" t="n">
        <f aca="false">(1+D215/2)^(-2*(DATE($B216,$C216,20)-$E$17)/365.25)</f>
        <v>1.87440712561176</v>
      </c>
      <c r="F215" s="87"/>
      <c r="G215" s="8"/>
      <c r="H215" s="8" t="n">
        <f aca="false">(1+$I$17)*H203</f>
        <v>16510.1176549525</v>
      </c>
      <c r="I215" s="8" t="n">
        <f aca="false">(1+$I$17)*I203</f>
        <v>14948.5802968641</v>
      </c>
      <c r="K215" s="50" t="n">
        <f aca="false">K203</f>
        <v>2319.84027777778</v>
      </c>
      <c r="L215" s="50" t="n">
        <f aca="false">L203</f>
        <v>1179.16597222222</v>
      </c>
      <c r="M215" s="50" t="n">
        <f aca="false">M203</f>
        <v>811.586111111111</v>
      </c>
      <c r="N215" s="50" t="n">
        <f aca="false">N203</f>
        <v>3.04166666666667</v>
      </c>
      <c r="O215" s="50" t="n">
        <f aca="false">SUM(K215:N215)</f>
        <v>4313.63402777778</v>
      </c>
      <c r="P215" s="50" t="n">
        <f aca="false">P203</f>
        <v>2923.39459068154</v>
      </c>
      <c r="Q215" s="50" t="n">
        <f aca="false">O215+P215</f>
        <v>7237.02861845932</v>
      </c>
      <c r="R215" s="8" t="n">
        <f aca="false">H215-O215-P215</f>
        <v>9273.08903649318</v>
      </c>
      <c r="T215" s="9" t="n">
        <f aca="false">$T$18</f>
        <v>48.72</v>
      </c>
      <c r="U215" s="9" t="n">
        <f aca="false">U$18</f>
        <v>23</v>
      </c>
      <c r="V215" s="9" t="n">
        <f aca="false">V$18</f>
        <v>34</v>
      </c>
      <c r="W215" s="9" t="n">
        <f aca="false">W$18</f>
        <v>38</v>
      </c>
      <c r="X215" s="9" t="n">
        <f aca="false">SUMPRODUCT(K215:N215,T215:W215)/O215</f>
        <v>38.9121899828918</v>
      </c>
      <c r="Y215" s="9" t="n">
        <f aca="false">$Y$18/1000*CURVES!K174+$Y$14</f>
        <v>78.7131327284946</v>
      </c>
      <c r="Z215" s="9" t="n">
        <f aca="false">(O215*X215+P215*Y215)/Q215</f>
        <v>54.9897636475502</v>
      </c>
      <c r="AA215" s="9" t="n">
        <f aca="false">CHOOSE(AA$18,CURVES!F174,CURVES!G174)</f>
        <v>38.8958704225663</v>
      </c>
      <c r="AB215" s="9" t="n">
        <f aca="false">(Q215*Z215+R215*AA215)/H215</f>
        <v>45.9504516366923</v>
      </c>
      <c r="AD215" s="9"/>
      <c r="AH215" s="50" t="n">
        <f aca="false">AH203</f>
        <v>1937.93108490741</v>
      </c>
      <c r="AI215" s="50" t="n">
        <f aca="false">AI203</f>
        <v>0</v>
      </c>
      <c r="AJ215" s="50" t="n">
        <f aca="false">AJ203</f>
        <v>2070.95002093926</v>
      </c>
      <c r="AK215" s="50" t="n">
        <f aca="false">AK203</f>
        <v>513.919329218532</v>
      </c>
      <c r="AL215" s="50" t="n">
        <f aca="false">SUM(AH215:AK215)</f>
        <v>4522.8004350652</v>
      </c>
      <c r="AM215" s="50" t="n">
        <f aca="false">AM203</f>
        <v>2152.99685890411</v>
      </c>
      <c r="AN215" s="50" t="n">
        <f aca="false">AL215+AM215</f>
        <v>6675.79729396931</v>
      </c>
      <c r="AO215" s="8" t="n">
        <f aca="false">I215-AL215-AM215</f>
        <v>8272.78300289482</v>
      </c>
      <c r="AQ215" s="9" t="n">
        <f aca="false">$AQ$18</f>
        <v>43</v>
      </c>
      <c r="AR215" s="9"/>
      <c r="AS215" s="9" t="n">
        <f aca="false">AS$18</f>
        <v>30</v>
      </c>
      <c r="AT215" s="9" t="n">
        <f aca="false">AT$18</f>
        <v>38</v>
      </c>
      <c r="AU215" s="9" t="n">
        <f aca="false">SUMPRODUCT(AH215:AK215,AQ215:AT215)/AL215</f>
        <v>36.4792729987261</v>
      </c>
      <c r="AV215" s="9" t="n">
        <f aca="false">$Y$18/1000*CURVES!O174+$AV$14</f>
        <v>76.4326192880192</v>
      </c>
      <c r="AW215" s="9" t="n">
        <f aca="false">(AL215*AU215+AM215*AV215)/AN215</f>
        <v>49.3645397729679</v>
      </c>
      <c r="AX215" s="9" t="n">
        <f aca="false">CHOOSE(AX$18,CURVES!B174,CURVES!C174)</f>
        <v>43.5755555555556</v>
      </c>
      <c r="AY215" s="9" t="n">
        <f aca="false">(AN215*AW215+AO215*AX215)/I215</f>
        <v>46.1608234810682</v>
      </c>
    </row>
    <row r="216" customFormat="false" ht="12.75" hidden="false" customHeight="false" outlineLevel="0" collapsed="false">
      <c r="A216" s="85" t="n">
        <v>42125</v>
      </c>
      <c r="B216" s="31" t="n">
        <f aca="false">YEAR(A216)</f>
        <v>2015</v>
      </c>
      <c r="C216" s="31" t="n">
        <f aca="false">MONTH(A216)</f>
        <v>5</v>
      </c>
      <c r="D216" s="86" t="n">
        <v>0.061631442391386</v>
      </c>
      <c r="E216" s="87" t="n">
        <f aca="false">(1+D216/2)^(-2*(DATE($B217,$C217,20)-$E$17)/365.25)</f>
        <v>1.8652194969396</v>
      </c>
      <c r="F216" s="87"/>
      <c r="G216" s="8"/>
      <c r="H216" s="8" t="n">
        <f aca="false">(1+$I$17)*H204</f>
        <v>17446.2219797627</v>
      </c>
      <c r="I216" s="8" t="n">
        <f aca="false">(1+$I$17)*I204</f>
        <v>16283.0137401534</v>
      </c>
      <c r="K216" s="50" t="n">
        <f aca="false">K204</f>
        <v>2226.06720430108</v>
      </c>
      <c r="L216" s="50" t="n">
        <f aca="false">L204</f>
        <v>1023.62634408602</v>
      </c>
      <c r="M216" s="50" t="n">
        <f aca="false">M204</f>
        <v>950.165322580645</v>
      </c>
      <c r="N216" s="50" t="n">
        <f aca="false">N204</f>
        <v>3.30510752688172</v>
      </c>
      <c r="O216" s="50" t="n">
        <f aca="false">SUM(K216:N216)</f>
        <v>4203.16397849462</v>
      </c>
      <c r="P216" s="50" t="n">
        <f aca="false">P204</f>
        <v>2831.51050210493</v>
      </c>
      <c r="Q216" s="50" t="n">
        <f aca="false">O216+P216</f>
        <v>7034.67448059955</v>
      </c>
      <c r="R216" s="8" t="n">
        <f aca="false">H216-O216-P216</f>
        <v>10411.5474991631</v>
      </c>
      <c r="T216" s="9" t="n">
        <f aca="false">$T$18</f>
        <v>48.72</v>
      </c>
      <c r="U216" s="9" t="n">
        <f aca="false">U$18</f>
        <v>23</v>
      </c>
      <c r="V216" s="9" t="n">
        <f aca="false">V$18</f>
        <v>34</v>
      </c>
      <c r="W216" s="9" t="n">
        <f aca="false">W$18</f>
        <v>38</v>
      </c>
      <c r="X216" s="9" t="n">
        <f aca="false">SUMPRODUCT(K216:N216,T216:W216)/O216</f>
        <v>39.1201999261949</v>
      </c>
      <c r="Y216" s="9" t="n">
        <f aca="false">$Y$18/1000*CURVES!K175+$Y$14</f>
        <v>78.4506327284946</v>
      </c>
      <c r="Z216" s="9" t="n">
        <f aca="false">(O216*X216+P216*Y216)/Q216</f>
        <v>54.9510011721045</v>
      </c>
      <c r="AA216" s="9" t="n">
        <f aca="false">CHOOSE(AA$18,CURVES!F175,CURVES!G175)</f>
        <v>38.2137313037044</v>
      </c>
      <c r="AB216" s="9" t="n">
        <f aca="false">(Q216*Z216+R216*AA216)/H216</f>
        <v>44.9625417541687</v>
      </c>
      <c r="AD216" s="9"/>
      <c r="AH216" s="50" t="n">
        <f aca="false">AH204</f>
        <v>1895.25910320262</v>
      </c>
      <c r="AI216" s="50" t="n">
        <f aca="false">AI204</f>
        <v>0</v>
      </c>
      <c r="AJ216" s="50" t="n">
        <f aca="false">AJ204</f>
        <v>1877.63033247346</v>
      </c>
      <c r="AK216" s="50" t="n">
        <f aca="false">AK204</f>
        <v>570.53181663935</v>
      </c>
      <c r="AL216" s="50" t="n">
        <f aca="false">SUM(AH216:AK216)</f>
        <v>4343.42125231544</v>
      </c>
      <c r="AM216" s="50" t="n">
        <f aca="false">AM204</f>
        <v>2186.84183198925</v>
      </c>
      <c r="AN216" s="50" t="n">
        <f aca="false">AL216+AM216</f>
        <v>6530.26308430469</v>
      </c>
      <c r="AO216" s="8" t="n">
        <f aca="false">I216-AL216-AM216</f>
        <v>9752.75065584866</v>
      </c>
      <c r="AQ216" s="9" t="n">
        <f aca="false">$AQ$18</f>
        <v>43</v>
      </c>
      <c r="AR216" s="9"/>
      <c r="AS216" s="9" t="n">
        <f aca="false">AS$18</f>
        <v>30</v>
      </c>
      <c r="AT216" s="9" t="n">
        <f aca="false">AT$18</f>
        <v>38</v>
      </c>
      <c r="AU216" s="9" t="n">
        <f aca="false">SUMPRODUCT(AH216:AK216,AQ216:AT216)/AL216</f>
        <v>36.7234148332219</v>
      </c>
      <c r="AV216" s="9" t="n">
        <f aca="false">$Y$18/1000*CURVES!O175+$AV$14</f>
        <v>76.1701192880192</v>
      </c>
      <c r="AW216" s="9" t="n">
        <f aca="false">(AL216*AU216+AM216*AV216)/AN216</f>
        <v>49.9332506885644</v>
      </c>
      <c r="AX216" s="9" t="n">
        <f aca="false">CHOOSE(AX$18,CURVES!B175,CURVES!C175)</f>
        <v>43.0360215053763</v>
      </c>
      <c r="AY216" s="9" t="n">
        <f aca="false">(AN216*AW216+AO216*AX216)/I216</f>
        <v>45.8021385054433</v>
      </c>
    </row>
    <row r="217" customFormat="false" ht="12.75" hidden="false" customHeight="false" outlineLevel="0" collapsed="false">
      <c r="A217" s="85" t="n">
        <v>42156</v>
      </c>
      <c r="B217" s="31" t="n">
        <f aca="false">YEAR(A217)</f>
        <v>2015</v>
      </c>
      <c r="C217" s="31" t="n">
        <f aca="false">MONTH(A217)</f>
        <v>6</v>
      </c>
      <c r="D217" s="86" t="n">
        <v>0.06165594797728</v>
      </c>
      <c r="E217" s="87" t="n">
        <f aca="false">(1+D217/2)^(-2*(DATE($B218,$C218,20)-$E$17)/365.25)</f>
        <v>1.85639275481125</v>
      </c>
      <c r="F217" s="87"/>
      <c r="G217" s="8"/>
      <c r="H217" s="8" t="n">
        <f aca="false">(1+$I$17)*H205</f>
        <v>19280.2034940471</v>
      </c>
      <c r="I217" s="8" t="n">
        <f aca="false">(1+$I$17)*I205</f>
        <v>18361.1550199499</v>
      </c>
      <c r="K217" s="50" t="n">
        <f aca="false">K205</f>
        <v>2252.13333333333</v>
      </c>
      <c r="L217" s="50" t="n">
        <f aca="false">L205</f>
        <v>1398.39166666667</v>
      </c>
      <c r="M217" s="50" t="n">
        <f aca="false">M205</f>
        <v>957.040277777778</v>
      </c>
      <c r="N217" s="50" t="n">
        <f aca="false">N205</f>
        <v>3.52638888888889</v>
      </c>
      <c r="O217" s="50" t="n">
        <f aca="false">SUM(K217:N217)</f>
        <v>4611.09166666667</v>
      </c>
      <c r="P217" s="50" t="n">
        <f aca="false">P205</f>
        <v>3175.74117813466</v>
      </c>
      <c r="Q217" s="50" t="n">
        <f aca="false">O217+P217</f>
        <v>7786.83284480132</v>
      </c>
      <c r="R217" s="8" t="n">
        <f aca="false">H217-O217-P217</f>
        <v>11493.3706492458</v>
      </c>
      <c r="T217" s="9" t="n">
        <f aca="false">$T$18</f>
        <v>48.72</v>
      </c>
      <c r="U217" s="9" t="n">
        <f aca="false">U$18</f>
        <v>23</v>
      </c>
      <c r="V217" s="9" t="n">
        <f aca="false">V$18</f>
        <v>34</v>
      </c>
      <c r="W217" s="9" t="n">
        <f aca="false">W$18</f>
        <v>38</v>
      </c>
      <c r="X217" s="9" t="n">
        <f aca="false">SUMPRODUCT(K217:N217,T217:W217)/O217</f>
        <v>37.8566138290945</v>
      </c>
      <c r="Y217" s="9" t="n">
        <f aca="false">$Y$18/1000*CURVES!K176+$Y$14</f>
        <v>78.7551327284946</v>
      </c>
      <c r="Z217" s="9" t="n">
        <f aca="false">(O217*X217+P217*Y217)/Q217</f>
        <v>54.5364518559576</v>
      </c>
      <c r="AA217" s="9" t="n">
        <f aca="false">CHOOSE(AA$18,CURVES!F176,CURVES!G176)</f>
        <v>49.6754541090102</v>
      </c>
      <c r="AB217" s="9" t="n">
        <f aca="false">(Q217*Z217+R217*AA217)/H217</f>
        <v>51.6386998250693</v>
      </c>
      <c r="AD217" s="9"/>
      <c r="AH217" s="50" t="n">
        <f aca="false">AH205</f>
        <v>1881.37055634004</v>
      </c>
      <c r="AI217" s="50" t="n">
        <f aca="false">AI205</f>
        <v>0</v>
      </c>
      <c r="AJ217" s="50" t="n">
        <f aca="false">AJ205</f>
        <v>1162.16168617347</v>
      </c>
      <c r="AK217" s="50" t="n">
        <f aca="false">AK205</f>
        <v>631.240712103584</v>
      </c>
      <c r="AL217" s="50" t="n">
        <f aca="false">SUM(AH217:AK217)</f>
        <v>3674.77295461709</v>
      </c>
      <c r="AM217" s="50" t="n">
        <f aca="false">AM205</f>
        <v>2754.04614109589</v>
      </c>
      <c r="AN217" s="50" t="n">
        <f aca="false">AL217+AM217</f>
        <v>6428.81909571298</v>
      </c>
      <c r="AO217" s="8" t="n">
        <f aca="false">I217-AL217-AM217</f>
        <v>11932.3359242369</v>
      </c>
      <c r="AQ217" s="9" t="n">
        <f aca="false">$AQ$18</f>
        <v>43</v>
      </c>
      <c r="AR217" s="9"/>
      <c r="AS217" s="9" t="n">
        <f aca="false">AS$18</f>
        <v>30</v>
      </c>
      <c r="AT217" s="9" t="n">
        <f aca="false">AT$18</f>
        <v>38</v>
      </c>
      <c r="AU217" s="9" t="n">
        <f aca="false">SUMPRODUCT(AH217:AK217,AQ217:AT217)/AL217</f>
        <v>38.0298138942638</v>
      </c>
      <c r="AV217" s="9" t="n">
        <f aca="false">$Y$18/1000*CURVES!O176+$AV$14</f>
        <v>76.4746192880192</v>
      </c>
      <c r="AW217" s="9" t="n">
        <f aca="false">(AL217*AU217+AM217*AV217)/AN217</f>
        <v>54.499209962736</v>
      </c>
      <c r="AX217" s="9" t="n">
        <f aca="false">CHOOSE(AX$18,CURVES!B176,CURVES!C176)</f>
        <v>48.7866666666667</v>
      </c>
      <c r="AY217" s="9" t="n">
        <f aca="false">(AN217*AW217+AO217*AX217)/I217</f>
        <v>50.7868081276453</v>
      </c>
    </row>
    <row r="218" customFormat="false" ht="12.75" hidden="false" customHeight="false" outlineLevel="0" collapsed="false">
      <c r="A218" s="85" t="n">
        <v>42186</v>
      </c>
      <c r="B218" s="31" t="n">
        <f aca="false">YEAR(A218)</f>
        <v>2015</v>
      </c>
      <c r="C218" s="31" t="n">
        <f aca="false">MONTH(A218)</f>
        <v>7</v>
      </c>
      <c r="D218" s="86" t="n">
        <v>0.061679663060594</v>
      </c>
      <c r="E218" s="87" t="n">
        <f aca="false">(1+D218/2)^(-2*(DATE($B219,$C219,20)-$E$17)/365.25)</f>
        <v>1.84727898365527</v>
      </c>
      <c r="F218" s="87"/>
      <c r="G218" s="8"/>
      <c r="H218" s="8" t="n">
        <f aca="false">(1+$I$17)*H206</f>
        <v>19029.4192465996</v>
      </c>
      <c r="I218" s="8" t="n">
        <f aca="false">(1+$I$17)*I206</f>
        <v>17430.0742956243</v>
      </c>
      <c r="K218" s="50" t="n">
        <f aca="false">K206</f>
        <v>2248.45698924731</v>
      </c>
      <c r="L218" s="50" t="n">
        <f aca="false">L206</f>
        <v>1358.32258064516</v>
      </c>
      <c r="M218" s="50" t="n">
        <f aca="false">M206</f>
        <v>653.551075268817</v>
      </c>
      <c r="N218" s="50" t="n">
        <f aca="false">N206</f>
        <v>3.83736559139785</v>
      </c>
      <c r="O218" s="50" t="n">
        <f aca="false">SUM(K218:N218)</f>
        <v>4264.16801075269</v>
      </c>
      <c r="P218" s="50" t="n">
        <f aca="false">P206</f>
        <v>3349.38956238808</v>
      </c>
      <c r="Q218" s="50" t="n">
        <f aca="false">O218+P218</f>
        <v>7613.55757314076</v>
      </c>
      <c r="R218" s="8" t="n">
        <f aca="false">H218-O218-P218</f>
        <v>11415.8616734588</v>
      </c>
      <c r="T218" s="9" t="n">
        <f aca="false">$T$18</f>
        <v>48.72</v>
      </c>
      <c r="U218" s="9" t="n">
        <f aca="false">U$18</f>
        <v>23</v>
      </c>
      <c r="V218" s="9" t="n">
        <f aca="false">V$18</f>
        <v>34</v>
      </c>
      <c r="W218" s="9" t="n">
        <f aca="false">W$18</f>
        <v>38</v>
      </c>
      <c r="X218" s="9" t="n">
        <f aca="false">SUMPRODUCT(K218:N218,T218:W218)/O218</f>
        <v>38.2613442789234</v>
      </c>
      <c r="Y218" s="9" t="n">
        <f aca="false">$Y$18/1000*CURVES!K177+$Y$14</f>
        <v>79.0701327284946</v>
      </c>
      <c r="Z218" s="9" t="n">
        <f aca="false">(O218*X218+P218*Y218)/Q218</f>
        <v>56.2141250615755</v>
      </c>
      <c r="AA218" s="9" t="n">
        <f aca="false">CHOOSE(AA$18,CURVES!F177,CURVES!G177)</f>
        <v>60.3665961616809</v>
      </c>
      <c r="AB218" s="9" t="n">
        <f aca="false">(Q218*Z218+R218*AA218)/H218</f>
        <v>58.7052171473368</v>
      </c>
      <c r="AD218" s="9"/>
      <c r="AH218" s="50" t="n">
        <f aca="false">AH206</f>
        <v>1914.32162011861</v>
      </c>
      <c r="AI218" s="50" t="n">
        <f aca="false">AI206</f>
        <v>0</v>
      </c>
      <c r="AJ218" s="50" t="n">
        <f aca="false">AJ206</f>
        <v>1193.33197430598</v>
      </c>
      <c r="AK218" s="50" t="n">
        <f aca="false">AK206</f>
        <v>610.723058442111</v>
      </c>
      <c r="AL218" s="50" t="n">
        <f aca="false">SUM(AH218:AK218)</f>
        <v>3718.37665286669</v>
      </c>
      <c r="AM218" s="50" t="n">
        <f aca="false">AM206</f>
        <v>2586.73186021505</v>
      </c>
      <c r="AN218" s="50" t="n">
        <f aca="false">AL218+AM218</f>
        <v>6305.10851308175</v>
      </c>
      <c r="AO218" s="8" t="n">
        <f aca="false">I218-AL218-AM218</f>
        <v>11124.9657825425</v>
      </c>
      <c r="AQ218" s="9" t="n">
        <f aca="false">$AQ$18</f>
        <v>43</v>
      </c>
      <c r="AR218" s="9"/>
      <c r="AS218" s="9" t="n">
        <f aca="false">AS$18</f>
        <v>30</v>
      </c>
      <c r="AT218" s="9" t="n">
        <f aca="false">AT$18</f>
        <v>38</v>
      </c>
      <c r="AU218" s="9" t="n">
        <f aca="false">SUMPRODUCT(AH218:AK218,AQ218:AT218)/AL218</f>
        <v>38.0067105375476</v>
      </c>
      <c r="AV218" s="9" t="n">
        <f aca="false">$Y$18/1000*CURVES!O177+$AV$14</f>
        <v>76.7896192880192</v>
      </c>
      <c r="AW218" s="9" t="n">
        <f aca="false">(AL218*AU218+AM218*AV218)/AN218</f>
        <v>53.9177746355744</v>
      </c>
      <c r="AX218" s="9" t="n">
        <f aca="false">CHOOSE(AX$18,CURVES!B177,CURVES!C177)</f>
        <v>60.7301075268817</v>
      </c>
      <c r="AY218" s="9" t="n">
        <f aca="false">(AN218*AW218+AO218*AX218)/I218</f>
        <v>58.2658324252138</v>
      </c>
    </row>
    <row r="219" customFormat="false" ht="12.75" hidden="false" customHeight="false" outlineLevel="0" collapsed="false">
      <c r="A219" s="85" t="n">
        <v>42217</v>
      </c>
      <c r="B219" s="31" t="n">
        <f aca="false">YEAR(A219)</f>
        <v>2015</v>
      </c>
      <c r="C219" s="31" t="n">
        <f aca="false">MONTH(A219)</f>
        <v>8</v>
      </c>
      <c r="D219" s="86" t="n">
        <v>0.061704168646881</v>
      </c>
      <c r="E219" s="87" t="n">
        <f aca="false">(1+D219/2)^(-2*(DATE($B220,$C220,20)-$E$17)/365.25)</f>
        <v>1.83821689358514</v>
      </c>
      <c r="F219" s="87"/>
      <c r="G219" s="8"/>
      <c r="H219" s="8" t="n">
        <f aca="false">(1+$I$17)*H207</f>
        <v>20406.6131771973</v>
      </c>
      <c r="I219" s="8" t="n">
        <f aca="false">(1+$I$17)*I207</f>
        <v>18077.8711638821</v>
      </c>
      <c r="K219" s="50" t="n">
        <f aca="false">K207</f>
        <v>2226.06586021505</v>
      </c>
      <c r="L219" s="50" t="n">
        <f aca="false">L207</f>
        <v>1361.98924731183</v>
      </c>
      <c r="M219" s="50" t="n">
        <f aca="false">M207</f>
        <v>483.364247311828</v>
      </c>
      <c r="N219" s="50" t="n">
        <f aca="false">N207</f>
        <v>3.9247311827957</v>
      </c>
      <c r="O219" s="50" t="n">
        <f aca="false">SUM(K219:N219)</f>
        <v>4075.34408602151</v>
      </c>
      <c r="P219" s="50" t="n">
        <f aca="false">P207</f>
        <v>3426.25292884001</v>
      </c>
      <c r="Q219" s="50" t="n">
        <f aca="false">O219+P219</f>
        <v>7501.59701486152</v>
      </c>
      <c r="R219" s="8" t="n">
        <f aca="false">H219-O219-P219</f>
        <v>12905.0161623358</v>
      </c>
      <c r="T219" s="9" t="n">
        <f aca="false">$T$18</f>
        <v>48.72</v>
      </c>
      <c r="U219" s="9" t="n">
        <f aca="false">U$18</f>
        <v>23</v>
      </c>
      <c r="V219" s="9" t="n">
        <f aca="false">V$18</f>
        <v>34</v>
      </c>
      <c r="W219" s="9" t="n">
        <f aca="false">W$18</f>
        <v>38</v>
      </c>
      <c r="X219" s="9" t="n">
        <f aca="false">SUMPRODUCT(K219:N219,T219:W219)/O219</f>
        <v>38.3680990588564</v>
      </c>
      <c r="Y219" s="9" t="n">
        <f aca="false">$Y$18/1000*CURVES!K178+$Y$14</f>
        <v>79.2801327284946</v>
      </c>
      <c r="Z219" s="9" t="n">
        <f aca="false">(O219*X219+P219*Y219)/Q219</f>
        <v>57.0541168371637</v>
      </c>
      <c r="AA219" s="9" t="n">
        <f aca="false">CHOOSE(AA$18,CURVES!F178,CURVES!G178)</f>
        <v>63.2569552904805</v>
      </c>
      <c r="AB219" s="9" t="n">
        <f aca="false">(Q219*Z219+R219*AA219)/H219</f>
        <v>60.9767535724873</v>
      </c>
      <c r="AD219" s="9"/>
      <c r="AH219" s="50" t="n">
        <f aca="false">AH207</f>
        <v>1859.59450264151</v>
      </c>
      <c r="AI219" s="50" t="n">
        <f aca="false">AI207</f>
        <v>0</v>
      </c>
      <c r="AJ219" s="50" t="n">
        <f aca="false">AJ207</f>
        <v>1584.50880376937</v>
      </c>
      <c r="AK219" s="50" t="n">
        <f aca="false">AK207</f>
        <v>621.501656862376</v>
      </c>
      <c r="AL219" s="50" t="n">
        <f aca="false">SUM(AH219:AK219)</f>
        <v>4065.60496327325</v>
      </c>
      <c r="AM219" s="50" t="n">
        <f aca="false">AM207</f>
        <v>2208.28901612903</v>
      </c>
      <c r="AN219" s="50" t="n">
        <f aca="false">AL219+AM219</f>
        <v>6273.89397940229</v>
      </c>
      <c r="AO219" s="8" t="n">
        <f aca="false">I219-AL219-AM219</f>
        <v>11803.9771844798</v>
      </c>
      <c r="AQ219" s="9" t="n">
        <f aca="false">$AQ$18</f>
        <v>43</v>
      </c>
      <c r="AR219" s="9"/>
      <c r="AS219" s="9" t="n">
        <f aca="false">AS$18</f>
        <v>30</v>
      </c>
      <c r="AT219" s="9" t="n">
        <f aca="false">AT$18</f>
        <v>38</v>
      </c>
      <c r="AU219" s="9" t="n">
        <f aca="false">SUMPRODUCT(AH219:AK219,AQ219:AT219)/AL219</f>
        <v>37.1691032583186</v>
      </c>
      <c r="AV219" s="9" t="n">
        <f aca="false">$Y$18/1000*CURVES!O178+$AV$14</f>
        <v>76.9996192880192</v>
      </c>
      <c r="AW219" s="9" t="n">
        <f aca="false">(AL219*AU219+AM219*AV219)/AN219</f>
        <v>51.188672499353</v>
      </c>
      <c r="AX219" s="9" t="n">
        <f aca="false">CHOOSE(AX$18,CURVES!B178,CURVES!C178)</f>
        <v>69.2704301075269</v>
      </c>
      <c r="AY219" s="9" t="n">
        <f aca="false">(AN219*AW219+AO219*AX219)/I219</f>
        <v>62.9951873443423</v>
      </c>
    </row>
    <row r="220" customFormat="false" ht="12.75" hidden="false" customHeight="false" outlineLevel="0" collapsed="false">
      <c r="A220" s="85" t="n">
        <v>42248</v>
      </c>
      <c r="B220" s="31" t="n">
        <f aca="false">YEAR(A220)</f>
        <v>2015</v>
      </c>
      <c r="C220" s="31" t="n">
        <f aca="false">MONTH(A220)</f>
        <v>9</v>
      </c>
      <c r="D220" s="86" t="n">
        <v>0.061728674233368</v>
      </c>
      <c r="E220" s="87" t="n">
        <f aca="false">(1+D220/2)^(-2*(DATE($B221,$C221,20)-$E$17)/365.25)</f>
        <v>1.82949636359228</v>
      </c>
      <c r="F220" s="87"/>
      <c r="G220" s="8"/>
      <c r="H220" s="8" t="n">
        <f aca="false">(1+$I$17)*H208</f>
        <v>18484.5479463283</v>
      </c>
      <c r="I220" s="8" t="n">
        <f aca="false">(1+$I$17)*I208</f>
        <v>17028.1939532474</v>
      </c>
      <c r="K220" s="50" t="n">
        <f aca="false">K208</f>
        <v>2263.63333333333</v>
      </c>
      <c r="L220" s="50" t="n">
        <f aca="false">L208</f>
        <v>1380.73611111111</v>
      </c>
      <c r="M220" s="50" t="n">
        <f aca="false">M208</f>
        <v>542.602777777778</v>
      </c>
      <c r="N220" s="50" t="n">
        <f aca="false">N208</f>
        <v>3.41944444444444</v>
      </c>
      <c r="O220" s="50" t="n">
        <f aca="false">SUM(K220:N220)</f>
        <v>4190.39166666667</v>
      </c>
      <c r="P220" s="50" t="n">
        <f aca="false">P208</f>
        <v>3348.13393235473</v>
      </c>
      <c r="Q220" s="50" t="n">
        <f aca="false">O220+P220</f>
        <v>7538.52559902139</v>
      </c>
      <c r="R220" s="8" t="n">
        <f aca="false">H220-O220-P220</f>
        <v>10946.0223473069</v>
      </c>
      <c r="T220" s="9" t="n">
        <f aca="false">$T$18</f>
        <v>48.72</v>
      </c>
      <c r="U220" s="9" t="n">
        <f aca="false">U$18</f>
        <v>23</v>
      </c>
      <c r="V220" s="9" t="n">
        <f aca="false">V$18</f>
        <v>34</v>
      </c>
      <c r="W220" s="9" t="n">
        <f aca="false">W$18</f>
        <v>38</v>
      </c>
      <c r="X220" s="9" t="n">
        <f aca="false">SUMPRODUCT(K220:N220,T220:W220)/O220</f>
        <v>38.3304456159959</v>
      </c>
      <c r="Y220" s="9" t="n">
        <f aca="false">$Y$18/1000*CURVES!K179+$Y$14</f>
        <v>79.5006327284946</v>
      </c>
      <c r="Z220" s="9" t="n">
        <f aca="false">(O220*X220+P220*Y220)/Q220</f>
        <v>56.6156260086504</v>
      </c>
      <c r="AA220" s="9" t="n">
        <f aca="false">CHOOSE(AA$18,CURVES!F179,CURVES!G179)</f>
        <v>57.8175491422827</v>
      </c>
      <c r="AB220" s="9" t="n">
        <f aca="false">(Q220*Z220+R220*AA220)/H220</f>
        <v>57.327370624677</v>
      </c>
      <c r="AD220" s="9"/>
      <c r="AH220" s="50" t="n">
        <f aca="false">AH208</f>
        <v>1890.97734163897</v>
      </c>
      <c r="AI220" s="50" t="n">
        <f aca="false">AI208</f>
        <v>0</v>
      </c>
      <c r="AJ220" s="50" t="n">
        <f aca="false">AJ208</f>
        <v>765.820605438213</v>
      </c>
      <c r="AK220" s="50" t="n">
        <f aca="false">AK208</f>
        <v>570.922545092046</v>
      </c>
      <c r="AL220" s="50" t="n">
        <f aca="false">SUM(AH220:AK220)</f>
        <v>3227.72049216923</v>
      </c>
      <c r="AM220" s="50" t="n">
        <f aca="false">AM208</f>
        <v>2371.57693150685</v>
      </c>
      <c r="AN220" s="50" t="n">
        <f aca="false">AL220+AM220</f>
        <v>5599.29742367608</v>
      </c>
      <c r="AO220" s="8" t="n">
        <f aca="false">I220-AL220-AM220</f>
        <v>11428.8965295713</v>
      </c>
      <c r="AQ220" s="9" t="n">
        <f aca="false">$AQ$18</f>
        <v>43</v>
      </c>
      <c r="AR220" s="9"/>
      <c r="AS220" s="9" t="n">
        <f aca="false">AS$18</f>
        <v>30</v>
      </c>
      <c r="AT220" s="9" t="n">
        <f aca="false">AT$18</f>
        <v>38</v>
      </c>
      <c r="AU220" s="9" t="n">
        <f aca="false">SUMPRODUCT(AH220:AK220,AQ220:AT220)/AL220</f>
        <v>39.0311679319086</v>
      </c>
      <c r="AV220" s="9" t="n">
        <f aca="false">$Y$18/1000*CURVES!O179+$AV$14</f>
        <v>77.2201192880192</v>
      </c>
      <c r="AW220" s="9" t="n">
        <f aca="false">(AL220*AU220+AM220*AV220)/AN220</f>
        <v>55.2060608196539</v>
      </c>
      <c r="AX220" s="9" t="n">
        <f aca="false">CHOOSE(AX$18,CURVES!B179,CURVES!C179)</f>
        <v>61.3833333333333</v>
      </c>
      <c r="AY220" s="9" t="n">
        <f aca="false">(AN220*AW220+AO220*AX220)/I220</f>
        <v>59.3520911378218</v>
      </c>
    </row>
    <row r="221" customFormat="false" ht="12.75" hidden="false" customHeight="false" outlineLevel="0" collapsed="false">
      <c r="A221" s="85" t="n">
        <v>42278</v>
      </c>
      <c r="B221" s="31" t="n">
        <f aca="false">YEAR(A221)</f>
        <v>2015</v>
      </c>
      <c r="C221" s="31" t="n">
        <f aca="false">MONTH(A221)</f>
        <v>10</v>
      </c>
      <c r="D221" s="86" t="n">
        <v>0.061752389317255</v>
      </c>
      <c r="E221" s="87" t="n">
        <f aca="false">(1+D221/2)^(-2*(DATE($B222,$C222,20)-$E$17)/365.25)</f>
        <v>1.82049317279674</v>
      </c>
      <c r="F221" s="87"/>
      <c r="G221" s="8"/>
      <c r="H221" s="8" t="n">
        <f aca="false">(1+$I$17)*H209</f>
        <v>17172.1258319928</v>
      </c>
      <c r="I221" s="8" t="n">
        <f aca="false">(1+$I$17)*I209</f>
        <v>14739.1301846651</v>
      </c>
      <c r="K221" s="50" t="n">
        <f aca="false">K209</f>
        <v>2069.29166666667</v>
      </c>
      <c r="L221" s="50" t="n">
        <f aca="false">L209</f>
        <v>1227.52419354839</v>
      </c>
      <c r="M221" s="50" t="n">
        <f aca="false">M209</f>
        <v>369.340053763441</v>
      </c>
      <c r="N221" s="50" t="n">
        <f aca="false">N209</f>
        <v>3.27822580645161</v>
      </c>
      <c r="O221" s="50" t="n">
        <f aca="false">SUM(K221:N221)</f>
        <v>3669.43413978495</v>
      </c>
      <c r="P221" s="50" t="n">
        <f aca="false">P209</f>
        <v>3171.07549498463</v>
      </c>
      <c r="Q221" s="50" t="n">
        <f aca="false">O221+P221</f>
        <v>6840.50963476957</v>
      </c>
      <c r="R221" s="8" t="n">
        <f aca="false">H221-O221-P221</f>
        <v>10331.6161972232</v>
      </c>
      <c r="T221" s="9" t="n">
        <f aca="false">$T$18</f>
        <v>48.72</v>
      </c>
      <c r="U221" s="9" t="n">
        <f aca="false">U$18</f>
        <v>23</v>
      </c>
      <c r="V221" s="9" t="n">
        <f aca="false">V$18</f>
        <v>34</v>
      </c>
      <c r="W221" s="9" t="n">
        <f aca="false">W$18</f>
        <v>38</v>
      </c>
      <c r="X221" s="9" t="n">
        <f aca="false">SUMPRODUCT(K221:N221,T221:W221)/O221</f>
        <v>38.624778497461</v>
      </c>
      <c r="Y221" s="9" t="n">
        <f aca="false">$Y$18/1000*CURVES!K180+$Y$14</f>
        <v>79.8156327284946</v>
      </c>
      <c r="Z221" s="9" t="n">
        <f aca="false">(O221*X221+P221*Y221)/Q221</f>
        <v>57.7197458966137</v>
      </c>
      <c r="AA221" s="9" t="n">
        <f aca="false">CHOOSE(AA$18,CURVES!F180,CURVES!G180)</f>
        <v>47.2592721414089</v>
      </c>
      <c r="AB221" s="9" t="n">
        <f aca="false">(Q221*Z221+R221*AA221)/H221</f>
        <v>51.4261977863061</v>
      </c>
      <c r="AD221" s="9"/>
      <c r="AH221" s="50" t="n">
        <f aca="false">AH209</f>
        <v>1913.83994918903</v>
      </c>
      <c r="AI221" s="50" t="n">
        <f aca="false">AI209</f>
        <v>0</v>
      </c>
      <c r="AJ221" s="50" t="n">
        <f aca="false">AJ209</f>
        <v>1075.38011608834</v>
      </c>
      <c r="AK221" s="50" t="n">
        <f aca="false">AK209</f>
        <v>576.385560502926</v>
      </c>
      <c r="AL221" s="50" t="n">
        <f aca="false">SUM(AH221:AK221)</f>
        <v>3565.6056257803</v>
      </c>
      <c r="AM221" s="50" t="n">
        <f aca="false">AM209</f>
        <v>2259.71325</v>
      </c>
      <c r="AN221" s="50" t="n">
        <f aca="false">AL221+AM221</f>
        <v>5825.3188757803</v>
      </c>
      <c r="AO221" s="8" t="n">
        <f aca="false">I221-AL221-AM221</f>
        <v>8913.81130888482</v>
      </c>
      <c r="AQ221" s="9" t="n">
        <f aca="false">$AQ$18</f>
        <v>43</v>
      </c>
      <c r="AR221" s="9"/>
      <c r="AS221" s="9" t="n">
        <f aca="false">AS$18</f>
        <v>30</v>
      </c>
      <c r="AT221" s="9" t="n">
        <f aca="false">AT$18</f>
        <v>38</v>
      </c>
      <c r="AU221" s="9" t="n">
        <f aca="false">SUMPRODUCT(AH221:AK221,AQ221:AT221)/AL221</f>
        <v>38.2709662589303</v>
      </c>
      <c r="AV221" s="9" t="n">
        <f aca="false">$Y$18/1000*CURVES!O180+$AV$14</f>
        <v>77.5351192880192</v>
      </c>
      <c r="AW221" s="9" t="n">
        <f aca="false">(AL221*AU221+AM221*AV221)/AN221</f>
        <v>53.5020169090073</v>
      </c>
      <c r="AX221" s="9" t="n">
        <f aca="false">CHOOSE(AX$18,CURVES!B180,CURVES!C180)</f>
        <v>47.9903225806452</v>
      </c>
      <c r="AY221" s="9" t="n">
        <f aca="false">(AN221*AW221+AO221*AX221)/I221</f>
        <v>50.1686992288103</v>
      </c>
    </row>
    <row r="222" customFormat="false" ht="12.75" hidden="false" customHeight="false" outlineLevel="0" collapsed="false">
      <c r="A222" s="85" t="n">
        <v>42309</v>
      </c>
      <c r="B222" s="31" t="n">
        <f aca="false">YEAR(A222)</f>
        <v>2015</v>
      </c>
      <c r="C222" s="31" t="n">
        <f aca="false">MONTH(A222)</f>
        <v>11</v>
      </c>
      <c r="D222" s="86" t="n">
        <v>0.061776894904134</v>
      </c>
      <c r="E222" s="87" t="n">
        <f aca="false">(1+D222/2)^(-2*(DATE($B223,$C223,20)-$E$17)/365.25)</f>
        <v>1.81184256007144</v>
      </c>
      <c r="F222" s="87"/>
      <c r="G222" s="8"/>
      <c r="H222" s="8" t="n">
        <f aca="false">(1+$I$17)*H210</f>
        <v>16797.7311366631</v>
      </c>
      <c r="I222" s="8" t="n">
        <f aca="false">(1+$I$17)*I210</f>
        <v>14962.8572188449</v>
      </c>
      <c r="K222" s="50" t="n">
        <f aca="false">K210</f>
        <v>2201.15833333333</v>
      </c>
      <c r="L222" s="50" t="n">
        <f aca="false">L210</f>
        <v>1270.02777777778</v>
      </c>
      <c r="M222" s="50" t="n">
        <f aca="false">M210</f>
        <v>241.311111111111</v>
      </c>
      <c r="N222" s="50" t="n">
        <f aca="false">N210</f>
        <v>3.11944444444444</v>
      </c>
      <c r="O222" s="50" t="n">
        <f aca="false">SUM(K222:N222)</f>
        <v>3715.61666666667</v>
      </c>
      <c r="P222" s="50" t="n">
        <f aca="false">P210</f>
        <v>3029.03315829808</v>
      </c>
      <c r="Q222" s="50" t="n">
        <f aca="false">O222+P222</f>
        <v>6744.64982496475</v>
      </c>
      <c r="R222" s="8" t="n">
        <f aca="false">H222-O222-P222</f>
        <v>10053.0813116983</v>
      </c>
      <c r="T222" s="9" t="n">
        <f aca="false">$T$18</f>
        <v>48.72</v>
      </c>
      <c r="U222" s="9" t="n">
        <f aca="false">U$18</f>
        <v>23</v>
      </c>
      <c r="V222" s="9" t="n">
        <f aca="false">V$18</f>
        <v>34</v>
      </c>
      <c r="W222" s="9" t="n">
        <f aca="false">W$18</f>
        <v>38</v>
      </c>
      <c r="X222" s="9" t="n">
        <f aca="false">SUMPRODUCT(K222:N222,T222:W222)/O222</f>
        <v>38.9637044247179</v>
      </c>
      <c r="Y222" s="9" t="n">
        <f aca="false">$Y$18/1000*CURVES!K181+$Y$14</f>
        <v>79.4481327284946</v>
      </c>
      <c r="Z222" s="9" t="n">
        <f aca="false">(O222*X222+P222*Y222)/Q222</f>
        <v>57.1453267341492</v>
      </c>
      <c r="AA222" s="9" t="n">
        <f aca="false">CHOOSE(AA$18,CURVES!F181,CURVES!G181)</f>
        <v>39.1919318026661</v>
      </c>
      <c r="AB222" s="9" t="n">
        <f aca="false">(Q222*Z222+R222*AA222)/H222</f>
        <v>46.4006054620426</v>
      </c>
      <c r="AD222" s="9"/>
      <c r="AH222" s="50" t="n">
        <f aca="false">AH210</f>
        <v>1838.78743628671</v>
      </c>
      <c r="AI222" s="50" t="n">
        <f aca="false">AI210</f>
        <v>0</v>
      </c>
      <c r="AJ222" s="50" t="n">
        <f aca="false">AJ210</f>
        <v>1347.87918472112</v>
      </c>
      <c r="AK222" s="50" t="n">
        <f aca="false">AK210</f>
        <v>499.439112514422</v>
      </c>
      <c r="AL222" s="50" t="n">
        <f aca="false">SUM(AH222:AK222)</f>
        <v>3686.10573352225</v>
      </c>
      <c r="AM222" s="50" t="n">
        <f aca="false">AM210</f>
        <v>2451.23764109589</v>
      </c>
      <c r="AN222" s="50" t="n">
        <f aca="false">AL222+AM222</f>
        <v>6137.34337461814</v>
      </c>
      <c r="AO222" s="8" t="n">
        <f aca="false">I222-AL222-AM222</f>
        <v>8825.51384422677</v>
      </c>
      <c r="AQ222" s="9" t="n">
        <f aca="false">$AQ$18</f>
        <v>43</v>
      </c>
      <c r="AR222" s="9"/>
      <c r="AS222" s="9" t="n">
        <f aca="false">AS$18</f>
        <v>30</v>
      </c>
      <c r="AT222" s="9" t="n">
        <f aca="false">AT$18</f>
        <v>38</v>
      </c>
      <c r="AU222" s="9" t="n">
        <f aca="false">SUMPRODUCT(AH222:AK222,AQ222:AT222)/AL222</f>
        <v>37.5688956282822</v>
      </c>
      <c r="AV222" s="9" t="n">
        <f aca="false">$Y$18/1000*CURVES!O181+$AV$14</f>
        <v>79.0051192880192</v>
      </c>
      <c r="AW222" s="9" t="n">
        <f aca="false">(AL222*AU222+AM222*AV222)/AN222</f>
        <v>54.1184065387639</v>
      </c>
      <c r="AX222" s="9" t="n">
        <f aca="false">CHOOSE(AX$18,CURVES!B181,CURVES!C181)</f>
        <v>45.6666666666667</v>
      </c>
      <c r="AY222" s="9" t="n">
        <f aca="false">(AN222*AW222+AO222*AX222)/I222</f>
        <v>49.1333327551917</v>
      </c>
    </row>
    <row r="223" customFormat="false" ht="12.75" hidden="false" customHeight="false" outlineLevel="0" collapsed="false">
      <c r="A223" s="85" t="n">
        <v>42339</v>
      </c>
      <c r="B223" s="31" t="n">
        <f aca="false">YEAR(A223)</f>
        <v>2015</v>
      </c>
      <c r="C223" s="31" t="n">
        <f aca="false">MONTH(A223)</f>
        <v>12</v>
      </c>
      <c r="D223" s="86" t="n">
        <v>0.061800609988399</v>
      </c>
      <c r="E223" s="87" t="n">
        <f aca="false">(1+D223/2)^(-2*(DATE($B224,$C224,20)-$E$17)/365.25)</f>
        <v>1.80291215198736</v>
      </c>
      <c r="F223" s="87"/>
      <c r="G223" s="8"/>
      <c r="H223" s="8" t="n">
        <f aca="false">(1+$I$17)*H211</f>
        <v>16676.7787951822</v>
      </c>
      <c r="I223" s="8" t="n">
        <f aca="false">(1+$I$17)*I211</f>
        <v>14928.8642135923</v>
      </c>
      <c r="K223" s="50" t="n">
        <f aca="false">K211</f>
        <v>2256.4126344086</v>
      </c>
      <c r="L223" s="50" t="n">
        <f aca="false">L211</f>
        <v>1157.21505376344</v>
      </c>
      <c r="M223" s="50" t="n">
        <f aca="false">M211</f>
        <v>239.860215053763</v>
      </c>
      <c r="N223" s="50" t="n">
        <f aca="false">N211</f>
        <v>2.96908602150538</v>
      </c>
      <c r="O223" s="50" t="n">
        <f aca="false">SUM(K223:N223)</f>
        <v>3656.45698924731</v>
      </c>
      <c r="P223" s="50" t="n">
        <f aca="false">P211</f>
        <v>2977.59684973097</v>
      </c>
      <c r="Q223" s="50" t="n">
        <f aca="false">O223+P223</f>
        <v>6634.05383897828</v>
      </c>
      <c r="R223" s="8" t="n">
        <f aca="false">H223-O223-P223</f>
        <v>10042.7249562039</v>
      </c>
      <c r="T223" s="9" t="n">
        <f aca="false">$T$18</f>
        <v>48.72</v>
      </c>
      <c r="U223" s="9" t="n">
        <f aca="false">U$18</f>
        <v>23</v>
      </c>
      <c r="V223" s="9" t="n">
        <f aca="false">V$18</f>
        <v>34</v>
      </c>
      <c r="W223" s="9" t="n">
        <f aca="false">W$18</f>
        <v>38</v>
      </c>
      <c r="X223" s="9" t="n">
        <f aca="false">SUMPRODUCT(K223:N223,T223:W223)/O223</f>
        <v>39.6056736867024</v>
      </c>
      <c r="Y223" s="9" t="n">
        <f aca="false">$Y$18/1000*CURVES!K182+$Y$14</f>
        <v>80.7606327284946</v>
      </c>
      <c r="Z223" s="9" t="n">
        <f aca="false">(O223*X223+P223*Y223)/Q223</f>
        <v>58.0774677613373</v>
      </c>
      <c r="AA223" s="9" t="n">
        <f aca="false">CHOOSE(AA$18,CURVES!F182,CURVES!G182)</f>
        <v>39.2423532639808</v>
      </c>
      <c r="AB223" s="9" t="n">
        <f aca="false">(Q223*Z223+R223*AA223)/H223</f>
        <v>46.7349970876718</v>
      </c>
      <c r="AD223" s="9"/>
      <c r="AH223" s="50" t="n">
        <f aca="false">AH211</f>
        <v>1921.09500453605</v>
      </c>
      <c r="AI223" s="50" t="n">
        <f aca="false">AI211</f>
        <v>0</v>
      </c>
      <c r="AJ223" s="50" t="n">
        <f aca="false">AJ211</f>
        <v>1326.47869273451</v>
      </c>
      <c r="AK223" s="50" t="n">
        <f aca="false">AK211</f>
        <v>519.619723134563</v>
      </c>
      <c r="AL223" s="50" t="n">
        <f aca="false">SUM(AH223:AK223)</f>
        <v>3767.19342040512</v>
      </c>
      <c r="AM223" s="50" t="n">
        <f aca="false">AM211</f>
        <v>2024.24791129032</v>
      </c>
      <c r="AN223" s="50" t="n">
        <f aca="false">AL223+AM223</f>
        <v>5791.44133169545</v>
      </c>
      <c r="AO223" s="8" t="n">
        <f aca="false">I223-AL223-AM223</f>
        <v>9137.42288189682</v>
      </c>
      <c r="AQ223" s="9" t="n">
        <f aca="false">$AQ$18</f>
        <v>43</v>
      </c>
      <c r="AR223" s="9"/>
      <c r="AS223" s="9" t="n">
        <f aca="false">AS$18</f>
        <v>30</v>
      </c>
      <c r="AT223" s="9" t="n">
        <f aca="false">AT$18</f>
        <v>38</v>
      </c>
      <c r="AU223" s="9" t="n">
        <f aca="false">SUMPRODUCT(AH223:AK223,AQ223:AT223)/AL223</f>
        <v>37.7328635918334</v>
      </c>
      <c r="AV223" s="9" t="n">
        <f aca="false">$Y$18/1000*CURVES!O182+$AV$14</f>
        <v>80.3176192880192</v>
      </c>
      <c r="AW223" s="9" t="n">
        <f aca="false">(AL223*AU223+AM223*AV223)/AN223</f>
        <v>52.6172590011497</v>
      </c>
      <c r="AX223" s="9" t="n">
        <f aca="false">CHOOSE(AX$18,CURVES!B182,CURVES!C182)</f>
        <v>45.2860215053763</v>
      </c>
      <c r="AY223" s="9" t="n">
        <f aca="false">(AN223*AW223+AO223*AX223)/I223</f>
        <v>48.1300712092272</v>
      </c>
    </row>
    <row r="224" customFormat="false" ht="12.75" hidden="false" customHeight="false" outlineLevel="0" collapsed="false">
      <c r="A224" s="85" t="n">
        <v>42370</v>
      </c>
      <c r="B224" s="31" t="n">
        <f aca="false">YEAR(A224)</f>
        <v>2016</v>
      </c>
      <c r="C224" s="31" t="n">
        <f aca="false">MONTH(A224)</f>
        <v>1</v>
      </c>
      <c r="D224" s="86" t="n">
        <v>0.061825115575671</v>
      </c>
      <c r="E224" s="87" t="n">
        <f aca="false">(1+D224/2)^(-2*(DATE($B225,$C225,20)-$E$17)/365.25)</f>
        <v>1.79403195581631</v>
      </c>
      <c r="F224" s="87"/>
      <c r="G224" s="8"/>
      <c r="H224" s="8" t="n">
        <f aca="false">(1+$I$17)*H212</f>
        <v>16983.1976914466</v>
      </c>
      <c r="I224" s="8" t="n">
        <f aca="false">(1+$I$17)*I212</f>
        <v>16144.6471797366</v>
      </c>
      <c r="K224" s="50" t="n">
        <f aca="false">K212</f>
        <v>2185.91801075269</v>
      </c>
      <c r="L224" s="50" t="n">
        <f aca="false">L212</f>
        <v>1282.33064516129</v>
      </c>
      <c r="M224" s="50" t="n">
        <f aca="false">M212</f>
        <v>142.852150537634</v>
      </c>
      <c r="N224" s="50" t="n">
        <f aca="false">N212</f>
        <v>3.16801075268817</v>
      </c>
      <c r="O224" s="50" t="n">
        <f aca="false">SUM(K224:N224)</f>
        <v>3614.2688172043</v>
      </c>
      <c r="P224" s="50" t="n">
        <f aca="false">P212</f>
        <v>2792.6655547379</v>
      </c>
      <c r="Q224" s="50" t="n">
        <f aca="false">O224+P224</f>
        <v>6406.9343719422</v>
      </c>
      <c r="R224" s="8" t="n">
        <f aca="false">H224-O224-P224</f>
        <v>10576.2633195044</v>
      </c>
      <c r="T224" s="9" t="n">
        <f aca="false">$T$18</f>
        <v>48.72</v>
      </c>
      <c r="U224" s="9" t="n">
        <f aca="false">U$18</f>
        <v>23</v>
      </c>
      <c r="V224" s="9" t="n">
        <f aca="false">V$18</f>
        <v>34</v>
      </c>
      <c r="W224" s="9" t="n">
        <f aca="false">W$18</f>
        <v>38</v>
      </c>
      <c r="X224" s="9" t="n">
        <f aca="false">SUMPRODUCT(K224:N224,T224:W224)/O224</f>
        <v>39.0034319468534</v>
      </c>
      <c r="Y224" s="9" t="n">
        <f aca="false">$Y$18/1000*CURVES!K183+$Y$14</f>
        <v>82.4301327284946</v>
      </c>
      <c r="Z224" s="9" t="n">
        <f aca="false">(O224*X224+P224*Y224)/Q224</f>
        <v>57.9323368471287</v>
      </c>
      <c r="AA224" s="9" t="n">
        <f aca="false">CHOOSE(AA$18,CURVES!F183,CURVES!G183)</f>
        <v>40.3803049439417</v>
      </c>
      <c r="AB224" s="9" t="n">
        <f aca="false">(Q224*Z224+R224*AA224)/H224</f>
        <v>47.0018327940586</v>
      </c>
      <c r="AD224" s="9"/>
      <c r="AH224" s="50" t="n">
        <f aca="false">AH212</f>
        <v>1826.05608785899</v>
      </c>
      <c r="AI224" s="50" t="n">
        <f aca="false">AI212</f>
        <v>0</v>
      </c>
      <c r="AJ224" s="50" t="n">
        <f aca="false">AJ212</f>
        <v>1744.08931864439</v>
      </c>
      <c r="AK224" s="50" t="n">
        <f aca="false">AK212</f>
        <v>538.872892801371</v>
      </c>
      <c r="AL224" s="50" t="n">
        <f aca="false">SUM(AH224:AK224)</f>
        <v>4109.01829930475</v>
      </c>
      <c r="AM224" s="50" t="n">
        <f aca="false">AM212</f>
        <v>2445.3687016129</v>
      </c>
      <c r="AN224" s="50" t="n">
        <f aca="false">AL224+AM224</f>
        <v>6554.38700091765</v>
      </c>
      <c r="AO224" s="8" t="n">
        <f aca="false">I224-AL224-AM224</f>
        <v>9590.26017881896</v>
      </c>
      <c r="AQ224" s="9" t="n">
        <f aca="false">$AQ$18</f>
        <v>43</v>
      </c>
      <c r="AR224" s="9"/>
      <c r="AS224" s="9" t="n">
        <f aca="false">AS$18</f>
        <v>30</v>
      </c>
      <c r="AT224" s="9" t="n">
        <f aca="false">AT$18</f>
        <v>38</v>
      </c>
      <c r="AU224" s="9" t="n">
        <f aca="false">SUMPRODUCT(AH224:AK224,AQ224:AT224)/AL224</f>
        <v>36.8263780400598</v>
      </c>
      <c r="AV224" s="9" t="n">
        <f aca="false">$Y$18/1000*CURVES!O183+$AV$14</f>
        <v>81.9871192880192</v>
      </c>
      <c r="AW224" s="9" t="n">
        <f aca="false">(AL224*AU224+AM224*AV224)/AN224</f>
        <v>53.6753470090782</v>
      </c>
      <c r="AX224" s="9" t="n">
        <f aca="false">CHOOSE(AX$18,CURVES!B183,CURVES!C183)</f>
        <v>48.4849462365591</v>
      </c>
      <c r="AY224" s="9" t="n">
        <f aca="false">(AN224*AW224+AO224*AX224)/I224</f>
        <v>50.5921397214468</v>
      </c>
    </row>
    <row r="225" customFormat="false" ht="12.75" hidden="false" customHeight="false" outlineLevel="0" collapsed="false">
      <c r="A225" s="85" t="n">
        <v>42401</v>
      </c>
      <c r="B225" s="31" t="n">
        <f aca="false">YEAR(A225)</f>
        <v>2016</v>
      </c>
      <c r="C225" s="31" t="n">
        <f aca="false">MONTH(A225)</f>
        <v>2</v>
      </c>
      <c r="D225" s="86" t="n">
        <v>0.061849621163141</v>
      </c>
      <c r="E225" s="87" t="n">
        <f aca="false">(1+D225/2)^(-2*(DATE($B226,$C226,20)-$E$17)/365.25)</f>
        <v>1.78578381981623</v>
      </c>
      <c r="F225" s="87"/>
      <c r="G225" s="8"/>
      <c r="H225" s="8" t="n">
        <f aca="false">(1+$I$17)*H213</f>
        <v>17028.8791306308</v>
      </c>
      <c r="I225" s="8" t="n">
        <f aca="false">(1+$I$17)*I213</f>
        <v>16123.1301819497</v>
      </c>
      <c r="K225" s="50" t="n">
        <f aca="false">K213</f>
        <v>2261.87643678161</v>
      </c>
      <c r="L225" s="50" t="n">
        <f aca="false">L213</f>
        <v>1335.97988505747</v>
      </c>
      <c r="M225" s="50" t="n">
        <f aca="false">M213</f>
        <v>236.002873563218</v>
      </c>
      <c r="N225" s="50" t="n">
        <f aca="false">N213</f>
        <v>3.84913793103448</v>
      </c>
      <c r="O225" s="50" t="n">
        <f aca="false">SUM(K225:N225)</f>
        <v>3837.70833333333</v>
      </c>
      <c r="P225" s="50" t="n">
        <f aca="false">P213</f>
        <v>3011.77170136767</v>
      </c>
      <c r="Q225" s="50" t="n">
        <f aca="false">O225+P225</f>
        <v>6849.48003470101</v>
      </c>
      <c r="R225" s="8" t="n">
        <f aca="false">H225-O225-P225</f>
        <v>10179.3990959297</v>
      </c>
      <c r="T225" s="9" t="n">
        <f aca="false">$T$18</f>
        <v>48.72</v>
      </c>
      <c r="U225" s="9" t="n">
        <f aca="false">U$18</f>
        <v>23</v>
      </c>
      <c r="V225" s="9" t="n">
        <f aca="false">V$18</f>
        <v>34</v>
      </c>
      <c r="W225" s="9" t="n">
        <f aca="false">W$18</f>
        <v>38</v>
      </c>
      <c r="X225" s="9" t="n">
        <f aca="false">SUMPRODUCT(K225:N225,T225:W225)/O225</f>
        <v>38.8504048116</v>
      </c>
      <c r="Y225" s="9" t="n">
        <f aca="false">$Y$18/1000*CURVES!K184+$Y$14</f>
        <v>81.4221327284946</v>
      </c>
      <c r="Z225" s="9" t="n">
        <f aca="false">(O225*X225+P225*Y225)/Q225</f>
        <v>57.5695374711383</v>
      </c>
      <c r="AA225" s="9" t="n">
        <f aca="false">CHOOSE(AA$18,CURVES!F184,CURVES!G184)</f>
        <v>40.6954298560437</v>
      </c>
      <c r="AB225" s="9" t="n">
        <f aca="false">(Q225*Z225+R225*AA225)/H225</f>
        <v>47.4826565622976</v>
      </c>
      <c r="AD225" s="9"/>
      <c r="AH225" s="50" t="n">
        <f aca="false">AH213</f>
        <v>1925.74685025101</v>
      </c>
      <c r="AI225" s="50" t="n">
        <f aca="false">AI213</f>
        <v>0</v>
      </c>
      <c r="AJ225" s="50" t="n">
        <f aca="false">AJ213</f>
        <v>2201.92738718254</v>
      </c>
      <c r="AK225" s="50" t="n">
        <f aca="false">AK213</f>
        <v>548.475477754164</v>
      </c>
      <c r="AL225" s="50" t="n">
        <f aca="false">SUM(AH225:AK225)</f>
        <v>4676.14971518771</v>
      </c>
      <c r="AM225" s="50" t="n">
        <f aca="false">AM213</f>
        <v>2161.54564434524</v>
      </c>
      <c r="AN225" s="50" t="n">
        <f aca="false">AL225+AM225</f>
        <v>6837.69535953295</v>
      </c>
      <c r="AO225" s="8" t="n">
        <f aca="false">I225-AL225-AM225</f>
        <v>9285.4348224167</v>
      </c>
      <c r="AQ225" s="9" t="n">
        <f aca="false">$AQ$18</f>
        <v>43</v>
      </c>
      <c r="AR225" s="9"/>
      <c r="AS225" s="9" t="n">
        <f aca="false">AS$18</f>
        <v>30</v>
      </c>
      <c r="AT225" s="9" t="n">
        <f aca="false">AT$18</f>
        <v>38</v>
      </c>
      <c r="AU225" s="9" t="n">
        <f aca="false">SUMPRODUCT(AH225:AK225,AQ225:AT225)/AL225</f>
        <v>36.2920382509856</v>
      </c>
      <c r="AV225" s="9" t="n">
        <f aca="false">$Y$18/1000*CURVES!O184+$AV$14</f>
        <v>80.9791192880192</v>
      </c>
      <c r="AW225" s="9" t="n">
        <f aca="false">(AL225*AU225+AM225*AV225)/AN225</f>
        <v>50.4186057997189</v>
      </c>
      <c r="AX225" s="9" t="n">
        <f aca="false">CHOOSE(AX$18,CURVES!B184,CURVES!C184)</f>
        <v>47.5189655172414</v>
      </c>
      <c r="AY225" s="9" t="n">
        <f aca="false">(AN225*AW225+AO225*AX225)/I225</f>
        <v>48.748680633355</v>
      </c>
    </row>
    <row r="226" customFormat="false" ht="12.75" hidden="false" customHeight="false" outlineLevel="0" collapsed="false">
      <c r="A226" s="85" t="n">
        <v>42430</v>
      </c>
      <c r="B226" s="31" t="n">
        <f aca="false">YEAR(A226)</f>
        <v>2016</v>
      </c>
      <c r="C226" s="31" t="n">
        <f aca="false">MONTH(A226)</f>
        <v>3</v>
      </c>
      <c r="D226" s="86" t="n">
        <v>0.061872545745149</v>
      </c>
      <c r="E226" s="87" t="n">
        <f aca="false">(1+D226/2)^(-2*(DATE($B227,$C227,20)-$E$17)/365.25)</f>
        <v>1.77694816016687</v>
      </c>
      <c r="F226" s="87"/>
      <c r="G226" s="8"/>
      <c r="H226" s="8" t="n">
        <f aca="false">(1+$I$17)*H214</f>
        <v>16930.2961658095</v>
      </c>
      <c r="I226" s="8" t="n">
        <f aca="false">(1+$I$17)*I214</f>
        <v>15761.1711659701</v>
      </c>
      <c r="K226" s="50" t="n">
        <f aca="false">K214</f>
        <v>2263.94623655914</v>
      </c>
      <c r="L226" s="50" t="n">
        <f aca="false">L214</f>
        <v>1258.63037634409</v>
      </c>
      <c r="M226" s="50" t="n">
        <f aca="false">M214</f>
        <v>620.646505376344</v>
      </c>
      <c r="N226" s="50" t="n">
        <f aca="false">N214</f>
        <v>2.58198924731183</v>
      </c>
      <c r="O226" s="50" t="n">
        <f aca="false">SUM(K226:N226)</f>
        <v>4145.80510752688</v>
      </c>
      <c r="P226" s="50" t="n">
        <f aca="false">P214</f>
        <v>2834.39732902856</v>
      </c>
      <c r="Q226" s="50" t="n">
        <f aca="false">O226+P226</f>
        <v>6980.20243655544</v>
      </c>
      <c r="R226" s="8" t="n">
        <f aca="false">H226-O226-P226</f>
        <v>9950.09372925404</v>
      </c>
      <c r="T226" s="9" t="n">
        <f aca="false">$T$18</f>
        <v>48.72</v>
      </c>
      <c r="U226" s="9" t="n">
        <f aca="false">U$18</f>
        <v>23</v>
      </c>
      <c r="V226" s="9" t="n">
        <f aca="false">V$18</f>
        <v>34</v>
      </c>
      <c r="W226" s="9" t="n">
        <f aca="false">W$18</f>
        <v>38</v>
      </c>
      <c r="X226" s="9" t="n">
        <f aca="false">SUMPRODUCT(K226:N226,T226:W226)/O226</f>
        <v>38.7013021388701</v>
      </c>
      <c r="Y226" s="9" t="n">
        <f aca="false">$Y$18/1000*CURVES!K185+$Y$14</f>
        <v>79.8471327284946</v>
      </c>
      <c r="Z226" s="9" t="n">
        <f aca="false">(O226*X226+P226*Y226)/Q226</f>
        <v>55.4090743537751</v>
      </c>
      <c r="AA226" s="9" t="n">
        <f aca="false">CHOOSE(AA$18,CURVES!F185,CURVES!G185)</f>
        <v>40.3492657447815</v>
      </c>
      <c r="AB226" s="9" t="n">
        <f aca="false">(Q226*Z226+R226*AA226)/H226</f>
        <v>46.558283692078</v>
      </c>
      <c r="AD226" s="9"/>
      <c r="AH226" s="50" t="n">
        <f aca="false">AH214</f>
        <v>1891.23873243112</v>
      </c>
      <c r="AI226" s="50" t="n">
        <f aca="false">AI214</f>
        <v>0</v>
      </c>
      <c r="AJ226" s="50" t="n">
        <f aca="false">AJ214</f>
        <v>1966.55049263563</v>
      </c>
      <c r="AK226" s="50" t="n">
        <f aca="false">AK214</f>
        <v>526.073305014923</v>
      </c>
      <c r="AL226" s="50" t="n">
        <f aca="false">SUM(AH226:AK226)</f>
        <v>4383.86253008167</v>
      </c>
      <c r="AM226" s="50" t="n">
        <f aca="false">AM214</f>
        <v>2044.22227284946</v>
      </c>
      <c r="AN226" s="50" t="n">
        <f aca="false">AL226+AM226</f>
        <v>6428.08480293113</v>
      </c>
      <c r="AO226" s="8" t="n">
        <f aca="false">I226-AL226-AM226</f>
        <v>9333.086363039</v>
      </c>
      <c r="AQ226" s="9" t="n">
        <f aca="false">$AQ$18</f>
        <v>43</v>
      </c>
      <c r="AR226" s="9"/>
      <c r="AS226" s="9" t="n">
        <f aca="false">AS$18</f>
        <v>30</v>
      </c>
      <c r="AT226" s="9" t="n">
        <f aca="false">AT$18</f>
        <v>38</v>
      </c>
      <c r="AU226" s="9" t="n">
        <f aca="false">SUMPRODUCT(AH226:AK226,AQ226:AT226)/AL226</f>
        <v>36.5683377989472</v>
      </c>
      <c r="AV226" s="9" t="n">
        <f aca="false">$Y$18/1000*CURVES!O185+$AV$14</f>
        <v>79.4041192880192</v>
      </c>
      <c r="AW226" s="9" t="n">
        <f aca="false">(AL226*AU226+AM226*AV226)/AN226</f>
        <v>50.1907247585817</v>
      </c>
      <c r="AX226" s="9" t="n">
        <f aca="false">CHOOSE(AX$18,CURVES!B185,CURVES!C185)</f>
        <v>45.5274193548387</v>
      </c>
      <c r="AY226" s="9" t="n">
        <f aca="false">(AN226*AW226+AO226*AX226)/I226</f>
        <v>47.4293162558728</v>
      </c>
    </row>
    <row r="227" customFormat="false" ht="12.75" hidden="false" customHeight="false" outlineLevel="0" collapsed="false">
      <c r="A227" s="85" t="n">
        <v>42461</v>
      </c>
      <c r="B227" s="31" t="n">
        <f aca="false">YEAR(A227)</f>
        <v>2016</v>
      </c>
      <c r="C227" s="31" t="n">
        <f aca="false">MONTH(A227)</f>
        <v>4</v>
      </c>
      <c r="D227" s="86" t="n">
        <v>0.061897051333005</v>
      </c>
      <c r="E227" s="87" t="n">
        <f aca="false">(1+D227/2)^(-2*(DATE($B228,$C228,20)-$E$17)/365.25)</f>
        <v>1.76847001653123</v>
      </c>
      <c r="F227" s="87"/>
      <c r="G227" s="8"/>
      <c r="H227" s="8" t="n">
        <f aca="false">(1+$I$17)*H215</f>
        <v>17005.4211846011</v>
      </c>
      <c r="I227" s="8" t="n">
        <f aca="false">(1+$I$17)*I215</f>
        <v>15397.0377057701</v>
      </c>
      <c r="K227" s="50" t="n">
        <f aca="false">K215</f>
        <v>2319.84027777778</v>
      </c>
      <c r="L227" s="50" t="n">
        <f aca="false">L215</f>
        <v>1179.16597222222</v>
      </c>
      <c r="M227" s="50" t="n">
        <f aca="false">M215</f>
        <v>811.586111111111</v>
      </c>
      <c r="N227" s="50" t="n">
        <f aca="false">N215</f>
        <v>3.04166666666667</v>
      </c>
      <c r="O227" s="50" t="n">
        <f aca="false">SUM(K227:N227)</f>
        <v>4313.63402777778</v>
      </c>
      <c r="P227" s="50" t="n">
        <f aca="false">P215</f>
        <v>2923.39459068154</v>
      </c>
      <c r="Q227" s="50" t="n">
        <f aca="false">O227+P227</f>
        <v>7237.02861845932</v>
      </c>
      <c r="R227" s="8" t="n">
        <f aca="false">H227-O227-P227</f>
        <v>9768.39256614175</v>
      </c>
      <c r="T227" s="9" t="n">
        <f aca="false">$T$18</f>
        <v>48.72</v>
      </c>
      <c r="U227" s="9" t="n">
        <f aca="false">U$18</f>
        <v>23</v>
      </c>
      <c r="V227" s="9" t="n">
        <f aca="false">V$18</f>
        <v>34</v>
      </c>
      <c r="W227" s="9" t="n">
        <f aca="false">W$18</f>
        <v>38</v>
      </c>
      <c r="X227" s="9" t="n">
        <f aca="false">SUMPRODUCT(K227:N227,T227:W227)/O227</f>
        <v>38.9121899828918</v>
      </c>
      <c r="Y227" s="9" t="n">
        <f aca="false">$Y$18/1000*CURVES!K186+$Y$14</f>
        <v>79.7631327284946</v>
      </c>
      <c r="Z227" s="9" t="n">
        <f aca="false">(O227*X227+P227*Y227)/Q227</f>
        <v>55.4139106949152</v>
      </c>
      <c r="AA227" s="9" t="n">
        <f aca="false">CHOOSE(AA$18,CURVES!F186,CURVES!G186)</f>
        <v>39.1458704225663</v>
      </c>
      <c r="AB227" s="9" t="n">
        <f aca="false">(Q227*Z227+R227*AA227)/H227</f>
        <v>46.0690904792297</v>
      </c>
      <c r="AD227" s="9"/>
      <c r="AH227" s="50" t="n">
        <f aca="false">AH215</f>
        <v>1937.93108490741</v>
      </c>
      <c r="AI227" s="50" t="n">
        <f aca="false">AI215</f>
        <v>0</v>
      </c>
      <c r="AJ227" s="50" t="n">
        <f aca="false">AJ215</f>
        <v>2070.95002093926</v>
      </c>
      <c r="AK227" s="50" t="n">
        <f aca="false">AK215</f>
        <v>513.919329218532</v>
      </c>
      <c r="AL227" s="50" t="n">
        <f aca="false">SUM(AH227:AK227)</f>
        <v>4522.8004350652</v>
      </c>
      <c r="AM227" s="50" t="n">
        <f aca="false">AM215</f>
        <v>2152.99685890411</v>
      </c>
      <c r="AN227" s="50" t="n">
        <f aca="false">AL227+AM227</f>
        <v>6675.79729396931</v>
      </c>
      <c r="AO227" s="8" t="n">
        <f aca="false">I227-AL227-AM227</f>
        <v>8721.24041180075</v>
      </c>
      <c r="AQ227" s="9" t="n">
        <f aca="false">$AQ$18</f>
        <v>43</v>
      </c>
      <c r="AR227" s="9"/>
      <c r="AS227" s="9" t="n">
        <f aca="false">AS$18</f>
        <v>30</v>
      </c>
      <c r="AT227" s="9" t="n">
        <f aca="false">AT$18</f>
        <v>38</v>
      </c>
      <c r="AU227" s="9" t="n">
        <f aca="false">SUMPRODUCT(AH227:AK227,AQ227:AT227)/AL227</f>
        <v>36.4792729987261</v>
      </c>
      <c r="AV227" s="9" t="n">
        <f aca="false">$Y$18/1000*CURVES!O186+$AV$14</f>
        <v>77.4826192880192</v>
      </c>
      <c r="AW227" s="9" t="n">
        <f aca="false">(AL227*AU227+AM227*AV227)/AN227</f>
        <v>49.7031729881932</v>
      </c>
      <c r="AX227" s="9" t="n">
        <f aca="false">CHOOSE(AX$18,CURVES!B186,CURVES!C186)</f>
        <v>43.6044444444444</v>
      </c>
      <c r="AY227" s="9" t="n">
        <f aca="false">(AN227*AW227+AO227*AX227)/I227</f>
        <v>46.2487112369947</v>
      </c>
    </row>
    <row r="228" customFormat="false" ht="12.75" hidden="false" customHeight="false" outlineLevel="0" collapsed="false">
      <c r="A228" s="85" t="n">
        <v>42491</v>
      </c>
      <c r="B228" s="31" t="n">
        <f aca="false">YEAR(A228)</f>
        <v>2016</v>
      </c>
      <c r="C228" s="31" t="n">
        <f aca="false">MONTH(A228)</f>
        <v>5</v>
      </c>
      <c r="D228" s="86" t="n">
        <v>0.061920766418217</v>
      </c>
      <c r="E228" s="87" t="n">
        <f aca="false">(1+D228/2)^(-2*(DATE($B229,$C229,20)-$E$17)/365.25)</f>
        <v>1.75971911166124</v>
      </c>
      <c r="F228" s="87"/>
      <c r="G228" s="8"/>
      <c r="H228" s="8" t="n">
        <f aca="false">(1+$I$17)*H216</f>
        <v>17969.6086391555</v>
      </c>
      <c r="I228" s="8" t="n">
        <f aca="false">(1+$I$17)*I216</f>
        <v>16771.504152358</v>
      </c>
      <c r="K228" s="50" t="n">
        <f aca="false">K216</f>
        <v>2226.06720430108</v>
      </c>
      <c r="L228" s="50" t="n">
        <f aca="false">L216</f>
        <v>1023.62634408602</v>
      </c>
      <c r="M228" s="50" t="n">
        <f aca="false">M216</f>
        <v>950.165322580645</v>
      </c>
      <c r="N228" s="50" t="n">
        <f aca="false">N216</f>
        <v>3.30510752688172</v>
      </c>
      <c r="O228" s="50" t="n">
        <f aca="false">SUM(K228:N228)</f>
        <v>4203.16397849462</v>
      </c>
      <c r="P228" s="50" t="n">
        <f aca="false">P216</f>
        <v>2831.51050210493</v>
      </c>
      <c r="Q228" s="50" t="n">
        <f aca="false">O228+P228</f>
        <v>7034.67448059955</v>
      </c>
      <c r="R228" s="8" t="n">
        <f aca="false">H228-O228-P228</f>
        <v>10934.934158556</v>
      </c>
      <c r="T228" s="9" t="n">
        <f aca="false">$T$18</f>
        <v>48.72</v>
      </c>
      <c r="U228" s="9" t="n">
        <f aca="false">U$18</f>
        <v>23</v>
      </c>
      <c r="V228" s="9" t="n">
        <f aca="false">V$18</f>
        <v>34</v>
      </c>
      <c r="W228" s="9" t="n">
        <f aca="false">W$18</f>
        <v>38</v>
      </c>
      <c r="X228" s="9" t="n">
        <f aca="false">SUMPRODUCT(K228:N228,T228:W228)/O228</f>
        <v>39.1201999261949</v>
      </c>
      <c r="Y228" s="9" t="n">
        <f aca="false">$Y$18/1000*CURVES!K187+$Y$14</f>
        <v>79.5006327284946</v>
      </c>
      <c r="Z228" s="9" t="n">
        <f aca="false">(O228*X228+P228*Y228)/Q228</f>
        <v>55.373634235711</v>
      </c>
      <c r="AA228" s="9" t="n">
        <f aca="false">CHOOSE(AA$18,CURVES!F187,CURVES!G187)</f>
        <v>38.4512781018419</v>
      </c>
      <c r="AB228" s="9" t="n">
        <f aca="false">(Q228*Z228+R228*AA228)/H228</f>
        <v>45.0759781293735</v>
      </c>
      <c r="AD228" s="9"/>
      <c r="AH228" s="50" t="n">
        <f aca="false">AH216</f>
        <v>1895.25910320262</v>
      </c>
      <c r="AI228" s="50" t="n">
        <f aca="false">AI216</f>
        <v>0</v>
      </c>
      <c r="AJ228" s="50" t="n">
        <f aca="false">AJ216</f>
        <v>1877.63033247346</v>
      </c>
      <c r="AK228" s="50" t="n">
        <f aca="false">AK216</f>
        <v>570.53181663935</v>
      </c>
      <c r="AL228" s="50" t="n">
        <f aca="false">SUM(AH228:AK228)</f>
        <v>4343.42125231544</v>
      </c>
      <c r="AM228" s="50" t="n">
        <f aca="false">AM216</f>
        <v>2186.84183198925</v>
      </c>
      <c r="AN228" s="50" t="n">
        <f aca="false">AL228+AM228</f>
        <v>6530.26308430469</v>
      </c>
      <c r="AO228" s="8" t="n">
        <f aca="false">I228-AL228-AM228</f>
        <v>10241.2410680533</v>
      </c>
      <c r="AQ228" s="9" t="n">
        <f aca="false">$AQ$18</f>
        <v>43</v>
      </c>
      <c r="AR228" s="9"/>
      <c r="AS228" s="9" t="n">
        <f aca="false">AS$18</f>
        <v>30</v>
      </c>
      <c r="AT228" s="9" t="n">
        <f aca="false">AT$18</f>
        <v>38</v>
      </c>
      <c r="AU228" s="9" t="n">
        <f aca="false">SUMPRODUCT(AH228:AK228,AQ228:AT228)/AL228</f>
        <v>36.7234148332219</v>
      </c>
      <c r="AV228" s="9" t="n">
        <f aca="false">$Y$18/1000*CURVES!O187+$AV$14</f>
        <v>77.2201192880192</v>
      </c>
      <c r="AW228" s="9" t="n">
        <f aca="false">(AL228*AU228+AM228*AV228)/AN228</f>
        <v>50.284872651408</v>
      </c>
      <c r="AX228" s="9" t="n">
        <f aca="false">CHOOSE(AX$18,CURVES!B187,CURVES!C187)</f>
        <v>43.0629032258065</v>
      </c>
      <c r="AY228" s="9" t="n">
        <f aca="false">(AN228*AW228+AO228*AX228)/I228</f>
        <v>45.8748967063884</v>
      </c>
    </row>
    <row r="229" customFormat="false" ht="12.75" hidden="false" customHeight="false" outlineLevel="0" collapsed="false">
      <c r="A229" s="85" t="n">
        <v>42522</v>
      </c>
      <c r="B229" s="31" t="n">
        <f aca="false">YEAR(A229)</f>
        <v>2016</v>
      </c>
      <c r="C229" s="31" t="n">
        <f aca="false">MONTH(A229)</f>
        <v>6</v>
      </c>
      <c r="D229" s="86" t="n">
        <v>0.061945272006466</v>
      </c>
      <c r="E229" s="87" t="n">
        <f aca="false">(1+D229/2)^(-2*(DATE($B230,$C230,20)-$E$17)/365.25)</f>
        <v>1.75130948152478</v>
      </c>
      <c r="F229" s="87"/>
      <c r="G229" s="8"/>
      <c r="H229" s="8" t="n">
        <f aca="false">(1+$I$17)*H217</f>
        <v>19858.6095988686</v>
      </c>
      <c r="I229" s="8" t="n">
        <f aca="false">(1+$I$17)*I217</f>
        <v>18911.9896705484</v>
      </c>
      <c r="K229" s="50" t="n">
        <f aca="false">K217</f>
        <v>2252.13333333333</v>
      </c>
      <c r="L229" s="50" t="n">
        <f aca="false">L217</f>
        <v>1398.39166666667</v>
      </c>
      <c r="M229" s="50" t="n">
        <f aca="false">M217</f>
        <v>957.040277777778</v>
      </c>
      <c r="N229" s="50" t="n">
        <f aca="false">N217</f>
        <v>3.52638888888889</v>
      </c>
      <c r="O229" s="50" t="n">
        <f aca="false">SUM(K229:N229)</f>
        <v>4611.09166666667</v>
      </c>
      <c r="P229" s="50" t="n">
        <f aca="false">P217</f>
        <v>3175.74117813466</v>
      </c>
      <c r="Q229" s="50" t="n">
        <f aca="false">O229+P229</f>
        <v>7786.83284480132</v>
      </c>
      <c r="R229" s="8" t="n">
        <f aca="false">H229-O229-P229</f>
        <v>12071.7767540672</v>
      </c>
      <c r="T229" s="9" t="n">
        <f aca="false">$T$18</f>
        <v>48.72</v>
      </c>
      <c r="U229" s="9" t="n">
        <f aca="false">U$18</f>
        <v>23</v>
      </c>
      <c r="V229" s="9" t="n">
        <f aca="false">V$18</f>
        <v>34</v>
      </c>
      <c r="W229" s="9" t="n">
        <f aca="false">W$18</f>
        <v>38</v>
      </c>
      <c r="X229" s="9" t="n">
        <f aca="false">SUMPRODUCT(K229:N229,T229:W229)/O229</f>
        <v>37.8566138290945</v>
      </c>
      <c r="Y229" s="9" t="n">
        <f aca="false">$Y$18/1000*CURVES!K188+$Y$14</f>
        <v>79.8051327284946</v>
      </c>
      <c r="Z229" s="9" t="n">
        <f aca="false">(O229*X229+P229*Y229)/Q229</f>
        <v>54.9646783638975</v>
      </c>
      <c r="AA229" s="9" t="n">
        <f aca="false">CHOOSE(AA$18,CURVES!F188,CURVES!G188)</f>
        <v>49.9120710680753</v>
      </c>
      <c r="AB229" s="9" t="n">
        <f aca="false">(Q229*Z229+R229*AA229)/H229</f>
        <v>51.8932675988351</v>
      </c>
      <c r="AD229" s="9"/>
      <c r="AH229" s="50" t="n">
        <f aca="false">AH217</f>
        <v>1881.37055634004</v>
      </c>
      <c r="AI229" s="50" t="n">
        <f aca="false">AI217</f>
        <v>0</v>
      </c>
      <c r="AJ229" s="50" t="n">
        <f aca="false">AJ217</f>
        <v>1162.16168617347</v>
      </c>
      <c r="AK229" s="50" t="n">
        <f aca="false">AK217</f>
        <v>631.240712103584</v>
      </c>
      <c r="AL229" s="50" t="n">
        <f aca="false">SUM(AH229:AK229)</f>
        <v>3674.77295461709</v>
      </c>
      <c r="AM229" s="50" t="n">
        <f aca="false">AM217</f>
        <v>2754.04614109589</v>
      </c>
      <c r="AN229" s="50" t="n">
        <f aca="false">AL229+AM229</f>
        <v>6428.81909571298</v>
      </c>
      <c r="AO229" s="8" t="n">
        <f aca="false">I229-AL229-AM229</f>
        <v>12483.1705748354</v>
      </c>
      <c r="AQ229" s="9" t="n">
        <f aca="false">$AQ$18</f>
        <v>43</v>
      </c>
      <c r="AR229" s="9"/>
      <c r="AS229" s="9" t="n">
        <f aca="false">AS$18</f>
        <v>30</v>
      </c>
      <c r="AT229" s="9" t="n">
        <f aca="false">AT$18</f>
        <v>38</v>
      </c>
      <c r="AU229" s="9" t="n">
        <f aca="false">SUMPRODUCT(AH229:AK229,AQ229:AT229)/AL229</f>
        <v>38.0298138942638</v>
      </c>
      <c r="AV229" s="9" t="n">
        <f aca="false">$Y$18/1000*CURVES!O188+$AV$14</f>
        <v>77.5246192880192</v>
      </c>
      <c r="AW229" s="9" t="n">
        <f aca="false">(AL229*AU229+AM229*AV229)/AN229</f>
        <v>54.9490201697271</v>
      </c>
      <c r="AX229" s="9" t="n">
        <f aca="false">CHOOSE(AX$18,CURVES!B188,CURVES!C188)</f>
        <v>48.8155555555556</v>
      </c>
      <c r="AY229" s="9" t="n">
        <f aca="false">(AN229*AW229+AO229*AX229)/I229</f>
        <v>50.9005257316905</v>
      </c>
    </row>
    <row r="230" customFormat="false" ht="12.75" hidden="false" customHeight="false" outlineLevel="0" collapsed="false">
      <c r="A230" s="85" t="n">
        <v>42552</v>
      </c>
      <c r="B230" s="31" t="n">
        <f aca="false">YEAR(A230)</f>
        <v>2016</v>
      </c>
      <c r="C230" s="31" t="n">
        <f aca="false">MONTH(A230)</f>
        <v>7</v>
      </c>
      <c r="D230" s="86" t="n">
        <v>0.061968987092058</v>
      </c>
      <c r="E230" s="87" t="n">
        <f aca="false">(1+D230/2)^(-2*(DATE($B231,$C231,20)-$E$17)/365.25)</f>
        <v>1.74262987092323</v>
      </c>
      <c r="F230" s="87"/>
      <c r="G230" s="8"/>
      <c r="H230" s="8" t="n">
        <f aca="false">(1+$I$17)*H218</f>
        <v>19600.3018239976</v>
      </c>
      <c r="I230" s="8" t="n">
        <f aca="false">(1+$I$17)*I218</f>
        <v>17952.976524493</v>
      </c>
      <c r="K230" s="50" t="n">
        <f aca="false">K218</f>
        <v>2248.45698924731</v>
      </c>
      <c r="L230" s="50" t="n">
        <f aca="false">L218</f>
        <v>1358.32258064516</v>
      </c>
      <c r="M230" s="50" t="n">
        <f aca="false">M218</f>
        <v>653.551075268817</v>
      </c>
      <c r="N230" s="50" t="n">
        <f aca="false">N218</f>
        <v>3.83736559139785</v>
      </c>
      <c r="O230" s="50" t="n">
        <f aca="false">SUM(K230:N230)</f>
        <v>4264.16801075269</v>
      </c>
      <c r="P230" s="50" t="n">
        <f aca="false">P218</f>
        <v>3349.38956238808</v>
      </c>
      <c r="Q230" s="50" t="n">
        <f aca="false">O230+P230</f>
        <v>7613.55757314076</v>
      </c>
      <c r="R230" s="8" t="n">
        <f aca="false">H230-O230-P230</f>
        <v>11986.7442508568</v>
      </c>
      <c r="T230" s="9" t="n">
        <f aca="false">$T$18</f>
        <v>48.72</v>
      </c>
      <c r="U230" s="9" t="n">
        <f aca="false">U$18</f>
        <v>23</v>
      </c>
      <c r="V230" s="9" t="n">
        <f aca="false">V$18</f>
        <v>34</v>
      </c>
      <c r="W230" s="9" t="n">
        <f aca="false">W$18</f>
        <v>38</v>
      </c>
      <c r="X230" s="9" t="n">
        <f aca="false">SUMPRODUCT(K230:N230,T230:W230)/O230</f>
        <v>38.2613442789234</v>
      </c>
      <c r="Y230" s="9" t="n">
        <f aca="false">$Y$18/1000*CURVES!K189+$Y$14</f>
        <v>80.1201327284946</v>
      </c>
      <c r="Z230" s="9" t="n">
        <f aca="false">(O230*X230+P230*Y230)/Q230</f>
        <v>56.6760456560837</v>
      </c>
      <c r="AA230" s="9" t="n">
        <f aca="false">CHOOSE(AA$18,CURVES!F189,CURVES!G189)</f>
        <v>59.9759423159092</v>
      </c>
      <c r="AB230" s="9" t="n">
        <f aca="false">(Q230*Z230+R230*AA230)/H230</f>
        <v>58.6941277076139</v>
      </c>
      <c r="AD230" s="9"/>
      <c r="AH230" s="50" t="n">
        <f aca="false">AH218</f>
        <v>1914.32162011861</v>
      </c>
      <c r="AI230" s="50" t="n">
        <f aca="false">AI218</f>
        <v>0</v>
      </c>
      <c r="AJ230" s="50" t="n">
        <f aca="false">AJ218</f>
        <v>1193.33197430598</v>
      </c>
      <c r="AK230" s="50" t="n">
        <f aca="false">AK218</f>
        <v>610.723058442111</v>
      </c>
      <c r="AL230" s="50" t="n">
        <f aca="false">SUM(AH230:AK230)</f>
        <v>3718.37665286669</v>
      </c>
      <c r="AM230" s="50" t="n">
        <f aca="false">AM218</f>
        <v>2586.73186021505</v>
      </c>
      <c r="AN230" s="50" t="n">
        <f aca="false">AL230+AM230</f>
        <v>6305.10851308175</v>
      </c>
      <c r="AO230" s="8" t="n">
        <f aca="false">I230-AL230-AM230</f>
        <v>11647.8680114113</v>
      </c>
      <c r="AQ230" s="9" t="n">
        <f aca="false">$AQ$18</f>
        <v>43</v>
      </c>
      <c r="AR230" s="9"/>
      <c r="AS230" s="9" t="n">
        <f aca="false">AS$18</f>
        <v>30</v>
      </c>
      <c r="AT230" s="9" t="n">
        <f aca="false">AT$18</f>
        <v>38</v>
      </c>
      <c r="AU230" s="9" t="n">
        <f aca="false">SUMPRODUCT(AH230:AK230,AQ230:AT230)/AL230</f>
        <v>38.0067105375476</v>
      </c>
      <c r="AV230" s="9" t="n">
        <f aca="false">$Y$18/1000*CURVES!O189+$AV$14</f>
        <v>77.8396192880192</v>
      </c>
      <c r="AW230" s="9" t="n">
        <f aca="false">(AL230*AU230+AM230*AV230)/AN230</f>
        <v>54.3485473094452</v>
      </c>
      <c r="AX230" s="9" t="n">
        <f aca="false">CHOOSE(AX$18,CURVES!B189,CURVES!C189)</f>
        <v>60.0096774193548</v>
      </c>
      <c r="AY230" s="9" t="n">
        <f aca="false">(AN230*AW230+AO230*AX230)/I230</f>
        <v>58.0214812224201</v>
      </c>
    </row>
    <row r="231" customFormat="false" ht="12.75" hidden="false" customHeight="false" outlineLevel="0" collapsed="false">
      <c r="A231" s="85" t="n">
        <v>42583</v>
      </c>
      <c r="B231" s="31" t="n">
        <f aca="false">YEAR(A231)</f>
        <v>2016</v>
      </c>
      <c r="C231" s="31" t="n">
        <f aca="false">MONTH(A231)</f>
        <v>8</v>
      </c>
      <c r="D231" s="86" t="n">
        <v>0.061993492680699</v>
      </c>
      <c r="E231" s="87" t="n">
        <f aca="false">(1+D231/2)^(-2*(DATE($B232,$C232,20)-$E$17)/365.25)</f>
        <v>1.73399848897182</v>
      </c>
      <c r="F231" s="87"/>
      <c r="G231" s="8"/>
      <c r="H231" s="8" t="n">
        <f aca="false">(1+$I$17)*H219</f>
        <v>21018.8115725132</v>
      </c>
      <c r="I231" s="8" t="n">
        <f aca="false">(1+$I$17)*I219</f>
        <v>18620.2072987986</v>
      </c>
      <c r="K231" s="50" t="n">
        <f aca="false">K219</f>
        <v>2226.06586021505</v>
      </c>
      <c r="L231" s="50" t="n">
        <f aca="false">L219</f>
        <v>1361.98924731183</v>
      </c>
      <c r="M231" s="50" t="n">
        <f aca="false">M219</f>
        <v>483.364247311828</v>
      </c>
      <c r="N231" s="50" t="n">
        <f aca="false">N219</f>
        <v>3.9247311827957</v>
      </c>
      <c r="O231" s="50" t="n">
        <f aca="false">SUM(K231:N231)</f>
        <v>4075.34408602151</v>
      </c>
      <c r="P231" s="50" t="n">
        <f aca="false">P219</f>
        <v>3426.25292884001</v>
      </c>
      <c r="Q231" s="50" t="n">
        <f aca="false">O231+P231</f>
        <v>7501.59701486152</v>
      </c>
      <c r="R231" s="8" t="n">
        <f aca="false">H231-O231-P231</f>
        <v>13517.2145576517</v>
      </c>
      <c r="T231" s="9" t="n">
        <f aca="false">$T$18</f>
        <v>48.72</v>
      </c>
      <c r="U231" s="9" t="n">
        <f aca="false">U$18</f>
        <v>23</v>
      </c>
      <c r="V231" s="9" t="n">
        <f aca="false">V$18</f>
        <v>34</v>
      </c>
      <c r="W231" s="9" t="n">
        <f aca="false">W$18</f>
        <v>38</v>
      </c>
      <c r="X231" s="9" t="n">
        <f aca="false">SUMPRODUCT(K231:N231,T231:W231)/O231</f>
        <v>38.3680990588564</v>
      </c>
      <c r="Y231" s="9" t="n">
        <f aca="false">$Y$18/1000*CURVES!K190+$Y$14</f>
        <v>80.3301327284946</v>
      </c>
      <c r="Z231" s="9" t="n">
        <f aca="false">(O231*X231+P231*Y231)/Q231</f>
        <v>57.5336901291114</v>
      </c>
      <c r="AA231" s="9" t="n">
        <f aca="false">CHOOSE(AA$18,CURVES!F190,CURVES!G190)</f>
        <v>64.1909116356929</v>
      </c>
      <c r="AB231" s="9" t="n">
        <f aca="false">(Q231*Z231+R231*AA231)/H231</f>
        <v>61.8149546122068</v>
      </c>
      <c r="AD231" s="9"/>
      <c r="AH231" s="50" t="n">
        <f aca="false">AH219</f>
        <v>1859.59450264151</v>
      </c>
      <c r="AI231" s="50" t="n">
        <f aca="false">AI219</f>
        <v>0</v>
      </c>
      <c r="AJ231" s="50" t="n">
        <f aca="false">AJ219</f>
        <v>1584.50880376937</v>
      </c>
      <c r="AK231" s="50" t="n">
        <f aca="false">AK219</f>
        <v>621.501656862376</v>
      </c>
      <c r="AL231" s="50" t="n">
        <f aca="false">SUM(AH231:AK231)</f>
        <v>4065.60496327325</v>
      </c>
      <c r="AM231" s="50" t="n">
        <f aca="false">AM219</f>
        <v>2208.28901612903</v>
      </c>
      <c r="AN231" s="50" t="n">
        <f aca="false">AL231+AM231</f>
        <v>6273.89397940229</v>
      </c>
      <c r="AO231" s="8" t="n">
        <f aca="false">I231-AL231-AM231</f>
        <v>12346.3133193963</v>
      </c>
      <c r="AQ231" s="9" t="n">
        <f aca="false">$AQ$18</f>
        <v>43</v>
      </c>
      <c r="AR231" s="9"/>
      <c r="AS231" s="9" t="n">
        <f aca="false">AS$18</f>
        <v>30</v>
      </c>
      <c r="AT231" s="9" t="n">
        <f aca="false">AT$18</f>
        <v>38</v>
      </c>
      <c r="AU231" s="9" t="n">
        <f aca="false">SUMPRODUCT(AH231:AK231,AQ231:AT231)/AL231</f>
        <v>37.1691032583186</v>
      </c>
      <c r="AV231" s="9" t="n">
        <f aca="false">$Y$18/1000*CURVES!O190+$AV$14</f>
        <v>78.0496192880192</v>
      </c>
      <c r="AW231" s="9" t="n">
        <f aca="false">(AL231*AU231+AM231*AV231)/AN231</f>
        <v>51.5582521375407</v>
      </c>
      <c r="AX231" s="9" t="n">
        <f aca="false">CHOOSE(AX$18,CURVES!B190,CURVES!C190)</f>
        <v>70.2887096774194</v>
      </c>
      <c r="AY231" s="9" t="n">
        <f aca="false">(AN231*AW231+AO231*AX231)/I231</f>
        <v>63.9776679738999</v>
      </c>
    </row>
    <row r="232" customFormat="false" ht="12.75" hidden="false" customHeight="false" outlineLevel="0" collapsed="false">
      <c r="A232" s="85" t="n">
        <v>42614</v>
      </c>
      <c r="B232" s="31" t="n">
        <f aca="false">YEAR(A232)</f>
        <v>2016</v>
      </c>
      <c r="C232" s="31" t="n">
        <f aca="false">MONTH(A232)</f>
        <v>9</v>
      </c>
      <c r="D232" s="86" t="n">
        <v>0.062017998269539</v>
      </c>
      <c r="E232" s="87" t="n">
        <f aca="false">(1+D232/2)^(-2*(DATE($B233,$C233,20)-$E$17)/365.25)</f>
        <v>1.72569143322031</v>
      </c>
      <c r="F232" s="87"/>
      <c r="G232" s="8"/>
      <c r="H232" s="8" t="n">
        <f aca="false">(1+$I$17)*H220</f>
        <v>19039.0843847182</v>
      </c>
      <c r="I232" s="8" t="n">
        <f aca="false">(1+$I$17)*I220</f>
        <v>17539.0397718448</v>
      </c>
      <c r="K232" s="50" t="n">
        <f aca="false">K220</f>
        <v>2263.63333333333</v>
      </c>
      <c r="L232" s="50" t="n">
        <f aca="false">L220</f>
        <v>1380.73611111111</v>
      </c>
      <c r="M232" s="50" t="n">
        <f aca="false">M220</f>
        <v>542.602777777778</v>
      </c>
      <c r="N232" s="50" t="n">
        <f aca="false">N220</f>
        <v>3.41944444444444</v>
      </c>
      <c r="O232" s="50" t="n">
        <f aca="false">SUM(K232:N232)</f>
        <v>4190.39166666667</v>
      </c>
      <c r="P232" s="50" t="n">
        <f aca="false">P220</f>
        <v>3348.13393235473</v>
      </c>
      <c r="Q232" s="50" t="n">
        <f aca="false">O232+P232</f>
        <v>7538.52559902139</v>
      </c>
      <c r="R232" s="8" t="n">
        <f aca="false">H232-O232-P232</f>
        <v>11500.5587856968</v>
      </c>
      <c r="T232" s="9" t="n">
        <f aca="false">$T$18</f>
        <v>48.72</v>
      </c>
      <c r="U232" s="9" t="n">
        <f aca="false">U$18</f>
        <v>23</v>
      </c>
      <c r="V232" s="9" t="n">
        <f aca="false">V$18</f>
        <v>34</v>
      </c>
      <c r="W232" s="9" t="n">
        <f aca="false">W$18</f>
        <v>38</v>
      </c>
      <c r="X232" s="9" t="n">
        <f aca="false">SUMPRODUCT(K232:N232,T232:W232)/O232</f>
        <v>38.3304456159959</v>
      </c>
      <c r="Y232" s="9" t="n">
        <f aca="false">$Y$18/1000*CURVES!K191+$Y$14</f>
        <v>80.5506327284946</v>
      </c>
      <c r="Z232" s="9" t="n">
        <f aca="false">(O232*X232+P232*Y232)/Q232</f>
        <v>57.0819692720372</v>
      </c>
      <c r="AA232" s="9" t="n">
        <f aca="false">CHOOSE(AA$18,CURVES!F191,CURVES!G191)</f>
        <v>58.1130152884798</v>
      </c>
      <c r="AB232" s="9" t="n">
        <f aca="false">(Q232*Z232+R232*AA232)/H232</f>
        <v>57.7047726108561</v>
      </c>
      <c r="AD232" s="9"/>
      <c r="AH232" s="50" t="n">
        <f aca="false">AH220</f>
        <v>1890.97734163897</v>
      </c>
      <c r="AI232" s="50" t="n">
        <f aca="false">AI220</f>
        <v>0</v>
      </c>
      <c r="AJ232" s="50" t="n">
        <f aca="false">AJ220</f>
        <v>765.820605438213</v>
      </c>
      <c r="AK232" s="50" t="n">
        <f aca="false">AK220</f>
        <v>570.922545092046</v>
      </c>
      <c r="AL232" s="50" t="n">
        <f aca="false">SUM(AH232:AK232)</f>
        <v>3227.72049216923</v>
      </c>
      <c r="AM232" s="50" t="n">
        <f aca="false">AM220</f>
        <v>2371.57693150685</v>
      </c>
      <c r="AN232" s="50" t="n">
        <f aca="false">AL232+AM232</f>
        <v>5599.29742367608</v>
      </c>
      <c r="AO232" s="8" t="n">
        <f aca="false">I232-AL232-AM232</f>
        <v>11939.7423481688</v>
      </c>
      <c r="AQ232" s="9" t="n">
        <f aca="false">$AQ$18</f>
        <v>43</v>
      </c>
      <c r="AR232" s="9"/>
      <c r="AS232" s="9" t="n">
        <f aca="false">AS$18</f>
        <v>30</v>
      </c>
      <c r="AT232" s="9" t="n">
        <f aca="false">AT$18</f>
        <v>38</v>
      </c>
      <c r="AU232" s="9" t="n">
        <f aca="false">SUMPRODUCT(AH232:AK232,AQ232:AT232)/AL232</f>
        <v>39.0311679319086</v>
      </c>
      <c r="AV232" s="9" t="n">
        <f aca="false">$Y$18/1000*CURVES!O191+$AV$14</f>
        <v>78.2701192880192</v>
      </c>
      <c r="AW232" s="9" t="n">
        <f aca="false">(AL232*AU232+AM232*AV232)/AN232</f>
        <v>55.6507872897201</v>
      </c>
      <c r="AX232" s="9" t="n">
        <f aca="false">CHOOSE(AX$18,CURVES!B191,CURVES!C191)</f>
        <v>61.4111111111111</v>
      </c>
      <c r="AY232" s="9" t="n">
        <f aca="false">(AN232*AW232+AO232*AX232)/I232</f>
        <v>59.5721412044215</v>
      </c>
    </row>
    <row r="233" customFormat="false" ht="12.75" hidden="false" customHeight="false" outlineLevel="0" collapsed="false">
      <c r="A233" s="85" t="n">
        <v>42644</v>
      </c>
      <c r="B233" s="31" t="n">
        <f aca="false">YEAR(A233)</f>
        <v>2016</v>
      </c>
      <c r="C233" s="31" t="n">
        <f aca="false">MONTH(A233)</f>
        <v>10</v>
      </c>
      <c r="D233" s="86" t="n">
        <v>0.062041713355704</v>
      </c>
      <c r="E233" s="87" t="n">
        <f aca="false">(1+D233/2)^(-2*(DATE($B234,$C234,20)-$E$17)/365.25)</f>
        <v>1.71711854578664</v>
      </c>
      <c r="F233" s="87"/>
      <c r="G233" s="8"/>
      <c r="H233" s="8" t="n">
        <f aca="false">(1+$I$17)*H221</f>
        <v>17687.2896069526</v>
      </c>
      <c r="I233" s="8" t="n">
        <f aca="false">(1+$I$17)*I221</f>
        <v>15181.3040902051</v>
      </c>
      <c r="K233" s="50" t="n">
        <f aca="false">K221</f>
        <v>2069.29166666667</v>
      </c>
      <c r="L233" s="50" t="n">
        <f aca="false">L221</f>
        <v>1227.52419354839</v>
      </c>
      <c r="M233" s="50" t="n">
        <f aca="false">M221</f>
        <v>369.340053763441</v>
      </c>
      <c r="N233" s="50" t="n">
        <f aca="false">N221</f>
        <v>3.27822580645161</v>
      </c>
      <c r="O233" s="50" t="n">
        <f aca="false">SUM(K233:N233)</f>
        <v>3669.43413978495</v>
      </c>
      <c r="P233" s="50" t="n">
        <f aca="false">P221</f>
        <v>3171.07549498463</v>
      </c>
      <c r="Q233" s="50" t="n">
        <f aca="false">O233+P233</f>
        <v>6840.50963476957</v>
      </c>
      <c r="R233" s="8" t="n">
        <f aca="false">H233-O233-P233</f>
        <v>10846.779972183</v>
      </c>
      <c r="T233" s="9" t="n">
        <f aca="false">$T$18</f>
        <v>48.72</v>
      </c>
      <c r="U233" s="9" t="n">
        <f aca="false">U$18</f>
        <v>23</v>
      </c>
      <c r="V233" s="9" t="n">
        <f aca="false">V$18</f>
        <v>34</v>
      </c>
      <c r="W233" s="9" t="n">
        <f aca="false">W$18</f>
        <v>38</v>
      </c>
      <c r="X233" s="9" t="n">
        <f aca="false">SUMPRODUCT(K233:N233,T233:W233)/O233</f>
        <v>38.624778497461</v>
      </c>
      <c r="Y233" s="9" t="n">
        <f aca="false">$Y$18/1000*CURVES!K192+$Y$14</f>
        <v>80.8656327284946</v>
      </c>
      <c r="Z233" s="9" t="n">
        <f aca="false">(O233*X233+P233*Y233)/Q233</f>
        <v>58.2064975346509</v>
      </c>
      <c r="AA233" s="9" t="n">
        <f aca="false">CHOOSE(AA$18,CURVES!F192,CURVES!G192)</f>
        <v>47.1430809691735</v>
      </c>
      <c r="AB233" s="9" t="n">
        <f aca="false">(Q233*Z233+R233*AA233)/H233</f>
        <v>51.4218262880645</v>
      </c>
      <c r="AD233" s="9"/>
      <c r="AH233" s="50" t="n">
        <f aca="false">AH221</f>
        <v>1913.83994918903</v>
      </c>
      <c r="AI233" s="50" t="n">
        <f aca="false">AI221</f>
        <v>0</v>
      </c>
      <c r="AJ233" s="50" t="n">
        <f aca="false">AJ221</f>
        <v>1075.38011608834</v>
      </c>
      <c r="AK233" s="50" t="n">
        <f aca="false">AK221</f>
        <v>576.385560502926</v>
      </c>
      <c r="AL233" s="50" t="n">
        <f aca="false">SUM(AH233:AK233)</f>
        <v>3565.6056257803</v>
      </c>
      <c r="AM233" s="50" t="n">
        <f aca="false">AM221</f>
        <v>2259.71325</v>
      </c>
      <c r="AN233" s="50" t="n">
        <f aca="false">AL233+AM233</f>
        <v>5825.3188757803</v>
      </c>
      <c r="AO233" s="8" t="n">
        <f aca="false">I233-AL233-AM233</f>
        <v>9355.98521442477</v>
      </c>
      <c r="AQ233" s="9" t="n">
        <f aca="false">$AQ$18</f>
        <v>43</v>
      </c>
      <c r="AR233" s="9"/>
      <c r="AS233" s="9" t="n">
        <f aca="false">AS$18</f>
        <v>30</v>
      </c>
      <c r="AT233" s="9" t="n">
        <f aca="false">AT$18</f>
        <v>38</v>
      </c>
      <c r="AU233" s="9" t="n">
        <f aca="false">SUMPRODUCT(AH233:AK233,AQ233:AT233)/AL233</f>
        <v>38.2709662589303</v>
      </c>
      <c r="AV233" s="9" t="n">
        <f aca="false">$Y$18/1000*CURVES!O192+$AV$14</f>
        <v>78.5851192880192</v>
      </c>
      <c r="AW233" s="9" t="n">
        <f aca="false">(AL233*AU233+AM233*AV233)/AN233</f>
        <v>53.9093248973073</v>
      </c>
      <c r="AX233" s="9" t="n">
        <f aca="false">CHOOSE(AX$18,CURVES!B192,CURVES!C192)</f>
        <v>47.6741935483871</v>
      </c>
      <c r="AY233" s="9" t="n">
        <f aca="false">(AN233*AW233+AO233*AX233)/I233</f>
        <v>50.0667171500498</v>
      </c>
    </row>
    <row r="234" customFormat="false" ht="12.75" hidden="false" customHeight="false" outlineLevel="0" collapsed="false">
      <c r="A234" s="85" t="n">
        <v>42675</v>
      </c>
      <c r="B234" s="31" t="n">
        <f aca="false">YEAR(A234)</f>
        <v>2016</v>
      </c>
      <c r="C234" s="31" t="n">
        <f aca="false">MONTH(A234)</f>
        <v>11</v>
      </c>
      <c r="D234" s="86" t="n">
        <v>0.062066218944936</v>
      </c>
      <c r="E234" s="87" t="n">
        <f aca="false">(1+D234/2)^(-2*(DATE($B235,$C235,20)-$E$17)/365.25)</f>
        <v>1.7088790000881</v>
      </c>
      <c r="F234" s="87"/>
      <c r="G234" s="8"/>
      <c r="H234" s="8" t="n">
        <f aca="false">(1+$I$17)*H222</f>
        <v>17301.663070763</v>
      </c>
      <c r="I234" s="8" t="n">
        <f aca="false">(1+$I$17)*I222</f>
        <v>15411.7429354103</v>
      </c>
      <c r="K234" s="50" t="n">
        <f aca="false">K222</f>
        <v>2201.15833333333</v>
      </c>
      <c r="L234" s="50" t="n">
        <f aca="false">L222</f>
        <v>1270.02777777778</v>
      </c>
      <c r="M234" s="50" t="n">
        <f aca="false">M222</f>
        <v>241.311111111111</v>
      </c>
      <c r="N234" s="50" t="n">
        <f aca="false">N222</f>
        <v>3.11944444444444</v>
      </c>
      <c r="O234" s="50" t="n">
        <f aca="false">SUM(K234:N234)</f>
        <v>3715.61666666667</v>
      </c>
      <c r="P234" s="50" t="n">
        <f aca="false">P222</f>
        <v>3029.03315829808</v>
      </c>
      <c r="Q234" s="50" t="n">
        <f aca="false">O234+P234</f>
        <v>6744.64982496475</v>
      </c>
      <c r="R234" s="8" t="n">
        <f aca="false">H234-O234-P234</f>
        <v>10557.0132457982</v>
      </c>
      <c r="T234" s="9" t="n">
        <f aca="false">$T$18</f>
        <v>48.72</v>
      </c>
      <c r="U234" s="9" t="n">
        <f aca="false">U$18</f>
        <v>23</v>
      </c>
      <c r="V234" s="9" t="n">
        <f aca="false">V$18</f>
        <v>34</v>
      </c>
      <c r="W234" s="9" t="n">
        <f aca="false">W$18</f>
        <v>38</v>
      </c>
      <c r="X234" s="9" t="n">
        <f aca="false">SUMPRODUCT(K234:N234,T234:W234)/O234</f>
        <v>38.9637044247179</v>
      </c>
      <c r="Y234" s="9" t="n">
        <f aca="false">$Y$18/1000*CURVES!K193+$Y$14</f>
        <v>80.4981327284946</v>
      </c>
      <c r="Z234" s="9" t="n">
        <f aca="false">(O234*X234+P234*Y234)/Q234</f>
        <v>57.6168834344601</v>
      </c>
      <c r="AA234" s="9" t="n">
        <f aca="false">CHOOSE(AA$18,CURVES!F193,CURVES!G193)</f>
        <v>39.7110429151279</v>
      </c>
      <c r="AB234" s="9" t="n">
        <f aca="false">(Q234*Z234+R234*AA234)/H234</f>
        <v>46.6912172273095</v>
      </c>
      <c r="AD234" s="9"/>
      <c r="AH234" s="50" t="n">
        <f aca="false">AH222</f>
        <v>1838.78743628671</v>
      </c>
      <c r="AI234" s="50" t="n">
        <f aca="false">AI222</f>
        <v>0</v>
      </c>
      <c r="AJ234" s="50" t="n">
        <f aca="false">AJ222</f>
        <v>1347.87918472112</v>
      </c>
      <c r="AK234" s="50" t="n">
        <f aca="false">AK222</f>
        <v>499.439112514422</v>
      </c>
      <c r="AL234" s="50" t="n">
        <f aca="false">SUM(AH234:AK234)</f>
        <v>3686.10573352225</v>
      </c>
      <c r="AM234" s="50" t="n">
        <f aca="false">AM222</f>
        <v>2451.23764109589</v>
      </c>
      <c r="AN234" s="50" t="n">
        <f aca="false">AL234+AM234</f>
        <v>6137.34337461814</v>
      </c>
      <c r="AO234" s="8" t="n">
        <f aca="false">I234-AL234-AM234</f>
        <v>9274.39956079212</v>
      </c>
      <c r="AQ234" s="9" t="n">
        <f aca="false">$AQ$18</f>
        <v>43</v>
      </c>
      <c r="AR234" s="9"/>
      <c r="AS234" s="9" t="n">
        <f aca="false">AS$18</f>
        <v>30</v>
      </c>
      <c r="AT234" s="9" t="n">
        <f aca="false">AT$18</f>
        <v>38</v>
      </c>
      <c r="AU234" s="9" t="n">
        <f aca="false">SUMPRODUCT(AH234:AK234,AQ234:AT234)/AL234</f>
        <v>37.5688956282822</v>
      </c>
      <c r="AV234" s="9" t="n">
        <f aca="false">$Y$18/1000*CURVES!O193+$AV$14</f>
        <v>80.0551192880192</v>
      </c>
      <c r="AW234" s="9" t="n">
        <f aca="false">(AL234*AU234+AM234*AV234)/AN234</f>
        <v>54.5377735785478</v>
      </c>
      <c r="AX234" s="9" t="n">
        <f aca="false">CHOOSE(AX$18,CURVES!B193,CURVES!C193)</f>
        <v>46.0888888888889</v>
      </c>
      <c r="AY234" s="9" t="n">
        <f aca="false">(AN234*AW234+AO234*AX234)/I234</f>
        <v>49.4534471150614</v>
      </c>
    </row>
    <row r="235" customFormat="false" ht="12.75" hidden="false" customHeight="false" outlineLevel="0" collapsed="false">
      <c r="A235" s="85" t="n">
        <v>42705</v>
      </c>
      <c r="B235" s="31" t="n">
        <f aca="false">YEAR(A235)</f>
        <v>2016</v>
      </c>
      <c r="C235" s="31" t="n">
        <f aca="false">MONTH(A235)</f>
        <v>12</v>
      </c>
      <c r="D235" s="86" t="n">
        <v>0.062089934031479</v>
      </c>
      <c r="E235" s="87" t="n">
        <f aca="false">(1+D235/2)^(-2*(DATE($B236,$C236,20)-$E$17)/365.25)</f>
        <v>1.70037634380935</v>
      </c>
      <c r="F235" s="87"/>
      <c r="G235" s="8"/>
      <c r="H235" s="8" t="n">
        <f aca="false">(1+$I$17)*H223</f>
        <v>17177.0821590376</v>
      </c>
      <c r="I235" s="8" t="n">
        <f aca="false">(1+$I$17)*I223</f>
        <v>15376.73014</v>
      </c>
      <c r="K235" s="50" t="n">
        <f aca="false">K223</f>
        <v>2256.4126344086</v>
      </c>
      <c r="L235" s="50" t="n">
        <f aca="false">L223</f>
        <v>1157.21505376344</v>
      </c>
      <c r="M235" s="50" t="n">
        <f aca="false">M223</f>
        <v>239.860215053763</v>
      </c>
      <c r="N235" s="50" t="n">
        <f aca="false">N223</f>
        <v>2.96908602150538</v>
      </c>
      <c r="O235" s="50" t="n">
        <f aca="false">SUM(K235:N235)</f>
        <v>3656.45698924731</v>
      </c>
      <c r="P235" s="50" t="n">
        <f aca="false">P223</f>
        <v>2977.59684973097</v>
      </c>
      <c r="Q235" s="50" t="n">
        <f aca="false">O235+P235</f>
        <v>6634.05383897828</v>
      </c>
      <c r="R235" s="8" t="n">
        <f aca="false">H235-O235-P235</f>
        <v>10543.0283200594</v>
      </c>
      <c r="T235" s="9" t="n">
        <f aca="false">$T$18</f>
        <v>48.72</v>
      </c>
      <c r="U235" s="9" t="n">
        <f aca="false">U$18</f>
        <v>23</v>
      </c>
      <c r="V235" s="9" t="n">
        <f aca="false">V$18</f>
        <v>34</v>
      </c>
      <c r="W235" s="9" t="n">
        <f aca="false">W$18</f>
        <v>38</v>
      </c>
      <c r="X235" s="9" t="n">
        <f aca="false">SUMPRODUCT(K235:N235,T235:W235)/O235</f>
        <v>39.6056736867024</v>
      </c>
      <c r="Y235" s="9" t="n">
        <f aca="false">$Y$18/1000*CURVES!K194+$Y$14</f>
        <v>81.8106327284946</v>
      </c>
      <c r="Z235" s="9" t="n">
        <f aca="false">(O235*X235+P235*Y235)/Q235</f>
        <v>58.5487447162887</v>
      </c>
      <c r="AA235" s="9" t="n">
        <f aca="false">CHOOSE(AA$18,CURVES!F194,CURVES!G194)</f>
        <v>39.477208070552</v>
      </c>
      <c r="AB235" s="9" t="n">
        <f aca="false">(Q235*Z235+R235*AA235)/H235</f>
        <v>46.8429294269755</v>
      </c>
      <c r="AD235" s="9"/>
      <c r="AH235" s="50" t="n">
        <f aca="false">AH223</f>
        <v>1921.09500453605</v>
      </c>
      <c r="AI235" s="50" t="n">
        <f aca="false">AI223</f>
        <v>0</v>
      </c>
      <c r="AJ235" s="50" t="n">
        <f aca="false">AJ223</f>
        <v>1326.47869273451</v>
      </c>
      <c r="AK235" s="50" t="n">
        <f aca="false">AK223</f>
        <v>519.619723134563</v>
      </c>
      <c r="AL235" s="50" t="n">
        <f aca="false">SUM(AH235:AK235)</f>
        <v>3767.19342040512</v>
      </c>
      <c r="AM235" s="50" t="n">
        <f aca="false">AM223</f>
        <v>2024.24791129032</v>
      </c>
      <c r="AN235" s="50" t="n">
        <f aca="false">AL235+AM235</f>
        <v>5791.44133169545</v>
      </c>
      <c r="AO235" s="8" t="n">
        <f aca="false">I235-AL235-AM235</f>
        <v>9585.28880830459</v>
      </c>
      <c r="AQ235" s="9" t="n">
        <f aca="false">$AQ$18</f>
        <v>43</v>
      </c>
      <c r="AR235" s="9"/>
      <c r="AS235" s="9" t="n">
        <f aca="false">AS$18</f>
        <v>30</v>
      </c>
      <c r="AT235" s="9" t="n">
        <f aca="false">AT$18</f>
        <v>38</v>
      </c>
      <c r="AU235" s="9" t="n">
        <f aca="false">SUMPRODUCT(AH235:AK235,AQ235:AT235)/AL235</f>
        <v>37.7328635918334</v>
      </c>
      <c r="AV235" s="9" t="n">
        <f aca="false">$Y$18/1000*CURVES!O194+$AV$14</f>
        <v>81.3676192880192</v>
      </c>
      <c r="AW235" s="9" t="n">
        <f aca="false">(AL235*AU235+AM235*AV235)/AN235</f>
        <v>52.9842592322015</v>
      </c>
      <c r="AX235" s="9" t="n">
        <f aca="false">CHOOSE(AX$18,CURVES!B194,CURVES!C194)</f>
        <v>45.3139784946237</v>
      </c>
      <c r="AY235" s="9" t="n">
        <f aca="false">(AN235*AW235+AO235*AX235)/I235</f>
        <v>48.2028879366746</v>
      </c>
    </row>
    <row r="236" customFormat="false" ht="12.75" hidden="false" customHeight="false" outlineLevel="0" collapsed="false">
      <c r="A236" s="85" t="n">
        <v>42736</v>
      </c>
      <c r="B236" s="31" t="n">
        <f aca="false">YEAR(A236)</f>
        <v>2017</v>
      </c>
      <c r="C236" s="31" t="n">
        <f aca="false">MONTH(A236)</f>
        <v>1</v>
      </c>
      <c r="D236" s="86" t="n">
        <v>0.062114439621104</v>
      </c>
      <c r="E236" s="87" t="n">
        <f aca="false">(1+D236/2)^(-2*(DATE($B237,$C237,20)-$E$17)/365.25)</f>
        <v>1.69192053507807</v>
      </c>
      <c r="F236" s="87"/>
      <c r="G236" s="8"/>
      <c r="H236" s="8" t="n">
        <f aca="false">(1+$I$17)*H224</f>
        <v>17492.69362219</v>
      </c>
      <c r="I236" s="8" t="n">
        <f aca="false">(1+$I$17)*I224</f>
        <v>16628.9865951287</v>
      </c>
      <c r="K236" s="50" t="n">
        <f aca="false">K224</f>
        <v>2185.91801075269</v>
      </c>
      <c r="L236" s="50" t="n">
        <f aca="false">L224</f>
        <v>1282.33064516129</v>
      </c>
      <c r="M236" s="50" t="n">
        <f aca="false">M224</f>
        <v>142.852150537634</v>
      </c>
      <c r="N236" s="50" t="n">
        <f aca="false">N224</f>
        <v>3.16801075268817</v>
      </c>
      <c r="O236" s="50" t="n">
        <f aca="false">SUM(K236:N236)</f>
        <v>3614.2688172043</v>
      </c>
      <c r="P236" s="50" t="n">
        <f aca="false">P224</f>
        <v>2792.6655547379</v>
      </c>
      <c r="Q236" s="50" t="n">
        <f aca="false">O236+P236</f>
        <v>6406.9343719422</v>
      </c>
      <c r="R236" s="8" t="n">
        <f aca="false">H236-O236-P236</f>
        <v>11085.7592502478</v>
      </c>
      <c r="T236" s="9" t="n">
        <f aca="false">$T$18</f>
        <v>48.72</v>
      </c>
      <c r="U236" s="9" t="n">
        <f aca="false">U$18</f>
        <v>23</v>
      </c>
      <c r="V236" s="9" t="n">
        <f aca="false">V$18</f>
        <v>34</v>
      </c>
      <c r="W236" s="9" t="n">
        <f aca="false">W$18</f>
        <v>38</v>
      </c>
      <c r="X236" s="9" t="n">
        <f aca="false">SUMPRODUCT(K236:N236,T236:W236)/O236</f>
        <v>39.0034319468534</v>
      </c>
      <c r="Y236" s="9" t="n">
        <f aca="false">$Y$18/1000*CURVES!K195+$Y$14</f>
        <v>83.5326327284946</v>
      </c>
      <c r="Z236" s="9" t="n">
        <f aca="false">(O236*X236+P236*Y236)/Q236</f>
        <v>58.4128964401194</v>
      </c>
      <c r="AA236" s="9" t="n">
        <f aca="false">CHOOSE(AA$18,CURVES!F195,CURVES!G195)</f>
        <v>40.6303049439417</v>
      </c>
      <c r="AB236" s="9" t="n">
        <f aca="false">(Q236*Z236+R236*AA236)/H236</f>
        <v>47.1434183122878</v>
      </c>
      <c r="AD236" s="9"/>
      <c r="AH236" s="50" t="n">
        <f aca="false">AH224</f>
        <v>1826.05608785899</v>
      </c>
      <c r="AI236" s="50" t="n">
        <f aca="false">AI224</f>
        <v>0</v>
      </c>
      <c r="AJ236" s="50" t="n">
        <f aca="false">AJ224</f>
        <v>1744.08931864439</v>
      </c>
      <c r="AK236" s="50" t="n">
        <f aca="false">AK224</f>
        <v>538.872892801371</v>
      </c>
      <c r="AL236" s="50" t="n">
        <f aca="false">SUM(AH236:AK236)</f>
        <v>4109.01829930475</v>
      </c>
      <c r="AM236" s="50" t="n">
        <f aca="false">AM224</f>
        <v>2445.3687016129</v>
      </c>
      <c r="AN236" s="50" t="n">
        <f aca="false">AL236+AM236</f>
        <v>6554.38700091765</v>
      </c>
      <c r="AO236" s="8" t="n">
        <f aca="false">I236-AL236-AM236</f>
        <v>10074.5995942111</v>
      </c>
      <c r="AQ236" s="9" t="n">
        <f aca="false">$AQ$18</f>
        <v>43</v>
      </c>
      <c r="AR236" s="9"/>
      <c r="AS236" s="9" t="n">
        <f aca="false">AS$18</f>
        <v>30</v>
      </c>
      <c r="AT236" s="9" t="n">
        <f aca="false">AT$18</f>
        <v>38</v>
      </c>
      <c r="AU236" s="9" t="n">
        <f aca="false">SUMPRODUCT(AH236:AK236,AQ236:AT236)/AL236</f>
        <v>36.8263780400598</v>
      </c>
      <c r="AV236" s="9" t="n">
        <f aca="false">$Y$18/1000*CURVES!O195+$AV$14</f>
        <v>83.0896192880192</v>
      </c>
      <c r="AW236" s="9" t="n">
        <f aca="false">(AL236*AU236+AM236*AV236)/AN236</f>
        <v>54.0866774650233</v>
      </c>
      <c r="AX236" s="9" t="n">
        <f aca="false">CHOOSE(AX$18,CURVES!B195,CURVES!C195)</f>
        <v>48.5118279569892</v>
      </c>
      <c r="AY236" s="9" t="n">
        <f aca="false">(AN236*AW236+AO236*AX236)/I236</f>
        <v>50.7091790065255</v>
      </c>
    </row>
    <row r="237" customFormat="false" ht="12.75" hidden="false" customHeight="false" outlineLevel="0" collapsed="false">
      <c r="A237" s="85" t="n">
        <v>42767</v>
      </c>
      <c r="B237" s="31" t="n">
        <f aca="false">YEAR(A237)</f>
        <v>2017</v>
      </c>
      <c r="C237" s="31" t="n">
        <f aca="false">MONTH(A237)</f>
        <v>2</v>
      </c>
      <c r="D237" s="86" t="n">
        <v>0.062138945210928</v>
      </c>
      <c r="E237" s="87" t="n">
        <f aca="false">(1+D237/2)^(-2*(DATE($B238,$C238,20)-$E$17)/365.25)</f>
        <v>1.68434634239629</v>
      </c>
      <c r="F237" s="87"/>
      <c r="G237" s="8"/>
      <c r="H237" s="8" t="n">
        <f aca="false">(1+$I$17)*H225</f>
        <v>17539.7455045497</v>
      </c>
      <c r="I237" s="8" t="n">
        <f aca="false">(1+$I$17)*I225</f>
        <v>16606.8240874081</v>
      </c>
      <c r="K237" s="50" t="n">
        <f aca="false">K225</f>
        <v>2261.87643678161</v>
      </c>
      <c r="L237" s="50" t="n">
        <f aca="false">L225</f>
        <v>1335.97988505747</v>
      </c>
      <c r="M237" s="50" t="n">
        <f aca="false">M225</f>
        <v>236.002873563218</v>
      </c>
      <c r="N237" s="50" t="n">
        <f aca="false">N225</f>
        <v>3.84913793103448</v>
      </c>
      <c r="O237" s="50" t="n">
        <f aca="false">SUM(K237:N237)</f>
        <v>3837.70833333333</v>
      </c>
      <c r="P237" s="50" t="n">
        <f aca="false">P225</f>
        <v>3011.77170136767</v>
      </c>
      <c r="Q237" s="50" t="n">
        <f aca="false">O237+P237</f>
        <v>6849.48003470101</v>
      </c>
      <c r="R237" s="8" t="n">
        <f aca="false">H237-O237-P237</f>
        <v>10690.2654698487</v>
      </c>
      <c r="T237" s="9" t="n">
        <f aca="false">$T$18</f>
        <v>48.72</v>
      </c>
      <c r="U237" s="9" t="n">
        <f aca="false">U$18</f>
        <v>23</v>
      </c>
      <c r="V237" s="9" t="n">
        <f aca="false">V$18</f>
        <v>34</v>
      </c>
      <c r="W237" s="9" t="n">
        <f aca="false">W$18</f>
        <v>38</v>
      </c>
      <c r="X237" s="9" t="n">
        <f aca="false">SUMPRODUCT(K237:N237,T237:W237)/O237</f>
        <v>38.8504048116</v>
      </c>
      <c r="Y237" s="9" t="n">
        <f aca="false">$Y$18/1000*CURVES!K196+$Y$14</f>
        <v>82.5246327284946</v>
      </c>
      <c r="Z237" s="9" t="n">
        <f aca="false">(O237*X237+P237*Y237)/Q237</f>
        <v>58.0543156271349</v>
      </c>
      <c r="AA237" s="9" t="n">
        <f aca="false">CHOOSE(AA$18,CURVES!F196,CURVES!G196)</f>
        <v>40.8915903539457</v>
      </c>
      <c r="AB237" s="9" t="n">
        <f aca="false">(Q237*Z237+R237*AA237)/H237</f>
        <v>47.5938394868807</v>
      </c>
      <c r="AD237" s="9"/>
      <c r="AH237" s="50" t="n">
        <f aca="false">AH225</f>
        <v>1925.74685025101</v>
      </c>
      <c r="AI237" s="50" t="n">
        <f aca="false">AI225</f>
        <v>0</v>
      </c>
      <c r="AJ237" s="50" t="n">
        <f aca="false">AJ225</f>
        <v>2201.92738718254</v>
      </c>
      <c r="AK237" s="50" t="n">
        <f aca="false">AK225</f>
        <v>548.475477754164</v>
      </c>
      <c r="AL237" s="50" t="n">
        <f aca="false">SUM(AH237:AK237)</f>
        <v>4676.14971518771</v>
      </c>
      <c r="AM237" s="50" t="n">
        <f aca="false">AM225</f>
        <v>2161.54564434524</v>
      </c>
      <c r="AN237" s="50" t="n">
        <f aca="false">AL237+AM237</f>
        <v>6837.69535953295</v>
      </c>
      <c r="AO237" s="8" t="n">
        <f aca="false">I237-AL237-AM237</f>
        <v>9769.12872787519</v>
      </c>
      <c r="AQ237" s="9" t="n">
        <f aca="false">$AQ$18</f>
        <v>43</v>
      </c>
      <c r="AR237" s="9"/>
      <c r="AS237" s="9" t="n">
        <f aca="false">AS$18</f>
        <v>30</v>
      </c>
      <c r="AT237" s="9" t="n">
        <f aca="false">AT$18</f>
        <v>38</v>
      </c>
      <c r="AU237" s="9" t="n">
        <f aca="false">SUMPRODUCT(AH237:AK237,AQ237:AT237)/AL237</f>
        <v>36.2920382509856</v>
      </c>
      <c r="AV237" s="9" t="n">
        <f aca="false">$Y$18/1000*CURVES!O196+$AV$14</f>
        <v>82.0816192880191</v>
      </c>
      <c r="AW237" s="9" t="n">
        <f aca="false">(AL237*AU237+AM237*AV237)/AN237</f>
        <v>50.7671302582659</v>
      </c>
      <c r="AX237" s="9" t="n">
        <f aca="false">CHOOSE(AX$18,CURVES!B196,CURVES!C196)</f>
        <v>47.5071428571429</v>
      </c>
      <c r="AY237" s="9" t="n">
        <f aca="false">(AN237*AW237+AO237*AX237)/I237</f>
        <v>48.8494103856883</v>
      </c>
    </row>
    <row r="238" customFormat="false" ht="12.75" hidden="false" customHeight="false" outlineLevel="0" collapsed="false">
      <c r="A238" s="85" t="n">
        <v>42795</v>
      </c>
      <c r="B238" s="31" t="n">
        <f aca="false">YEAR(A238)</f>
        <v>2017</v>
      </c>
      <c r="C238" s="31" t="n">
        <f aca="false">MONTH(A238)</f>
        <v>3</v>
      </c>
      <c r="D238" s="86" t="n">
        <v>0.062161079292231</v>
      </c>
      <c r="E238" s="87" t="n">
        <f aca="false">(1+D238/2)^(-2*(DATE($B239,$C239,20)-$E$17)/365.25)</f>
        <v>1.67592452969438</v>
      </c>
      <c r="F238" s="87"/>
      <c r="G238" s="8"/>
      <c r="H238" s="8" t="n">
        <f aca="false">(1+$I$17)*H226</f>
        <v>17438.2050507838</v>
      </c>
      <c r="I238" s="8" t="n">
        <f aca="false">(1+$I$17)*I226</f>
        <v>16234.0063009492</v>
      </c>
      <c r="K238" s="50" t="n">
        <f aca="false">K226</f>
        <v>2263.94623655914</v>
      </c>
      <c r="L238" s="50" t="n">
        <f aca="false">L226</f>
        <v>1258.63037634409</v>
      </c>
      <c r="M238" s="50" t="n">
        <f aca="false">M226</f>
        <v>620.646505376344</v>
      </c>
      <c r="N238" s="50" t="n">
        <f aca="false">N226</f>
        <v>2.58198924731183</v>
      </c>
      <c r="O238" s="50" t="n">
        <f aca="false">SUM(K238:N238)</f>
        <v>4145.80510752688</v>
      </c>
      <c r="P238" s="50" t="n">
        <f aca="false">P226</f>
        <v>2834.39732902856</v>
      </c>
      <c r="Q238" s="50" t="n">
        <f aca="false">O238+P238</f>
        <v>6980.20243655544</v>
      </c>
      <c r="R238" s="8" t="n">
        <f aca="false">H238-O238-P238</f>
        <v>10458.0026142283</v>
      </c>
      <c r="T238" s="9" t="n">
        <f aca="false">$T$18</f>
        <v>48.72</v>
      </c>
      <c r="U238" s="9" t="n">
        <f aca="false">U$18</f>
        <v>23</v>
      </c>
      <c r="V238" s="9" t="n">
        <f aca="false">V$18</f>
        <v>34</v>
      </c>
      <c r="W238" s="9" t="n">
        <f aca="false">W$18</f>
        <v>38</v>
      </c>
      <c r="X238" s="9" t="n">
        <f aca="false">SUMPRODUCT(K238:N238,T238:W238)/O238</f>
        <v>38.7013021388701</v>
      </c>
      <c r="Y238" s="9" t="n">
        <f aca="false">$Y$18/1000*CURVES!K197+$Y$14</f>
        <v>80.9496327284946</v>
      </c>
      <c r="Z238" s="9" t="n">
        <f aca="false">(O238*X238+P238*Y238)/Q238</f>
        <v>55.8567580826723</v>
      </c>
      <c r="AA238" s="9" t="n">
        <f aca="false">CHOOSE(AA$18,CURVES!F197,CURVES!G197)</f>
        <v>40.5857276478066</v>
      </c>
      <c r="AB238" s="9" t="n">
        <f aca="false">(Q238*Z238+R238*AA238)/H238</f>
        <v>46.6984487415049</v>
      </c>
      <c r="AD238" s="9"/>
      <c r="AH238" s="50" t="n">
        <f aca="false">AH226</f>
        <v>1891.23873243112</v>
      </c>
      <c r="AI238" s="50" t="n">
        <f aca="false">AI226</f>
        <v>0</v>
      </c>
      <c r="AJ238" s="50" t="n">
        <f aca="false">AJ226</f>
        <v>1966.55049263563</v>
      </c>
      <c r="AK238" s="50" t="n">
        <f aca="false">AK226</f>
        <v>526.073305014923</v>
      </c>
      <c r="AL238" s="50" t="n">
        <f aca="false">SUM(AH238:AK238)</f>
        <v>4383.86253008167</v>
      </c>
      <c r="AM238" s="50" t="n">
        <f aca="false">AM226</f>
        <v>2044.22227284946</v>
      </c>
      <c r="AN238" s="50" t="n">
        <f aca="false">AL238+AM238</f>
        <v>6428.08480293113</v>
      </c>
      <c r="AO238" s="8" t="n">
        <f aca="false">I238-AL238-AM238</f>
        <v>9805.9214980181</v>
      </c>
      <c r="AQ238" s="9" t="n">
        <f aca="false">$AQ$18</f>
        <v>43</v>
      </c>
      <c r="AR238" s="9"/>
      <c r="AS238" s="9" t="n">
        <f aca="false">AS$18</f>
        <v>30</v>
      </c>
      <c r="AT238" s="9" t="n">
        <f aca="false">AT$18</f>
        <v>38</v>
      </c>
      <c r="AU238" s="9" t="n">
        <f aca="false">SUMPRODUCT(AH238:AK238,AQ238:AT238)/AL238</f>
        <v>36.5683377989472</v>
      </c>
      <c r="AV238" s="9" t="n">
        <f aca="false">$Y$18/1000*CURVES!O197+$AV$14</f>
        <v>80.5066192880192</v>
      </c>
      <c r="AW238" s="9" t="n">
        <f aca="false">(AL238*AU238+AM238*AV238)/AN238</f>
        <v>50.5413354186634</v>
      </c>
      <c r="AX238" s="9" t="n">
        <f aca="false">CHOOSE(AX$18,CURVES!B197,CURVES!C197)</f>
        <v>45.5564516129032</v>
      </c>
      <c r="AY238" s="9" t="n">
        <f aca="false">(AN238*AW238+AO238*AX238)/I238</f>
        <v>47.5302869830614</v>
      </c>
    </row>
    <row r="239" customFormat="false" ht="12.75" hidden="false" customHeight="false" outlineLevel="0" collapsed="false">
      <c r="A239" s="85" t="n">
        <v>42826</v>
      </c>
      <c r="B239" s="31" t="n">
        <f aca="false">YEAR(A239)</f>
        <v>2017</v>
      </c>
      <c r="C239" s="31" t="n">
        <f aca="false">MONTH(A239)</f>
        <v>4</v>
      </c>
      <c r="D239" s="86" t="n">
        <v>0.062185584882435</v>
      </c>
      <c r="E239" s="87" t="n">
        <f aca="false">(1+D239/2)^(-2*(DATE($B240,$C240,20)-$E$17)/365.25)</f>
        <v>1.6678503849191</v>
      </c>
      <c r="F239" s="87"/>
      <c r="G239" s="8"/>
      <c r="H239" s="8" t="n">
        <f aca="false">(1+$I$17)*H227</f>
        <v>17515.5838201391</v>
      </c>
      <c r="I239" s="8" t="n">
        <f aca="false">(1+$I$17)*I227</f>
        <v>15858.9488369432</v>
      </c>
      <c r="K239" s="50" t="n">
        <f aca="false">K227</f>
        <v>2319.84027777778</v>
      </c>
      <c r="L239" s="50" t="n">
        <f aca="false">L227</f>
        <v>1179.16597222222</v>
      </c>
      <c r="M239" s="50" t="n">
        <f aca="false">M227</f>
        <v>811.586111111111</v>
      </c>
      <c r="N239" s="50" t="n">
        <f aca="false">N227</f>
        <v>3.04166666666667</v>
      </c>
      <c r="O239" s="50" t="n">
        <f aca="false">SUM(K239:N239)</f>
        <v>4313.63402777778</v>
      </c>
      <c r="P239" s="50" t="n">
        <f aca="false">P227</f>
        <v>2923.39459068154</v>
      </c>
      <c r="Q239" s="50" t="n">
        <f aca="false">O239+P239</f>
        <v>7237.02861845932</v>
      </c>
      <c r="R239" s="8" t="n">
        <f aca="false">H239-O239-P239</f>
        <v>10278.5552016798</v>
      </c>
      <c r="T239" s="9" t="n">
        <f aca="false">$T$18</f>
        <v>48.72</v>
      </c>
      <c r="U239" s="9" t="n">
        <f aca="false">U$18</f>
        <v>23</v>
      </c>
      <c r="V239" s="9" t="n">
        <f aca="false">V$18</f>
        <v>34</v>
      </c>
      <c r="W239" s="9" t="n">
        <f aca="false">W$18</f>
        <v>38</v>
      </c>
      <c r="X239" s="9" t="n">
        <f aca="false">SUMPRODUCT(K239:N239,T239:W239)/O239</f>
        <v>38.9121899828918</v>
      </c>
      <c r="Y239" s="9" t="n">
        <f aca="false">$Y$18/1000*CURVES!K198+$Y$14</f>
        <v>80.8656327284946</v>
      </c>
      <c r="Z239" s="9" t="n">
        <f aca="false">(O239*X239+P239*Y239)/Q239</f>
        <v>55.8592650946485</v>
      </c>
      <c r="AA239" s="9" t="n">
        <f aca="false">CHOOSE(AA$18,CURVES!F198,CURVES!G198)</f>
        <v>39.1588109711224</v>
      </c>
      <c r="AB239" s="9" t="n">
        <f aca="false">(Q239*Z239+R239*AA239)/H239</f>
        <v>46.0590471079425</v>
      </c>
      <c r="AD239" s="9"/>
      <c r="AH239" s="50" t="n">
        <f aca="false">AH227</f>
        <v>1937.93108490741</v>
      </c>
      <c r="AI239" s="50" t="n">
        <f aca="false">AI227</f>
        <v>0</v>
      </c>
      <c r="AJ239" s="50" t="n">
        <f aca="false">AJ227</f>
        <v>2070.95002093926</v>
      </c>
      <c r="AK239" s="50" t="n">
        <f aca="false">AK227</f>
        <v>513.919329218532</v>
      </c>
      <c r="AL239" s="50" t="n">
        <f aca="false">SUM(AH239:AK239)</f>
        <v>4522.8004350652</v>
      </c>
      <c r="AM239" s="50" t="n">
        <f aca="false">AM227</f>
        <v>2152.99685890411</v>
      </c>
      <c r="AN239" s="50" t="n">
        <f aca="false">AL239+AM239</f>
        <v>6675.79729396931</v>
      </c>
      <c r="AO239" s="8" t="n">
        <f aca="false">I239-AL239-AM239</f>
        <v>9183.15154297385</v>
      </c>
      <c r="AQ239" s="9" t="n">
        <f aca="false">$AQ$18</f>
        <v>43</v>
      </c>
      <c r="AR239" s="9"/>
      <c r="AS239" s="9" t="n">
        <f aca="false">AS$18</f>
        <v>30</v>
      </c>
      <c r="AT239" s="9" t="n">
        <f aca="false">AT$18</f>
        <v>38</v>
      </c>
      <c r="AU239" s="9" t="n">
        <f aca="false">SUMPRODUCT(AH239:AK239,AQ239:AT239)/AL239</f>
        <v>36.4792729987261</v>
      </c>
      <c r="AV239" s="9" t="n">
        <f aca="false">$Y$18/1000*CURVES!O198+$AV$14</f>
        <v>78.5851192880192</v>
      </c>
      <c r="AW239" s="9" t="n">
        <f aca="false">(AL239*AU239+AM239*AV239)/AN239</f>
        <v>50.0587378641798</v>
      </c>
      <c r="AX239" s="9" t="n">
        <f aca="false">CHOOSE(AX$18,CURVES!B198,CURVES!C198)</f>
        <v>43.3666666666667</v>
      </c>
      <c r="AY239" s="9" t="n">
        <f aca="false">(AN239*AW239+AO239*AX239)/I239</f>
        <v>46.1836825515618</v>
      </c>
    </row>
    <row r="240" customFormat="false" ht="12.75" hidden="false" customHeight="false" outlineLevel="0" collapsed="false">
      <c r="A240" s="85" t="n">
        <v>42856</v>
      </c>
      <c r="B240" s="31" t="n">
        <f aca="false">YEAR(A240)</f>
        <v>2017</v>
      </c>
      <c r="C240" s="31" t="n">
        <f aca="false">MONTH(A240)</f>
        <v>5</v>
      </c>
      <c r="D240" s="86" t="n">
        <v>0.062209299969918</v>
      </c>
      <c r="E240" s="87" t="n">
        <f aca="false">(1+D240/2)^(-2*(DATE($B241,$C241,20)-$E$17)/365.25)</f>
        <v>1.65951976455071</v>
      </c>
      <c r="F240" s="87"/>
      <c r="G240" s="8"/>
      <c r="H240" s="8" t="n">
        <f aca="false">(1+$I$17)*H228</f>
        <v>18508.6968983302</v>
      </c>
      <c r="I240" s="8" t="n">
        <f aca="false">(1+$I$17)*I228</f>
        <v>17274.6492769287</v>
      </c>
      <c r="K240" s="50" t="n">
        <f aca="false">K228</f>
        <v>2226.06720430108</v>
      </c>
      <c r="L240" s="50" t="n">
        <f aca="false">L228</f>
        <v>1023.62634408602</v>
      </c>
      <c r="M240" s="50" t="n">
        <f aca="false">M228</f>
        <v>950.165322580645</v>
      </c>
      <c r="N240" s="50" t="n">
        <f aca="false">N228</f>
        <v>3.30510752688172</v>
      </c>
      <c r="O240" s="50" t="n">
        <f aca="false">SUM(K240:N240)</f>
        <v>4203.16397849462</v>
      </c>
      <c r="P240" s="50" t="n">
        <f aca="false">P228</f>
        <v>2831.51050210493</v>
      </c>
      <c r="Q240" s="50" t="n">
        <f aca="false">O240+P240</f>
        <v>7034.67448059955</v>
      </c>
      <c r="R240" s="8" t="n">
        <f aca="false">H240-O240-P240</f>
        <v>11474.0224177307</v>
      </c>
      <c r="T240" s="9" t="n">
        <f aca="false">$T$18</f>
        <v>48.72</v>
      </c>
      <c r="U240" s="9" t="n">
        <f aca="false">U$18</f>
        <v>23</v>
      </c>
      <c r="V240" s="9" t="n">
        <f aca="false">V$18</f>
        <v>34</v>
      </c>
      <c r="W240" s="9" t="n">
        <f aca="false">W$18</f>
        <v>38</v>
      </c>
      <c r="X240" s="9" t="n">
        <f aca="false">SUMPRODUCT(K240:N240,T240:W240)/O240</f>
        <v>39.1201999261949</v>
      </c>
      <c r="Y240" s="9" t="n">
        <f aca="false">$Y$18/1000*CURVES!K199+$Y$14</f>
        <v>80.6031327284946</v>
      </c>
      <c r="Z240" s="9" t="n">
        <f aca="false">(O240*X240+P240*Y240)/Q240</f>
        <v>55.8173989524978</v>
      </c>
      <c r="AA240" s="9" t="n">
        <f aca="false">CHOOSE(AA$18,CURVES!F199,CURVES!G199)</f>
        <v>38.9470849085775</v>
      </c>
      <c r="AB240" s="9" t="n">
        <f aca="false">(Q240*Z240+R240*AA240)/H240</f>
        <v>45.3590526627835</v>
      </c>
      <c r="AD240" s="9"/>
      <c r="AH240" s="50" t="n">
        <f aca="false">AH228</f>
        <v>1895.25910320262</v>
      </c>
      <c r="AI240" s="50" t="n">
        <f aca="false">AI228</f>
        <v>0</v>
      </c>
      <c r="AJ240" s="50" t="n">
        <f aca="false">AJ228</f>
        <v>1877.63033247346</v>
      </c>
      <c r="AK240" s="50" t="n">
        <f aca="false">AK228</f>
        <v>570.53181663935</v>
      </c>
      <c r="AL240" s="50" t="n">
        <f aca="false">SUM(AH240:AK240)</f>
        <v>4343.42125231544</v>
      </c>
      <c r="AM240" s="50" t="n">
        <f aca="false">AM228</f>
        <v>2186.84183198925</v>
      </c>
      <c r="AN240" s="50" t="n">
        <f aca="false">AL240+AM240</f>
        <v>6530.26308430469</v>
      </c>
      <c r="AO240" s="8" t="n">
        <f aca="false">I240-AL240-AM240</f>
        <v>10744.386192624</v>
      </c>
      <c r="AQ240" s="9" t="n">
        <f aca="false">$AQ$18</f>
        <v>43</v>
      </c>
      <c r="AR240" s="9"/>
      <c r="AS240" s="9" t="n">
        <f aca="false">AS$18</f>
        <v>30</v>
      </c>
      <c r="AT240" s="9" t="n">
        <f aca="false">AT$18</f>
        <v>38</v>
      </c>
      <c r="AU240" s="9" t="n">
        <f aca="false">SUMPRODUCT(AH240:AK240,AQ240:AT240)/AL240</f>
        <v>36.7234148332219</v>
      </c>
      <c r="AV240" s="9" t="n">
        <f aca="false">$Y$18/1000*CURVES!O199+$AV$14</f>
        <v>78.3226192880192</v>
      </c>
      <c r="AW240" s="9" t="n">
        <f aca="false">(AL240*AU240+AM240*AV240)/AN240</f>
        <v>50.6540757123939</v>
      </c>
      <c r="AX240" s="9" t="n">
        <f aca="false">CHOOSE(AX$18,CURVES!B199,CURVES!C199)</f>
        <v>43.455376344086</v>
      </c>
      <c r="AY240" s="9" t="n">
        <f aca="false">(AN240*AW240+AO240*AX240)/I240</f>
        <v>46.1766704199462</v>
      </c>
    </row>
    <row r="241" customFormat="false" ht="12.75" hidden="false" customHeight="false" outlineLevel="0" collapsed="false">
      <c r="A241" s="85" t="n">
        <v>42887</v>
      </c>
      <c r="B241" s="31" t="n">
        <f aca="false">YEAR(A241)</f>
        <v>2017</v>
      </c>
      <c r="C241" s="31" t="n">
        <f aca="false">MONTH(A241)</f>
        <v>6</v>
      </c>
      <c r="D241" s="86" t="n">
        <v>0.062233805560513</v>
      </c>
      <c r="E241" s="87" t="n">
        <f aca="false">(1+D241/2)^(-2*(DATE($B242,$C242,20)-$E$17)/365.25)</f>
        <v>1.65151174681271</v>
      </c>
      <c r="F241" s="87"/>
      <c r="G241" s="8"/>
      <c r="H241" s="8" t="n">
        <f aca="false">(1+$I$17)*H229</f>
        <v>20454.3678868346</v>
      </c>
      <c r="I241" s="8" t="n">
        <f aca="false">(1+$I$17)*I229</f>
        <v>19479.3493606648</v>
      </c>
      <c r="K241" s="50" t="n">
        <f aca="false">K229</f>
        <v>2252.13333333333</v>
      </c>
      <c r="L241" s="50" t="n">
        <f aca="false">L229</f>
        <v>1398.39166666667</v>
      </c>
      <c r="M241" s="50" t="n">
        <f aca="false">M229</f>
        <v>957.040277777778</v>
      </c>
      <c r="N241" s="50" t="n">
        <f aca="false">N229</f>
        <v>3.52638888888889</v>
      </c>
      <c r="O241" s="50" t="n">
        <f aca="false">SUM(K241:N241)</f>
        <v>4611.09166666667</v>
      </c>
      <c r="P241" s="50" t="n">
        <f aca="false">P229</f>
        <v>3175.74117813466</v>
      </c>
      <c r="Q241" s="50" t="n">
        <f aca="false">O241+P241</f>
        <v>7786.83284480132</v>
      </c>
      <c r="R241" s="8" t="n">
        <f aca="false">H241-O241-P241</f>
        <v>12667.5350420333</v>
      </c>
      <c r="T241" s="9" t="n">
        <f aca="false">$T$18</f>
        <v>48.72</v>
      </c>
      <c r="U241" s="9" t="n">
        <f aca="false">U$18</f>
        <v>23</v>
      </c>
      <c r="V241" s="9" t="n">
        <f aca="false">V$18</f>
        <v>34</v>
      </c>
      <c r="W241" s="9" t="n">
        <f aca="false">W$18</f>
        <v>38</v>
      </c>
      <c r="X241" s="9" t="n">
        <f aca="false">SUMPRODUCT(K241:N241,T241:W241)/O241</f>
        <v>37.8566138290945</v>
      </c>
      <c r="Y241" s="9" t="n">
        <f aca="false">$Y$18/1000*CURVES!K200+$Y$14</f>
        <v>80.9076327284946</v>
      </c>
      <c r="Z241" s="9" t="n">
        <f aca="false">(O241*X241+P241*Y241)/Q241</f>
        <v>55.4143161972345</v>
      </c>
      <c r="AA241" s="9" t="n">
        <f aca="false">CHOOSE(AA$18,CURVES!F200,CURVES!G200)</f>
        <v>50.1486880271403</v>
      </c>
      <c r="AB241" s="9" t="n">
        <f aca="false">(Q241*Z241+R241*AA241)/H241</f>
        <v>52.1532753412167</v>
      </c>
      <c r="AD241" s="9"/>
      <c r="AH241" s="50" t="n">
        <f aca="false">AH229</f>
        <v>1881.37055634004</v>
      </c>
      <c r="AI241" s="50" t="n">
        <f aca="false">AI229</f>
        <v>0</v>
      </c>
      <c r="AJ241" s="50" t="n">
        <f aca="false">AJ229</f>
        <v>1162.16168617347</v>
      </c>
      <c r="AK241" s="50" t="n">
        <f aca="false">AK229</f>
        <v>631.240712103584</v>
      </c>
      <c r="AL241" s="50" t="n">
        <f aca="false">SUM(AH241:AK241)</f>
        <v>3674.77295461709</v>
      </c>
      <c r="AM241" s="50" t="n">
        <f aca="false">AM229</f>
        <v>2754.04614109589</v>
      </c>
      <c r="AN241" s="50" t="n">
        <f aca="false">AL241+AM241</f>
        <v>6428.81909571298</v>
      </c>
      <c r="AO241" s="8" t="n">
        <f aca="false">I241-AL241-AM241</f>
        <v>13050.5302649518</v>
      </c>
      <c r="AQ241" s="9" t="n">
        <f aca="false">$AQ$18</f>
        <v>43</v>
      </c>
      <c r="AR241" s="9"/>
      <c r="AS241" s="9" t="n">
        <f aca="false">AS$18</f>
        <v>30</v>
      </c>
      <c r="AT241" s="9" t="n">
        <f aca="false">AT$18</f>
        <v>38</v>
      </c>
      <c r="AU241" s="9" t="n">
        <f aca="false">SUMPRODUCT(AH241:AK241,AQ241:AT241)/AL241</f>
        <v>38.0298138942638</v>
      </c>
      <c r="AV241" s="9" t="n">
        <f aca="false">$Y$18/1000*CURVES!O200+$AV$14</f>
        <v>78.6271192880191</v>
      </c>
      <c r="AW241" s="9" t="n">
        <f aca="false">(AL241*AU241+AM241*AV241)/AN241</f>
        <v>55.4213208870677</v>
      </c>
      <c r="AX241" s="9" t="n">
        <f aca="false">CHOOSE(AX$18,CURVES!B200,CURVES!C200)</f>
        <v>48.8444444444445</v>
      </c>
      <c r="AY241" s="9" t="n">
        <f aca="false">(AN241*AW241+AO241*AX241)/I241</f>
        <v>51.0150276647373</v>
      </c>
    </row>
    <row r="242" customFormat="false" ht="12.75" hidden="false" customHeight="false" outlineLevel="0" collapsed="false">
      <c r="A242" s="85" t="n">
        <v>42917</v>
      </c>
      <c r="B242" s="31" t="n">
        <f aca="false">YEAR(A242)</f>
        <v>2017</v>
      </c>
      <c r="C242" s="31" t="n">
        <f aca="false">MONTH(A242)</f>
        <v>7</v>
      </c>
      <c r="D242" s="86" t="n">
        <v>0.062257520648377</v>
      </c>
      <c r="E242" s="87" t="n">
        <f aca="false">(1+D242/2)^(-2*(DATE($B243,$C243,20)-$E$17)/365.25)</f>
        <v>1.64324989349111</v>
      </c>
      <c r="F242" s="87"/>
      <c r="G242" s="8"/>
      <c r="H242" s="8" t="n">
        <f aca="false">(1+$I$17)*H230</f>
        <v>20188.3108787175</v>
      </c>
      <c r="I242" s="8" t="n">
        <f aca="false">(1+$I$17)*I230</f>
        <v>18491.5658202278</v>
      </c>
      <c r="K242" s="50" t="n">
        <f aca="false">K230</f>
        <v>2248.45698924731</v>
      </c>
      <c r="L242" s="50" t="n">
        <f aca="false">L230</f>
        <v>1358.32258064516</v>
      </c>
      <c r="M242" s="50" t="n">
        <f aca="false">M230</f>
        <v>653.551075268817</v>
      </c>
      <c r="N242" s="50" t="n">
        <f aca="false">N230</f>
        <v>3.83736559139785</v>
      </c>
      <c r="O242" s="50" t="n">
        <f aca="false">SUM(K242:N242)</f>
        <v>4264.16801075269</v>
      </c>
      <c r="P242" s="50" t="n">
        <f aca="false">P230</f>
        <v>3349.38956238808</v>
      </c>
      <c r="Q242" s="50" t="n">
        <f aca="false">O242+P242</f>
        <v>7613.55757314076</v>
      </c>
      <c r="R242" s="8" t="n">
        <f aca="false">H242-O242-P242</f>
        <v>12574.7533055767</v>
      </c>
      <c r="T242" s="9" t="n">
        <f aca="false">$T$18</f>
        <v>48.72</v>
      </c>
      <c r="U242" s="9" t="n">
        <f aca="false">U$18</f>
        <v>23</v>
      </c>
      <c r="V242" s="9" t="n">
        <f aca="false">V$18</f>
        <v>34</v>
      </c>
      <c r="W242" s="9" t="n">
        <f aca="false">W$18</f>
        <v>38</v>
      </c>
      <c r="X242" s="9" t="n">
        <f aca="false">SUMPRODUCT(K242:N242,T242:W242)/O242</f>
        <v>38.2613442789234</v>
      </c>
      <c r="Y242" s="9" t="n">
        <f aca="false">$Y$18/1000*CURVES!K201+$Y$14</f>
        <v>81.2226327284946</v>
      </c>
      <c r="Z242" s="9" t="n">
        <f aca="false">(O242*X242+P242*Y242)/Q242</f>
        <v>57.1610622803173</v>
      </c>
      <c r="AA242" s="9" t="n">
        <f aca="false">CHOOSE(AA$18,CURVES!F201,CURVES!G201)</f>
        <v>60.2259423159092</v>
      </c>
      <c r="AB242" s="9" t="n">
        <f aca="false">(Q242*Z242+R242*AA242)/H242</f>
        <v>59.070093233441</v>
      </c>
      <c r="AD242" s="9"/>
      <c r="AH242" s="50" t="n">
        <f aca="false">AH230</f>
        <v>1914.32162011861</v>
      </c>
      <c r="AI242" s="50" t="n">
        <f aca="false">AI230</f>
        <v>0</v>
      </c>
      <c r="AJ242" s="50" t="n">
        <f aca="false">AJ230</f>
        <v>1193.33197430598</v>
      </c>
      <c r="AK242" s="50" t="n">
        <f aca="false">AK230</f>
        <v>610.723058442111</v>
      </c>
      <c r="AL242" s="50" t="n">
        <f aca="false">SUM(AH242:AK242)</f>
        <v>3718.37665286669</v>
      </c>
      <c r="AM242" s="50" t="n">
        <f aca="false">AM230</f>
        <v>2586.73186021505</v>
      </c>
      <c r="AN242" s="50" t="n">
        <f aca="false">AL242+AM242</f>
        <v>6305.10851308175</v>
      </c>
      <c r="AO242" s="8" t="n">
        <f aca="false">I242-AL242-AM242</f>
        <v>12186.4573071461</v>
      </c>
      <c r="AQ242" s="9" t="n">
        <f aca="false">$AQ$18</f>
        <v>43</v>
      </c>
      <c r="AR242" s="9"/>
      <c r="AS242" s="9" t="n">
        <f aca="false">AS$18</f>
        <v>30</v>
      </c>
      <c r="AT242" s="9" t="n">
        <f aca="false">AT$18</f>
        <v>38</v>
      </c>
      <c r="AU242" s="9" t="n">
        <f aca="false">SUMPRODUCT(AH242:AK242,AQ242:AT242)/AL242</f>
        <v>38.0067105375476</v>
      </c>
      <c r="AV242" s="9" t="n">
        <f aca="false">$Y$18/1000*CURVES!O201+$AV$14</f>
        <v>78.9421192880192</v>
      </c>
      <c r="AW242" s="9" t="n">
        <f aca="false">(AL242*AU242+AM242*AV242)/AN242</f>
        <v>54.8008586170095</v>
      </c>
      <c r="AX242" s="9" t="n">
        <f aca="false">CHOOSE(AX$18,CURVES!B201,CURVES!C201)</f>
        <v>60.036559139785</v>
      </c>
      <c r="AY242" s="9" t="n">
        <f aca="false">(AN242*AW242+AO242*AX242)/I242</f>
        <v>58.2513312007866</v>
      </c>
    </row>
    <row r="243" customFormat="false" ht="12.75" hidden="false" customHeight="false" outlineLevel="0" collapsed="false">
      <c r="A243" s="85" t="n">
        <v>42948</v>
      </c>
      <c r="B243" s="31" t="n">
        <f aca="false">YEAR(A243)</f>
        <v>2017</v>
      </c>
      <c r="C243" s="31" t="n">
        <f aca="false">MONTH(A243)</f>
        <v>8</v>
      </c>
      <c r="D243" s="86" t="n">
        <v>0.062282026239365</v>
      </c>
      <c r="E243" s="87" t="n">
        <f aca="false">(1+D243/2)^(-2*(DATE($B244,$C244,20)-$E$17)/365.25)</f>
        <v>1.63503303250176</v>
      </c>
      <c r="F243" s="87"/>
      <c r="G243" s="8"/>
      <c r="H243" s="8" t="n">
        <f aca="false">(1+$I$17)*H231</f>
        <v>21649.3759196886</v>
      </c>
      <c r="I243" s="8" t="n">
        <f aca="false">(1+$I$17)*I231</f>
        <v>19178.8135177625</v>
      </c>
      <c r="K243" s="50" t="n">
        <f aca="false">K231</f>
        <v>2226.06586021505</v>
      </c>
      <c r="L243" s="50" t="n">
        <f aca="false">L231</f>
        <v>1361.98924731183</v>
      </c>
      <c r="M243" s="50" t="n">
        <f aca="false">M231</f>
        <v>483.364247311828</v>
      </c>
      <c r="N243" s="50" t="n">
        <f aca="false">N231</f>
        <v>3.9247311827957</v>
      </c>
      <c r="O243" s="50" t="n">
        <f aca="false">SUM(K243:N243)</f>
        <v>4075.34408602151</v>
      </c>
      <c r="P243" s="50" t="n">
        <f aca="false">P231</f>
        <v>3426.25292884001</v>
      </c>
      <c r="Q243" s="50" t="n">
        <f aca="false">O243+P243</f>
        <v>7501.59701486152</v>
      </c>
      <c r="R243" s="8" t="n">
        <f aca="false">H243-O243-P243</f>
        <v>14147.7789048271</v>
      </c>
      <c r="T243" s="9" t="n">
        <f aca="false">$T$18</f>
        <v>48.72</v>
      </c>
      <c r="U243" s="9" t="n">
        <f aca="false">U$18</f>
        <v>23</v>
      </c>
      <c r="V243" s="9" t="n">
        <f aca="false">V$18</f>
        <v>34</v>
      </c>
      <c r="W243" s="9" t="n">
        <f aca="false">W$18</f>
        <v>38</v>
      </c>
      <c r="X243" s="9" t="n">
        <f aca="false">SUMPRODUCT(K243:N243,T243:W243)/O243</f>
        <v>38.3680990588564</v>
      </c>
      <c r="Y243" s="9" t="n">
        <f aca="false">$Y$18/1000*CURVES!K202+$Y$14</f>
        <v>81.4326327284946</v>
      </c>
      <c r="Z243" s="9" t="n">
        <f aca="false">(O243*X243+P243*Y243)/Q243</f>
        <v>58.0372420856564</v>
      </c>
      <c r="AA243" s="9" t="n">
        <f aca="false">CHOOSE(AA$18,CURVES!F202,CURVES!G202)</f>
        <v>64.4884310917183</v>
      </c>
      <c r="AB243" s="9" t="n">
        <f aca="false">(Q243*Z243+R243*AA243)/H243</f>
        <v>62.2530678013534</v>
      </c>
      <c r="AD243" s="9"/>
      <c r="AH243" s="50" t="n">
        <f aca="false">AH231</f>
        <v>1859.59450264151</v>
      </c>
      <c r="AI243" s="50" t="n">
        <f aca="false">AI231</f>
        <v>0</v>
      </c>
      <c r="AJ243" s="50" t="n">
        <f aca="false">AJ231</f>
        <v>1584.50880376937</v>
      </c>
      <c r="AK243" s="50" t="n">
        <f aca="false">AK231</f>
        <v>621.501656862376</v>
      </c>
      <c r="AL243" s="50" t="n">
        <f aca="false">SUM(AH243:AK243)</f>
        <v>4065.60496327325</v>
      </c>
      <c r="AM243" s="50" t="n">
        <f aca="false">AM231</f>
        <v>2208.28901612903</v>
      </c>
      <c r="AN243" s="50" t="n">
        <f aca="false">AL243+AM243</f>
        <v>6273.89397940229</v>
      </c>
      <c r="AO243" s="8" t="n">
        <f aca="false">I243-AL243-AM243</f>
        <v>12904.9195383602</v>
      </c>
      <c r="AQ243" s="9" t="n">
        <f aca="false">$AQ$18</f>
        <v>43</v>
      </c>
      <c r="AR243" s="9"/>
      <c r="AS243" s="9" t="n">
        <f aca="false">AS$18</f>
        <v>30</v>
      </c>
      <c r="AT243" s="9" t="n">
        <f aca="false">AT$18</f>
        <v>38</v>
      </c>
      <c r="AU243" s="9" t="n">
        <f aca="false">SUMPRODUCT(AH243:AK243,AQ243:AT243)/AL243</f>
        <v>37.1691032583186</v>
      </c>
      <c r="AV243" s="9" t="n">
        <f aca="false">$Y$18/1000*CURVES!O202+$AV$14</f>
        <v>79.1521192880192</v>
      </c>
      <c r="AW243" s="9" t="n">
        <f aca="false">(AL243*AU243+AM243*AV243)/AN243</f>
        <v>51.9463107576378</v>
      </c>
      <c r="AX243" s="9" t="n">
        <f aca="false">CHOOSE(AX$18,CURVES!B202,CURVES!C202)</f>
        <v>70.3177419354839</v>
      </c>
      <c r="AY243" s="9" t="n">
        <f aca="false">(AN243*AW243+AO243*AX243)/I243</f>
        <v>64.3079639399398</v>
      </c>
    </row>
    <row r="244" customFormat="false" ht="12.75" hidden="false" customHeight="false" outlineLevel="0" collapsed="false">
      <c r="A244" s="85" t="n">
        <v>42979</v>
      </c>
      <c r="B244" s="31" t="n">
        <f aca="false">YEAR(A244)</f>
        <v>2017</v>
      </c>
      <c r="C244" s="31" t="n">
        <f aca="false">MONTH(A244)</f>
        <v>9</v>
      </c>
      <c r="D244" s="86" t="n">
        <v>0.062306531830551</v>
      </c>
      <c r="E244" s="87" t="n">
        <f aca="false">(1+D244/2)^(-2*(DATE($B245,$C245,20)-$E$17)/365.25)</f>
        <v>1.62712399809788</v>
      </c>
      <c r="F244" s="87"/>
      <c r="G244" s="8"/>
      <c r="H244" s="8" t="n">
        <f aca="false">(1+$I$17)*H232</f>
        <v>19610.2569162597</v>
      </c>
      <c r="I244" s="8" t="n">
        <f aca="false">(1+$I$17)*I232</f>
        <v>18065.2109650002</v>
      </c>
      <c r="K244" s="50" t="n">
        <f aca="false">K232</f>
        <v>2263.63333333333</v>
      </c>
      <c r="L244" s="50" t="n">
        <f aca="false">L232</f>
        <v>1380.73611111111</v>
      </c>
      <c r="M244" s="50" t="n">
        <f aca="false">M232</f>
        <v>542.602777777778</v>
      </c>
      <c r="N244" s="50" t="n">
        <f aca="false">N232</f>
        <v>3.41944444444444</v>
      </c>
      <c r="O244" s="50" t="n">
        <f aca="false">SUM(K244:N244)</f>
        <v>4190.39166666667</v>
      </c>
      <c r="P244" s="50" t="n">
        <f aca="false">P232</f>
        <v>3348.13393235473</v>
      </c>
      <c r="Q244" s="50" t="n">
        <f aca="false">O244+P244</f>
        <v>7538.52559902139</v>
      </c>
      <c r="R244" s="8" t="n">
        <f aca="false">H244-O244-P244</f>
        <v>12071.7313172383</v>
      </c>
      <c r="T244" s="9" t="n">
        <f aca="false">$T$18</f>
        <v>48.72</v>
      </c>
      <c r="U244" s="9" t="n">
        <f aca="false">U$18</f>
        <v>23</v>
      </c>
      <c r="V244" s="9" t="n">
        <f aca="false">V$18</f>
        <v>34</v>
      </c>
      <c r="W244" s="9" t="n">
        <f aca="false">W$18</f>
        <v>38</v>
      </c>
      <c r="X244" s="9" t="n">
        <f aca="false">SUMPRODUCT(K244:N244,T244:W244)/O244</f>
        <v>38.3304456159959</v>
      </c>
      <c r="Y244" s="9" t="n">
        <f aca="false">$Y$18/1000*CURVES!K203+$Y$14</f>
        <v>81.6531327284946</v>
      </c>
      <c r="Z244" s="9" t="n">
        <f aca="false">(O244*X244+P244*Y244)/Q244</f>
        <v>57.5716296985933</v>
      </c>
      <c r="AA244" s="9" t="n">
        <f aca="false">CHOOSE(AA$18,CURVES!F203,CURVES!G203)</f>
        <v>58.4084814346769</v>
      </c>
      <c r="AB244" s="9" t="n">
        <f aca="false">(Q244*Z244+R244*AA244)/H244</f>
        <v>58.0867809968912</v>
      </c>
      <c r="AD244" s="9"/>
      <c r="AH244" s="50" t="n">
        <f aca="false">AH232</f>
        <v>1890.97734163897</v>
      </c>
      <c r="AI244" s="50" t="n">
        <f aca="false">AI232</f>
        <v>0</v>
      </c>
      <c r="AJ244" s="50" t="n">
        <f aca="false">AJ232</f>
        <v>765.820605438213</v>
      </c>
      <c r="AK244" s="50" t="n">
        <f aca="false">AK232</f>
        <v>570.922545092046</v>
      </c>
      <c r="AL244" s="50" t="n">
        <f aca="false">SUM(AH244:AK244)</f>
        <v>3227.72049216923</v>
      </c>
      <c r="AM244" s="50" t="n">
        <f aca="false">AM232</f>
        <v>2371.57693150685</v>
      </c>
      <c r="AN244" s="50" t="n">
        <f aca="false">AL244+AM244</f>
        <v>5599.29742367608</v>
      </c>
      <c r="AO244" s="8" t="n">
        <f aca="false">I244-AL244-AM244</f>
        <v>12465.9135413241</v>
      </c>
      <c r="AQ244" s="9" t="n">
        <f aca="false">$AQ$18</f>
        <v>43</v>
      </c>
      <c r="AR244" s="9"/>
      <c r="AS244" s="9" t="n">
        <f aca="false">AS$18</f>
        <v>30</v>
      </c>
      <c r="AT244" s="9" t="n">
        <f aca="false">AT$18</f>
        <v>38</v>
      </c>
      <c r="AU244" s="9" t="n">
        <f aca="false">SUMPRODUCT(AH244:AK244,AQ244:AT244)/AL244</f>
        <v>39.0311679319086</v>
      </c>
      <c r="AV244" s="9" t="n">
        <f aca="false">$Y$18/1000*CURVES!O203+$AV$14</f>
        <v>79.3726192880192</v>
      </c>
      <c r="AW244" s="9" t="n">
        <f aca="false">(AL244*AU244+AM244*AV244)/AN244</f>
        <v>56.1177500832896</v>
      </c>
      <c r="AX244" s="9" t="n">
        <f aca="false">CHOOSE(AX$18,CURVES!B203,CURVES!C203)</f>
        <v>61.4388888888889</v>
      </c>
      <c r="AY244" s="9" t="n">
        <f aca="false">(AN244*AW244+AO244*AX244)/I244</f>
        <v>59.7896062504</v>
      </c>
    </row>
    <row r="245" customFormat="false" ht="12.75" hidden="false" customHeight="false" outlineLevel="0" collapsed="false">
      <c r="A245" s="85" t="n">
        <v>43009</v>
      </c>
      <c r="B245" s="31" t="n">
        <f aca="false">YEAR(A245)</f>
        <v>2017</v>
      </c>
      <c r="C245" s="31" t="n">
        <f aca="false">MONTH(A245)</f>
        <v>10</v>
      </c>
      <c r="D245" s="86" t="n">
        <v>0.062330246918987</v>
      </c>
      <c r="E245" s="87" t="n">
        <f aca="false">(1+D245/2)^(-2*(DATE($B246,$C246,20)-$E$17)/365.25)</f>
        <v>1.6189650663199</v>
      </c>
      <c r="F245" s="87"/>
      <c r="G245" s="8"/>
      <c r="H245" s="8" t="n">
        <f aca="false">(1+$I$17)*H233</f>
        <v>18217.9082951611</v>
      </c>
      <c r="I245" s="8" t="n">
        <f aca="false">(1+$I$17)*I233</f>
        <v>15636.7432129112</v>
      </c>
      <c r="K245" s="50" t="n">
        <f aca="false">K233</f>
        <v>2069.29166666667</v>
      </c>
      <c r="L245" s="50" t="n">
        <f aca="false">L233</f>
        <v>1227.52419354839</v>
      </c>
      <c r="M245" s="50" t="n">
        <f aca="false">M233</f>
        <v>369.340053763441</v>
      </c>
      <c r="N245" s="50" t="n">
        <f aca="false">N233</f>
        <v>3.27822580645161</v>
      </c>
      <c r="O245" s="50" t="n">
        <f aca="false">SUM(K245:N245)</f>
        <v>3669.43413978495</v>
      </c>
      <c r="P245" s="50" t="n">
        <f aca="false">P233</f>
        <v>3171.07549498463</v>
      </c>
      <c r="Q245" s="50" t="n">
        <f aca="false">O245+P245</f>
        <v>6840.50963476957</v>
      </c>
      <c r="R245" s="8" t="n">
        <f aca="false">H245-O245-P245</f>
        <v>11377.3986603916</v>
      </c>
      <c r="T245" s="9" t="n">
        <f aca="false">$T$18</f>
        <v>48.72</v>
      </c>
      <c r="U245" s="9" t="n">
        <f aca="false">U$18</f>
        <v>23</v>
      </c>
      <c r="V245" s="9" t="n">
        <f aca="false">V$18</f>
        <v>34</v>
      </c>
      <c r="W245" s="9" t="n">
        <f aca="false">W$18</f>
        <v>38</v>
      </c>
      <c r="X245" s="9" t="n">
        <f aca="false">SUMPRODUCT(K245:N245,T245:W245)/O245</f>
        <v>38.624778497461</v>
      </c>
      <c r="Y245" s="9" t="n">
        <f aca="false">$Y$18/1000*CURVES!K204+$Y$14</f>
        <v>81.9681327284946</v>
      </c>
      <c r="Z245" s="9" t="n">
        <f aca="false">(O245*X245+P245*Y245)/Q245</f>
        <v>58.7175867545901</v>
      </c>
      <c r="AA245" s="9" t="n">
        <f aca="false">CHOOSE(AA$18,CURVES!F204,CURVES!G204)</f>
        <v>47.3930809691735</v>
      </c>
      <c r="AB245" s="9" t="n">
        <f aca="false">(Q245*Z245+R245*AA245)/H245</f>
        <v>51.6452371266793</v>
      </c>
      <c r="AD245" s="9"/>
      <c r="AH245" s="50" t="n">
        <f aca="false">AH233</f>
        <v>1913.83994918903</v>
      </c>
      <c r="AI245" s="50" t="n">
        <f aca="false">AI233</f>
        <v>0</v>
      </c>
      <c r="AJ245" s="50" t="n">
        <f aca="false">AJ233</f>
        <v>1075.38011608834</v>
      </c>
      <c r="AK245" s="50" t="n">
        <f aca="false">AK233</f>
        <v>576.385560502926</v>
      </c>
      <c r="AL245" s="50" t="n">
        <f aca="false">SUM(AH245:AK245)</f>
        <v>3565.6056257803</v>
      </c>
      <c r="AM245" s="50" t="n">
        <f aca="false">AM233</f>
        <v>2259.71325</v>
      </c>
      <c r="AN245" s="50" t="n">
        <f aca="false">AL245+AM245</f>
        <v>5825.3188757803</v>
      </c>
      <c r="AO245" s="8" t="n">
        <f aca="false">I245-AL245-AM245</f>
        <v>9811.42433713093</v>
      </c>
      <c r="AQ245" s="9" t="n">
        <f aca="false">$AQ$18</f>
        <v>43</v>
      </c>
      <c r="AR245" s="9"/>
      <c r="AS245" s="9" t="n">
        <f aca="false">AS$18</f>
        <v>30</v>
      </c>
      <c r="AT245" s="9" t="n">
        <f aca="false">AT$18</f>
        <v>38</v>
      </c>
      <c r="AU245" s="9" t="n">
        <f aca="false">SUMPRODUCT(AH245:AK245,AQ245:AT245)/AL245</f>
        <v>38.2709662589303</v>
      </c>
      <c r="AV245" s="9" t="n">
        <f aca="false">$Y$18/1000*CURVES!O204+$AV$14</f>
        <v>79.6876192880192</v>
      </c>
      <c r="AW245" s="9" t="n">
        <f aca="false">(AL245*AU245+AM245*AV245)/AN245</f>
        <v>54.3369982850223</v>
      </c>
      <c r="AX245" s="9" t="n">
        <f aca="false">CHOOSE(AX$18,CURVES!B204,CURVES!C204)</f>
        <v>47.7021505376344</v>
      </c>
      <c r="AY245" s="9" t="n">
        <f aca="false">(AN245*AW245+AO245*AX245)/I245</f>
        <v>50.1738995006073</v>
      </c>
    </row>
    <row r="246" customFormat="false" ht="12.75" hidden="false" customHeight="false" outlineLevel="0" collapsed="false">
      <c r="A246" s="85" t="n">
        <v>43040</v>
      </c>
      <c r="B246" s="31" t="n">
        <f aca="false">YEAR(A246)</f>
        <v>2017</v>
      </c>
      <c r="C246" s="31" t="n">
        <f aca="false">MONTH(A246)</f>
        <v>11</v>
      </c>
      <c r="D246" s="86" t="n">
        <v>0.062354752510566</v>
      </c>
      <c r="E246" s="87" t="n">
        <f aca="false">(1+D246/2)^(-2*(DATE($B247,$C247,20)-$E$17)/365.25)</f>
        <v>1.61112116654377</v>
      </c>
      <c r="F246" s="87"/>
      <c r="G246" s="8"/>
      <c r="H246" s="8" t="n">
        <f aca="false">(1+$I$17)*H234</f>
        <v>17820.7129628859</v>
      </c>
      <c r="I246" s="8" t="n">
        <f aca="false">(1+$I$17)*I234</f>
        <v>15874.0952234726</v>
      </c>
      <c r="K246" s="50" t="n">
        <f aca="false">K234</f>
        <v>2201.15833333333</v>
      </c>
      <c r="L246" s="50" t="n">
        <f aca="false">L234</f>
        <v>1270.02777777778</v>
      </c>
      <c r="M246" s="50" t="n">
        <f aca="false">M234</f>
        <v>241.311111111111</v>
      </c>
      <c r="N246" s="50" t="n">
        <f aca="false">N234</f>
        <v>3.11944444444444</v>
      </c>
      <c r="O246" s="50" t="n">
        <f aca="false">SUM(K246:N246)</f>
        <v>3715.61666666667</v>
      </c>
      <c r="P246" s="50" t="n">
        <f aca="false">P234</f>
        <v>3029.03315829808</v>
      </c>
      <c r="Q246" s="50" t="n">
        <f aca="false">O246+P246</f>
        <v>6744.64982496475</v>
      </c>
      <c r="R246" s="8" t="n">
        <f aca="false">H246-O246-P246</f>
        <v>11076.0631379211</v>
      </c>
      <c r="T246" s="9" t="n">
        <f aca="false">$T$18</f>
        <v>48.72</v>
      </c>
      <c r="U246" s="9" t="n">
        <f aca="false">U$18</f>
        <v>23</v>
      </c>
      <c r="V246" s="9" t="n">
        <f aca="false">V$18</f>
        <v>34</v>
      </c>
      <c r="W246" s="9" t="n">
        <f aca="false">W$18</f>
        <v>38</v>
      </c>
      <c r="X246" s="9" t="n">
        <f aca="false">SUMPRODUCT(K246:N246,T246:W246)/O246</f>
        <v>38.9637044247179</v>
      </c>
      <c r="Y246" s="9" t="n">
        <f aca="false">$Y$18/1000*CURVES!K205+$Y$14</f>
        <v>81.6006327284946</v>
      </c>
      <c r="Z246" s="9" t="n">
        <f aca="false">(O246*X246+P246*Y246)/Q246</f>
        <v>58.1120179697866</v>
      </c>
      <c r="AA246" s="9" t="n">
        <f aca="false">CHOOSE(AA$18,CURVES!F205,CURVES!G205)</f>
        <v>39.9459948062724</v>
      </c>
      <c r="AB246" s="9" t="n">
        <f aca="false">(Q246*Z246+R246*AA246)/H246</f>
        <v>46.8213350468831</v>
      </c>
      <c r="AD246" s="9"/>
      <c r="AH246" s="50" t="n">
        <f aca="false">AH234</f>
        <v>1838.78743628671</v>
      </c>
      <c r="AI246" s="50" t="n">
        <f aca="false">AI234</f>
        <v>0</v>
      </c>
      <c r="AJ246" s="50" t="n">
        <f aca="false">AJ234</f>
        <v>1347.87918472112</v>
      </c>
      <c r="AK246" s="50" t="n">
        <f aca="false">AK234</f>
        <v>499.439112514422</v>
      </c>
      <c r="AL246" s="50" t="n">
        <f aca="false">SUM(AH246:AK246)</f>
        <v>3686.10573352225</v>
      </c>
      <c r="AM246" s="50" t="n">
        <f aca="false">AM234</f>
        <v>2451.23764109589</v>
      </c>
      <c r="AN246" s="50" t="n">
        <f aca="false">AL246+AM246</f>
        <v>6137.34337461814</v>
      </c>
      <c r="AO246" s="8" t="n">
        <f aca="false">I246-AL246-AM246</f>
        <v>9736.75184885443</v>
      </c>
      <c r="AQ246" s="9" t="n">
        <f aca="false">$AQ$18</f>
        <v>43</v>
      </c>
      <c r="AR246" s="9"/>
      <c r="AS246" s="9" t="n">
        <f aca="false">AS$18</f>
        <v>30</v>
      </c>
      <c r="AT246" s="9" t="n">
        <f aca="false">AT$18</f>
        <v>38</v>
      </c>
      <c r="AU246" s="9" t="n">
        <f aca="false">SUMPRODUCT(AH246:AK246,AQ246:AT246)/AL246</f>
        <v>37.5688956282822</v>
      </c>
      <c r="AV246" s="9" t="n">
        <f aca="false">$Y$18/1000*CURVES!O205+$AV$14</f>
        <v>81.1576192880192</v>
      </c>
      <c r="AW246" s="9" t="n">
        <f aca="false">(AL246*AU246+AM246*AV246)/AN246</f>
        <v>54.9781089703208</v>
      </c>
      <c r="AX246" s="9" t="n">
        <f aca="false">CHOOSE(AX$18,CURVES!B205,CURVES!C205)</f>
        <v>46.1166666666667</v>
      </c>
      <c r="AY246" s="9" t="n">
        <f aca="false">(AN246*AW246+AO246*AX246)/I246</f>
        <v>49.5427336926143</v>
      </c>
    </row>
    <row r="247" customFormat="false" ht="12.75" hidden="false" customHeight="false" outlineLevel="0" collapsed="false">
      <c r="A247" s="85" t="n">
        <v>43070</v>
      </c>
      <c r="B247" s="31" t="n">
        <f aca="false">YEAR(A247)</f>
        <v>2017</v>
      </c>
      <c r="C247" s="31" t="n">
        <f aca="false">MONTH(A247)</f>
        <v>12</v>
      </c>
      <c r="D247" s="86" t="n">
        <v>0.062378467599381</v>
      </c>
      <c r="E247" s="87" t="n">
        <f aca="false">(1+D247/2)^(-2*(DATE($B248,$C248,20)-$E$17)/365.25)</f>
        <v>1.60302995201307</v>
      </c>
      <c r="F247" s="87"/>
      <c r="G247" s="8"/>
      <c r="H247" s="8" t="n">
        <f aca="false">(1+$I$17)*H235</f>
        <v>17692.3946238088</v>
      </c>
      <c r="I247" s="8" t="n">
        <f aca="false">(1+$I$17)*I235</f>
        <v>15838.0320442</v>
      </c>
      <c r="K247" s="50" t="n">
        <f aca="false">K235</f>
        <v>2256.4126344086</v>
      </c>
      <c r="L247" s="50" t="n">
        <f aca="false">L235</f>
        <v>1157.21505376344</v>
      </c>
      <c r="M247" s="50" t="n">
        <f aca="false">M235</f>
        <v>239.860215053763</v>
      </c>
      <c r="N247" s="50" t="n">
        <f aca="false">N235</f>
        <v>2.96908602150538</v>
      </c>
      <c r="O247" s="50" t="n">
        <f aca="false">SUM(K247:N247)</f>
        <v>3656.45698924731</v>
      </c>
      <c r="P247" s="50" t="n">
        <f aca="false">P235</f>
        <v>2977.59684973097</v>
      </c>
      <c r="Q247" s="50" t="n">
        <f aca="false">O247+P247</f>
        <v>6634.05383897828</v>
      </c>
      <c r="R247" s="8" t="n">
        <f aca="false">H247-O247-P247</f>
        <v>11058.3407848305</v>
      </c>
      <c r="T247" s="9" t="n">
        <f aca="false">$T$18</f>
        <v>48.72</v>
      </c>
      <c r="U247" s="9" t="n">
        <f aca="false">U$18</f>
        <v>23</v>
      </c>
      <c r="V247" s="9" t="n">
        <f aca="false">V$18</f>
        <v>34</v>
      </c>
      <c r="W247" s="9" t="n">
        <f aca="false">W$18</f>
        <v>38</v>
      </c>
      <c r="X247" s="9" t="n">
        <f aca="false">SUMPRODUCT(K247:N247,T247:W247)/O247</f>
        <v>39.6056736867024</v>
      </c>
      <c r="Y247" s="9" t="n">
        <f aca="false">$Y$18/1000*CURVES!K206+$Y$14</f>
        <v>82.9131327284946</v>
      </c>
      <c r="Z247" s="9" t="n">
        <f aca="false">(O247*X247+P247*Y247)/Q247</f>
        <v>59.0435855189877</v>
      </c>
      <c r="AA247" s="9" t="n">
        <f aca="false">CHOOSE(AA$18,CURVES!F206,CURVES!G206)</f>
        <v>39.4489877853513</v>
      </c>
      <c r="AB247" s="9" t="n">
        <f aca="false">(Q247*Z247+R247*AA247)/H247</f>
        <v>46.7963039108426</v>
      </c>
      <c r="AD247" s="9"/>
      <c r="AH247" s="50" t="n">
        <f aca="false">AH235</f>
        <v>1921.09500453605</v>
      </c>
      <c r="AI247" s="50" t="n">
        <f aca="false">AI235</f>
        <v>0</v>
      </c>
      <c r="AJ247" s="50" t="n">
        <f aca="false">AJ235</f>
        <v>1326.47869273451</v>
      </c>
      <c r="AK247" s="50" t="n">
        <f aca="false">AK235</f>
        <v>519.619723134563</v>
      </c>
      <c r="AL247" s="50" t="n">
        <f aca="false">SUM(AH247:AK247)</f>
        <v>3767.19342040512</v>
      </c>
      <c r="AM247" s="50" t="n">
        <f aca="false">AM235</f>
        <v>2024.24791129032</v>
      </c>
      <c r="AN247" s="50" t="n">
        <f aca="false">AL247+AM247</f>
        <v>5791.44133169545</v>
      </c>
      <c r="AO247" s="8" t="n">
        <f aca="false">I247-AL247-AM247</f>
        <v>10046.5907125046</v>
      </c>
      <c r="AQ247" s="9" t="n">
        <f aca="false">$AQ$18</f>
        <v>43</v>
      </c>
      <c r="AR247" s="9"/>
      <c r="AS247" s="9" t="n">
        <f aca="false">AS$18</f>
        <v>30</v>
      </c>
      <c r="AT247" s="9" t="n">
        <f aca="false">AT$18</f>
        <v>38</v>
      </c>
      <c r="AU247" s="9" t="n">
        <f aca="false">SUMPRODUCT(AH247:AK247,AQ247:AT247)/AL247</f>
        <v>37.7328635918334</v>
      </c>
      <c r="AV247" s="9" t="n">
        <f aca="false">$Y$18/1000*CURVES!O206+$AV$14</f>
        <v>82.4701192880192</v>
      </c>
      <c r="AW247" s="9" t="n">
        <f aca="false">(AL247*AU247+AM247*AV247)/AN247</f>
        <v>53.3696094748058</v>
      </c>
      <c r="AX247" s="9" t="n">
        <f aca="false">CHOOSE(AX$18,CURVES!B206,CURVES!C206)</f>
        <v>44.9903225806452</v>
      </c>
      <c r="AY247" s="9" t="n">
        <f aca="false">(AN247*AW247+AO247*AX247)/I247</f>
        <v>48.0543489895794</v>
      </c>
    </row>
    <row r="248" customFormat="false" ht="12.75" hidden="false" customHeight="false" outlineLevel="0" collapsed="false">
      <c r="A248" s="85" t="n">
        <v>43101</v>
      </c>
      <c r="B248" s="31" t="n">
        <f aca="false">YEAR(A248)</f>
        <v>2018</v>
      </c>
      <c r="C248" s="31" t="n">
        <f aca="false">MONTH(A248)</f>
        <v>1</v>
      </c>
      <c r="D248" s="86" t="n">
        <v>0.062402973191352</v>
      </c>
      <c r="E248" s="87" t="n">
        <f aca="false">(1+D248/2)^(-2*(DATE($B249,$C249,20)-$E$17)/365.25)</f>
        <v>1.59498243207053</v>
      </c>
      <c r="F248" s="87"/>
      <c r="G248" s="8"/>
      <c r="H248" s="8" t="n">
        <f aca="false">(1+$I$17)*H236</f>
        <v>18017.4744308557</v>
      </c>
      <c r="I248" s="8" t="n">
        <f aca="false">(1+$I$17)*I236</f>
        <v>17127.8561929826</v>
      </c>
      <c r="K248" s="50" t="n">
        <f aca="false">K236</f>
        <v>2185.91801075269</v>
      </c>
      <c r="L248" s="50" t="n">
        <f aca="false">L236</f>
        <v>1282.33064516129</v>
      </c>
      <c r="M248" s="50" t="n">
        <f aca="false">M236</f>
        <v>142.852150537634</v>
      </c>
      <c r="N248" s="50" t="n">
        <f aca="false">N236</f>
        <v>3.16801075268817</v>
      </c>
      <c r="O248" s="50" t="n">
        <f aca="false">SUM(K248:N248)</f>
        <v>3614.2688172043</v>
      </c>
      <c r="P248" s="50" t="n">
        <f aca="false">P236</f>
        <v>2792.6655547379</v>
      </c>
      <c r="Q248" s="50" t="n">
        <f aca="false">O248+P248</f>
        <v>6406.9343719422</v>
      </c>
      <c r="R248" s="8" t="n">
        <f aca="false">H248-O248-P248</f>
        <v>11610.5400589135</v>
      </c>
      <c r="T248" s="9" t="n">
        <f aca="false">$T$18</f>
        <v>48.72</v>
      </c>
      <c r="U248" s="9" t="n">
        <f aca="false">U$18</f>
        <v>23</v>
      </c>
      <c r="V248" s="9" t="n">
        <f aca="false">V$18</f>
        <v>34</v>
      </c>
      <c r="W248" s="9" t="n">
        <f aca="false">W$18</f>
        <v>38</v>
      </c>
      <c r="X248" s="9" t="n">
        <f aca="false">SUMPRODUCT(K248:N248,T248:W248)/O248</f>
        <v>39.0034319468534</v>
      </c>
      <c r="Y248" s="9" t="n">
        <f aca="false">$Y$18/1000*CURVES!K207+$Y$14</f>
        <v>84.6876327284946</v>
      </c>
      <c r="Z248" s="9" t="n">
        <f aca="false">(O248*X248+P248*Y248)/Q248</f>
        <v>58.9163398232525</v>
      </c>
      <c r="AA248" s="9" t="n">
        <f aca="false">CHOOSE(AA$18,CURVES!F207,CURVES!G207)</f>
        <v>41.1533140163165</v>
      </c>
      <c r="AB248" s="9" t="n">
        <f aca="false">(Q248*Z248+R248*AA248)/H248</f>
        <v>47.4697675808214</v>
      </c>
      <c r="AD248" s="9"/>
      <c r="AH248" s="50" t="n">
        <f aca="false">AH236</f>
        <v>1826.05608785899</v>
      </c>
      <c r="AI248" s="50" t="n">
        <f aca="false">AI236</f>
        <v>0</v>
      </c>
      <c r="AJ248" s="50" t="n">
        <f aca="false">AJ236</f>
        <v>1744.08931864439</v>
      </c>
      <c r="AK248" s="50" t="n">
        <f aca="false">AK236</f>
        <v>538.872892801371</v>
      </c>
      <c r="AL248" s="50" t="n">
        <f aca="false">SUM(AH248:AK248)</f>
        <v>4109.01829930475</v>
      </c>
      <c r="AM248" s="50" t="n">
        <f aca="false">AM236</f>
        <v>2445.3687016129</v>
      </c>
      <c r="AN248" s="50" t="n">
        <f aca="false">AL248+AM248</f>
        <v>6554.38700091765</v>
      </c>
      <c r="AO248" s="8" t="n">
        <f aca="false">I248-AL248-AM248</f>
        <v>10573.4691920649</v>
      </c>
      <c r="AQ248" s="9" t="n">
        <f aca="false">$AQ$18</f>
        <v>43</v>
      </c>
      <c r="AR248" s="9"/>
      <c r="AS248" s="9" t="n">
        <f aca="false">AS$18</f>
        <v>30</v>
      </c>
      <c r="AT248" s="9" t="n">
        <f aca="false">AT$18</f>
        <v>38</v>
      </c>
      <c r="AU248" s="9" t="n">
        <f aca="false">SUMPRODUCT(AH248:AK248,AQ248:AT248)/AL248</f>
        <v>36.8263780400598</v>
      </c>
      <c r="AV248" s="9" t="n">
        <f aca="false">$Y$18/1000*CURVES!O207+$AV$14</f>
        <v>84.2446192880192</v>
      </c>
      <c r="AW248" s="9" t="n">
        <f aca="false">(AL248*AU248+AM248*AV248)/AN248</f>
        <v>54.5175950855372</v>
      </c>
      <c r="AX248" s="9" t="n">
        <f aca="false">CHOOSE(AX$18,CURVES!B207,CURVES!C207)</f>
        <v>48.8322580645161</v>
      </c>
      <c r="AY248" s="9" t="n">
        <f aca="false">(AN248*AW248+AO248*AX248)/I248</f>
        <v>51.0078893079454</v>
      </c>
    </row>
    <row r="249" customFormat="false" ht="12.75" hidden="false" customHeight="false" outlineLevel="0" collapsed="false">
      <c r="A249" s="85" t="n">
        <v>43132</v>
      </c>
      <c r="B249" s="31" t="n">
        <f aca="false">YEAR(A249)</f>
        <v>2018</v>
      </c>
      <c r="C249" s="31" t="n">
        <f aca="false">MONTH(A249)</f>
        <v>2</v>
      </c>
      <c r="D249" s="86" t="n">
        <v>0.062427478783523</v>
      </c>
      <c r="E249" s="87" t="n">
        <f aca="false">(1+D249/2)^(-2*(DATE($B250,$C250,20)-$E$17)/365.25)</f>
        <v>1.58777038857207</v>
      </c>
      <c r="F249" s="87"/>
      <c r="G249" s="8"/>
      <c r="H249" s="8" t="n">
        <f aca="false">(1+$I$17)*H237</f>
        <v>18065.9378696862</v>
      </c>
      <c r="I249" s="8" t="n">
        <f aca="false">(1+$I$17)*I237</f>
        <v>17105.0288100304</v>
      </c>
      <c r="K249" s="50" t="n">
        <f aca="false">K237</f>
        <v>2261.87643678161</v>
      </c>
      <c r="L249" s="50" t="n">
        <f aca="false">L237</f>
        <v>1335.97988505747</v>
      </c>
      <c r="M249" s="50" t="n">
        <f aca="false">M237</f>
        <v>236.002873563218</v>
      </c>
      <c r="N249" s="50" t="n">
        <f aca="false">N237</f>
        <v>3.84913793103448</v>
      </c>
      <c r="O249" s="50" t="n">
        <f aca="false">SUM(K249:N249)</f>
        <v>3837.70833333333</v>
      </c>
      <c r="P249" s="50" t="n">
        <f aca="false">P237</f>
        <v>3011.77170136767</v>
      </c>
      <c r="Q249" s="50" t="n">
        <f aca="false">O249+P249</f>
        <v>6849.48003470101</v>
      </c>
      <c r="R249" s="8" t="n">
        <f aca="false">H249-O249-P249</f>
        <v>11216.4578349852</v>
      </c>
      <c r="T249" s="9" t="n">
        <f aca="false">$T$18</f>
        <v>48.72</v>
      </c>
      <c r="U249" s="9" t="n">
        <f aca="false">U$18</f>
        <v>23</v>
      </c>
      <c r="V249" s="9" t="n">
        <f aca="false">V$18</f>
        <v>34</v>
      </c>
      <c r="W249" s="9" t="n">
        <f aca="false">W$18</f>
        <v>38</v>
      </c>
      <c r="X249" s="9" t="n">
        <f aca="false">SUMPRODUCT(K249:N249,T249:W249)/O249</f>
        <v>38.8504048116</v>
      </c>
      <c r="Y249" s="9" t="n">
        <f aca="false">$Y$18/1000*CURVES!K208+$Y$14</f>
        <v>83.6796327284946</v>
      </c>
      <c r="Z249" s="9" t="n">
        <f aca="false">(O249*X249+P249*Y249)/Q249</f>
        <v>58.5621784572266</v>
      </c>
      <c r="AA249" s="9" t="n">
        <f aca="false">CHOOSE(AA$18,CURVES!F208,CURVES!G208)</f>
        <v>41.128267147399</v>
      </c>
      <c r="AB249" s="9" t="n">
        <f aca="false">(Q249*Z249+R249*AA249)/H249</f>
        <v>47.7381220193004</v>
      </c>
      <c r="AD249" s="9"/>
      <c r="AH249" s="50" t="n">
        <f aca="false">AH237</f>
        <v>1925.74685025101</v>
      </c>
      <c r="AI249" s="50" t="n">
        <f aca="false">AI237</f>
        <v>0</v>
      </c>
      <c r="AJ249" s="50" t="n">
        <f aca="false">AJ237</f>
        <v>2201.92738718254</v>
      </c>
      <c r="AK249" s="50" t="n">
        <f aca="false">AK237</f>
        <v>548.475477754164</v>
      </c>
      <c r="AL249" s="50" t="n">
        <f aca="false">SUM(AH249:AK249)</f>
        <v>4676.14971518771</v>
      </c>
      <c r="AM249" s="50" t="n">
        <f aca="false">AM237</f>
        <v>2161.54564434524</v>
      </c>
      <c r="AN249" s="50" t="n">
        <f aca="false">AL249+AM249</f>
        <v>6837.69535953295</v>
      </c>
      <c r="AO249" s="8" t="n">
        <f aca="false">I249-AL249-AM249</f>
        <v>10267.3334504974</v>
      </c>
      <c r="AQ249" s="9" t="n">
        <f aca="false">$AQ$18</f>
        <v>43</v>
      </c>
      <c r="AR249" s="9"/>
      <c r="AS249" s="9" t="n">
        <f aca="false">AS$18</f>
        <v>30</v>
      </c>
      <c r="AT249" s="9" t="n">
        <f aca="false">AT$18</f>
        <v>38</v>
      </c>
      <c r="AU249" s="9" t="n">
        <f aca="false">SUMPRODUCT(AH249:AK249,AQ249:AT249)/AL249</f>
        <v>36.2920382509856</v>
      </c>
      <c r="AV249" s="9" t="n">
        <f aca="false">$Y$18/1000*CURVES!O208+$AV$14</f>
        <v>83.2366192880192</v>
      </c>
      <c r="AW249" s="9" t="n">
        <f aca="false">(AL249*AU249+AM249*AV249)/AN249</f>
        <v>51.1322511196009</v>
      </c>
      <c r="AX249" s="9" t="n">
        <f aca="false">CHOOSE(AX$18,CURVES!B208,CURVES!C208)</f>
        <v>47.5357142857143</v>
      </c>
      <c r="AY249" s="9" t="n">
        <f aca="false">(AN249*AW249+AO249*AX249)/I249</f>
        <v>48.9734214940783</v>
      </c>
    </row>
    <row r="250" customFormat="false" ht="12.75" hidden="false" customHeight="false" outlineLevel="0" collapsed="false">
      <c r="A250" s="85" t="n">
        <v>43160</v>
      </c>
      <c r="B250" s="31" t="n">
        <f aca="false">YEAR(A250)</f>
        <v>2018</v>
      </c>
      <c r="C250" s="31" t="n">
        <f aca="false">MONTH(A250)</f>
        <v>3</v>
      </c>
      <c r="D250" s="86" t="n">
        <v>0.062449612866946</v>
      </c>
      <c r="E250" s="87" t="n">
        <f aca="false">(1+D250/2)^(-2*(DATE($B251,$C251,20)-$E$17)/365.25)</f>
        <v>1.57976001584316</v>
      </c>
      <c r="F250" s="87"/>
      <c r="G250" s="8"/>
      <c r="H250" s="8" t="n">
        <f aca="false">(1+$I$17)*H238</f>
        <v>17961.3512023073</v>
      </c>
      <c r="I250" s="8" t="n">
        <f aca="false">(1+$I$17)*I238</f>
        <v>16721.0264899777</v>
      </c>
      <c r="K250" s="50" t="n">
        <f aca="false">K238</f>
        <v>2263.94623655914</v>
      </c>
      <c r="L250" s="50" t="n">
        <f aca="false">L238</f>
        <v>1258.63037634409</v>
      </c>
      <c r="M250" s="50" t="n">
        <f aca="false">M238</f>
        <v>620.646505376344</v>
      </c>
      <c r="N250" s="50" t="n">
        <f aca="false">N238</f>
        <v>2.58198924731183</v>
      </c>
      <c r="O250" s="50" t="n">
        <f aca="false">SUM(K250:N250)</f>
        <v>4145.80510752688</v>
      </c>
      <c r="P250" s="50" t="n">
        <f aca="false">P238</f>
        <v>2834.39732902856</v>
      </c>
      <c r="Q250" s="50" t="n">
        <f aca="false">O250+P250</f>
        <v>6980.20243655544</v>
      </c>
      <c r="R250" s="8" t="n">
        <f aca="false">H250-O250-P250</f>
        <v>10981.1487657518</v>
      </c>
      <c r="T250" s="9" t="n">
        <f aca="false">$T$18</f>
        <v>48.72</v>
      </c>
      <c r="U250" s="9" t="n">
        <f aca="false">U$18</f>
        <v>23</v>
      </c>
      <c r="V250" s="9" t="n">
        <f aca="false">V$18</f>
        <v>34</v>
      </c>
      <c r="W250" s="9" t="n">
        <f aca="false">W$18</f>
        <v>38</v>
      </c>
      <c r="X250" s="9" t="n">
        <f aca="false">SUMPRODUCT(K250:N250,T250:W250)/O250</f>
        <v>38.7013021388701</v>
      </c>
      <c r="Y250" s="9" t="n">
        <f aca="false">$Y$18/1000*CURVES!K209+$Y$14</f>
        <v>82.1046327284946</v>
      </c>
      <c r="Z250" s="9" t="n">
        <f aca="false">(O250*X250+P250*Y250)/Q250</f>
        <v>56.325760084374</v>
      </c>
      <c r="AA250" s="9" t="n">
        <f aca="false">CHOOSE(AA$18,CURVES!F209,CURVES!G209)</f>
        <v>40.8221895508317</v>
      </c>
      <c r="AB250" s="9" t="n">
        <f aca="false">(Q250*Z250+R250*AA250)/H250</f>
        <v>46.8472407618809</v>
      </c>
      <c r="AD250" s="9"/>
      <c r="AH250" s="50" t="n">
        <f aca="false">AH238</f>
        <v>1891.23873243112</v>
      </c>
      <c r="AI250" s="50" t="n">
        <f aca="false">AI238</f>
        <v>0</v>
      </c>
      <c r="AJ250" s="50" t="n">
        <f aca="false">AJ238</f>
        <v>1966.55049263563</v>
      </c>
      <c r="AK250" s="50" t="n">
        <f aca="false">AK238</f>
        <v>526.073305014923</v>
      </c>
      <c r="AL250" s="50" t="n">
        <f aca="false">SUM(AH250:AK250)</f>
        <v>4383.86253008167</v>
      </c>
      <c r="AM250" s="50" t="n">
        <f aca="false">AM238</f>
        <v>2044.22227284946</v>
      </c>
      <c r="AN250" s="50" t="n">
        <f aca="false">AL250+AM250</f>
        <v>6428.08480293113</v>
      </c>
      <c r="AO250" s="8" t="n">
        <f aca="false">I250-AL250-AM250</f>
        <v>10292.9416870466</v>
      </c>
      <c r="AQ250" s="9" t="n">
        <f aca="false">$AQ$18</f>
        <v>43</v>
      </c>
      <c r="AR250" s="9"/>
      <c r="AS250" s="9" t="n">
        <f aca="false">AS$18</f>
        <v>30</v>
      </c>
      <c r="AT250" s="9" t="n">
        <f aca="false">AT$18</f>
        <v>38</v>
      </c>
      <c r="AU250" s="9" t="n">
        <f aca="false">SUMPRODUCT(AH250:AK250,AQ250:AT250)/AL250</f>
        <v>36.5683377989472</v>
      </c>
      <c r="AV250" s="9" t="n">
        <f aca="false">$Y$18/1000*CURVES!O209+$AV$14</f>
        <v>81.6616192880192</v>
      </c>
      <c r="AW250" s="9" t="n">
        <f aca="false">(AL250*AU250+AM250*AV250)/AN250</f>
        <v>50.9086418244632</v>
      </c>
      <c r="AX250" s="9" t="n">
        <f aca="false">CHOOSE(AX$18,CURVES!B209,CURVES!C209)</f>
        <v>45.5854838709678</v>
      </c>
      <c r="AY250" s="9" t="n">
        <f aca="false">(AN250*AW250+AO250*AX250)/I250</f>
        <v>47.6318720376856</v>
      </c>
    </row>
    <row r="251" customFormat="false" ht="12.75" hidden="false" customHeight="false" outlineLevel="0" collapsed="false">
      <c r="A251" s="85" t="n">
        <v>43191</v>
      </c>
      <c r="B251" s="31" t="n">
        <f aca="false">YEAR(A251)</f>
        <v>2018</v>
      </c>
      <c r="C251" s="31" t="n">
        <f aca="false">MONTH(A251)</f>
        <v>4</v>
      </c>
      <c r="D251" s="86" t="n">
        <v>0.062474118459496</v>
      </c>
      <c r="E251" s="87" t="n">
        <f aca="false">(1+D251/2)^(-2*(DATE($B252,$C252,20)-$E$17)/365.25)</f>
        <v>1.57207565679645</v>
      </c>
      <c r="F251" s="87"/>
      <c r="G251" s="8"/>
      <c r="H251" s="8" t="n">
        <f aca="false">(1+$I$17)*H239</f>
        <v>18041.0513347433</v>
      </c>
      <c r="I251" s="8" t="n">
        <f aca="false">(1+$I$17)*I239</f>
        <v>16334.7173020515</v>
      </c>
      <c r="K251" s="50" t="n">
        <f aca="false">K239</f>
        <v>2319.84027777778</v>
      </c>
      <c r="L251" s="50" t="n">
        <f aca="false">L239</f>
        <v>1179.16597222222</v>
      </c>
      <c r="M251" s="50" t="n">
        <f aca="false">M239</f>
        <v>811.586111111111</v>
      </c>
      <c r="N251" s="50" t="n">
        <f aca="false">N239</f>
        <v>3.04166666666667</v>
      </c>
      <c r="O251" s="50" t="n">
        <f aca="false">SUM(K251:N251)</f>
        <v>4313.63402777778</v>
      </c>
      <c r="P251" s="50" t="n">
        <f aca="false">P239</f>
        <v>2923.39459068154</v>
      </c>
      <c r="Q251" s="50" t="n">
        <f aca="false">O251+P251</f>
        <v>7237.02861845932</v>
      </c>
      <c r="R251" s="8" t="n">
        <f aca="false">H251-O251-P251</f>
        <v>10804.022716284</v>
      </c>
      <c r="T251" s="9" t="n">
        <f aca="false">$T$18</f>
        <v>48.72</v>
      </c>
      <c r="U251" s="9" t="n">
        <f aca="false">U$18</f>
        <v>23</v>
      </c>
      <c r="V251" s="9" t="n">
        <f aca="false">V$18</f>
        <v>34</v>
      </c>
      <c r="W251" s="9" t="n">
        <f aca="false">W$18</f>
        <v>38</v>
      </c>
      <c r="X251" s="9" t="n">
        <f aca="false">SUMPRODUCT(K251:N251,T251:W251)/O251</f>
        <v>38.9121899828918</v>
      </c>
      <c r="Y251" s="9" t="n">
        <f aca="false">$Y$18/1000*CURVES!K210+$Y$14</f>
        <v>82.0206327284946</v>
      </c>
      <c r="Z251" s="9" t="n">
        <f aca="false">(O251*X251+P251*Y251)/Q251</f>
        <v>56.32582684675</v>
      </c>
      <c r="AA251" s="9" t="n">
        <f aca="false">CHOOSE(AA$18,CURVES!F210,CURVES!G210)</f>
        <v>39.4088109711224</v>
      </c>
      <c r="AB251" s="9" t="n">
        <f aca="false">(Q251*Z251+R251*AA251)/H251</f>
        <v>46.1949414332134</v>
      </c>
      <c r="AD251" s="9"/>
      <c r="AH251" s="50" t="n">
        <f aca="false">AH239</f>
        <v>1937.93108490741</v>
      </c>
      <c r="AI251" s="50" t="n">
        <f aca="false">AI239</f>
        <v>0</v>
      </c>
      <c r="AJ251" s="50" t="n">
        <f aca="false">AJ239</f>
        <v>2070.95002093926</v>
      </c>
      <c r="AK251" s="50" t="n">
        <f aca="false">AK239</f>
        <v>513.919329218532</v>
      </c>
      <c r="AL251" s="50" t="n">
        <f aca="false">SUM(AH251:AK251)</f>
        <v>4522.8004350652</v>
      </c>
      <c r="AM251" s="50" t="n">
        <f aca="false">AM239</f>
        <v>2152.99685890411</v>
      </c>
      <c r="AN251" s="50" t="n">
        <f aca="false">AL251+AM251</f>
        <v>6675.79729396931</v>
      </c>
      <c r="AO251" s="8" t="n">
        <f aca="false">I251-AL251-AM251</f>
        <v>9658.92000808214</v>
      </c>
      <c r="AQ251" s="9" t="n">
        <f aca="false">$AQ$18</f>
        <v>43</v>
      </c>
      <c r="AR251" s="9"/>
      <c r="AS251" s="9" t="n">
        <f aca="false">AS$18</f>
        <v>30</v>
      </c>
      <c r="AT251" s="9" t="n">
        <f aca="false">AT$18</f>
        <v>38</v>
      </c>
      <c r="AU251" s="9" t="n">
        <f aca="false">SUMPRODUCT(AH251:AK251,AQ251:AT251)/AL251</f>
        <v>36.4792729987261</v>
      </c>
      <c r="AV251" s="9" t="n">
        <f aca="false">$Y$18/1000*CURVES!O210+$AV$14</f>
        <v>79.7401192880191</v>
      </c>
      <c r="AW251" s="9" t="n">
        <f aca="false">(AL251*AU251+AM251*AV251)/AN251</f>
        <v>50.4312344009277</v>
      </c>
      <c r="AX251" s="9" t="n">
        <f aca="false">CHOOSE(AX$18,CURVES!B210,CURVES!C210)</f>
        <v>43.3944444444444</v>
      </c>
      <c r="AY251" s="9" t="n">
        <f aca="false">(AN251*AW251+AO251*AX251)/I251</f>
        <v>46.2702936238986</v>
      </c>
    </row>
    <row r="252" customFormat="false" ht="12.75" hidden="false" customHeight="false" outlineLevel="0" collapsed="false">
      <c r="A252" s="85" t="n">
        <v>43221</v>
      </c>
      <c r="B252" s="31" t="n">
        <f aca="false">YEAR(A252)</f>
        <v>2018</v>
      </c>
      <c r="C252" s="31" t="n">
        <f aca="false">MONTH(A252)</f>
        <v>5</v>
      </c>
      <c r="D252" s="86" t="n">
        <v>0.06249783354925</v>
      </c>
      <c r="E252" s="87" t="n">
        <f aca="false">(1+D252/2)^(-2*(DATE($B253,$C253,20)-$E$17)/365.25)</f>
        <v>1.56415027906334</v>
      </c>
      <c r="F252" s="87"/>
      <c r="G252" s="8"/>
      <c r="H252" s="8" t="n">
        <f aca="false">(1+$I$17)*H240</f>
        <v>19063.9578052801</v>
      </c>
      <c r="I252" s="8" t="n">
        <f aca="false">(1+$I$17)*I240</f>
        <v>17792.8887552366</v>
      </c>
      <c r="K252" s="50" t="n">
        <f aca="false">K240</f>
        <v>2226.06720430108</v>
      </c>
      <c r="L252" s="50" t="n">
        <f aca="false">L240</f>
        <v>1023.62634408602</v>
      </c>
      <c r="M252" s="50" t="n">
        <f aca="false">M240</f>
        <v>950.165322580645</v>
      </c>
      <c r="N252" s="50" t="n">
        <f aca="false">N240</f>
        <v>3.30510752688172</v>
      </c>
      <c r="O252" s="50" t="n">
        <f aca="false">SUM(K252:N252)</f>
        <v>4203.16397849462</v>
      </c>
      <c r="P252" s="50" t="n">
        <f aca="false">P240</f>
        <v>2831.51050210493</v>
      </c>
      <c r="Q252" s="50" t="n">
        <f aca="false">O252+P252</f>
        <v>7034.67448059955</v>
      </c>
      <c r="R252" s="8" t="n">
        <f aca="false">H252-O252-P252</f>
        <v>12029.2833246806</v>
      </c>
      <c r="T252" s="9" t="n">
        <f aca="false">$T$18</f>
        <v>48.72</v>
      </c>
      <c r="U252" s="9" t="n">
        <f aca="false">U$18</f>
        <v>23</v>
      </c>
      <c r="V252" s="9" t="n">
        <f aca="false">V$18</f>
        <v>34</v>
      </c>
      <c r="W252" s="9" t="n">
        <f aca="false">W$18</f>
        <v>38</v>
      </c>
      <c r="X252" s="9" t="n">
        <f aca="false">SUMPRODUCT(K252:N252,T252:W252)/O252</f>
        <v>39.1201999261949</v>
      </c>
      <c r="Y252" s="9" t="n">
        <f aca="false">$Y$18/1000*CURVES!K211+$Y$14</f>
        <v>81.7581327284946</v>
      </c>
      <c r="Z252" s="9" t="n">
        <f aca="false">(O252*X252+P252*Y252)/Q252</f>
        <v>56.2822953224649</v>
      </c>
      <c r="AA252" s="9" t="n">
        <f aca="false">CHOOSE(AA$18,CURVES!F211,CURVES!G211)</f>
        <v>39.1841335786404</v>
      </c>
      <c r="AB252" s="9" t="n">
        <f aca="false">(Q252*Z252+R252*AA252)/H252</f>
        <v>45.4934216767882</v>
      </c>
      <c r="AD252" s="9"/>
      <c r="AH252" s="50" t="n">
        <f aca="false">AH240</f>
        <v>1895.25910320262</v>
      </c>
      <c r="AI252" s="50" t="n">
        <f aca="false">AI240</f>
        <v>0</v>
      </c>
      <c r="AJ252" s="50" t="n">
        <f aca="false">AJ240</f>
        <v>1877.63033247346</v>
      </c>
      <c r="AK252" s="50" t="n">
        <f aca="false">AK240</f>
        <v>570.53181663935</v>
      </c>
      <c r="AL252" s="50" t="n">
        <f aca="false">SUM(AH252:AK252)</f>
        <v>4343.42125231544</v>
      </c>
      <c r="AM252" s="50" t="n">
        <f aca="false">AM240</f>
        <v>2186.84183198925</v>
      </c>
      <c r="AN252" s="50" t="n">
        <f aca="false">AL252+AM252</f>
        <v>6530.26308430469</v>
      </c>
      <c r="AO252" s="8" t="n">
        <f aca="false">I252-AL252-AM252</f>
        <v>11262.6256709319</v>
      </c>
      <c r="AQ252" s="9" t="n">
        <f aca="false">$AQ$18</f>
        <v>43</v>
      </c>
      <c r="AR252" s="9"/>
      <c r="AS252" s="9" t="n">
        <f aca="false">AS$18</f>
        <v>30</v>
      </c>
      <c r="AT252" s="9" t="n">
        <f aca="false">AT$18</f>
        <v>38</v>
      </c>
      <c r="AU252" s="9" t="n">
        <f aca="false">SUMPRODUCT(AH252:AK252,AQ252:AT252)/AL252</f>
        <v>36.7234148332219</v>
      </c>
      <c r="AV252" s="9" t="n">
        <f aca="false">$Y$18/1000*CURVES!O211+$AV$14</f>
        <v>79.4776192880192</v>
      </c>
      <c r="AW252" s="9" t="n">
        <f aca="false">(AL252*AU252+AM252*AV252)/AN252</f>
        <v>51.0408598715219</v>
      </c>
      <c r="AX252" s="9" t="n">
        <f aca="false">CHOOSE(AX$18,CURVES!B211,CURVES!C211)</f>
        <v>43.4833333333333</v>
      </c>
      <c r="AY252" s="9" t="n">
        <f aca="false">(AN252*AW252+AO252*AX252)/I252</f>
        <v>46.2570614918068</v>
      </c>
    </row>
    <row r="253" customFormat="false" ht="12.75" hidden="false" customHeight="false" outlineLevel="0" collapsed="false">
      <c r="A253" s="85" t="n">
        <v>43252</v>
      </c>
      <c r="B253" s="31" t="n">
        <f aca="false">YEAR(A253)</f>
        <v>2018</v>
      </c>
      <c r="C253" s="31" t="n">
        <f aca="false">MONTH(A253)</f>
        <v>6</v>
      </c>
      <c r="D253" s="86" t="n">
        <v>0.062522339142193</v>
      </c>
      <c r="E253" s="87" t="n">
        <f aca="false">(1+D253/2)^(-2*(DATE($B254,$C254,20)-$E$17)/365.25)</f>
        <v>1.55652968802233</v>
      </c>
      <c r="F253" s="87"/>
      <c r="G253" s="8"/>
      <c r="H253" s="8" t="n">
        <f aca="false">(1+$I$17)*H241</f>
        <v>21067.9989234396</v>
      </c>
      <c r="I253" s="8" t="n">
        <f aca="false">(1+$I$17)*I241</f>
        <v>20063.7298414848</v>
      </c>
      <c r="K253" s="50" t="n">
        <f aca="false">K241</f>
        <v>2252.13333333333</v>
      </c>
      <c r="L253" s="50" t="n">
        <f aca="false">L241</f>
        <v>1398.39166666667</v>
      </c>
      <c r="M253" s="50" t="n">
        <f aca="false">M241</f>
        <v>957.040277777778</v>
      </c>
      <c r="N253" s="50" t="n">
        <f aca="false">N241</f>
        <v>3.52638888888889</v>
      </c>
      <c r="O253" s="50" t="n">
        <f aca="false">SUM(K253:N253)</f>
        <v>4611.09166666667</v>
      </c>
      <c r="P253" s="50" t="n">
        <f aca="false">P241</f>
        <v>3175.74117813466</v>
      </c>
      <c r="Q253" s="50" t="n">
        <f aca="false">O253+P253</f>
        <v>7786.83284480132</v>
      </c>
      <c r="R253" s="8" t="n">
        <f aca="false">H253-O253-P253</f>
        <v>13281.1660786383</v>
      </c>
      <c r="T253" s="9" t="n">
        <f aca="false">$T$18</f>
        <v>48.72</v>
      </c>
      <c r="U253" s="9" t="n">
        <f aca="false">U$18</f>
        <v>23</v>
      </c>
      <c r="V253" s="9" t="n">
        <f aca="false">V$18</f>
        <v>34</v>
      </c>
      <c r="W253" s="9" t="n">
        <f aca="false">W$18</f>
        <v>38</v>
      </c>
      <c r="X253" s="9" t="n">
        <f aca="false">SUMPRODUCT(K253:N253,T253:W253)/O253</f>
        <v>37.8566138290945</v>
      </c>
      <c r="Y253" s="9" t="n">
        <f aca="false">$Y$18/1000*CURVES!K212+$Y$14</f>
        <v>82.0626327284946</v>
      </c>
      <c r="Z253" s="9" t="n">
        <f aca="false">(O253*X253+P253*Y253)/Q253</f>
        <v>55.8853653559684</v>
      </c>
      <c r="AA253" s="9" t="n">
        <f aca="false">CHOOSE(AA$18,CURVES!F212,CURVES!G212)</f>
        <v>50.3853049862054</v>
      </c>
      <c r="AB253" s="9" t="n">
        <f aca="false">(Q253*Z253+R253*AA253)/H253</f>
        <v>52.4181535206721</v>
      </c>
      <c r="AD253" s="9"/>
      <c r="AH253" s="50" t="n">
        <f aca="false">AH241</f>
        <v>1881.37055634004</v>
      </c>
      <c r="AI253" s="50" t="n">
        <f aca="false">AI241</f>
        <v>0</v>
      </c>
      <c r="AJ253" s="50" t="n">
        <f aca="false">AJ241</f>
        <v>1162.16168617347</v>
      </c>
      <c r="AK253" s="50" t="n">
        <f aca="false">AK241</f>
        <v>631.240712103584</v>
      </c>
      <c r="AL253" s="50" t="n">
        <f aca="false">SUM(AH253:AK253)</f>
        <v>3674.77295461709</v>
      </c>
      <c r="AM253" s="50" t="n">
        <f aca="false">AM241</f>
        <v>2754.04614109589</v>
      </c>
      <c r="AN253" s="50" t="n">
        <f aca="false">AL253+AM253</f>
        <v>6428.81909571298</v>
      </c>
      <c r="AO253" s="8" t="n">
        <f aca="false">I253-AL253-AM253</f>
        <v>13634.9107457718</v>
      </c>
      <c r="AQ253" s="9" t="n">
        <f aca="false">$AQ$18</f>
        <v>43</v>
      </c>
      <c r="AR253" s="9"/>
      <c r="AS253" s="9" t="n">
        <f aca="false">AS$18</f>
        <v>30</v>
      </c>
      <c r="AT253" s="9" t="n">
        <f aca="false">AT$18</f>
        <v>38</v>
      </c>
      <c r="AU253" s="9" t="n">
        <f aca="false">SUMPRODUCT(AH253:AK253,AQ253:AT253)/AL253</f>
        <v>38.0298138942638</v>
      </c>
      <c r="AV253" s="9" t="n">
        <f aca="false">$Y$18/1000*CURVES!O212+$AV$14</f>
        <v>79.7821192880192</v>
      </c>
      <c r="AW253" s="9" t="n">
        <f aca="false">(AL253*AU253+AM253*AV253)/AN253</f>
        <v>55.9161121147578</v>
      </c>
      <c r="AX253" s="9" t="n">
        <f aca="false">CHOOSE(AX$18,CURVES!B212,CURVES!C212)</f>
        <v>48.8733333333333</v>
      </c>
      <c r="AY253" s="9" t="n">
        <f aca="false">(AN253*AW253+AO253*AX253)/I253</f>
        <v>51.1299800821989</v>
      </c>
    </row>
    <row r="254" customFormat="false" ht="12.75" hidden="false" customHeight="false" outlineLevel="0" collapsed="false">
      <c r="A254" s="85" t="n">
        <v>43282</v>
      </c>
      <c r="B254" s="31" t="n">
        <f aca="false">YEAR(A254)</f>
        <v>2018</v>
      </c>
      <c r="C254" s="31" t="n">
        <f aca="false">MONTH(A254)</f>
        <v>7</v>
      </c>
      <c r="D254" s="86" t="n">
        <v>0.062546054232326</v>
      </c>
      <c r="E254" s="87" t="n">
        <f aca="false">(1+D254/2)^(-2*(DATE($B255,$C255,20)-$E$17)/365.25)</f>
        <v>1.54867058295171</v>
      </c>
      <c r="F254" s="87"/>
      <c r="G254" s="8"/>
      <c r="H254" s="8" t="n">
        <f aca="false">(1+$I$17)*H242</f>
        <v>20793.960205079</v>
      </c>
      <c r="I254" s="8" t="n">
        <f aca="false">(1+$I$17)*I242</f>
        <v>19046.3127948346</v>
      </c>
      <c r="K254" s="50" t="n">
        <f aca="false">K242</f>
        <v>2248.45698924731</v>
      </c>
      <c r="L254" s="50" t="n">
        <f aca="false">L242</f>
        <v>1358.32258064516</v>
      </c>
      <c r="M254" s="50" t="n">
        <f aca="false">M242</f>
        <v>653.551075268817</v>
      </c>
      <c r="N254" s="50" t="n">
        <f aca="false">N242</f>
        <v>3.83736559139785</v>
      </c>
      <c r="O254" s="50" t="n">
        <f aca="false">SUM(K254:N254)</f>
        <v>4264.16801075269</v>
      </c>
      <c r="P254" s="50" t="n">
        <f aca="false">P242</f>
        <v>3349.38956238808</v>
      </c>
      <c r="Q254" s="50" t="n">
        <f aca="false">O254+P254</f>
        <v>7613.55757314076</v>
      </c>
      <c r="R254" s="8" t="n">
        <f aca="false">H254-O254-P254</f>
        <v>13180.4026319382</v>
      </c>
      <c r="T254" s="9" t="n">
        <f aca="false">$T$18</f>
        <v>48.72</v>
      </c>
      <c r="U254" s="9" t="n">
        <f aca="false">U$18</f>
        <v>23</v>
      </c>
      <c r="V254" s="9" t="n">
        <f aca="false">V$18</f>
        <v>34</v>
      </c>
      <c r="W254" s="9" t="n">
        <f aca="false">W$18</f>
        <v>38</v>
      </c>
      <c r="X254" s="9" t="n">
        <f aca="false">SUMPRODUCT(K254:N254,T254:W254)/O254</f>
        <v>38.2613442789234</v>
      </c>
      <c r="Y254" s="9" t="n">
        <f aca="false">$Y$18/1000*CURVES!K213+$Y$14</f>
        <v>82.3776327284946</v>
      </c>
      <c r="Z254" s="9" t="n">
        <f aca="false">(O254*X254+P254*Y254)/Q254</f>
        <v>57.6691749342763</v>
      </c>
      <c r="AA254" s="9" t="n">
        <f aca="false">CHOOSE(AA$18,CURVES!F213,CURVES!G213)</f>
        <v>60.4759423159092</v>
      </c>
      <c r="AB254" s="9" t="n">
        <f aca="false">(Q254*Z254+R254*AA254)/H254</f>
        <v>59.4482648151484</v>
      </c>
      <c r="AD254" s="9"/>
      <c r="AH254" s="50" t="n">
        <f aca="false">AH242</f>
        <v>1914.32162011861</v>
      </c>
      <c r="AI254" s="50" t="n">
        <f aca="false">AI242</f>
        <v>0</v>
      </c>
      <c r="AJ254" s="50" t="n">
        <f aca="false">AJ242</f>
        <v>1193.33197430598</v>
      </c>
      <c r="AK254" s="50" t="n">
        <f aca="false">AK242</f>
        <v>610.723058442111</v>
      </c>
      <c r="AL254" s="50" t="n">
        <f aca="false">SUM(AH254:AK254)</f>
        <v>3718.37665286669</v>
      </c>
      <c r="AM254" s="50" t="n">
        <f aca="false">AM242</f>
        <v>2586.73186021505</v>
      </c>
      <c r="AN254" s="50" t="n">
        <f aca="false">AL254+AM254</f>
        <v>6305.10851308175</v>
      </c>
      <c r="AO254" s="8" t="n">
        <f aca="false">I254-AL254-AM254</f>
        <v>12741.2042817529</v>
      </c>
      <c r="AQ254" s="9" t="n">
        <f aca="false">$AQ$18</f>
        <v>43</v>
      </c>
      <c r="AR254" s="9"/>
      <c r="AS254" s="9" t="n">
        <f aca="false">AS$18</f>
        <v>30</v>
      </c>
      <c r="AT254" s="9" t="n">
        <f aca="false">AT$18</f>
        <v>38</v>
      </c>
      <c r="AU254" s="9" t="n">
        <f aca="false">SUMPRODUCT(AH254:AK254,AQ254:AT254)/AL254</f>
        <v>38.0067105375476</v>
      </c>
      <c r="AV254" s="9" t="n">
        <f aca="false">$Y$18/1000*CURVES!O213+$AV$14</f>
        <v>80.0971192880191</v>
      </c>
      <c r="AW254" s="9" t="n">
        <f aca="false">(AL254*AU254+AM254*AV254)/AN254</f>
        <v>55.2747085582674</v>
      </c>
      <c r="AX254" s="9" t="n">
        <f aca="false">CHOOSE(AX$18,CURVES!B213,CURVES!C213)</f>
        <v>60.0634408602151</v>
      </c>
      <c r="AY254" s="9" t="n">
        <f aca="false">(AN254*AW254+AO254*AX254)/I254</f>
        <v>58.4781746131928</v>
      </c>
    </row>
    <row r="255" customFormat="false" ht="12.75" hidden="false" customHeight="false" outlineLevel="0" collapsed="false">
      <c r="A255" s="85" t="n">
        <v>43313</v>
      </c>
      <c r="B255" s="31" t="n">
        <f aca="false">YEAR(A255)</f>
        <v>2018</v>
      </c>
      <c r="C255" s="31" t="n">
        <f aca="false">MONTH(A255)</f>
        <v>8</v>
      </c>
      <c r="D255" s="86" t="n">
        <v>0.062570559825661</v>
      </c>
      <c r="E255" s="87" t="n">
        <f aca="false">(1+D255/2)^(-2*(DATE($B256,$C256,20)-$E$17)/365.25)</f>
        <v>1.54085342975283</v>
      </c>
      <c r="F255" s="87"/>
      <c r="G255" s="8"/>
      <c r="H255" s="8" t="n">
        <f aca="false">(1+$I$17)*H243</f>
        <v>22298.8571972793</v>
      </c>
      <c r="I255" s="8" t="n">
        <f aca="false">(1+$I$17)*I243</f>
        <v>19754.1779232954</v>
      </c>
      <c r="K255" s="50" t="n">
        <f aca="false">K243</f>
        <v>2226.06586021505</v>
      </c>
      <c r="L255" s="50" t="n">
        <f aca="false">L243</f>
        <v>1361.98924731183</v>
      </c>
      <c r="M255" s="50" t="n">
        <f aca="false">M243</f>
        <v>483.364247311828</v>
      </c>
      <c r="N255" s="50" t="n">
        <f aca="false">N243</f>
        <v>3.9247311827957</v>
      </c>
      <c r="O255" s="50" t="n">
        <f aca="false">SUM(K255:N255)</f>
        <v>4075.34408602151</v>
      </c>
      <c r="P255" s="50" t="n">
        <f aca="false">P243</f>
        <v>3426.25292884001</v>
      </c>
      <c r="Q255" s="50" t="n">
        <f aca="false">O255+P255</f>
        <v>7501.59701486152</v>
      </c>
      <c r="R255" s="8" t="n">
        <f aca="false">H255-O255-P255</f>
        <v>14797.2601824178</v>
      </c>
      <c r="T255" s="9" t="n">
        <f aca="false">$T$18</f>
        <v>48.72</v>
      </c>
      <c r="U255" s="9" t="n">
        <f aca="false">U$18</f>
        <v>23</v>
      </c>
      <c r="V255" s="9" t="n">
        <f aca="false">V$18</f>
        <v>34</v>
      </c>
      <c r="W255" s="9" t="n">
        <f aca="false">W$18</f>
        <v>38</v>
      </c>
      <c r="X255" s="9" t="n">
        <f aca="false">SUMPRODUCT(K255:N255,T255:W255)/O255</f>
        <v>38.3680990588564</v>
      </c>
      <c r="Y255" s="9" t="n">
        <f aca="false">$Y$18/1000*CURVES!K214+$Y$14</f>
        <v>82.5876327284946</v>
      </c>
      <c r="Z255" s="9" t="n">
        <f aca="false">(O255*X255+P255*Y255)/Q255</f>
        <v>58.5647727067989</v>
      </c>
      <c r="AA255" s="9" t="n">
        <f aca="false">CHOOSE(AA$18,CURVES!F214,CURVES!G214)</f>
        <v>64.7859505477436</v>
      </c>
      <c r="AB255" s="9" t="n">
        <f aca="false">(Q255*Z255+R255*AA255)/H255</f>
        <v>62.6930733788523</v>
      </c>
      <c r="AD255" s="9"/>
      <c r="AH255" s="50" t="n">
        <f aca="false">AH243</f>
        <v>1859.59450264151</v>
      </c>
      <c r="AI255" s="50" t="n">
        <f aca="false">AI243</f>
        <v>0</v>
      </c>
      <c r="AJ255" s="50" t="n">
        <f aca="false">AJ243</f>
        <v>1584.50880376937</v>
      </c>
      <c r="AK255" s="50" t="n">
        <f aca="false">AK243</f>
        <v>621.501656862376</v>
      </c>
      <c r="AL255" s="50" t="n">
        <f aca="false">SUM(AH255:AK255)</f>
        <v>4065.60496327325</v>
      </c>
      <c r="AM255" s="50" t="n">
        <f aca="false">AM243</f>
        <v>2208.28901612903</v>
      </c>
      <c r="AN255" s="50" t="n">
        <f aca="false">AL255+AM255</f>
        <v>6273.89397940229</v>
      </c>
      <c r="AO255" s="8" t="n">
        <f aca="false">I255-AL255-AM255</f>
        <v>13480.2839438931</v>
      </c>
      <c r="AQ255" s="9" t="n">
        <f aca="false">$AQ$18</f>
        <v>43</v>
      </c>
      <c r="AR255" s="9"/>
      <c r="AS255" s="9" t="n">
        <f aca="false">AS$18</f>
        <v>30</v>
      </c>
      <c r="AT255" s="9" t="n">
        <f aca="false">AT$18</f>
        <v>38</v>
      </c>
      <c r="AU255" s="9" t="n">
        <f aca="false">SUMPRODUCT(AH255:AK255,AQ255:AT255)/AL255</f>
        <v>37.1691032583186</v>
      </c>
      <c r="AV255" s="9" t="n">
        <f aca="false">$Y$18/1000*CURVES!O214+$AV$14</f>
        <v>80.3071192880192</v>
      </c>
      <c r="AW255" s="9" t="n">
        <f aca="false">(AL255*AU255+AM255*AV255)/AN255</f>
        <v>52.3528483596442</v>
      </c>
      <c r="AX255" s="9" t="n">
        <f aca="false">CHOOSE(AX$18,CURVES!B214,CURVES!C214)</f>
        <v>70.3467741935484</v>
      </c>
      <c r="AY255" s="9" t="n">
        <f aca="false">(AN255*AW255+AO255*AX255)/I255</f>
        <v>64.6319333435015</v>
      </c>
    </row>
    <row r="256" customFormat="false" ht="12.75" hidden="false" customHeight="false" outlineLevel="0" collapsed="false">
      <c r="A256" s="85" t="n">
        <v>43344</v>
      </c>
      <c r="B256" s="31" t="n">
        <f aca="false">YEAR(A256)</f>
        <v>2018</v>
      </c>
      <c r="C256" s="31" t="n">
        <f aca="false">MONTH(A256)</f>
        <v>9</v>
      </c>
      <c r="D256" s="86" t="n">
        <v>0.062595065419194</v>
      </c>
      <c r="E256" s="87" t="n">
        <f aca="false">(1+D256/2)^(-2*(DATE($B257,$C257,20)-$E$17)/365.25)</f>
        <v>1.53332827355048</v>
      </c>
      <c r="F256" s="87"/>
      <c r="G256" s="8"/>
      <c r="H256" s="8" t="n">
        <f aca="false">(1+$I$17)*H244</f>
        <v>20198.5646237475</v>
      </c>
      <c r="I256" s="8" t="n">
        <f aca="false">(1+$I$17)*I244</f>
        <v>18607.1672939502</v>
      </c>
      <c r="K256" s="50" t="n">
        <f aca="false">K244</f>
        <v>2263.63333333333</v>
      </c>
      <c r="L256" s="50" t="n">
        <f aca="false">L244</f>
        <v>1380.73611111111</v>
      </c>
      <c r="M256" s="50" t="n">
        <f aca="false">M244</f>
        <v>542.602777777778</v>
      </c>
      <c r="N256" s="50" t="n">
        <f aca="false">N244</f>
        <v>3.41944444444444</v>
      </c>
      <c r="O256" s="50" t="n">
        <f aca="false">SUM(K256:N256)</f>
        <v>4190.39166666667</v>
      </c>
      <c r="P256" s="50" t="n">
        <f aca="false">P244</f>
        <v>3348.13393235473</v>
      </c>
      <c r="Q256" s="50" t="n">
        <f aca="false">O256+P256</f>
        <v>7538.52559902139</v>
      </c>
      <c r="R256" s="8" t="n">
        <f aca="false">H256-O256-P256</f>
        <v>12660.0390247261</v>
      </c>
      <c r="T256" s="9" t="n">
        <f aca="false">$T$18</f>
        <v>48.72</v>
      </c>
      <c r="U256" s="9" t="n">
        <f aca="false">U$18</f>
        <v>23</v>
      </c>
      <c r="V256" s="9" t="n">
        <f aca="false">V$18</f>
        <v>34</v>
      </c>
      <c r="W256" s="9" t="n">
        <f aca="false">W$18</f>
        <v>38</v>
      </c>
      <c r="X256" s="9" t="n">
        <f aca="false">SUMPRODUCT(K256:N256,T256:W256)/O256</f>
        <v>38.3304456159959</v>
      </c>
      <c r="Y256" s="9" t="n">
        <f aca="false">$Y$18/1000*CURVES!K215+$Y$14</f>
        <v>82.8081327284946</v>
      </c>
      <c r="Z256" s="9" t="n">
        <f aca="false">(O256*X256+P256*Y256)/Q256</f>
        <v>58.0846072883188</v>
      </c>
      <c r="AA256" s="9" t="n">
        <f aca="false">CHOOSE(AA$18,CURVES!F215,CURVES!G215)</f>
        <v>58.1741735245037</v>
      </c>
      <c r="AB256" s="9" t="n">
        <f aca="false">(Q256*Z256+R256*AA256)/H256</f>
        <v>58.1407455370766</v>
      </c>
      <c r="AD256" s="9"/>
      <c r="AH256" s="50" t="n">
        <f aca="false">AH244</f>
        <v>1890.97734163897</v>
      </c>
      <c r="AI256" s="50" t="n">
        <f aca="false">AI244</f>
        <v>0</v>
      </c>
      <c r="AJ256" s="50" t="n">
        <f aca="false">AJ244</f>
        <v>765.820605438213</v>
      </c>
      <c r="AK256" s="50" t="n">
        <f aca="false">AK244</f>
        <v>570.922545092046</v>
      </c>
      <c r="AL256" s="50" t="n">
        <f aca="false">SUM(AH256:AK256)</f>
        <v>3227.72049216923</v>
      </c>
      <c r="AM256" s="50" t="n">
        <f aca="false">AM244</f>
        <v>2371.57693150685</v>
      </c>
      <c r="AN256" s="50" t="n">
        <f aca="false">AL256+AM256</f>
        <v>5599.29742367608</v>
      </c>
      <c r="AO256" s="8" t="n">
        <f aca="false">I256-AL256-AM256</f>
        <v>13007.8698702741</v>
      </c>
      <c r="AQ256" s="9" t="n">
        <f aca="false">$AQ$18</f>
        <v>43</v>
      </c>
      <c r="AR256" s="9"/>
      <c r="AS256" s="9" t="n">
        <f aca="false">AS$18</f>
        <v>30</v>
      </c>
      <c r="AT256" s="9" t="n">
        <f aca="false">AT$18</f>
        <v>38</v>
      </c>
      <c r="AU256" s="9" t="n">
        <f aca="false">SUMPRODUCT(AH256:AK256,AQ256:AT256)/AL256</f>
        <v>39.0311679319086</v>
      </c>
      <c r="AV256" s="9" t="n">
        <f aca="false">$Y$18/1000*CURVES!O215+$AV$14</f>
        <v>80.5276192880192</v>
      </c>
      <c r="AW256" s="9" t="n">
        <f aca="false">(AL256*AU256+AM256*AV256)/AN256</f>
        <v>56.6069492003625</v>
      </c>
      <c r="AX256" s="9" t="n">
        <f aca="false">CHOOSE(AX$18,CURVES!B215,CURVES!C215)</f>
        <v>60.68</v>
      </c>
      <c r="AY256" s="9" t="n">
        <f aca="false">(AN256*AW256+AO256*AX256)/I256</f>
        <v>59.4543312838205</v>
      </c>
    </row>
    <row r="257" customFormat="false" ht="12.75" hidden="false" customHeight="false" outlineLevel="0" collapsed="false">
      <c r="A257" s="85" t="n">
        <v>43374</v>
      </c>
      <c r="B257" s="31" t="n">
        <f aca="false">YEAR(A257)</f>
        <v>2018</v>
      </c>
      <c r="C257" s="31" t="n">
        <f aca="false">MONTH(A257)</f>
        <v>10</v>
      </c>
      <c r="D257" s="86" t="n">
        <v>0.062618780509901</v>
      </c>
      <c r="E257" s="87" t="n">
        <f aca="false">(1+D257/2)^(-2*(DATE($B258,$C258,20)-$E$17)/365.25)</f>
        <v>1.52556833908123</v>
      </c>
      <c r="F257" s="87"/>
      <c r="G257" s="8"/>
      <c r="H257" s="8" t="n">
        <f aca="false">(1+$I$17)*H245</f>
        <v>18764.445544016</v>
      </c>
      <c r="I257" s="8" t="n">
        <f aca="false">(1+$I$17)*I245</f>
        <v>16105.8455092986</v>
      </c>
      <c r="K257" s="50" t="n">
        <f aca="false">K245</f>
        <v>2069.29166666667</v>
      </c>
      <c r="L257" s="50" t="n">
        <f aca="false">L245</f>
        <v>1227.52419354839</v>
      </c>
      <c r="M257" s="50" t="n">
        <f aca="false">M245</f>
        <v>369.340053763441</v>
      </c>
      <c r="N257" s="50" t="n">
        <f aca="false">N245</f>
        <v>3.27822580645161</v>
      </c>
      <c r="O257" s="50" t="n">
        <f aca="false">SUM(K257:N257)</f>
        <v>3669.43413978495</v>
      </c>
      <c r="P257" s="50" t="n">
        <f aca="false">P245</f>
        <v>3171.07549498463</v>
      </c>
      <c r="Q257" s="50" t="n">
        <f aca="false">O257+P257</f>
        <v>6840.50963476957</v>
      </c>
      <c r="R257" s="8" t="n">
        <f aca="false">H257-O257-P257</f>
        <v>11923.9359092464</v>
      </c>
      <c r="T257" s="9" t="n">
        <f aca="false">$T$18</f>
        <v>48.72</v>
      </c>
      <c r="U257" s="9" t="n">
        <f aca="false">U$18</f>
        <v>23</v>
      </c>
      <c r="V257" s="9" t="n">
        <f aca="false">V$18</f>
        <v>34</v>
      </c>
      <c r="W257" s="9" t="n">
        <f aca="false">W$18</f>
        <v>38</v>
      </c>
      <c r="X257" s="9" t="n">
        <f aca="false">SUMPRODUCT(K257:N257,T257:W257)/O257</f>
        <v>38.624778497461</v>
      </c>
      <c r="Y257" s="9" t="n">
        <f aca="false">$Y$18/1000*CURVES!K216+$Y$14</f>
        <v>83.1231327284946</v>
      </c>
      <c r="Z257" s="9" t="n">
        <f aca="false">(O257*X257+P257*Y257)/Q257</f>
        <v>59.2530135564311</v>
      </c>
      <c r="AA257" s="9" t="n">
        <f aca="false">CHOOSE(AA$18,CURVES!F216,CURVES!G216)</f>
        <v>48.0092721414089</v>
      </c>
      <c r="AB257" s="9" t="n">
        <f aca="false">(Q257*Z257+R257*AA257)/H257</f>
        <v>52.1081367361501</v>
      </c>
      <c r="AD257" s="9"/>
      <c r="AH257" s="50" t="n">
        <f aca="false">AH245</f>
        <v>1913.83994918903</v>
      </c>
      <c r="AI257" s="50" t="n">
        <f aca="false">AI245</f>
        <v>0</v>
      </c>
      <c r="AJ257" s="50" t="n">
        <f aca="false">AJ245</f>
        <v>1075.38011608834</v>
      </c>
      <c r="AK257" s="50" t="n">
        <f aca="false">AK245</f>
        <v>576.385560502926</v>
      </c>
      <c r="AL257" s="50" t="n">
        <f aca="false">SUM(AH257:AK257)</f>
        <v>3565.6056257803</v>
      </c>
      <c r="AM257" s="50" t="n">
        <f aca="false">AM245</f>
        <v>2259.71325</v>
      </c>
      <c r="AN257" s="50" t="n">
        <f aca="false">AL257+AM257</f>
        <v>5825.3188757803</v>
      </c>
      <c r="AO257" s="8" t="n">
        <f aca="false">I257-AL257-AM257</f>
        <v>10280.5266335183</v>
      </c>
      <c r="AQ257" s="9" t="n">
        <f aca="false">$AQ$18</f>
        <v>43</v>
      </c>
      <c r="AR257" s="9"/>
      <c r="AS257" s="9" t="n">
        <f aca="false">AS$18</f>
        <v>30</v>
      </c>
      <c r="AT257" s="9" t="n">
        <f aca="false">AT$18</f>
        <v>38</v>
      </c>
      <c r="AU257" s="9" t="n">
        <f aca="false">SUMPRODUCT(AH257:AK257,AQ257:AT257)/AL257</f>
        <v>38.2709662589303</v>
      </c>
      <c r="AV257" s="9" t="n">
        <f aca="false">$Y$18/1000*CURVES!O216+$AV$14</f>
        <v>80.8426192880192</v>
      </c>
      <c r="AW257" s="9" t="n">
        <f aca="false">(AL257*AU257+AM257*AV257)/AN257</f>
        <v>54.7850370721523</v>
      </c>
      <c r="AX257" s="9" t="n">
        <f aca="false">CHOOSE(AX$18,CURVES!B216,CURVES!C216)</f>
        <v>48.0774193548387</v>
      </c>
      <c r="AY257" s="9" t="n">
        <f aca="false">(AN257*AW257+AO257*AX257)/I257</f>
        <v>50.503495780173</v>
      </c>
    </row>
    <row r="258" customFormat="false" ht="12.75" hidden="false" customHeight="false" outlineLevel="0" collapsed="false">
      <c r="A258" s="85" t="n">
        <v>43405</v>
      </c>
      <c r="B258" s="31" t="n">
        <f aca="false">YEAR(A258)</f>
        <v>2018</v>
      </c>
      <c r="C258" s="31" t="n">
        <f aca="false">MONTH(A258)</f>
        <v>11</v>
      </c>
      <c r="D258" s="86" t="n">
        <v>0.062643286103827</v>
      </c>
      <c r="E258" s="87" t="n">
        <f aca="false">(1+D258/2)^(-2*(DATE($B259,$C259,20)-$E$17)/365.25)</f>
        <v>1.51810597107089</v>
      </c>
      <c r="F258" s="87"/>
      <c r="G258" s="8"/>
      <c r="H258" s="8" t="n">
        <f aca="false">(1+$I$17)*H246</f>
        <v>18355.3343517724</v>
      </c>
      <c r="I258" s="8" t="n">
        <f aca="false">(1+$I$17)*I246</f>
        <v>16350.3180801767</v>
      </c>
      <c r="K258" s="50" t="n">
        <f aca="false">K246</f>
        <v>2201.15833333333</v>
      </c>
      <c r="L258" s="50" t="n">
        <f aca="false">L246</f>
        <v>1270.02777777778</v>
      </c>
      <c r="M258" s="50" t="n">
        <f aca="false">M246</f>
        <v>241.311111111111</v>
      </c>
      <c r="N258" s="50" t="n">
        <f aca="false">N246</f>
        <v>3.11944444444444</v>
      </c>
      <c r="O258" s="50" t="n">
        <f aca="false">SUM(K258:N258)</f>
        <v>3715.61666666667</v>
      </c>
      <c r="P258" s="50" t="n">
        <f aca="false">P246</f>
        <v>3029.03315829808</v>
      </c>
      <c r="Q258" s="50" t="n">
        <f aca="false">O258+P258</f>
        <v>6744.64982496475</v>
      </c>
      <c r="R258" s="8" t="n">
        <f aca="false">H258-O258-P258</f>
        <v>11610.6845268077</v>
      </c>
      <c r="T258" s="9" t="n">
        <f aca="false">$T$18</f>
        <v>48.72</v>
      </c>
      <c r="U258" s="9" t="n">
        <f aca="false">U$18</f>
        <v>23</v>
      </c>
      <c r="V258" s="9" t="n">
        <f aca="false">V$18</f>
        <v>34</v>
      </c>
      <c r="W258" s="9" t="n">
        <f aca="false">W$18</f>
        <v>38</v>
      </c>
      <c r="X258" s="9" t="n">
        <f aca="false">SUMPRODUCT(K258:N258,T258:W258)/O258</f>
        <v>38.9637044247179</v>
      </c>
      <c r="Y258" s="9" t="n">
        <f aca="false">$Y$18/1000*CURVES!K217+$Y$14</f>
        <v>82.7556327284946</v>
      </c>
      <c r="Z258" s="9" t="n">
        <f aca="false">(O258*X258+P258*Y258)/Q258</f>
        <v>58.6307303401286</v>
      </c>
      <c r="AA258" s="9" t="n">
        <f aca="false">CHOOSE(AA$18,CURVES!F217,CURVES!G217)</f>
        <v>40.1809466974169</v>
      </c>
      <c r="AB258" s="9" t="n">
        <f aca="false">(Q258*Z258+R258*AA258)/H258</f>
        <v>46.9603018228351</v>
      </c>
      <c r="AD258" s="9"/>
      <c r="AH258" s="50" t="n">
        <f aca="false">AH246</f>
        <v>1838.78743628671</v>
      </c>
      <c r="AI258" s="50" t="n">
        <f aca="false">AI246</f>
        <v>0</v>
      </c>
      <c r="AJ258" s="50" t="n">
        <f aca="false">AJ246</f>
        <v>1347.87918472112</v>
      </c>
      <c r="AK258" s="50" t="n">
        <f aca="false">AK246</f>
        <v>499.439112514422</v>
      </c>
      <c r="AL258" s="50" t="n">
        <f aca="false">SUM(AH258:AK258)</f>
        <v>3686.10573352225</v>
      </c>
      <c r="AM258" s="50" t="n">
        <f aca="false">AM246</f>
        <v>2451.23764109589</v>
      </c>
      <c r="AN258" s="50" t="n">
        <f aca="false">AL258+AM258</f>
        <v>6137.34337461814</v>
      </c>
      <c r="AO258" s="8" t="n">
        <f aca="false">I258-AL258-AM258</f>
        <v>10212.9747055586</v>
      </c>
      <c r="AQ258" s="9" t="n">
        <f aca="false">$AQ$18</f>
        <v>43</v>
      </c>
      <c r="AR258" s="9"/>
      <c r="AS258" s="9" t="n">
        <f aca="false">AS$18</f>
        <v>30</v>
      </c>
      <c r="AT258" s="9" t="n">
        <f aca="false">AT$18</f>
        <v>38</v>
      </c>
      <c r="AU258" s="9" t="n">
        <f aca="false">SUMPRODUCT(AH258:AK258,AQ258:AT258)/AL258</f>
        <v>37.5688956282822</v>
      </c>
      <c r="AV258" s="9" t="n">
        <f aca="false">$Y$18/1000*CURVES!O217+$AV$14</f>
        <v>82.3126192880192</v>
      </c>
      <c r="AW258" s="9" t="n">
        <f aca="false">(AL258*AU258+AM258*AV258)/AN258</f>
        <v>55.4394127140831</v>
      </c>
      <c r="AX258" s="9" t="n">
        <f aca="false">CHOOSE(AX$18,CURVES!B217,CURVES!C217)</f>
        <v>46.1444444444444</v>
      </c>
      <c r="AY258" s="9" t="n">
        <f aca="false">(AN258*AW258+AO258*AX258)/I258</f>
        <v>49.6334537497812</v>
      </c>
    </row>
    <row r="259" customFormat="false" ht="12.75" hidden="false" customHeight="false" outlineLevel="0" collapsed="false">
      <c r="A259" s="85" t="n">
        <v>43435</v>
      </c>
      <c r="B259" s="31" t="n">
        <f aca="false">YEAR(A259)</f>
        <v>2018</v>
      </c>
      <c r="C259" s="31" t="n">
        <f aca="false">MONTH(A259)</f>
        <v>12</v>
      </c>
      <c r="D259" s="86" t="n">
        <v>0.062667001194912</v>
      </c>
      <c r="E259" s="87" t="n">
        <f aca="false">(1+D259/2)^(-2*(DATE($B260,$C260,20)-$E$17)/365.25)</f>
        <v>1.51041127429988</v>
      </c>
      <c r="F259" s="87"/>
      <c r="G259" s="8"/>
      <c r="H259" s="8" t="n">
        <f aca="false">(1+$I$17)*H247</f>
        <v>18223.166462523</v>
      </c>
      <c r="I259" s="8" t="n">
        <f aca="false">(1+$I$17)*I247</f>
        <v>16313.173005526</v>
      </c>
      <c r="K259" s="50" t="n">
        <f aca="false">K247</f>
        <v>2256.4126344086</v>
      </c>
      <c r="L259" s="50" t="n">
        <f aca="false">L247</f>
        <v>1157.21505376344</v>
      </c>
      <c r="M259" s="50" t="n">
        <f aca="false">M247</f>
        <v>239.860215053763</v>
      </c>
      <c r="N259" s="50" t="n">
        <f aca="false">N247</f>
        <v>2.96908602150538</v>
      </c>
      <c r="O259" s="50" t="n">
        <f aca="false">SUM(K259:N259)</f>
        <v>3656.45698924731</v>
      </c>
      <c r="P259" s="50" t="n">
        <f aca="false">P247</f>
        <v>2977.59684973097</v>
      </c>
      <c r="Q259" s="50" t="n">
        <f aca="false">O259+P259</f>
        <v>6634.05383897828</v>
      </c>
      <c r="R259" s="8" t="n">
        <f aca="false">H259-O259-P259</f>
        <v>11589.1126235448</v>
      </c>
      <c r="T259" s="9" t="n">
        <f aca="false">$T$18</f>
        <v>48.72</v>
      </c>
      <c r="U259" s="9" t="n">
        <f aca="false">U$18</f>
        <v>23</v>
      </c>
      <c r="V259" s="9" t="n">
        <f aca="false">V$18</f>
        <v>34</v>
      </c>
      <c r="W259" s="9" t="n">
        <f aca="false">W$18</f>
        <v>38</v>
      </c>
      <c r="X259" s="9" t="n">
        <f aca="false">SUMPRODUCT(K259:N259,T259:W259)/O259</f>
        <v>39.6056736867024</v>
      </c>
      <c r="Y259" s="9" t="n">
        <f aca="false">$Y$18/1000*CURVES!K218+$Y$14</f>
        <v>84.0681327284946</v>
      </c>
      <c r="Z259" s="9" t="n">
        <f aca="false">(O259*X259+P259*Y259)/Q259</f>
        <v>59.5619901694343</v>
      </c>
      <c r="AA259" s="9" t="n">
        <f aca="false">CHOOSE(AA$18,CURVES!F218,CURVES!G218)</f>
        <v>39.6844250993621</v>
      </c>
      <c r="AB259" s="9" t="n">
        <f aca="false">(Q259*Z259+R259*AA259)/H259</f>
        <v>46.920754588743</v>
      </c>
      <c r="AD259" s="9"/>
      <c r="AH259" s="50" t="n">
        <f aca="false">AH247</f>
        <v>1921.09500453605</v>
      </c>
      <c r="AI259" s="50" t="n">
        <f aca="false">AI247</f>
        <v>0</v>
      </c>
      <c r="AJ259" s="50" t="n">
        <f aca="false">AJ247</f>
        <v>1326.47869273451</v>
      </c>
      <c r="AK259" s="50" t="n">
        <f aca="false">AK247</f>
        <v>519.619723134563</v>
      </c>
      <c r="AL259" s="50" t="n">
        <f aca="false">SUM(AH259:AK259)</f>
        <v>3767.19342040512</v>
      </c>
      <c r="AM259" s="50" t="n">
        <f aca="false">AM247</f>
        <v>2024.24791129032</v>
      </c>
      <c r="AN259" s="50" t="n">
        <f aca="false">AL259+AM259</f>
        <v>5791.44133169545</v>
      </c>
      <c r="AO259" s="8" t="n">
        <f aca="false">I259-AL259-AM259</f>
        <v>10521.7316738306</v>
      </c>
      <c r="AQ259" s="9" t="n">
        <f aca="false">$AQ$18</f>
        <v>43</v>
      </c>
      <c r="AR259" s="9"/>
      <c r="AS259" s="9" t="n">
        <f aca="false">AS$18</f>
        <v>30</v>
      </c>
      <c r="AT259" s="9" t="n">
        <f aca="false">AT$18</f>
        <v>38</v>
      </c>
      <c r="AU259" s="9" t="n">
        <f aca="false">SUMPRODUCT(AH259:AK259,AQ259:AT259)/AL259</f>
        <v>37.7328635918334</v>
      </c>
      <c r="AV259" s="9" t="n">
        <f aca="false">$Y$18/1000*CURVES!O218+$AV$14</f>
        <v>83.6251192880192</v>
      </c>
      <c r="AW259" s="9" t="n">
        <f aca="false">(AL259*AU259+AM259*AV259)/AN259</f>
        <v>53.7733097289627</v>
      </c>
      <c r="AX259" s="9" t="n">
        <f aca="false">CHOOSE(AX$18,CURVES!B218,CURVES!C218)</f>
        <v>45.0172043010753</v>
      </c>
      <c r="AY259" s="9" t="n">
        <f aca="false">(AN259*AW259+AO259*AX259)/I259</f>
        <v>48.1257639211181</v>
      </c>
    </row>
    <row r="260" customFormat="false" ht="12.75" hidden="false" customHeight="false" outlineLevel="0" collapsed="false">
      <c r="A260" s="85" t="n">
        <v>43466</v>
      </c>
      <c r="B260" s="31" t="n">
        <f aca="false">YEAR(A260)</f>
        <v>2019</v>
      </c>
      <c r="C260" s="31" t="n">
        <f aca="false">MONTH(A260)</f>
        <v>1</v>
      </c>
      <c r="D260" s="86" t="n">
        <v>0.062691506789231</v>
      </c>
      <c r="E260" s="87" t="n">
        <f aca="false">(1+D260/2)^(-2*(DATE($B261,$C261,20)-$E$17)/365.25)</f>
        <v>1.50275731071755</v>
      </c>
      <c r="F260" s="87"/>
      <c r="G260" s="8"/>
      <c r="H260" s="8" t="n">
        <f aca="false">(1+$I$17)*H248</f>
        <v>18557.9986637814</v>
      </c>
      <c r="I260" s="8" t="n">
        <f aca="false">(1+$I$17)*I248</f>
        <v>17641.6918787721</v>
      </c>
      <c r="K260" s="50" t="n">
        <f aca="false">K248</f>
        <v>2185.91801075269</v>
      </c>
      <c r="L260" s="50" t="n">
        <f aca="false">L248</f>
        <v>1282.33064516129</v>
      </c>
      <c r="M260" s="50" t="n">
        <f aca="false">M248</f>
        <v>142.852150537634</v>
      </c>
      <c r="N260" s="50" t="n">
        <f aca="false">N248</f>
        <v>3.16801075268817</v>
      </c>
      <c r="O260" s="50" t="n">
        <f aca="false">SUM(K260:N260)</f>
        <v>3614.2688172043</v>
      </c>
      <c r="P260" s="50" t="n">
        <f aca="false">P248</f>
        <v>2792.6655547379</v>
      </c>
      <c r="Q260" s="50" t="n">
        <f aca="false">O260+P260</f>
        <v>6406.9343719422</v>
      </c>
      <c r="R260" s="8" t="n">
        <f aca="false">H260-O260-P260</f>
        <v>12151.0642918392</v>
      </c>
      <c r="T260" s="9" t="n">
        <f aca="false">$T$18</f>
        <v>48.72</v>
      </c>
      <c r="U260" s="9" t="n">
        <f aca="false">U$18</f>
        <v>23</v>
      </c>
      <c r="V260" s="9" t="n">
        <f aca="false">V$18</f>
        <v>34</v>
      </c>
      <c r="W260" s="9" t="n">
        <f aca="false">W$18</f>
        <v>38</v>
      </c>
      <c r="X260" s="9" t="n">
        <f aca="false">SUMPRODUCT(K260:N260,T260:W260)/O260</f>
        <v>39.0034319468534</v>
      </c>
      <c r="Y260" s="9" t="n">
        <f aca="false">$Y$18/1000*CURVES!K219+$Y$14</f>
        <v>85.8426327284946</v>
      </c>
      <c r="Z260" s="9" t="n">
        <f aca="false">(O260*X260+P260*Y260)/Q260</f>
        <v>59.4197832063856</v>
      </c>
      <c r="AA260" s="9" t="n">
        <f aca="false">CHOOSE(AA$18,CURVES!F219,CURVES!G219)</f>
        <v>41.4033140163165</v>
      </c>
      <c r="AB260" s="9" t="n">
        <f aca="false">(Q260*Z260+R260*AA260)/H260</f>
        <v>47.6232916015165</v>
      </c>
      <c r="AD260" s="9"/>
      <c r="AH260" s="50" t="n">
        <f aca="false">AH248</f>
        <v>1826.05608785899</v>
      </c>
      <c r="AI260" s="50" t="n">
        <f aca="false">AI248</f>
        <v>0</v>
      </c>
      <c r="AJ260" s="50" t="n">
        <f aca="false">AJ248</f>
        <v>1744.08931864439</v>
      </c>
      <c r="AK260" s="50" t="n">
        <f aca="false">AK248</f>
        <v>538.872892801371</v>
      </c>
      <c r="AL260" s="50" t="n">
        <f aca="false">SUM(AH260:AK260)</f>
        <v>4109.01829930475</v>
      </c>
      <c r="AM260" s="50" t="n">
        <f aca="false">AM248</f>
        <v>2445.3687016129</v>
      </c>
      <c r="AN260" s="50" t="n">
        <f aca="false">AL260+AM260</f>
        <v>6554.38700091765</v>
      </c>
      <c r="AO260" s="8" t="n">
        <f aca="false">I260-AL260-AM260</f>
        <v>11087.3048778544</v>
      </c>
      <c r="AQ260" s="9" t="n">
        <f aca="false">$AQ$18</f>
        <v>43</v>
      </c>
      <c r="AR260" s="9"/>
      <c r="AS260" s="9" t="n">
        <f aca="false">AS$18</f>
        <v>30</v>
      </c>
      <c r="AT260" s="9" t="n">
        <f aca="false">AT$18</f>
        <v>38</v>
      </c>
      <c r="AU260" s="9" t="n">
        <f aca="false">SUMPRODUCT(AH260:AK260,AQ260:AT260)/AL260</f>
        <v>36.8263780400598</v>
      </c>
      <c r="AV260" s="9" t="n">
        <f aca="false">$Y$18/1000*CURVES!O219+$AV$14</f>
        <v>85.3996192880192</v>
      </c>
      <c r="AW260" s="9" t="n">
        <f aca="false">(AL260*AU260+AM260*AV260)/AN260</f>
        <v>54.9485127060511</v>
      </c>
      <c r="AX260" s="9" t="n">
        <f aca="false">CHOOSE(AX$18,CURVES!B219,CURVES!C219)</f>
        <v>48.8602150537634</v>
      </c>
      <c r="AY260" s="9" t="n">
        <f aca="false">(AN260*AW260+AO260*AX260)/I260</f>
        <v>51.1221896571114</v>
      </c>
    </row>
    <row r="261" customFormat="false" ht="12.75" hidden="false" customHeight="false" outlineLevel="0" collapsed="false">
      <c r="A261" s="85" t="n">
        <v>43497</v>
      </c>
      <c r="B261" s="31" t="n">
        <f aca="false">YEAR(A261)</f>
        <v>2019</v>
      </c>
      <c r="C261" s="31" t="n">
        <f aca="false">MONTH(A261)</f>
        <v>2</v>
      </c>
      <c r="D261" s="86" t="n">
        <v>0.062716012383748</v>
      </c>
      <c r="E261" s="87" t="n">
        <f aca="false">(1+D261/2)^(-2*(DATE($B262,$C262,20)-$E$17)/365.25)</f>
        <v>1.49589463999798</v>
      </c>
      <c r="F261" s="87"/>
      <c r="G261" s="8"/>
      <c r="H261" s="8" t="n">
        <f aca="false">(1+$I$17)*H249</f>
        <v>18607.9160057768</v>
      </c>
      <c r="I261" s="8" t="n">
        <f aca="false">(1+$I$17)*I249</f>
        <v>17618.1796743313</v>
      </c>
      <c r="K261" s="50" t="n">
        <f aca="false">K249</f>
        <v>2261.87643678161</v>
      </c>
      <c r="L261" s="50" t="n">
        <f aca="false">L249</f>
        <v>1335.97988505747</v>
      </c>
      <c r="M261" s="50" t="n">
        <f aca="false">M249</f>
        <v>236.002873563218</v>
      </c>
      <c r="N261" s="50" t="n">
        <f aca="false">N249</f>
        <v>3.84913793103448</v>
      </c>
      <c r="O261" s="50" t="n">
        <f aca="false">SUM(K261:N261)</f>
        <v>3837.70833333333</v>
      </c>
      <c r="P261" s="50" t="n">
        <f aca="false">P249</f>
        <v>3011.77170136767</v>
      </c>
      <c r="Q261" s="50" t="n">
        <f aca="false">O261+P261</f>
        <v>6849.48003470101</v>
      </c>
      <c r="R261" s="8" t="n">
        <f aca="false">H261-O261-P261</f>
        <v>11758.4359710757</v>
      </c>
      <c r="T261" s="9" t="n">
        <f aca="false">$T$18</f>
        <v>48.72</v>
      </c>
      <c r="U261" s="9" t="n">
        <f aca="false">U$18</f>
        <v>23</v>
      </c>
      <c r="V261" s="9" t="n">
        <f aca="false">V$18</f>
        <v>34</v>
      </c>
      <c r="W261" s="9" t="n">
        <f aca="false">W$18</f>
        <v>38</v>
      </c>
      <c r="X261" s="9" t="n">
        <f aca="false">SUMPRODUCT(K261:N261,T261:W261)/O261</f>
        <v>38.8504048116</v>
      </c>
      <c r="Y261" s="9" t="n">
        <f aca="false">$Y$18/1000*CURVES!K220+$Y$14</f>
        <v>86.8296327284946</v>
      </c>
      <c r="Z261" s="9" t="n">
        <f aca="false">(O261*X261+P261*Y261)/Q261</f>
        <v>59.9472589029311</v>
      </c>
      <c r="AA261" s="9" t="n">
        <f aca="false">CHOOSE(AA$18,CURVES!F220,CURVES!G220)</f>
        <v>41.3649439408523</v>
      </c>
      <c r="AB261" s="9" t="n">
        <f aca="false">(Q261*Z261+R261*AA261)/H261</f>
        <v>48.2050003604842</v>
      </c>
      <c r="AD261" s="9"/>
      <c r="AH261" s="50" t="n">
        <f aca="false">AH249</f>
        <v>1925.74685025101</v>
      </c>
      <c r="AI261" s="50" t="n">
        <f aca="false">AI249</f>
        <v>0</v>
      </c>
      <c r="AJ261" s="50" t="n">
        <f aca="false">AJ249</f>
        <v>2201.92738718254</v>
      </c>
      <c r="AK261" s="50" t="n">
        <f aca="false">AK249</f>
        <v>548.475477754164</v>
      </c>
      <c r="AL261" s="50" t="n">
        <f aca="false">SUM(AH261:AK261)</f>
        <v>4676.14971518771</v>
      </c>
      <c r="AM261" s="50" t="n">
        <f aca="false">AM249</f>
        <v>2161.54564434524</v>
      </c>
      <c r="AN261" s="50" t="n">
        <f aca="false">AL261+AM261</f>
        <v>6837.69535953295</v>
      </c>
      <c r="AO261" s="8" t="n">
        <f aca="false">I261-AL261-AM261</f>
        <v>10780.4843147983</v>
      </c>
      <c r="AQ261" s="9" t="n">
        <f aca="false">$AQ$18</f>
        <v>43</v>
      </c>
      <c r="AR261" s="9"/>
      <c r="AS261" s="9" t="n">
        <f aca="false">AS$18</f>
        <v>30</v>
      </c>
      <c r="AT261" s="9" t="n">
        <f aca="false">AT$18</f>
        <v>38</v>
      </c>
      <c r="AU261" s="9" t="n">
        <f aca="false">SUMPRODUCT(AH261:AK261,AQ261:AT261)/AL261</f>
        <v>36.2920382509856</v>
      </c>
      <c r="AV261" s="9" t="n">
        <f aca="false">$Y$18/1000*CURVES!O220+$AV$14</f>
        <v>84.3916192880192</v>
      </c>
      <c r="AW261" s="9" t="n">
        <f aca="false">(AL261*AU261+AM261*AV261)/AN261</f>
        <v>51.4973719809358</v>
      </c>
      <c r="AX261" s="9" t="n">
        <f aca="false">CHOOSE(AX$18,CURVES!B220,CURVES!C220)</f>
        <v>47.5642857142857</v>
      </c>
      <c r="AY261" s="9" t="n">
        <f aca="false">(AN261*AW261+AO261*AX261)/I261</f>
        <v>49.090734315176</v>
      </c>
    </row>
    <row r="262" customFormat="false" ht="12.75" hidden="false" customHeight="false" outlineLevel="0" collapsed="false">
      <c r="A262" s="85" t="n">
        <v>43525</v>
      </c>
      <c r="B262" s="31" t="n">
        <f aca="false">YEAR(A262)</f>
        <v>2019</v>
      </c>
      <c r="C262" s="31" t="n">
        <f aca="false">MONTH(A262)</f>
        <v>3</v>
      </c>
      <c r="D262" s="86" t="n">
        <v>0.062738146469289</v>
      </c>
      <c r="E262" s="87" t="n">
        <f aca="false">(1+D262/2)^(-2*(DATE($B263,$C263,20)-$E$17)/365.25)</f>
        <v>1.48828049112232</v>
      </c>
      <c r="F262" s="87"/>
      <c r="G262" s="8"/>
      <c r="H262" s="8" t="n">
        <f aca="false">(1+$I$17)*H250</f>
        <v>18500.1917383765</v>
      </c>
      <c r="I262" s="8" t="n">
        <f aca="false">(1+$I$17)*I250</f>
        <v>17222.657284677</v>
      </c>
      <c r="K262" s="50" t="n">
        <f aca="false">K250</f>
        <v>2263.94623655914</v>
      </c>
      <c r="L262" s="50" t="n">
        <f aca="false">L250</f>
        <v>1258.63037634409</v>
      </c>
      <c r="M262" s="50" t="n">
        <f aca="false">M250</f>
        <v>620.646505376344</v>
      </c>
      <c r="N262" s="50" t="n">
        <f aca="false">N250</f>
        <v>2.58198924731183</v>
      </c>
      <c r="O262" s="50" t="n">
        <f aca="false">SUM(K262:N262)</f>
        <v>4145.80510752688</v>
      </c>
      <c r="P262" s="50" t="n">
        <f aca="false">P250</f>
        <v>2834.39732902856</v>
      </c>
      <c r="Q262" s="50" t="n">
        <f aca="false">O262+P262</f>
        <v>6980.20243655544</v>
      </c>
      <c r="R262" s="8" t="n">
        <f aca="false">H262-O262-P262</f>
        <v>11519.9893018211</v>
      </c>
      <c r="T262" s="9" t="n">
        <f aca="false">$T$18</f>
        <v>48.72</v>
      </c>
      <c r="U262" s="9" t="n">
        <f aca="false">U$18</f>
        <v>23</v>
      </c>
      <c r="V262" s="9" t="n">
        <f aca="false">V$18</f>
        <v>34</v>
      </c>
      <c r="W262" s="9" t="n">
        <f aca="false">W$18</f>
        <v>38</v>
      </c>
      <c r="X262" s="9" t="n">
        <f aca="false">SUMPRODUCT(K262:N262,T262:W262)/O262</f>
        <v>38.7013021388701</v>
      </c>
      <c r="Y262" s="9" t="n">
        <f aca="false">$Y$18/1000*CURVES!K221+$Y$14</f>
        <v>85.2546327284946</v>
      </c>
      <c r="Z262" s="9" t="n">
        <f aca="false">(O262*X262+P262*Y262)/Q262</f>
        <v>57.6048564526515</v>
      </c>
      <c r="AA262" s="9" t="n">
        <f aca="false">CHOOSE(AA$18,CURVES!F221,CURVES!G221)</f>
        <v>40.7733339235129</v>
      </c>
      <c r="AB262" s="9" t="n">
        <f aca="false">(Q262*Z262+R262*AA262)/H262</f>
        <v>47.1239402431824</v>
      </c>
      <c r="AD262" s="9"/>
      <c r="AH262" s="50" t="n">
        <f aca="false">AH250</f>
        <v>1891.23873243112</v>
      </c>
      <c r="AI262" s="50" t="n">
        <f aca="false">AI250</f>
        <v>0</v>
      </c>
      <c r="AJ262" s="50" t="n">
        <f aca="false">AJ250</f>
        <v>1966.55049263563</v>
      </c>
      <c r="AK262" s="50" t="n">
        <f aca="false">AK250</f>
        <v>526.073305014923</v>
      </c>
      <c r="AL262" s="50" t="n">
        <f aca="false">SUM(AH262:AK262)</f>
        <v>4383.86253008167</v>
      </c>
      <c r="AM262" s="50" t="n">
        <f aca="false">AM250</f>
        <v>2044.22227284946</v>
      </c>
      <c r="AN262" s="50" t="n">
        <f aca="false">AL262+AM262</f>
        <v>6428.08480293113</v>
      </c>
      <c r="AO262" s="8" t="n">
        <f aca="false">I262-AL262-AM262</f>
        <v>10794.5724817459</v>
      </c>
      <c r="AQ262" s="9" t="n">
        <f aca="false">$AQ$18</f>
        <v>43</v>
      </c>
      <c r="AR262" s="9"/>
      <c r="AS262" s="9" t="n">
        <f aca="false">AS$18</f>
        <v>30</v>
      </c>
      <c r="AT262" s="9" t="n">
        <f aca="false">AT$18</f>
        <v>38</v>
      </c>
      <c r="AU262" s="9" t="n">
        <f aca="false">SUMPRODUCT(AH262:AK262,AQ262:AT262)/AL262</f>
        <v>36.5683377989472</v>
      </c>
      <c r="AV262" s="9" t="n">
        <f aca="false">$Y$18/1000*CURVES!O221+$AV$14</f>
        <v>82.8166192880192</v>
      </c>
      <c r="AW262" s="9" t="n">
        <f aca="false">(AL262*AU262+AM262*AV262)/AN262</f>
        <v>51.275948230263</v>
      </c>
      <c r="AX262" s="9" t="n">
        <f aca="false">CHOOSE(AX$18,CURVES!B221,CURVES!C221)</f>
        <v>45.3306451612903</v>
      </c>
      <c r="AY262" s="9" t="n">
        <f aca="false">(AN262*AW262+AO262*AX262)/I262</f>
        <v>47.5496356268606</v>
      </c>
    </row>
    <row r="263" customFormat="false" ht="12.75" hidden="false" customHeight="false" outlineLevel="0" collapsed="false">
      <c r="A263" s="85" t="n">
        <v>43556</v>
      </c>
      <c r="B263" s="31" t="n">
        <f aca="false">YEAR(A263)</f>
        <v>2019</v>
      </c>
      <c r="C263" s="31" t="n">
        <f aca="false">MONTH(A263)</f>
        <v>4</v>
      </c>
      <c r="D263" s="86" t="n">
        <v>0.062762652064186</v>
      </c>
      <c r="E263" s="87" t="n">
        <f aca="false">(1+D263/2)^(-2*(DATE($B264,$C264,20)-$E$17)/365.25)</f>
        <v>1.48097187800114</v>
      </c>
      <c r="F263" s="87"/>
      <c r="G263" s="8"/>
      <c r="H263" s="8" t="n">
        <f aca="false">(1+$I$17)*H251</f>
        <v>18582.2828747856</v>
      </c>
      <c r="I263" s="8" t="n">
        <f aca="false">(1+$I$17)*I251</f>
        <v>16824.758821113</v>
      </c>
      <c r="K263" s="50" t="n">
        <f aca="false">K251</f>
        <v>2319.84027777778</v>
      </c>
      <c r="L263" s="50" t="n">
        <f aca="false">L251</f>
        <v>1179.16597222222</v>
      </c>
      <c r="M263" s="50" t="n">
        <f aca="false">M251</f>
        <v>811.586111111111</v>
      </c>
      <c r="N263" s="50" t="n">
        <f aca="false">N251</f>
        <v>3.04166666666667</v>
      </c>
      <c r="O263" s="50" t="n">
        <f aca="false">SUM(K263:N263)</f>
        <v>4313.63402777778</v>
      </c>
      <c r="P263" s="50" t="n">
        <f aca="false">P251</f>
        <v>2923.39459068154</v>
      </c>
      <c r="Q263" s="50" t="n">
        <f aca="false">O263+P263</f>
        <v>7237.02861845932</v>
      </c>
      <c r="R263" s="8" t="n">
        <f aca="false">H263-O263-P263</f>
        <v>11345.2542563263</v>
      </c>
      <c r="T263" s="9" t="n">
        <f aca="false">$T$18</f>
        <v>48.72</v>
      </c>
      <c r="U263" s="9" t="n">
        <f aca="false">U$18</f>
        <v>23</v>
      </c>
      <c r="V263" s="9" t="n">
        <f aca="false">V$18</f>
        <v>34</v>
      </c>
      <c r="W263" s="9" t="n">
        <f aca="false">W$18</f>
        <v>38</v>
      </c>
      <c r="X263" s="9" t="n">
        <f aca="false">SUMPRODUCT(K263:N263,T263:W263)/O263</f>
        <v>38.9121899828918</v>
      </c>
      <c r="Y263" s="9" t="n">
        <f aca="false">$Y$18/1000*CURVES!K222+$Y$14</f>
        <v>84.0418827284946</v>
      </c>
      <c r="Z263" s="9" t="n">
        <f aca="false">(O263*X263+P263*Y263)/Q263</f>
        <v>57.1423099129277</v>
      </c>
      <c r="AA263" s="9" t="n">
        <f aca="false">CHOOSE(AA$18,CURVES!F222,CURVES!G222)</f>
        <v>39.8958704225663</v>
      </c>
      <c r="AB263" s="9" t="n">
        <f aca="false">(Q263*Z263+R263*AA263)/H263</f>
        <v>46.6126434369106</v>
      </c>
      <c r="AD263" s="9"/>
      <c r="AH263" s="50" t="n">
        <f aca="false">AH251</f>
        <v>1937.93108490741</v>
      </c>
      <c r="AI263" s="50" t="n">
        <f aca="false">AI251</f>
        <v>0</v>
      </c>
      <c r="AJ263" s="50" t="n">
        <f aca="false">AJ251</f>
        <v>2070.95002093926</v>
      </c>
      <c r="AK263" s="50" t="n">
        <f aca="false">AK251</f>
        <v>513.919329218532</v>
      </c>
      <c r="AL263" s="50" t="n">
        <f aca="false">SUM(AH263:AK263)</f>
        <v>4522.8004350652</v>
      </c>
      <c r="AM263" s="50" t="n">
        <f aca="false">AM251</f>
        <v>2152.99685890411</v>
      </c>
      <c r="AN263" s="50" t="n">
        <f aca="false">AL263+AM263</f>
        <v>6675.79729396931</v>
      </c>
      <c r="AO263" s="8" t="n">
        <f aca="false">I263-AL263-AM263</f>
        <v>10148.9615271437</v>
      </c>
      <c r="AQ263" s="9" t="n">
        <f aca="false">$AQ$18</f>
        <v>43</v>
      </c>
      <c r="AR263" s="9"/>
      <c r="AS263" s="9" t="n">
        <f aca="false">AS$18</f>
        <v>30</v>
      </c>
      <c r="AT263" s="9" t="n">
        <f aca="false">AT$18</f>
        <v>38</v>
      </c>
      <c r="AU263" s="9" t="n">
        <f aca="false">SUMPRODUCT(AH263:AK263,AQ263:AT263)/AL263</f>
        <v>36.4792729987261</v>
      </c>
      <c r="AV263" s="9" t="n">
        <f aca="false">$Y$18/1000*CURVES!O222+$AV$14</f>
        <v>80.8951192880192</v>
      </c>
      <c r="AW263" s="9" t="n">
        <f aca="false">(AL263*AU263+AM263*AV263)/AN263</f>
        <v>50.8037309376755</v>
      </c>
      <c r="AX263" s="9" t="n">
        <f aca="false">CHOOSE(AX$18,CURVES!B222,CURVES!C222)</f>
        <v>43.6911111111111</v>
      </c>
      <c r="AY263" s="9" t="n">
        <f aca="false">(AN263*AW263+AO263*AX263)/I263</f>
        <v>46.5132857821457</v>
      </c>
    </row>
    <row r="264" customFormat="false" ht="12.75" hidden="false" customHeight="false" outlineLevel="0" collapsed="false">
      <c r="A264" s="85" t="n">
        <v>43586</v>
      </c>
      <c r="B264" s="31" t="n">
        <f aca="false">YEAR(A264)</f>
        <v>2019</v>
      </c>
      <c r="C264" s="31" t="n">
        <f aca="false">MONTH(A264)</f>
        <v>5</v>
      </c>
      <c r="D264" s="86" t="n">
        <v>0.062786367156211</v>
      </c>
      <c r="E264" s="87" t="n">
        <f aca="false">(1+D264/2)^(-2*(DATE($B265,$C265,20)-$E$17)/365.25)</f>
        <v>1.4734369064923</v>
      </c>
      <c r="F264" s="87"/>
      <c r="G264" s="8"/>
      <c r="H264" s="8" t="n">
        <f aca="false">(1+$I$17)*H252</f>
        <v>19635.8765394385</v>
      </c>
      <c r="I264" s="8" t="n">
        <f aca="false">(1+$I$17)*I252</f>
        <v>18326.6754178936</v>
      </c>
      <c r="K264" s="50" t="n">
        <f aca="false">K252</f>
        <v>2226.06720430108</v>
      </c>
      <c r="L264" s="50" t="n">
        <f aca="false">L252</f>
        <v>1023.62634408602</v>
      </c>
      <c r="M264" s="50" t="n">
        <f aca="false">M252</f>
        <v>950.165322580645</v>
      </c>
      <c r="N264" s="50" t="n">
        <f aca="false">N252</f>
        <v>3.30510752688172</v>
      </c>
      <c r="O264" s="50" t="n">
        <f aca="false">SUM(K264:N264)</f>
        <v>4203.16397849462</v>
      </c>
      <c r="P264" s="50" t="n">
        <f aca="false">P252</f>
        <v>2831.51050210493</v>
      </c>
      <c r="Q264" s="50" t="n">
        <f aca="false">O264+P264</f>
        <v>7034.67448059955</v>
      </c>
      <c r="R264" s="8" t="n">
        <f aca="false">H264-O264-P264</f>
        <v>12601.202058839</v>
      </c>
      <c r="T264" s="9" t="n">
        <f aca="false">$T$18</f>
        <v>48.72</v>
      </c>
      <c r="U264" s="9" t="n">
        <f aca="false">U$18</f>
        <v>23</v>
      </c>
      <c r="V264" s="9" t="n">
        <f aca="false">V$18</f>
        <v>34</v>
      </c>
      <c r="W264" s="9" t="n">
        <f aca="false">W$18</f>
        <v>38</v>
      </c>
      <c r="X264" s="9" t="n">
        <f aca="false">SUMPRODUCT(K264:N264,T264:W264)/O264</f>
        <v>39.1201999261949</v>
      </c>
      <c r="Y264" s="9" t="n">
        <f aca="false">$Y$18/1000*CURVES!K223+$Y$14</f>
        <v>83.7793827284946</v>
      </c>
      <c r="Z264" s="9" t="n">
        <f aca="false">(O264*X264+P264*Y264)/Q264</f>
        <v>57.0958639699074</v>
      </c>
      <c r="AA264" s="9" t="n">
        <f aca="false">CHOOSE(AA$18,CURVES!F223,CURVES!G223)</f>
        <v>39.4211822487034</v>
      </c>
      <c r="AB264" s="9" t="n">
        <f aca="false">(Q264*Z264+R264*AA264)/H264</f>
        <v>45.7532465294675</v>
      </c>
      <c r="AD264" s="9"/>
      <c r="AH264" s="50" t="n">
        <f aca="false">AH252</f>
        <v>1895.25910320262</v>
      </c>
      <c r="AI264" s="50" t="n">
        <f aca="false">AI252</f>
        <v>0</v>
      </c>
      <c r="AJ264" s="50" t="n">
        <f aca="false">AJ252</f>
        <v>1877.63033247346</v>
      </c>
      <c r="AK264" s="50" t="n">
        <f aca="false">AK252</f>
        <v>570.53181663935</v>
      </c>
      <c r="AL264" s="50" t="n">
        <f aca="false">SUM(AH264:AK264)</f>
        <v>4343.42125231544</v>
      </c>
      <c r="AM264" s="50" t="n">
        <f aca="false">AM252</f>
        <v>2186.84183198925</v>
      </c>
      <c r="AN264" s="50" t="n">
        <f aca="false">AL264+AM264</f>
        <v>6530.26308430469</v>
      </c>
      <c r="AO264" s="8" t="n">
        <f aca="false">I264-AL264-AM264</f>
        <v>11796.412333589</v>
      </c>
      <c r="AQ264" s="9" t="n">
        <f aca="false">$AQ$18</f>
        <v>43</v>
      </c>
      <c r="AR264" s="9"/>
      <c r="AS264" s="9" t="n">
        <f aca="false">AS$18</f>
        <v>30</v>
      </c>
      <c r="AT264" s="9" t="n">
        <f aca="false">AT$18</f>
        <v>38</v>
      </c>
      <c r="AU264" s="9" t="n">
        <f aca="false">SUMPRODUCT(AH264:AK264,AQ264:AT264)/AL264</f>
        <v>36.7234148332219</v>
      </c>
      <c r="AV264" s="9" t="n">
        <f aca="false">$Y$18/1000*CURVES!O223+$AV$14</f>
        <v>80.6326192880192</v>
      </c>
      <c r="AW264" s="9" t="n">
        <f aca="false">(AL264*AU264+AM264*AV264)/AN264</f>
        <v>51.4276440306499</v>
      </c>
      <c r="AX264" s="9" t="n">
        <f aca="false">CHOOSE(AX$18,CURVES!B223,CURVES!C223)</f>
        <v>43.5112903225806</v>
      </c>
      <c r="AY264" s="9" t="n">
        <f aca="false">(AN264*AW264+AO264*AX264)/I264</f>
        <v>46.3320895784909</v>
      </c>
    </row>
    <row r="265" customFormat="false" ht="12.75" hidden="false" customHeight="false" outlineLevel="0" collapsed="false">
      <c r="A265" s="85" t="n">
        <v>43617</v>
      </c>
      <c r="B265" s="31" t="n">
        <f aca="false">YEAR(A265)</f>
        <v>2019</v>
      </c>
      <c r="C265" s="31" t="n">
        <f aca="false">MONTH(A265)</f>
        <v>6</v>
      </c>
      <c r="D265" s="86" t="n">
        <v>0.062810872751499</v>
      </c>
      <c r="E265" s="87" t="n">
        <f aca="false">(1+D265/2)^(-2*(DATE($B266,$C266,20)-$E$17)/365.25)</f>
        <v>1.46618973340774</v>
      </c>
      <c r="F265" s="87"/>
      <c r="G265" s="8"/>
      <c r="H265" s="8" t="n">
        <f aca="false">(1+$I$17)*H253</f>
        <v>21700.0388911428</v>
      </c>
      <c r="I265" s="8" t="n">
        <f aca="false">(1+$I$17)*I253</f>
        <v>20665.6417367293</v>
      </c>
      <c r="K265" s="50" t="n">
        <f aca="false">K253</f>
        <v>2252.13333333333</v>
      </c>
      <c r="L265" s="50" t="n">
        <f aca="false">L253</f>
        <v>1398.39166666667</v>
      </c>
      <c r="M265" s="50" t="n">
        <f aca="false">M253</f>
        <v>957.040277777778</v>
      </c>
      <c r="N265" s="50" t="n">
        <f aca="false">N253</f>
        <v>3.52638888888889</v>
      </c>
      <c r="O265" s="50" t="n">
        <f aca="false">SUM(K265:N265)</f>
        <v>4611.09166666667</v>
      </c>
      <c r="P265" s="50" t="n">
        <f aca="false">P253</f>
        <v>3175.74117813466</v>
      </c>
      <c r="Q265" s="50" t="n">
        <f aca="false">O265+P265</f>
        <v>7786.83284480132</v>
      </c>
      <c r="R265" s="8" t="n">
        <f aca="false">H265-O265-P265</f>
        <v>13913.2060463415</v>
      </c>
      <c r="T265" s="9" t="n">
        <f aca="false">$T$18</f>
        <v>48.72</v>
      </c>
      <c r="U265" s="9" t="n">
        <f aca="false">U$18</f>
        <v>23</v>
      </c>
      <c r="V265" s="9" t="n">
        <f aca="false">V$18</f>
        <v>34</v>
      </c>
      <c r="W265" s="9" t="n">
        <f aca="false">W$18</f>
        <v>38</v>
      </c>
      <c r="X265" s="9" t="n">
        <f aca="false">SUMPRODUCT(K265:N265,T265:W265)/O265</f>
        <v>37.8566138290945</v>
      </c>
      <c r="Y265" s="9" t="n">
        <f aca="false">$Y$18/1000*CURVES!K224+$Y$14</f>
        <v>84.0838827284946</v>
      </c>
      <c r="Z265" s="9" t="n">
        <f aca="false">(O265*X265+P265*Y265)/Q265</f>
        <v>56.7097013837528</v>
      </c>
      <c r="AA265" s="9" t="n">
        <f aca="false">CHOOSE(AA$18,CURVES!F224,CURVES!G224)</f>
        <v>49.9338605121841</v>
      </c>
      <c r="AB265" s="9" t="n">
        <f aca="false">(Q265*Z265+R265*AA265)/H265</f>
        <v>52.3653004056588</v>
      </c>
      <c r="AD265" s="9"/>
      <c r="AH265" s="50" t="n">
        <f aca="false">AH253</f>
        <v>1881.37055634004</v>
      </c>
      <c r="AI265" s="50" t="n">
        <f aca="false">AI253</f>
        <v>0</v>
      </c>
      <c r="AJ265" s="50" t="n">
        <f aca="false">AJ253</f>
        <v>1162.16168617347</v>
      </c>
      <c r="AK265" s="50" t="n">
        <f aca="false">AK253</f>
        <v>631.240712103584</v>
      </c>
      <c r="AL265" s="50" t="n">
        <f aca="false">SUM(AH265:AK265)</f>
        <v>3674.77295461709</v>
      </c>
      <c r="AM265" s="50" t="n">
        <f aca="false">AM253</f>
        <v>2754.04614109589</v>
      </c>
      <c r="AN265" s="50" t="n">
        <f aca="false">AL265+AM265</f>
        <v>6428.81909571298</v>
      </c>
      <c r="AO265" s="8" t="n">
        <f aca="false">I265-AL265-AM265</f>
        <v>14236.8226410163</v>
      </c>
      <c r="AQ265" s="9" t="n">
        <f aca="false">$AQ$18</f>
        <v>43</v>
      </c>
      <c r="AR265" s="9"/>
      <c r="AS265" s="9" t="n">
        <f aca="false">AS$18</f>
        <v>30</v>
      </c>
      <c r="AT265" s="9" t="n">
        <f aca="false">AT$18</f>
        <v>38</v>
      </c>
      <c r="AU265" s="9" t="n">
        <f aca="false">SUMPRODUCT(AH265:AK265,AQ265:AT265)/AL265</f>
        <v>38.0298138942638</v>
      </c>
      <c r="AV265" s="9" t="n">
        <f aca="false">$Y$18/1000*CURVES!O224+$AV$14</f>
        <v>80.9371192880192</v>
      </c>
      <c r="AW265" s="9" t="n">
        <f aca="false">(AL265*AU265+AM265*AV265)/AN265</f>
        <v>56.410903342448</v>
      </c>
      <c r="AX265" s="9" t="n">
        <f aca="false">CHOOSE(AX$18,CURVES!B224,CURVES!C224)</f>
        <v>48.3944444444444</v>
      </c>
      <c r="AY265" s="9" t="n">
        <f aca="false">(AN265*AW265+AO265*AX265)/I265</f>
        <v>50.8882631557157</v>
      </c>
    </row>
    <row r="266" customFormat="false" ht="12.75" hidden="false" customHeight="false" outlineLevel="0" collapsed="false">
      <c r="A266" s="85" t="n">
        <v>43647</v>
      </c>
      <c r="B266" s="31" t="n">
        <f aca="false">YEAR(A266)</f>
        <v>2019</v>
      </c>
      <c r="C266" s="31" t="n">
        <f aca="false">MONTH(A266)</f>
        <v>7</v>
      </c>
      <c r="D266" s="86" t="n">
        <v>0.062834587843904</v>
      </c>
      <c r="E266" s="87" t="n">
        <f aca="false">(1+D266/2)^(-2*(DATE($B267,$C267,20)-$E$17)/365.25)</f>
        <v>1.45871857655414</v>
      </c>
      <c r="F266" s="87"/>
      <c r="G266" s="8"/>
      <c r="H266" s="8" t="n">
        <f aca="false">(1+$I$17)*H254</f>
        <v>21417.7790112314</v>
      </c>
      <c r="I266" s="8" t="n">
        <f aca="false">(1+$I$17)*I254</f>
        <v>19617.7021786797</v>
      </c>
      <c r="K266" s="50" t="n">
        <f aca="false">K254</f>
        <v>2248.45698924731</v>
      </c>
      <c r="L266" s="50" t="n">
        <f aca="false">L254</f>
        <v>1358.32258064516</v>
      </c>
      <c r="M266" s="50" t="n">
        <f aca="false">M254</f>
        <v>653.551075268817</v>
      </c>
      <c r="N266" s="50" t="n">
        <f aca="false">N254</f>
        <v>3.83736559139785</v>
      </c>
      <c r="O266" s="50" t="n">
        <f aca="false">SUM(K266:N266)</f>
        <v>4264.16801075269</v>
      </c>
      <c r="P266" s="50" t="n">
        <f aca="false">P254</f>
        <v>3349.38956238808</v>
      </c>
      <c r="Q266" s="50" t="n">
        <f aca="false">O266+P266</f>
        <v>7613.55757314076</v>
      </c>
      <c r="R266" s="8" t="n">
        <f aca="false">H266-O266-P266</f>
        <v>13804.2214380906</v>
      </c>
      <c r="T266" s="9" t="n">
        <f aca="false">$T$18</f>
        <v>48.72</v>
      </c>
      <c r="U266" s="9" t="n">
        <f aca="false">U$18</f>
        <v>23</v>
      </c>
      <c r="V266" s="9" t="n">
        <f aca="false">V$18</f>
        <v>34</v>
      </c>
      <c r="W266" s="9" t="n">
        <f aca="false">W$18</f>
        <v>38</v>
      </c>
      <c r="X266" s="9" t="n">
        <f aca="false">SUMPRODUCT(K266:N266,T266:W266)/O266</f>
        <v>38.2613442789234</v>
      </c>
      <c r="Y266" s="9" t="n">
        <f aca="false">$Y$18/1000*CURVES!K225+$Y$14</f>
        <v>84.3988827284946</v>
      </c>
      <c r="Z266" s="9" t="n">
        <f aca="false">(O266*X266+P266*Y266)/Q266</f>
        <v>58.5583720787046</v>
      </c>
      <c r="AA266" s="9" t="n">
        <f aca="false">CHOOSE(AA$18,CURVES!F225,CURVES!G225)</f>
        <v>61.3665961616808</v>
      </c>
      <c r="AB266" s="9" t="n">
        <f aca="false">(Q266*Z266+R266*AA266)/H266</f>
        <v>60.3683331894647</v>
      </c>
      <c r="AD266" s="9"/>
      <c r="AH266" s="50" t="n">
        <f aca="false">AH254</f>
        <v>1914.32162011861</v>
      </c>
      <c r="AI266" s="50" t="n">
        <f aca="false">AI254</f>
        <v>0</v>
      </c>
      <c r="AJ266" s="50" t="n">
        <f aca="false">AJ254</f>
        <v>1193.33197430598</v>
      </c>
      <c r="AK266" s="50" t="n">
        <f aca="false">AK254</f>
        <v>610.723058442111</v>
      </c>
      <c r="AL266" s="50" t="n">
        <f aca="false">SUM(AH266:AK266)</f>
        <v>3718.37665286669</v>
      </c>
      <c r="AM266" s="50" t="n">
        <f aca="false">AM254</f>
        <v>2586.73186021505</v>
      </c>
      <c r="AN266" s="50" t="n">
        <f aca="false">AL266+AM266</f>
        <v>6305.10851308175</v>
      </c>
      <c r="AO266" s="8" t="n">
        <f aca="false">I266-AL266-AM266</f>
        <v>13312.5936655979</v>
      </c>
      <c r="AQ266" s="9" t="n">
        <f aca="false">$AQ$18</f>
        <v>43</v>
      </c>
      <c r="AR266" s="9"/>
      <c r="AS266" s="9" t="n">
        <f aca="false">AS$18</f>
        <v>30</v>
      </c>
      <c r="AT266" s="9" t="n">
        <f aca="false">AT$18</f>
        <v>38</v>
      </c>
      <c r="AU266" s="9" t="n">
        <f aca="false">SUMPRODUCT(AH266:AK266,AQ266:AT266)/AL266</f>
        <v>38.0067105375476</v>
      </c>
      <c r="AV266" s="9" t="n">
        <f aca="false">$Y$18/1000*CURVES!O225+$AV$14</f>
        <v>81.2521192880191</v>
      </c>
      <c r="AW266" s="9" t="n">
        <f aca="false">(AL266*AU266+AM266*AV266)/AN266</f>
        <v>55.7485584995253</v>
      </c>
      <c r="AX266" s="9" t="n">
        <f aca="false">CHOOSE(AX$18,CURVES!B225,CURVES!C225)</f>
        <v>60.841935483871</v>
      </c>
      <c r="AY266" s="9" t="n">
        <f aca="false">(AN266*AW266+AO266*AX266)/I266</f>
        <v>59.2049295648376</v>
      </c>
    </row>
    <row r="267" customFormat="false" ht="12.75" hidden="false" customHeight="false" outlineLevel="0" collapsed="false">
      <c r="A267" s="85" t="n">
        <v>43678</v>
      </c>
      <c r="B267" s="31" t="n">
        <f aca="false">YEAR(A267)</f>
        <v>2019</v>
      </c>
      <c r="C267" s="31" t="n">
        <f aca="false">MONTH(A267)</f>
        <v>8</v>
      </c>
      <c r="D267" s="86" t="n">
        <v>0.062859093439584</v>
      </c>
      <c r="E267" s="87" t="n">
        <f aca="false">(1+D267/2)^(-2*(DATE($B268,$C268,20)-$E$17)/365.25)</f>
        <v>1.45128651683162</v>
      </c>
      <c r="F267" s="87"/>
      <c r="G267" s="8"/>
      <c r="H267" s="8" t="n">
        <f aca="false">(1+$I$17)*H255</f>
        <v>22967.8229131977</v>
      </c>
      <c r="I267" s="8" t="n">
        <f aca="false">(1+$I$17)*I255</f>
        <v>20346.8032609943</v>
      </c>
      <c r="K267" s="50" t="n">
        <f aca="false">K255</f>
        <v>2226.06586021505</v>
      </c>
      <c r="L267" s="50" t="n">
        <f aca="false">L255</f>
        <v>1361.98924731183</v>
      </c>
      <c r="M267" s="50" t="n">
        <f aca="false">M255</f>
        <v>483.364247311828</v>
      </c>
      <c r="N267" s="50" t="n">
        <f aca="false">N255</f>
        <v>3.9247311827957</v>
      </c>
      <c r="O267" s="50" t="n">
        <f aca="false">SUM(K267:N267)</f>
        <v>4075.34408602151</v>
      </c>
      <c r="P267" s="50" t="n">
        <f aca="false">P255</f>
        <v>3426.25292884001</v>
      </c>
      <c r="Q267" s="50" t="n">
        <f aca="false">O267+P267</f>
        <v>7501.59701486152</v>
      </c>
      <c r="R267" s="8" t="n">
        <f aca="false">H267-O267-P267</f>
        <v>15466.2258983362</v>
      </c>
      <c r="T267" s="9" t="n">
        <f aca="false">$T$18</f>
        <v>48.72</v>
      </c>
      <c r="U267" s="9" t="n">
        <f aca="false">U$18</f>
        <v>23</v>
      </c>
      <c r="V267" s="9" t="n">
        <f aca="false">V$18</f>
        <v>34</v>
      </c>
      <c r="W267" s="9" t="n">
        <f aca="false">W$18</f>
        <v>38</v>
      </c>
      <c r="X267" s="9" t="n">
        <f aca="false">SUMPRODUCT(K267:N267,T267:W267)/O267</f>
        <v>38.3680990588564</v>
      </c>
      <c r="Y267" s="9" t="n">
        <f aca="false">$Y$18/1000*CURVES!K226+$Y$14</f>
        <v>84.6088827284946</v>
      </c>
      <c r="Z267" s="9" t="n">
        <f aca="false">(O267*X267+P267*Y267)/Q267</f>
        <v>59.4879512937982</v>
      </c>
      <c r="AA267" s="9" t="n">
        <f aca="false">CHOOSE(AA$18,CURVES!F226,CURVES!G226)</f>
        <v>65.083470003769</v>
      </c>
      <c r="AB267" s="9" t="n">
        <f aca="false">(Q267*Z267+R267*AA267)/H267</f>
        <v>63.255899031546</v>
      </c>
      <c r="AD267" s="9"/>
      <c r="AH267" s="50" t="n">
        <f aca="false">AH255</f>
        <v>1859.59450264151</v>
      </c>
      <c r="AI267" s="50" t="n">
        <f aca="false">AI255</f>
        <v>0</v>
      </c>
      <c r="AJ267" s="50" t="n">
        <f aca="false">AJ255</f>
        <v>1584.50880376937</v>
      </c>
      <c r="AK267" s="50" t="n">
        <f aca="false">AK255</f>
        <v>621.501656862376</v>
      </c>
      <c r="AL267" s="50" t="n">
        <f aca="false">SUM(AH267:AK267)</f>
        <v>4065.60496327325</v>
      </c>
      <c r="AM267" s="50" t="n">
        <f aca="false">AM255</f>
        <v>2208.28901612903</v>
      </c>
      <c r="AN267" s="50" t="n">
        <f aca="false">AL267+AM267</f>
        <v>6273.89397940229</v>
      </c>
      <c r="AO267" s="8" t="n">
        <f aca="false">I267-AL267-AM267</f>
        <v>14072.909281592</v>
      </c>
      <c r="AQ267" s="9" t="n">
        <f aca="false">$AQ$18</f>
        <v>43</v>
      </c>
      <c r="AR267" s="9"/>
      <c r="AS267" s="9" t="n">
        <f aca="false">AS$18</f>
        <v>30</v>
      </c>
      <c r="AT267" s="9" t="n">
        <f aca="false">AT$18</f>
        <v>38</v>
      </c>
      <c r="AU267" s="9" t="n">
        <f aca="false">SUMPRODUCT(AH267:AK267,AQ267:AT267)/AL267</f>
        <v>37.1691032583186</v>
      </c>
      <c r="AV267" s="9" t="n">
        <f aca="false">$Y$18/1000*CURVES!O226+$AV$14</f>
        <v>81.4621192880192</v>
      </c>
      <c r="AW267" s="9" t="n">
        <f aca="false">(AL267*AU267+AM267*AV267)/AN267</f>
        <v>52.7593859616507</v>
      </c>
      <c r="AX267" s="9" t="n">
        <f aca="false">CHOOSE(AX$18,CURVES!B226,CURVES!C226)</f>
        <v>70.3758064516129</v>
      </c>
      <c r="AY267" s="9" t="n">
        <f aca="false">(AN267*AW267+AO267*AX267)/I267</f>
        <v>64.9438202554092</v>
      </c>
    </row>
    <row r="268" customFormat="false" ht="12.75" hidden="false" customHeight="false" outlineLevel="0" collapsed="false">
      <c r="A268" s="85" t="n">
        <v>43709</v>
      </c>
      <c r="B268" s="31" t="n">
        <f aca="false">YEAR(A268)</f>
        <v>2019</v>
      </c>
      <c r="C268" s="31" t="n">
        <f aca="false">MONTH(A268)</f>
        <v>9</v>
      </c>
      <c r="D268" s="86" t="n">
        <v>0.062883599035464</v>
      </c>
      <c r="E268" s="87" t="n">
        <f aca="false">(1+D268/2)^(-2*(DATE($B269,$C269,20)-$E$17)/365.25)</f>
        <v>1.44413127802893</v>
      </c>
      <c r="F268" s="87"/>
      <c r="G268" s="8"/>
      <c r="H268" s="8" t="n">
        <f aca="false">(1+$I$17)*H256</f>
        <v>20804.5215624599</v>
      </c>
      <c r="I268" s="8" t="n">
        <f aca="false">(1+$I$17)*I256</f>
        <v>19165.3823127687</v>
      </c>
      <c r="K268" s="50" t="n">
        <f aca="false">K256</f>
        <v>2263.63333333333</v>
      </c>
      <c r="L268" s="50" t="n">
        <f aca="false">L256</f>
        <v>1380.73611111111</v>
      </c>
      <c r="M268" s="50" t="n">
        <f aca="false">M256</f>
        <v>542.602777777778</v>
      </c>
      <c r="N268" s="50" t="n">
        <f aca="false">N256</f>
        <v>3.41944444444444</v>
      </c>
      <c r="O268" s="50" t="n">
        <f aca="false">SUM(K268:N268)</f>
        <v>4190.39166666667</v>
      </c>
      <c r="P268" s="50" t="n">
        <f aca="false">P256</f>
        <v>3348.13393235473</v>
      </c>
      <c r="Q268" s="50" t="n">
        <f aca="false">O268+P268</f>
        <v>7538.52559902139</v>
      </c>
      <c r="R268" s="8" t="n">
        <f aca="false">H268-O268-P268</f>
        <v>13265.9959634385</v>
      </c>
      <c r="T268" s="9" t="n">
        <f aca="false">$T$18</f>
        <v>48.72</v>
      </c>
      <c r="U268" s="9" t="n">
        <f aca="false">U$18</f>
        <v>23</v>
      </c>
      <c r="V268" s="9" t="n">
        <f aca="false">V$18</f>
        <v>34</v>
      </c>
      <c r="W268" s="9" t="n">
        <f aca="false">W$18</f>
        <v>38</v>
      </c>
      <c r="X268" s="9" t="n">
        <f aca="false">SUMPRODUCT(K268:N268,T268:W268)/O268</f>
        <v>38.3304456159959</v>
      </c>
      <c r="Y268" s="9" t="n">
        <f aca="false">$Y$18/1000*CURVES!K227+$Y$14</f>
        <v>84.8293827284946</v>
      </c>
      <c r="Z268" s="9" t="n">
        <f aca="false">(O268*X268+P268*Y268)/Q268</f>
        <v>58.9823180703384</v>
      </c>
      <c r="AA268" s="9" t="n">
        <f aca="false">CHOOSE(AA$18,CURVES!F227,CURVES!G227)</f>
        <v>58.4678210248529</v>
      </c>
      <c r="AB268" s="9" t="n">
        <f aca="false">(Q268*Z268+R268*AA268)/H268</f>
        <v>58.6542492076097</v>
      </c>
      <c r="AD268" s="9"/>
      <c r="AH268" s="50" t="n">
        <f aca="false">AH256</f>
        <v>1890.97734163897</v>
      </c>
      <c r="AI268" s="50" t="n">
        <f aca="false">AI256</f>
        <v>0</v>
      </c>
      <c r="AJ268" s="50" t="n">
        <f aca="false">AJ256</f>
        <v>765.820605438213</v>
      </c>
      <c r="AK268" s="50" t="n">
        <f aca="false">AK256</f>
        <v>570.922545092046</v>
      </c>
      <c r="AL268" s="50" t="n">
        <f aca="false">SUM(AH268:AK268)</f>
        <v>3227.72049216923</v>
      </c>
      <c r="AM268" s="50" t="n">
        <f aca="false">AM256</f>
        <v>2371.57693150685</v>
      </c>
      <c r="AN268" s="50" t="n">
        <f aca="false">AL268+AM268</f>
        <v>5599.29742367608</v>
      </c>
      <c r="AO268" s="8" t="n">
        <f aca="false">I268-AL268-AM268</f>
        <v>13566.0848890926</v>
      </c>
      <c r="AQ268" s="9" t="n">
        <f aca="false">$AQ$18</f>
        <v>43</v>
      </c>
      <c r="AR268" s="9"/>
      <c r="AS268" s="9" t="n">
        <f aca="false">AS$18</f>
        <v>30</v>
      </c>
      <c r="AT268" s="9" t="n">
        <f aca="false">AT$18</f>
        <v>38</v>
      </c>
      <c r="AU268" s="9" t="n">
        <f aca="false">SUMPRODUCT(AH268:AK268,AQ268:AT268)/AL268</f>
        <v>39.0311679319086</v>
      </c>
      <c r="AV268" s="9" t="n">
        <f aca="false">$Y$18/1000*CURVES!O227+$AV$14</f>
        <v>81.6826192880192</v>
      </c>
      <c r="AW268" s="9" t="n">
        <f aca="false">(AL268*AU268+AM268*AV268)/AN268</f>
        <v>57.0961483174353</v>
      </c>
      <c r="AX268" s="9" t="n">
        <f aca="false">CHOOSE(AX$18,CURVES!B227,CURVES!C227)</f>
        <v>60.7066666666667</v>
      </c>
      <c r="AY268" s="9" t="n">
        <f aca="false">(AN268*AW268+AO268*AX268)/I268</f>
        <v>59.6518290557562</v>
      </c>
    </row>
    <row r="269" customFormat="false" ht="12.75" hidden="false" customHeight="false" outlineLevel="0" collapsed="false">
      <c r="A269" s="85" t="n">
        <v>43739</v>
      </c>
      <c r="B269" s="31" t="n">
        <f aca="false">YEAR(A269)</f>
        <v>2019</v>
      </c>
      <c r="C269" s="31" t="n">
        <f aca="false">MONTH(A269)</f>
        <v>10</v>
      </c>
      <c r="D269" s="86" t="n">
        <v>0.062907314128441</v>
      </c>
      <c r="E269" s="87" t="n">
        <f aca="false">(1+D269/2)^(-2*(DATE($B270,$C270,20)-$E$17)/365.25)</f>
        <v>1.43675559675775</v>
      </c>
      <c r="F269" s="87"/>
      <c r="G269" s="8"/>
      <c r="H269" s="8" t="n">
        <f aca="false">(1+$I$17)*H257</f>
        <v>19327.3789103364</v>
      </c>
      <c r="I269" s="8" t="n">
        <f aca="false">(1+$I$17)*I257</f>
        <v>16589.0208745775</v>
      </c>
      <c r="K269" s="50" t="n">
        <f aca="false">K257</f>
        <v>2069.29166666667</v>
      </c>
      <c r="L269" s="50" t="n">
        <f aca="false">L257</f>
        <v>1227.52419354839</v>
      </c>
      <c r="M269" s="50" t="n">
        <f aca="false">M257</f>
        <v>369.340053763441</v>
      </c>
      <c r="N269" s="50" t="n">
        <f aca="false">N257</f>
        <v>3.27822580645161</v>
      </c>
      <c r="O269" s="50" t="n">
        <f aca="false">SUM(K269:N269)</f>
        <v>3669.43413978495</v>
      </c>
      <c r="P269" s="50" t="n">
        <f aca="false">P257</f>
        <v>3171.07549498463</v>
      </c>
      <c r="Q269" s="50" t="n">
        <f aca="false">O269+P269</f>
        <v>6840.50963476957</v>
      </c>
      <c r="R269" s="8" t="n">
        <f aca="false">H269-O269-P269</f>
        <v>12486.8692755669</v>
      </c>
      <c r="T269" s="9" t="n">
        <f aca="false">$T$18</f>
        <v>48.72</v>
      </c>
      <c r="U269" s="9" t="n">
        <f aca="false">U$18</f>
        <v>23</v>
      </c>
      <c r="V269" s="9" t="n">
        <f aca="false">V$18</f>
        <v>34</v>
      </c>
      <c r="W269" s="9" t="n">
        <f aca="false">W$18</f>
        <v>38</v>
      </c>
      <c r="X269" s="9" t="n">
        <f aca="false">SUMPRODUCT(K269:N269,T269:W269)/O269</f>
        <v>38.624778497461</v>
      </c>
      <c r="Y269" s="9" t="n">
        <f aca="false">$Y$18/1000*CURVES!K228+$Y$14</f>
        <v>85.1443827284946</v>
      </c>
      <c r="Z269" s="9" t="n">
        <f aca="false">(O269*X269+P269*Y269)/Q269</f>
        <v>60.1900104596528</v>
      </c>
      <c r="AA269" s="9" t="n">
        <f aca="false">CHOOSE(AA$18,CURVES!F228,CURVES!G228)</f>
        <v>48.2592721414089</v>
      </c>
      <c r="AB269" s="9" t="n">
        <f aca="false">(Q269*Z269+R269*AA269)/H269</f>
        <v>52.4819000929008</v>
      </c>
      <c r="AD269" s="9"/>
      <c r="AH269" s="50" t="n">
        <f aca="false">AH257</f>
        <v>1913.83994918903</v>
      </c>
      <c r="AI269" s="50" t="n">
        <f aca="false">AI257</f>
        <v>0</v>
      </c>
      <c r="AJ269" s="50" t="n">
        <f aca="false">AJ257</f>
        <v>1075.38011608834</v>
      </c>
      <c r="AK269" s="50" t="n">
        <f aca="false">AK257</f>
        <v>576.385560502926</v>
      </c>
      <c r="AL269" s="50" t="n">
        <f aca="false">SUM(AH269:AK269)</f>
        <v>3565.6056257803</v>
      </c>
      <c r="AM269" s="50" t="n">
        <f aca="false">AM257</f>
        <v>2259.71325</v>
      </c>
      <c r="AN269" s="50" t="n">
        <f aca="false">AL269+AM269</f>
        <v>5825.3188757803</v>
      </c>
      <c r="AO269" s="8" t="n">
        <f aca="false">I269-AL269-AM269</f>
        <v>10763.7019987972</v>
      </c>
      <c r="AQ269" s="9" t="n">
        <f aca="false">$AQ$18</f>
        <v>43</v>
      </c>
      <c r="AR269" s="9"/>
      <c r="AS269" s="9" t="n">
        <f aca="false">AS$18</f>
        <v>30</v>
      </c>
      <c r="AT269" s="9" t="n">
        <f aca="false">AT$18</f>
        <v>38</v>
      </c>
      <c r="AU269" s="9" t="n">
        <f aca="false">SUMPRODUCT(AH269:AK269,AQ269:AT269)/AL269</f>
        <v>38.2709662589303</v>
      </c>
      <c r="AV269" s="9" t="n">
        <f aca="false">$Y$18/1000*CURVES!O228+$AV$14</f>
        <v>81.9976192880192</v>
      </c>
      <c r="AW269" s="9" t="n">
        <f aca="false">(AL269*AU269+AM269*AV269)/AN269</f>
        <v>55.2330758592823</v>
      </c>
      <c r="AX269" s="9" t="n">
        <f aca="false">CHOOSE(AX$18,CURVES!B228,CURVES!C228)</f>
        <v>48.1064516129032</v>
      </c>
      <c r="AY269" s="9" t="n">
        <f aca="false">(AN269*AW269+AO269*AX269)/I269</f>
        <v>50.609001887383</v>
      </c>
    </row>
    <row r="270" customFormat="false" ht="12.75" hidden="false" customHeight="false" outlineLevel="0" collapsed="false">
      <c r="A270" s="85" t="n">
        <v>43770</v>
      </c>
      <c r="B270" s="31" t="n">
        <f aca="false">YEAR(A270)</f>
        <v>2019</v>
      </c>
      <c r="C270" s="31" t="n">
        <f aca="false">MONTH(A270)</f>
        <v>11</v>
      </c>
      <c r="D270" s="86" t="n">
        <v>0.062931819724713</v>
      </c>
      <c r="E270" s="87" t="n">
        <f aca="false">(1+D270/2)^(-2*(DATE($B271,$C271,20)-$E$17)/365.25)</f>
        <v>1.42966083220742</v>
      </c>
      <c r="F270" s="87"/>
      <c r="G270" s="8"/>
      <c r="H270" s="8" t="n">
        <f aca="false">(1+$I$17)*H258</f>
        <v>18905.9943823256</v>
      </c>
      <c r="I270" s="8" t="n">
        <f aca="false">(1+$I$17)*I258</f>
        <v>16840.827622582</v>
      </c>
      <c r="K270" s="50" t="n">
        <f aca="false">K258</f>
        <v>2201.15833333333</v>
      </c>
      <c r="L270" s="50" t="n">
        <f aca="false">L258</f>
        <v>1270.02777777778</v>
      </c>
      <c r="M270" s="50" t="n">
        <f aca="false">M258</f>
        <v>241.311111111111</v>
      </c>
      <c r="N270" s="50" t="n">
        <f aca="false">N258</f>
        <v>3.11944444444444</v>
      </c>
      <c r="O270" s="50" t="n">
        <f aca="false">SUM(K270:N270)</f>
        <v>3715.61666666667</v>
      </c>
      <c r="P270" s="50" t="n">
        <f aca="false">P258</f>
        <v>3029.03315829808</v>
      </c>
      <c r="Q270" s="50" t="n">
        <f aca="false">O270+P270</f>
        <v>6744.64982496475</v>
      </c>
      <c r="R270" s="8" t="n">
        <f aca="false">H270-O270-P270</f>
        <v>12161.3445573609</v>
      </c>
      <c r="T270" s="9" t="n">
        <f aca="false">$T$18</f>
        <v>48.72</v>
      </c>
      <c r="U270" s="9" t="n">
        <f aca="false">U$18</f>
        <v>23</v>
      </c>
      <c r="V270" s="9" t="n">
        <f aca="false">V$18</f>
        <v>34</v>
      </c>
      <c r="W270" s="9" t="n">
        <f aca="false">W$18</f>
        <v>38</v>
      </c>
      <c r="X270" s="9" t="n">
        <f aca="false">SUMPRODUCT(K270:N270,T270:W270)/O270</f>
        <v>38.9637044247179</v>
      </c>
      <c r="Y270" s="9" t="n">
        <f aca="false">$Y$18/1000*CURVES!K229+$Y$14</f>
        <v>85.9056327284946</v>
      </c>
      <c r="Z270" s="9" t="n">
        <f aca="false">(O270*X270+P270*Y270)/Q270</f>
        <v>60.0454004410614</v>
      </c>
      <c r="AA270" s="9" t="n">
        <f aca="false">CHOOSE(AA$18,CURVES!F229,CURVES!G229)</f>
        <v>40.4158985885614</v>
      </c>
      <c r="AB270" s="9" t="n">
        <f aca="false">(Q270*Z270+R270*AA270)/H270</f>
        <v>47.4186572669084</v>
      </c>
      <c r="AD270" s="9"/>
      <c r="AH270" s="50" t="n">
        <f aca="false">AH258</f>
        <v>1838.78743628671</v>
      </c>
      <c r="AI270" s="50" t="n">
        <f aca="false">AI258</f>
        <v>0</v>
      </c>
      <c r="AJ270" s="50" t="n">
        <f aca="false">AJ258</f>
        <v>1347.87918472112</v>
      </c>
      <c r="AK270" s="50" t="n">
        <f aca="false">AK258</f>
        <v>499.439112514422</v>
      </c>
      <c r="AL270" s="50" t="n">
        <f aca="false">SUM(AH270:AK270)</f>
        <v>3686.10573352225</v>
      </c>
      <c r="AM270" s="50" t="n">
        <f aca="false">AM258</f>
        <v>2451.23764109589</v>
      </c>
      <c r="AN270" s="50" t="n">
        <f aca="false">AL270+AM270</f>
        <v>6137.34337461814</v>
      </c>
      <c r="AO270" s="8" t="n">
        <f aca="false">I270-AL270-AM270</f>
        <v>10703.4842479639</v>
      </c>
      <c r="AQ270" s="9" t="n">
        <f aca="false">$AQ$18</f>
        <v>43</v>
      </c>
      <c r="AR270" s="9"/>
      <c r="AS270" s="9" t="n">
        <f aca="false">AS$18</f>
        <v>30</v>
      </c>
      <c r="AT270" s="9" t="n">
        <f aca="false">AT$18</f>
        <v>38</v>
      </c>
      <c r="AU270" s="9" t="n">
        <f aca="false">SUMPRODUCT(AH270:AK270,AQ270:AT270)/AL270</f>
        <v>37.5688956282822</v>
      </c>
      <c r="AV270" s="9" t="n">
        <f aca="false">$Y$18/1000*CURVES!O229+$AV$14</f>
        <v>83.4676192880192</v>
      </c>
      <c r="AW270" s="9" t="n">
        <f aca="false">(AL270*AU270+AM270*AV270)/AN270</f>
        <v>55.9007164578453</v>
      </c>
      <c r="AX270" s="9" t="n">
        <f aca="false">CHOOSE(AX$18,CURVES!B229,CURVES!C229)</f>
        <v>46.1722222222222</v>
      </c>
      <c r="AY270" s="9" t="n">
        <f aca="false">(AN270*AW270+AO270*AX270)/I270</f>
        <v>49.7176008093143</v>
      </c>
    </row>
    <row r="271" customFormat="false" ht="12.75" hidden="false" customHeight="false" outlineLevel="0" collapsed="false">
      <c r="A271" s="85" t="n">
        <v>43800</v>
      </c>
      <c r="B271" s="31" t="n">
        <f aca="false">YEAR(A271)</f>
        <v>2019</v>
      </c>
      <c r="C271" s="31" t="n">
        <f aca="false">MONTH(A271)</f>
        <v>12</v>
      </c>
      <c r="D271" s="86" t="n">
        <v>0.062955534818069</v>
      </c>
      <c r="E271" s="87" t="n">
        <f aca="false">(1+D271/2)^(-2*(DATE($B272,$C272,20)-$E$17)/365.25)</f>
        <v>1.42234794685524</v>
      </c>
      <c r="F271" s="87"/>
      <c r="G271" s="8"/>
      <c r="H271" s="8" t="n">
        <f aca="false">(1+$I$17)*H259</f>
        <v>18769.8614563987</v>
      </c>
      <c r="I271" s="8" t="n">
        <f aca="false">(1+$I$17)*I259</f>
        <v>16802.5681956918</v>
      </c>
      <c r="K271" s="50" t="n">
        <f aca="false">K259</f>
        <v>2256.4126344086</v>
      </c>
      <c r="L271" s="50" t="n">
        <f aca="false">L259</f>
        <v>1157.21505376344</v>
      </c>
      <c r="M271" s="50" t="n">
        <f aca="false">M259</f>
        <v>239.860215053763</v>
      </c>
      <c r="N271" s="50" t="n">
        <f aca="false">N259</f>
        <v>2.96908602150538</v>
      </c>
      <c r="O271" s="50" t="n">
        <f aca="false">SUM(K271:N271)</f>
        <v>3656.45698924731</v>
      </c>
      <c r="P271" s="50" t="n">
        <f aca="false">P259</f>
        <v>2977.59684973097</v>
      </c>
      <c r="Q271" s="50" t="n">
        <f aca="false">O271+P271</f>
        <v>6634.05383897828</v>
      </c>
      <c r="R271" s="8" t="n">
        <f aca="false">H271-O271-P271</f>
        <v>12135.8076174204</v>
      </c>
      <c r="T271" s="9" t="n">
        <f aca="false">$T$18</f>
        <v>48.72</v>
      </c>
      <c r="U271" s="9" t="n">
        <f aca="false">U$18</f>
        <v>23</v>
      </c>
      <c r="V271" s="9" t="n">
        <f aca="false">V$18</f>
        <v>34</v>
      </c>
      <c r="W271" s="9" t="n">
        <f aca="false">W$18</f>
        <v>38</v>
      </c>
      <c r="X271" s="9" t="n">
        <f aca="false">SUMPRODUCT(K271:N271,T271:W271)/O271</f>
        <v>39.6056736867024</v>
      </c>
      <c r="Y271" s="9" t="n">
        <f aca="false">$Y$18/1000*CURVES!K230+$Y$14</f>
        <v>87.2181327284946</v>
      </c>
      <c r="Z271" s="9" t="n">
        <f aca="false">(O271*X271+P271*Y271)/Q271</f>
        <v>60.9758210342886</v>
      </c>
      <c r="AA271" s="9" t="n">
        <f aca="false">CHOOSE(AA$18,CURVES!F230,CURVES!G230)</f>
        <v>39.9198624133729</v>
      </c>
      <c r="AB271" s="9" t="n">
        <f aca="false">(Q271*Z271+R271*AA271)/H271</f>
        <v>47.3619185759576</v>
      </c>
      <c r="AD271" s="9"/>
      <c r="AH271" s="50" t="n">
        <f aca="false">AH259</f>
        <v>1921.09500453605</v>
      </c>
      <c r="AI271" s="50" t="n">
        <f aca="false">AI259</f>
        <v>0</v>
      </c>
      <c r="AJ271" s="50" t="n">
        <f aca="false">AJ259</f>
        <v>1326.47869273451</v>
      </c>
      <c r="AK271" s="50" t="n">
        <f aca="false">AK259</f>
        <v>519.619723134563</v>
      </c>
      <c r="AL271" s="50" t="n">
        <f aca="false">SUM(AH271:AK271)</f>
        <v>3767.19342040512</v>
      </c>
      <c r="AM271" s="50" t="n">
        <f aca="false">AM259</f>
        <v>2024.24791129032</v>
      </c>
      <c r="AN271" s="50" t="n">
        <f aca="false">AL271+AM271</f>
        <v>5791.44133169545</v>
      </c>
      <c r="AO271" s="8" t="n">
        <f aca="false">I271-AL271-AM271</f>
        <v>11011.1268639964</v>
      </c>
      <c r="AQ271" s="9" t="n">
        <f aca="false">$AQ$18</f>
        <v>43</v>
      </c>
      <c r="AR271" s="9"/>
      <c r="AS271" s="9" t="n">
        <f aca="false">AS$18</f>
        <v>30</v>
      </c>
      <c r="AT271" s="9" t="n">
        <f aca="false">AT$18</f>
        <v>38</v>
      </c>
      <c r="AU271" s="9" t="n">
        <f aca="false">SUMPRODUCT(AH271:AK271,AQ271:AT271)/AL271</f>
        <v>37.7328635918334</v>
      </c>
      <c r="AV271" s="9" t="n">
        <f aca="false">$Y$18/1000*CURVES!O230+$AV$14</f>
        <v>84.7801192880192</v>
      </c>
      <c r="AW271" s="9" t="n">
        <f aca="false">(AL271*AU271+AM271*AV271)/AN271</f>
        <v>54.1770099831197</v>
      </c>
      <c r="AX271" s="9" t="n">
        <f aca="false">CHOOSE(AX$18,CURVES!B230,CURVES!C230)</f>
        <v>45.0440860215054</v>
      </c>
      <c r="AY271" s="9" t="n">
        <f aca="false">(AN271*AW271+AO271*AX271)/I271</f>
        <v>48.1919853601366</v>
      </c>
    </row>
    <row r="272" customFormat="false" ht="12.75" hidden="false" customHeight="false" outlineLevel="0" collapsed="false">
      <c r="A272" s="85" t="n">
        <v>43831</v>
      </c>
      <c r="B272" s="31" t="n">
        <f aca="false">YEAR(A272)</f>
        <v>2020</v>
      </c>
      <c r="C272" s="31" t="n">
        <f aca="false">MONTH(A272)</f>
        <v>1</v>
      </c>
      <c r="D272" s="86" t="n">
        <v>0.062980040414733</v>
      </c>
      <c r="E272" s="87" t="n">
        <f aca="false">(1+D272/2)^(-2*(DATE($B273,$C273,20)-$E$17)/365.25)</f>
        <v>1.41507301487987</v>
      </c>
      <c r="F272" s="87"/>
      <c r="G272" s="8"/>
      <c r="H272" s="8" t="n">
        <f aca="false">(1+$I$17)*H260</f>
        <v>19114.7386236948</v>
      </c>
      <c r="I272" s="8" t="n">
        <f aca="false">(1+$I$17)*I260</f>
        <v>18170.9426351352</v>
      </c>
      <c r="K272" s="50" t="n">
        <f aca="false">K260</f>
        <v>2185.91801075269</v>
      </c>
      <c r="L272" s="50" t="n">
        <f aca="false">L260</f>
        <v>1282.33064516129</v>
      </c>
      <c r="M272" s="50" t="n">
        <f aca="false">M260</f>
        <v>142.852150537634</v>
      </c>
      <c r="N272" s="50" t="n">
        <f aca="false">N260</f>
        <v>3.16801075268817</v>
      </c>
      <c r="O272" s="50" t="n">
        <f aca="false">SUM(K272:N272)</f>
        <v>3614.2688172043</v>
      </c>
      <c r="P272" s="50" t="n">
        <f aca="false">P260</f>
        <v>2792.6655547379</v>
      </c>
      <c r="Q272" s="50" t="n">
        <f aca="false">O272+P272</f>
        <v>6406.9343719422</v>
      </c>
      <c r="R272" s="8" t="n">
        <f aca="false">H272-O272-P272</f>
        <v>12707.8042517526</v>
      </c>
      <c r="T272" s="9" t="n">
        <f aca="false">$T$18</f>
        <v>48.72</v>
      </c>
      <c r="U272" s="9" t="n">
        <f aca="false">U$18</f>
        <v>23</v>
      </c>
      <c r="V272" s="9" t="n">
        <f aca="false">V$18</f>
        <v>34</v>
      </c>
      <c r="W272" s="9" t="n">
        <f aca="false">W$18</f>
        <v>38</v>
      </c>
      <c r="X272" s="9" t="n">
        <f aca="false">SUMPRODUCT(K272:N272,T272:W272)/O272</f>
        <v>39.0034319468534</v>
      </c>
      <c r="Y272" s="9" t="n">
        <f aca="false">$Y$18/1000*CURVES!K231+$Y$14</f>
        <v>88.9926327284946</v>
      </c>
      <c r="Z272" s="9" t="n">
        <f aca="false">(O272*X272+P272*Y272)/Q272</f>
        <v>60.7928106149304</v>
      </c>
      <c r="AA272" s="9" t="n">
        <f aca="false">CHOOSE(AA$18,CURVES!F231,CURVES!G231)</f>
        <v>41.6533140163165</v>
      </c>
      <c r="AB272" s="9" t="n">
        <f aca="false">(Q272*Z272+R272*AA272)/H272</f>
        <v>48.0685468391877</v>
      </c>
      <c r="AD272" s="9"/>
      <c r="AH272" s="50" t="n">
        <f aca="false">AH260</f>
        <v>1826.05608785899</v>
      </c>
      <c r="AI272" s="50" t="n">
        <f aca="false">AI260</f>
        <v>0</v>
      </c>
      <c r="AJ272" s="50" t="n">
        <f aca="false">AJ260</f>
        <v>1744.08931864439</v>
      </c>
      <c r="AK272" s="50" t="n">
        <f aca="false">AK260</f>
        <v>538.872892801371</v>
      </c>
      <c r="AL272" s="50" t="n">
        <f aca="false">SUM(AH272:AK272)</f>
        <v>4109.01829930475</v>
      </c>
      <c r="AM272" s="50" t="n">
        <f aca="false">AM260</f>
        <v>2445.3687016129</v>
      </c>
      <c r="AN272" s="50" t="n">
        <f aca="false">AL272+AM272</f>
        <v>6554.38700091765</v>
      </c>
      <c r="AO272" s="8" t="n">
        <f aca="false">I272-AL272-AM272</f>
        <v>11616.5556342176</v>
      </c>
      <c r="AQ272" s="9" t="n">
        <f aca="false">$AQ$18</f>
        <v>43</v>
      </c>
      <c r="AR272" s="9"/>
      <c r="AS272" s="9" t="n">
        <f aca="false">AS$18</f>
        <v>30</v>
      </c>
      <c r="AT272" s="9" t="n">
        <f aca="false">AT$18</f>
        <v>38</v>
      </c>
      <c r="AU272" s="9" t="n">
        <f aca="false">SUMPRODUCT(AH272:AK272,AQ272:AT272)/AL272</f>
        <v>36.8263780400598</v>
      </c>
      <c r="AV272" s="9" t="n">
        <f aca="false">$Y$18/1000*CURVES!O231+$AV$14</f>
        <v>86.5546192880192</v>
      </c>
      <c r="AW272" s="9" t="n">
        <f aca="false">(AL272*AU272+AM272*AV272)/AN272</f>
        <v>55.3794303265651</v>
      </c>
      <c r="AX272" s="9" t="n">
        <f aca="false">CHOOSE(AX$18,CURVES!B231,CURVES!C231)</f>
        <v>48.8881720430108</v>
      </c>
      <c r="AY272" s="9" t="n">
        <f aca="false">(AN272*AW272+AO272*AX272)/I272</f>
        <v>51.229614628992</v>
      </c>
    </row>
    <row r="273" customFormat="false" ht="12.75" hidden="false" customHeight="false" outlineLevel="0" collapsed="false">
      <c r="A273" s="85" t="n">
        <v>43862</v>
      </c>
      <c r="B273" s="31" t="n">
        <f aca="false">YEAR(A273)</f>
        <v>2020</v>
      </c>
      <c r="C273" s="31" t="n">
        <f aca="false">MONTH(A273)</f>
        <v>2</v>
      </c>
      <c r="D273" s="86" t="n">
        <v>0.063004546011597</v>
      </c>
      <c r="E273" s="87" t="n">
        <f aca="false">(1+D273/2)^(-2*(DATE($B274,$C274,20)-$E$17)/365.25)</f>
        <v>1.40830789345599</v>
      </c>
      <c r="F273" s="87"/>
      <c r="G273" s="8"/>
      <c r="H273" s="8" t="n">
        <f aca="false">(1+$I$17)*H261</f>
        <v>19166.1534859501</v>
      </c>
      <c r="I273" s="8" t="n">
        <f aca="false">(1+$I$17)*I261</f>
        <v>18146.7250645612</v>
      </c>
      <c r="K273" s="50" t="n">
        <f aca="false">K261</f>
        <v>2261.87643678161</v>
      </c>
      <c r="L273" s="50" t="n">
        <f aca="false">L261</f>
        <v>1335.97988505747</v>
      </c>
      <c r="M273" s="50" t="n">
        <f aca="false">M261</f>
        <v>236.002873563218</v>
      </c>
      <c r="N273" s="50" t="n">
        <f aca="false">N261</f>
        <v>3.84913793103448</v>
      </c>
      <c r="O273" s="50" t="n">
        <f aca="false">SUM(K273:N273)</f>
        <v>3837.70833333333</v>
      </c>
      <c r="P273" s="50" t="n">
        <f aca="false">P261</f>
        <v>3011.77170136767</v>
      </c>
      <c r="Q273" s="50" t="n">
        <f aca="false">O273+P273</f>
        <v>6849.48003470101</v>
      </c>
      <c r="R273" s="8" t="n">
        <f aca="false">H273-O273-P273</f>
        <v>12316.6734512491</v>
      </c>
      <c r="T273" s="9" t="n">
        <f aca="false">$T$18</f>
        <v>48.72</v>
      </c>
      <c r="U273" s="9" t="n">
        <f aca="false">U$18</f>
        <v>23</v>
      </c>
      <c r="V273" s="9" t="n">
        <f aca="false">V$18</f>
        <v>34</v>
      </c>
      <c r="W273" s="9" t="n">
        <f aca="false">W$18</f>
        <v>38</v>
      </c>
      <c r="X273" s="9" t="n">
        <f aca="false">SUMPRODUCT(K273:N273,T273:W273)/O273</f>
        <v>38.8504048116</v>
      </c>
      <c r="Y273" s="9" t="n">
        <f aca="false">$Y$18/1000*CURVES!K232+$Y$14</f>
        <v>87.9846327284946</v>
      </c>
      <c r="Z273" s="9" t="n">
        <f aca="false">(O273*X273+P273*Y273)/Q273</f>
        <v>60.4551217330228</v>
      </c>
      <c r="AA273" s="9" t="n">
        <f aca="false">CHOOSE(AA$18,CURVES!F232,CURVES!G232)</f>
        <v>41.6418307492466</v>
      </c>
      <c r="AB273" s="9" t="n">
        <f aca="false">(Q273*Z273+R273*AA273)/H273</f>
        <v>48.36520699033</v>
      </c>
      <c r="AD273" s="9"/>
      <c r="AH273" s="50" t="n">
        <f aca="false">AH261</f>
        <v>1925.74685025101</v>
      </c>
      <c r="AI273" s="50" t="n">
        <f aca="false">AI261</f>
        <v>0</v>
      </c>
      <c r="AJ273" s="50" t="n">
        <f aca="false">AJ261</f>
        <v>2201.92738718254</v>
      </c>
      <c r="AK273" s="50" t="n">
        <f aca="false">AK261</f>
        <v>548.475477754164</v>
      </c>
      <c r="AL273" s="50" t="n">
        <f aca="false">SUM(AH273:AK273)</f>
        <v>4676.14971518771</v>
      </c>
      <c r="AM273" s="50" t="n">
        <f aca="false">AM261</f>
        <v>2161.54564434524</v>
      </c>
      <c r="AN273" s="50" t="n">
        <f aca="false">AL273+AM273</f>
        <v>6837.69535953295</v>
      </c>
      <c r="AO273" s="8" t="n">
        <f aca="false">I273-AL273-AM273</f>
        <v>11309.0297050283</v>
      </c>
      <c r="AQ273" s="9" t="n">
        <f aca="false">$AQ$18</f>
        <v>43</v>
      </c>
      <c r="AR273" s="9"/>
      <c r="AS273" s="9" t="n">
        <f aca="false">AS$18</f>
        <v>30</v>
      </c>
      <c r="AT273" s="9" t="n">
        <f aca="false">AT$18</f>
        <v>38</v>
      </c>
      <c r="AU273" s="9" t="n">
        <f aca="false">SUMPRODUCT(AH273:AK273,AQ273:AT273)/AL273</f>
        <v>36.2920382509856</v>
      </c>
      <c r="AV273" s="9" t="n">
        <f aca="false">$Y$18/1000*CURVES!O232+$AV$14</f>
        <v>85.5466192880191</v>
      </c>
      <c r="AW273" s="9" t="n">
        <f aca="false">(AL273*AU273+AM273*AV273)/AN273</f>
        <v>51.8624928422708</v>
      </c>
      <c r="AX273" s="9" t="n">
        <f aca="false">CHOOSE(AX$18,CURVES!B232,CURVES!C232)</f>
        <v>47.633908045977</v>
      </c>
      <c r="AY273" s="9" t="n">
        <f aca="false">(AN273*AW273+AO273*AX273)/I273</f>
        <v>49.2272409771887</v>
      </c>
    </row>
    <row r="274" customFormat="false" ht="12.75" hidden="false" customHeight="false" outlineLevel="0" collapsed="false">
      <c r="A274" s="85" t="n">
        <v>43891</v>
      </c>
      <c r="B274" s="31" t="n">
        <f aca="false">YEAR(A274)</f>
        <v>2020</v>
      </c>
      <c r="C274" s="31" t="n">
        <f aca="false">MONTH(A274)</f>
        <v>3</v>
      </c>
      <c r="D274" s="86" t="n">
        <v>0.063027470602391</v>
      </c>
      <c r="E274" s="87" t="n">
        <f aca="false">(1+D274/2)^(-2*(DATE($B275,$C275,20)-$E$17)/365.25)</f>
        <v>1.40108197936502</v>
      </c>
      <c r="F274" s="87"/>
      <c r="G274" s="8"/>
      <c r="H274" s="8" t="n">
        <f aca="false">(1+$I$17)*H262</f>
        <v>19055.1974905278</v>
      </c>
      <c r="I274" s="8" t="n">
        <f aca="false">(1+$I$17)*I262</f>
        <v>17739.3370032174</v>
      </c>
      <c r="K274" s="50" t="n">
        <f aca="false">K262</f>
        <v>2263.94623655914</v>
      </c>
      <c r="L274" s="50" t="n">
        <f aca="false">L262</f>
        <v>1258.63037634409</v>
      </c>
      <c r="M274" s="50" t="n">
        <f aca="false">M262</f>
        <v>620.646505376344</v>
      </c>
      <c r="N274" s="50" t="n">
        <f aca="false">N262</f>
        <v>2.58198924731183</v>
      </c>
      <c r="O274" s="50" t="n">
        <f aca="false">SUM(K274:N274)</f>
        <v>4145.80510752688</v>
      </c>
      <c r="P274" s="50" t="n">
        <f aca="false">P262</f>
        <v>2834.39732902856</v>
      </c>
      <c r="Q274" s="50" t="n">
        <f aca="false">O274+P274</f>
        <v>6980.20243655544</v>
      </c>
      <c r="R274" s="8" t="n">
        <f aca="false">H274-O274-P274</f>
        <v>12074.9950539723</v>
      </c>
      <c r="T274" s="9" t="n">
        <f aca="false">$T$18</f>
        <v>48.72</v>
      </c>
      <c r="U274" s="9" t="n">
        <f aca="false">U$18</f>
        <v>23</v>
      </c>
      <c r="V274" s="9" t="n">
        <f aca="false">V$18</f>
        <v>34</v>
      </c>
      <c r="W274" s="9" t="n">
        <f aca="false">W$18</f>
        <v>38</v>
      </c>
      <c r="X274" s="9" t="n">
        <f aca="false">SUMPRODUCT(K274:N274,T274:W274)/O274</f>
        <v>38.7013021388701</v>
      </c>
      <c r="Y274" s="9" t="n">
        <f aca="false">$Y$18/1000*CURVES!K233+$Y$14</f>
        <v>86.4096327284946</v>
      </c>
      <c r="Z274" s="9" t="n">
        <f aca="false">(O274*X274+P274*Y274)/Q274</f>
        <v>58.0738584543533</v>
      </c>
      <c r="AA274" s="9" t="n">
        <f aca="false">CHOOSE(AA$18,CURVES!F233,CURVES!G233)</f>
        <v>41.0102972375371</v>
      </c>
      <c r="AB274" s="9" t="n">
        <f aca="false">(Q274*Z274+R274*AA274)/H274</f>
        <v>47.2609336657946</v>
      </c>
      <c r="AD274" s="9"/>
      <c r="AH274" s="50" t="n">
        <f aca="false">AH262</f>
        <v>1891.23873243112</v>
      </c>
      <c r="AI274" s="50" t="n">
        <f aca="false">AI262</f>
        <v>0</v>
      </c>
      <c r="AJ274" s="50" t="n">
        <f aca="false">AJ262</f>
        <v>1966.55049263563</v>
      </c>
      <c r="AK274" s="50" t="n">
        <f aca="false">AK262</f>
        <v>526.073305014923</v>
      </c>
      <c r="AL274" s="50" t="n">
        <f aca="false">SUM(AH274:AK274)</f>
        <v>4383.86253008167</v>
      </c>
      <c r="AM274" s="50" t="n">
        <f aca="false">AM262</f>
        <v>2044.22227284946</v>
      </c>
      <c r="AN274" s="50" t="n">
        <f aca="false">AL274+AM274</f>
        <v>6428.08480293113</v>
      </c>
      <c r="AO274" s="8" t="n">
        <f aca="false">I274-AL274-AM274</f>
        <v>11311.2522002862</v>
      </c>
      <c r="AQ274" s="9" t="n">
        <f aca="false">$AQ$18</f>
        <v>43</v>
      </c>
      <c r="AR274" s="9"/>
      <c r="AS274" s="9" t="n">
        <f aca="false">AS$18</f>
        <v>30</v>
      </c>
      <c r="AT274" s="9" t="n">
        <f aca="false">AT$18</f>
        <v>38</v>
      </c>
      <c r="AU274" s="9" t="n">
        <f aca="false">SUMPRODUCT(AH274:AK274,AQ274:AT274)/AL274</f>
        <v>36.5683377989472</v>
      </c>
      <c r="AV274" s="9" t="n">
        <f aca="false">$Y$18/1000*CURVES!O233+$AV$14</f>
        <v>83.9716192880192</v>
      </c>
      <c r="AW274" s="9" t="n">
        <f aca="false">(AL274*AU274+AM274*AV274)/AN274</f>
        <v>51.6432546360628</v>
      </c>
      <c r="AX274" s="9" t="n">
        <f aca="false">CHOOSE(AX$18,CURVES!B233,CURVES!C233)</f>
        <v>45.3586021505376</v>
      </c>
      <c r="AY274" s="9" t="n">
        <f aca="false">(AN274*AW274+AO274*AX274)/I274</f>
        <v>47.6359296023235</v>
      </c>
    </row>
    <row r="275" customFormat="false" ht="12.75" hidden="false" customHeight="false" outlineLevel="0" collapsed="false">
      <c r="A275" s="85" t="n">
        <v>43922</v>
      </c>
      <c r="B275" s="31" t="n">
        <f aca="false">YEAR(A275)</f>
        <v>2020</v>
      </c>
      <c r="C275" s="31" t="n">
        <f aca="false">MONTH(A275)</f>
        <v>4</v>
      </c>
      <c r="D275" s="86" t="n">
        <v>0.06305197619964</v>
      </c>
      <c r="E275" s="87" t="n">
        <f aca="false">(1+D275/2)^(-2*(DATE($B276,$C276,20)-$E$17)/365.25)</f>
        <v>1.39413623936489</v>
      </c>
      <c r="F275" s="87"/>
      <c r="G275" s="8"/>
      <c r="H275" s="8" t="n">
        <f aca="false">(1+$I$17)*H263</f>
        <v>19139.7513610291</v>
      </c>
      <c r="I275" s="8" t="n">
        <f aca="false">(1+$I$17)*I263</f>
        <v>17329.5015857464</v>
      </c>
      <c r="K275" s="50" t="n">
        <f aca="false">K263</f>
        <v>2319.84027777778</v>
      </c>
      <c r="L275" s="50" t="n">
        <f aca="false">L263</f>
        <v>1179.16597222222</v>
      </c>
      <c r="M275" s="50" t="n">
        <f aca="false">M263</f>
        <v>811.586111111111</v>
      </c>
      <c r="N275" s="50" t="n">
        <f aca="false">N263</f>
        <v>3.04166666666667</v>
      </c>
      <c r="O275" s="50" t="n">
        <f aca="false">SUM(K275:N275)</f>
        <v>4313.63402777778</v>
      </c>
      <c r="P275" s="50" t="n">
        <f aca="false">P263</f>
        <v>2923.39459068154</v>
      </c>
      <c r="Q275" s="50" t="n">
        <f aca="false">O275+P275</f>
        <v>7237.02861845932</v>
      </c>
      <c r="R275" s="8" t="n">
        <f aca="false">H275-O275-P275</f>
        <v>11902.7227425698</v>
      </c>
      <c r="T275" s="9" t="n">
        <f aca="false">$T$18</f>
        <v>48.72</v>
      </c>
      <c r="U275" s="9" t="n">
        <f aca="false">U$18</f>
        <v>23</v>
      </c>
      <c r="V275" s="9" t="n">
        <f aca="false">V$18</f>
        <v>34</v>
      </c>
      <c r="W275" s="9" t="n">
        <f aca="false">W$18</f>
        <v>38</v>
      </c>
      <c r="X275" s="9" t="n">
        <f aca="false">SUMPRODUCT(K275:N275,T275:W275)/O275</f>
        <v>38.9121899828918</v>
      </c>
      <c r="Y275" s="9" t="n">
        <f aca="false">$Y$18/1000*CURVES!K234+$Y$14</f>
        <v>85.1968827284946</v>
      </c>
      <c r="Z275" s="9" t="n">
        <f aca="false">(O275*X275+P275*Y275)/Q275</f>
        <v>57.6088716650292</v>
      </c>
      <c r="AA275" s="9" t="n">
        <f aca="false">CHOOSE(AA$18,CURVES!F234,CURVES!G234)</f>
        <v>40.1458704225663</v>
      </c>
      <c r="AB275" s="9" t="n">
        <f aca="false">(Q275*Z275+R275*AA275)/H275</f>
        <v>46.748894535681</v>
      </c>
      <c r="AD275" s="9"/>
      <c r="AH275" s="50" t="n">
        <f aca="false">AH263</f>
        <v>1937.93108490741</v>
      </c>
      <c r="AI275" s="50" t="n">
        <f aca="false">AI263</f>
        <v>0</v>
      </c>
      <c r="AJ275" s="50" t="n">
        <f aca="false">AJ263</f>
        <v>2070.95002093926</v>
      </c>
      <c r="AK275" s="50" t="n">
        <f aca="false">AK263</f>
        <v>513.919329218532</v>
      </c>
      <c r="AL275" s="50" t="n">
        <f aca="false">SUM(AH275:AK275)</f>
        <v>4522.8004350652</v>
      </c>
      <c r="AM275" s="50" t="n">
        <f aca="false">AM263</f>
        <v>2152.99685890411</v>
      </c>
      <c r="AN275" s="50" t="n">
        <f aca="false">AL275+AM275</f>
        <v>6675.79729396931</v>
      </c>
      <c r="AO275" s="8" t="n">
        <f aca="false">I275-AL275-AM275</f>
        <v>10653.7042917771</v>
      </c>
      <c r="AQ275" s="9" t="n">
        <f aca="false">$AQ$18</f>
        <v>43</v>
      </c>
      <c r="AR275" s="9"/>
      <c r="AS275" s="9" t="n">
        <f aca="false">AS$18</f>
        <v>30</v>
      </c>
      <c r="AT275" s="9" t="n">
        <f aca="false">AT$18</f>
        <v>38</v>
      </c>
      <c r="AU275" s="9" t="n">
        <f aca="false">SUMPRODUCT(AH275:AK275,AQ275:AT275)/AL275</f>
        <v>36.4792729987261</v>
      </c>
      <c r="AV275" s="9" t="n">
        <f aca="false">$Y$18/1000*CURVES!O234+$AV$14</f>
        <v>82.0501192880192</v>
      </c>
      <c r="AW275" s="9" t="n">
        <f aca="false">(AL275*AU275+AM275*AV275)/AN275</f>
        <v>51.1762274744234</v>
      </c>
      <c r="AX275" s="9" t="n">
        <f aca="false">CHOOSE(AX$18,CURVES!B234,CURVES!C234)</f>
        <v>43.72</v>
      </c>
      <c r="AY275" s="9" t="n">
        <f aca="false">(AN275*AW275+AO275*AX275)/I275</f>
        <v>46.5923424589381</v>
      </c>
    </row>
    <row r="276" customFormat="false" ht="12.75" hidden="false" customHeight="false" outlineLevel="0" collapsed="false">
      <c r="A276" s="85" t="n">
        <v>43952</v>
      </c>
      <c r="B276" s="31" t="n">
        <f aca="false">YEAR(A276)</f>
        <v>2020</v>
      </c>
      <c r="C276" s="31" t="n">
        <f aca="false">MONTH(A276)</f>
        <v>5</v>
      </c>
      <c r="D276" s="86" t="n">
        <v>0.063075691293941</v>
      </c>
      <c r="E276" s="87" t="n">
        <f aca="false">(1+D276/2)^(-2*(DATE($B277,$C277,20)-$E$17)/365.25)</f>
        <v>1.38697807327034</v>
      </c>
      <c r="F276" s="87"/>
      <c r="G276" s="8"/>
      <c r="H276" s="8" t="n">
        <f aca="false">(1+$I$17)*H264</f>
        <v>20224.9528356217</v>
      </c>
      <c r="I276" s="8" t="n">
        <f aca="false">(1+$I$17)*I264</f>
        <v>18876.4756804305</v>
      </c>
      <c r="K276" s="50" t="n">
        <f aca="false">K264</f>
        <v>2226.06720430108</v>
      </c>
      <c r="L276" s="50" t="n">
        <f aca="false">L264</f>
        <v>1023.62634408602</v>
      </c>
      <c r="M276" s="50" t="n">
        <f aca="false">M264</f>
        <v>950.165322580645</v>
      </c>
      <c r="N276" s="50" t="n">
        <f aca="false">N264</f>
        <v>3.30510752688172</v>
      </c>
      <c r="O276" s="50" t="n">
        <f aca="false">SUM(K276:N276)</f>
        <v>4203.16397849462</v>
      </c>
      <c r="P276" s="50" t="n">
        <f aca="false">P264</f>
        <v>2831.51050210493</v>
      </c>
      <c r="Q276" s="50" t="n">
        <f aca="false">O276+P276</f>
        <v>7034.67448059955</v>
      </c>
      <c r="R276" s="8" t="n">
        <f aca="false">H276-O276-P276</f>
        <v>13190.2783550221</v>
      </c>
      <c r="T276" s="9" t="n">
        <f aca="false">$T$18</f>
        <v>48.72</v>
      </c>
      <c r="U276" s="9" t="n">
        <f aca="false">U$18</f>
        <v>23</v>
      </c>
      <c r="V276" s="9" t="n">
        <f aca="false">V$18</f>
        <v>34</v>
      </c>
      <c r="W276" s="9" t="n">
        <f aca="false">W$18</f>
        <v>38</v>
      </c>
      <c r="X276" s="9" t="n">
        <f aca="false">SUMPRODUCT(K276:N276,T276:W276)/O276</f>
        <v>39.1201999261949</v>
      </c>
      <c r="Y276" s="9" t="n">
        <f aca="false">$Y$18/1000*CURVES!K235+$Y$14</f>
        <v>84.9343827284946</v>
      </c>
      <c r="Z276" s="9" t="n">
        <f aca="false">(O276*X276+P276*Y276)/Q276</f>
        <v>57.5607603398746</v>
      </c>
      <c r="AA276" s="9" t="n">
        <f aca="false">CHOOSE(AA$18,CURVES!F235,CURVES!G235)</f>
        <v>39.4014652943917</v>
      </c>
      <c r="AB276" s="9" t="n">
        <f aca="false">(Q276*Z276+R276*AA276)/H276</f>
        <v>45.7176594769137</v>
      </c>
      <c r="AD276" s="9"/>
      <c r="AH276" s="50" t="n">
        <f aca="false">AH264</f>
        <v>1895.25910320262</v>
      </c>
      <c r="AI276" s="50" t="n">
        <f aca="false">AI264</f>
        <v>0</v>
      </c>
      <c r="AJ276" s="50" t="n">
        <f aca="false">AJ264</f>
        <v>1877.63033247346</v>
      </c>
      <c r="AK276" s="50" t="n">
        <f aca="false">AK264</f>
        <v>570.53181663935</v>
      </c>
      <c r="AL276" s="50" t="n">
        <f aca="false">SUM(AH276:AK276)</f>
        <v>4343.42125231544</v>
      </c>
      <c r="AM276" s="50" t="n">
        <f aca="false">AM264</f>
        <v>2186.84183198925</v>
      </c>
      <c r="AN276" s="50" t="n">
        <f aca="false">AL276+AM276</f>
        <v>6530.26308430469</v>
      </c>
      <c r="AO276" s="8" t="n">
        <f aca="false">I276-AL276-AM276</f>
        <v>12346.2125961258</v>
      </c>
      <c r="AQ276" s="9" t="n">
        <f aca="false">$AQ$18</f>
        <v>43</v>
      </c>
      <c r="AR276" s="9"/>
      <c r="AS276" s="9" t="n">
        <f aca="false">AS$18</f>
        <v>30</v>
      </c>
      <c r="AT276" s="9" t="n">
        <f aca="false">AT$18</f>
        <v>38</v>
      </c>
      <c r="AU276" s="9" t="n">
        <f aca="false">SUMPRODUCT(AH276:AK276,AQ276:AT276)/AL276</f>
        <v>36.7234148332219</v>
      </c>
      <c r="AV276" s="9" t="n">
        <f aca="false">$Y$18/1000*CURVES!O235+$AV$14</f>
        <v>81.7876192880192</v>
      </c>
      <c r="AW276" s="9" t="n">
        <f aca="false">(AL276*AU276+AM276*AV276)/AN276</f>
        <v>51.814428189778</v>
      </c>
      <c r="AX276" s="9" t="n">
        <f aca="false">CHOOSE(AX$18,CURVES!B235,CURVES!C235)</f>
        <v>43.1704301075269</v>
      </c>
      <c r="AY276" s="9" t="n">
        <f aca="false">(AN276*AW276+AO276*AX276)/I276</f>
        <v>46.1607966639199</v>
      </c>
    </row>
    <row r="277" customFormat="false" ht="12.75" hidden="false" customHeight="false" outlineLevel="0" collapsed="false">
      <c r="A277" s="85" t="n">
        <v>43983</v>
      </c>
      <c r="B277" s="31" t="n">
        <f aca="false">YEAR(A277)</f>
        <v>2020</v>
      </c>
      <c r="C277" s="31" t="n">
        <f aca="false">MONTH(A277)</f>
        <v>6</v>
      </c>
      <c r="D277" s="86" t="n">
        <v>0.063100196891582</v>
      </c>
      <c r="E277" s="87" t="n">
        <f aca="false">(1+D277/2)^(-2*(DATE($B278,$C278,20)-$E$17)/365.25)</f>
        <v>1.38009147350091</v>
      </c>
      <c r="F277" s="87"/>
      <c r="G277" s="8"/>
      <c r="H277" s="8" t="n">
        <f aca="false">(1+$I$17)*H265</f>
        <v>22351.0400578771</v>
      </c>
      <c r="I277" s="8" t="n">
        <f aca="false">(1+$I$17)*I265</f>
        <v>21285.6109888312</v>
      </c>
      <c r="K277" s="50" t="n">
        <f aca="false">K265</f>
        <v>2252.13333333333</v>
      </c>
      <c r="L277" s="50" t="n">
        <f aca="false">L265</f>
        <v>1398.39166666667</v>
      </c>
      <c r="M277" s="50" t="n">
        <f aca="false">M265</f>
        <v>957.040277777778</v>
      </c>
      <c r="N277" s="50" t="n">
        <f aca="false">N265</f>
        <v>3.52638888888889</v>
      </c>
      <c r="O277" s="50" t="n">
        <f aca="false">SUM(K277:N277)</f>
        <v>4611.09166666667</v>
      </c>
      <c r="P277" s="50" t="n">
        <f aca="false">P265</f>
        <v>3175.74117813466</v>
      </c>
      <c r="Q277" s="50" t="n">
        <f aca="false">O277+P277</f>
        <v>7786.83284480132</v>
      </c>
      <c r="R277" s="8" t="n">
        <f aca="false">H277-O277-P277</f>
        <v>14564.2072130758</v>
      </c>
      <c r="T277" s="9" t="n">
        <f aca="false">$T$18</f>
        <v>48.72</v>
      </c>
      <c r="U277" s="9" t="n">
        <f aca="false">U$18</f>
        <v>23</v>
      </c>
      <c r="V277" s="9" t="n">
        <f aca="false">V$18</f>
        <v>34</v>
      </c>
      <c r="W277" s="9" t="n">
        <f aca="false">W$18</f>
        <v>38</v>
      </c>
      <c r="X277" s="9" t="n">
        <f aca="false">SUMPRODUCT(K277:N277,T277:W277)/O277</f>
        <v>37.8566138290945</v>
      </c>
      <c r="Y277" s="9" t="n">
        <f aca="false">$Y$18/1000*CURVES!K236+$Y$14</f>
        <v>85.2388827284946</v>
      </c>
      <c r="Z277" s="9" t="n">
        <f aca="false">(O277*X277+P277*Y277)/Q277</f>
        <v>57.1807505424868</v>
      </c>
      <c r="AA277" s="9" t="n">
        <f aca="false">CHOOSE(AA$18,CURVES!F236,CURVES!G236)</f>
        <v>50.8585389043355</v>
      </c>
      <c r="AB277" s="9" t="n">
        <f aca="false">(Q277*Z277+R277*AA277)/H277</f>
        <v>53.061121205126</v>
      </c>
      <c r="AD277" s="9"/>
      <c r="AH277" s="50" t="n">
        <f aca="false">AH265</f>
        <v>1881.37055634004</v>
      </c>
      <c r="AI277" s="50" t="n">
        <f aca="false">AI265</f>
        <v>0</v>
      </c>
      <c r="AJ277" s="50" t="n">
        <f aca="false">AJ265</f>
        <v>1162.16168617347</v>
      </c>
      <c r="AK277" s="50" t="n">
        <f aca="false">AK265</f>
        <v>631.240712103584</v>
      </c>
      <c r="AL277" s="50" t="n">
        <f aca="false">SUM(AH277:AK277)</f>
        <v>3674.77295461709</v>
      </c>
      <c r="AM277" s="50" t="n">
        <f aca="false">AM265</f>
        <v>2754.04614109589</v>
      </c>
      <c r="AN277" s="50" t="n">
        <f aca="false">AL277+AM277</f>
        <v>6428.81909571298</v>
      </c>
      <c r="AO277" s="8" t="n">
        <f aca="false">I277-AL277-AM277</f>
        <v>14856.7918931182</v>
      </c>
      <c r="AQ277" s="9" t="n">
        <f aca="false">$AQ$18</f>
        <v>43</v>
      </c>
      <c r="AR277" s="9"/>
      <c r="AS277" s="9" t="n">
        <f aca="false">AS$18</f>
        <v>30</v>
      </c>
      <c r="AT277" s="9" t="n">
        <f aca="false">AT$18</f>
        <v>38</v>
      </c>
      <c r="AU277" s="9" t="n">
        <f aca="false">SUMPRODUCT(AH277:AK277,AQ277:AT277)/AL277</f>
        <v>38.0298138942638</v>
      </c>
      <c r="AV277" s="9" t="n">
        <f aca="false">$Y$18/1000*CURVES!O236+$AV$14</f>
        <v>82.0921192880192</v>
      </c>
      <c r="AW277" s="9" t="n">
        <f aca="false">(AL277*AU277+AM277*AV277)/AN277</f>
        <v>56.9056945701381</v>
      </c>
      <c r="AX277" s="9" t="n">
        <f aca="false">CHOOSE(AX$18,CURVES!B236,CURVES!C236)</f>
        <v>48.9311111111111</v>
      </c>
      <c r="AY277" s="9" t="n">
        <f aca="false">(AN277*AW277+AO277*AX277)/I277</f>
        <v>51.3396468326673</v>
      </c>
    </row>
    <row r="278" customFormat="false" ht="12.75" hidden="false" customHeight="false" outlineLevel="0" collapsed="false">
      <c r="A278" s="85" t="n">
        <v>44013</v>
      </c>
      <c r="B278" s="31" t="n">
        <f aca="false">YEAR(A278)</f>
        <v>2020</v>
      </c>
      <c r="C278" s="31" t="n">
        <f aca="false">MONTH(A278)</f>
        <v>7</v>
      </c>
      <c r="D278" s="86" t="n">
        <v>0.063123911986263</v>
      </c>
      <c r="E278" s="87" t="n">
        <f aca="false">(1+D278/2)^(-2*(DATE($B279,$C279,20)-$E$17)/365.25)</f>
        <v>1.37299469709785</v>
      </c>
      <c r="F278" s="87"/>
      <c r="G278" s="8"/>
      <c r="H278" s="8" t="n">
        <f aca="false">(1+$I$17)*H266</f>
        <v>22060.3123815683</v>
      </c>
      <c r="I278" s="8" t="n">
        <f aca="false">(1+$I$17)*I266</f>
        <v>20206.2332440401</v>
      </c>
      <c r="K278" s="50" t="n">
        <f aca="false">K266</f>
        <v>2248.45698924731</v>
      </c>
      <c r="L278" s="50" t="n">
        <f aca="false">L266</f>
        <v>1358.32258064516</v>
      </c>
      <c r="M278" s="50" t="n">
        <f aca="false">M266</f>
        <v>653.551075268817</v>
      </c>
      <c r="N278" s="50" t="n">
        <f aca="false">N266</f>
        <v>3.83736559139785</v>
      </c>
      <c r="O278" s="50" t="n">
        <f aca="false">SUM(K278:N278)</f>
        <v>4264.16801075269</v>
      </c>
      <c r="P278" s="50" t="n">
        <f aca="false">P266</f>
        <v>3349.38956238808</v>
      </c>
      <c r="Q278" s="50" t="n">
        <f aca="false">O278+P278</f>
        <v>7613.55757314076</v>
      </c>
      <c r="R278" s="8" t="n">
        <f aca="false">H278-O278-P278</f>
        <v>14446.7548084276</v>
      </c>
      <c r="T278" s="9" t="n">
        <f aca="false">$T$18</f>
        <v>48.72</v>
      </c>
      <c r="U278" s="9" t="n">
        <f aca="false">U$18</f>
        <v>23</v>
      </c>
      <c r="V278" s="9" t="n">
        <f aca="false">V$18</f>
        <v>34</v>
      </c>
      <c r="W278" s="9" t="n">
        <f aca="false">W$18</f>
        <v>38</v>
      </c>
      <c r="X278" s="9" t="n">
        <f aca="false">SUMPRODUCT(K278:N278,T278:W278)/O278</f>
        <v>38.2613442789234</v>
      </c>
      <c r="Y278" s="9" t="n">
        <f aca="false">$Y$18/1000*CURVES!K237+$Y$14</f>
        <v>85.5538827284946</v>
      </c>
      <c r="Z278" s="9" t="n">
        <f aca="false">(O278*X278+P278*Y278)/Q278</f>
        <v>59.0664847326636</v>
      </c>
      <c r="AA278" s="9" t="n">
        <f aca="false">CHOOSE(AA$18,CURVES!F237,CURVES!G237)</f>
        <v>61.6165961616808</v>
      </c>
      <c r="AB278" s="9" t="n">
        <f aca="false">(Q278*Z278+R278*AA278)/H278</f>
        <v>60.7364898491805</v>
      </c>
      <c r="AD278" s="9"/>
      <c r="AH278" s="50" t="n">
        <f aca="false">AH266</f>
        <v>1914.32162011861</v>
      </c>
      <c r="AI278" s="50" t="n">
        <f aca="false">AI266</f>
        <v>0</v>
      </c>
      <c r="AJ278" s="50" t="n">
        <f aca="false">AJ266</f>
        <v>1193.33197430598</v>
      </c>
      <c r="AK278" s="50" t="n">
        <f aca="false">AK266</f>
        <v>610.723058442111</v>
      </c>
      <c r="AL278" s="50" t="n">
        <f aca="false">SUM(AH278:AK278)</f>
        <v>3718.37665286669</v>
      </c>
      <c r="AM278" s="50" t="n">
        <f aca="false">AM266</f>
        <v>2586.73186021505</v>
      </c>
      <c r="AN278" s="50" t="n">
        <f aca="false">AL278+AM278</f>
        <v>6305.10851308175</v>
      </c>
      <c r="AO278" s="8" t="n">
        <f aca="false">I278-AL278-AM278</f>
        <v>13901.1247309583</v>
      </c>
      <c r="AQ278" s="9" t="n">
        <f aca="false">$AQ$18</f>
        <v>43</v>
      </c>
      <c r="AR278" s="9"/>
      <c r="AS278" s="9" t="n">
        <f aca="false">AS$18</f>
        <v>30</v>
      </c>
      <c r="AT278" s="9" t="n">
        <f aca="false">AT$18</f>
        <v>38</v>
      </c>
      <c r="AU278" s="9" t="n">
        <f aca="false">SUMPRODUCT(AH278:AK278,AQ278:AT278)/AL278</f>
        <v>38.0067105375476</v>
      </c>
      <c r="AV278" s="9" t="n">
        <f aca="false">$Y$18/1000*CURVES!O237+$AV$14</f>
        <v>82.4071192880192</v>
      </c>
      <c r="AW278" s="9" t="n">
        <f aca="false">(AL278*AU278+AM278*AV278)/AN278</f>
        <v>56.2224084407832</v>
      </c>
      <c r="AX278" s="9" t="n">
        <f aca="false">CHOOSE(AX$18,CURVES!B237,CURVES!C237)</f>
        <v>60.8698924731183</v>
      </c>
      <c r="AY278" s="9" t="n">
        <f aca="false">(AN278*AW278+AO278*AX278)/I278</f>
        <v>59.4197017927088</v>
      </c>
    </row>
    <row r="279" customFormat="false" ht="12.75" hidden="false" customHeight="false" outlineLevel="0" collapsed="false">
      <c r="A279" s="85" t="n">
        <v>44044</v>
      </c>
      <c r="B279" s="31" t="n">
        <f aca="false">YEAR(A279)</f>
        <v>2020</v>
      </c>
      <c r="C279" s="31" t="n">
        <f aca="false">MONTH(A279)</f>
        <v>8</v>
      </c>
      <c r="D279" s="86" t="n">
        <v>0.063148417584296</v>
      </c>
      <c r="E279" s="87" t="n">
        <f aca="false">(1+D279/2)^(-2*(DATE($B280,$C280,20)-$E$17)/365.25)</f>
        <v>1.36593433195458</v>
      </c>
      <c r="F279" s="87"/>
      <c r="G279" s="8"/>
      <c r="H279" s="8" t="n">
        <f aca="false">(1+$I$17)*H267</f>
        <v>23656.8576005936</v>
      </c>
      <c r="I279" s="8" t="n">
        <f aca="false">(1+$I$17)*I267</f>
        <v>20957.2073588241</v>
      </c>
      <c r="K279" s="50" t="n">
        <f aca="false">K267</f>
        <v>2226.06586021505</v>
      </c>
      <c r="L279" s="50" t="n">
        <f aca="false">L267</f>
        <v>1361.98924731183</v>
      </c>
      <c r="M279" s="50" t="n">
        <f aca="false">M267</f>
        <v>483.364247311828</v>
      </c>
      <c r="N279" s="50" t="n">
        <f aca="false">N267</f>
        <v>3.9247311827957</v>
      </c>
      <c r="O279" s="50" t="n">
        <f aca="false">SUM(K279:N279)</f>
        <v>4075.34408602151</v>
      </c>
      <c r="P279" s="50" t="n">
        <f aca="false">P267</f>
        <v>3426.25292884001</v>
      </c>
      <c r="Q279" s="50" t="n">
        <f aca="false">O279+P279</f>
        <v>7501.59701486152</v>
      </c>
      <c r="R279" s="8" t="n">
        <f aca="false">H279-O279-P279</f>
        <v>16155.2605857321</v>
      </c>
      <c r="T279" s="9" t="n">
        <f aca="false">$T$18</f>
        <v>48.72</v>
      </c>
      <c r="U279" s="9" t="n">
        <f aca="false">U$18</f>
        <v>23</v>
      </c>
      <c r="V279" s="9" t="n">
        <f aca="false">V$18</f>
        <v>34</v>
      </c>
      <c r="W279" s="9" t="n">
        <f aca="false">W$18</f>
        <v>38</v>
      </c>
      <c r="X279" s="9" t="n">
        <f aca="false">SUMPRODUCT(K279:N279,T279:W279)/O279</f>
        <v>38.3680990588564</v>
      </c>
      <c r="Y279" s="9" t="n">
        <f aca="false">$Y$18/1000*CURVES!K238+$Y$14</f>
        <v>85.7638827284946</v>
      </c>
      <c r="Z279" s="9" t="n">
        <f aca="false">(O279*X279+P279*Y279)/Q279</f>
        <v>60.0154819149406</v>
      </c>
      <c r="AA279" s="9" t="n">
        <f aca="false">CHOOSE(AA$18,CURVES!F238,CURVES!G238)</f>
        <v>64.7357526713433</v>
      </c>
      <c r="AB279" s="9" t="n">
        <f aca="false">(Q279*Z279+R279*AA279)/H279</f>
        <v>63.2389533240505</v>
      </c>
      <c r="AD279" s="9"/>
      <c r="AH279" s="50" t="n">
        <f aca="false">AH267</f>
        <v>1859.59450264151</v>
      </c>
      <c r="AI279" s="50" t="n">
        <f aca="false">AI267</f>
        <v>0</v>
      </c>
      <c r="AJ279" s="50" t="n">
        <f aca="false">AJ267</f>
        <v>1584.50880376937</v>
      </c>
      <c r="AK279" s="50" t="n">
        <f aca="false">AK267</f>
        <v>621.501656862376</v>
      </c>
      <c r="AL279" s="50" t="n">
        <f aca="false">SUM(AH279:AK279)</f>
        <v>4065.60496327325</v>
      </c>
      <c r="AM279" s="50" t="n">
        <f aca="false">AM267</f>
        <v>2208.28901612903</v>
      </c>
      <c r="AN279" s="50" t="n">
        <f aca="false">AL279+AM279</f>
        <v>6273.89397940229</v>
      </c>
      <c r="AO279" s="8" t="n">
        <f aca="false">I279-AL279-AM279</f>
        <v>14683.3133794218</v>
      </c>
      <c r="AQ279" s="9" t="n">
        <f aca="false">$AQ$18</f>
        <v>43</v>
      </c>
      <c r="AR279" s="9"/>
      <c r="AS279" s="9" t="n">
        <f aca="false">AS$18</f>
        <v>30</v>
      </c>
      <c r="AT279" s="9" t="n">
        <f aca="false">AT$18</f>
        <v>38</v>
      </c>
      <c r="AU279" s="9" t="n">
        <f aca="false">SUMPRODUCT(AH279:AK279,AQ279:AT279)/AL279</f>
        <v>37.1691032583186</v>
      </c>
      <c r="AV279" s="9" t="n">
        <f aca="false">$Y$18/1000*CURVES!O238+$AV$14</f>
        <v>82.6171192880192</v>
      </c>
      <c r="AW279" s="9" t="n">
        <f aca="false">(AL279*AU279+AM279*AV279)/AN279</f>
        <v>53.1659235636572</v>
      </c>
      <c r="AX279" s="9" t="n">
        <f aca="false">CHOOSE(AX$18,CURVES!B238,CURVES!C238)</f>
        <v>69.4102150537634</v>
      </c>
      <c r="AY279" s="9" t="n">
        <f aca="false">(AN279*AW279+AO279*AX279)/I279</f>
        <v>64.547212038406</v>
      </c>
    </row>
    <row r="280" customFormat="false" ht="12.75" hidden="false" customHeight="false" outlineLevel="0" collapsed="false">
      <c r="A280" s="85" t="n">
        <v>44075</v>
      </c>
      <c r="B280" s="31" t="n">
        <f aca="false">YEAR(A280)</f>
        <v>2020</v>
      </c>
      <c r="C280" s="31" t="n">
        <f aca="false">MONTH(A280)</f>
        <v>9</v>
      </c>
      <c r="D280" s="86" t="n">
        <v>0.063172923182529</v>
      </c>
      <c r="E280" s="87" t="n">
        <f aca="false">(1+D280/2)^(-2*(DATE($B281,$C281,20)-$E$17)/365.25)</f>
        <v>1.35913620941572</v>
      </c>
      <c r="F280" s="87"/>
      <c r="G280" s="8"/>
      <c r="H280" s="8" t="n">
        <f aca="false">(1+$I$17)*H268</f>
        <v>21428.6572093337</v>
      </c>
      <c r="I280" s="8" t="n">
        <f aca="false">(1+$I$17)*I268</f>
        <v>19740.3437821518</v>
      </c>
      <c r="K280" s="50" t="n">
        <f aca="false">K268</f>
        <v>2263.63333333333</v>
      </c>
      <c r="L280" s="50" t="n">
        <f aca="false">L268</f>
        <v>1380.73611111111</v>
      </c>
      <c r="M280" s="50" t="n">
        <f aca="false">M268</f>
        <v>542.602777777778</v>
      </c>
      <c r="N280" s="50" t="n">
        <f aca="false">N268</f>
        <v>3.41944444444444</v>
      </c>
      <c r="O280" s="50" t="n">
        <f aca="false">SUM(K280:N280)</f>
        <v>4190.39166666667</v>
      </c>
      <c r="P280" s="50" t="n">
        <f aca="false">P268</f>
        <v>3348.13393235473</v>
      </c>
      <c r="Q280" s="50" t="n">
        <f aca="false">O280+P280</f>
        <v>7538.52559902139</v>
      </c>
      <c r="R280" s="8" t="n">
        <f aca="false">H280-O280-P280</f>
        <v>13890.1316103123</v>
      </c>
      <c r="T280" s="9" t="n">
        <f aca="false">$T$18</f>
        <v>48.72</v>
      </c>
      <c r="U280" s="9" t="n">
        <f aca="false">U$18</f>
        <v>23</v>
      </c>
      <c r="V280" s="9" t="n">
        <f aca="false">V$18</f>
        <v>34</v>
      </c>
      <c r="W280" s="9" t="n">
        <f aca="false">W$18</f>
        <v>38</v>
      </c>
      <c r="X280" s="9" t="n">
        <f aca="false">SUMPRODUCT(K280:N280,T280:W280)/O280</f>
        <v>38.3304456159959</v>
      </c>
      <c r="Y280" s="9" t="n">
        <f aca="false">$Y$18/1000*CURVES!K239+$Y$14</f>
        <v>85.9843827284946</v>
      </c>
      <c r="Z280" s="9" t="n">
        <f aca="false">(O280*X280+P280*Y280)/Q280</f>
        <v>59.4952956600638</v>
      </c>
      <c r="AA280" s="9" t="n">
        <f aca="false">CHOOSE(AA$18,CURVES!F239,CURVES!G239)</f>
        <v>59.2948798732682</v>
      </c>
      <c r="AB280" s="9" t="n">
        <f aca="false">(Q280*Z280+R280*AA280)/H280</f>
        <v>59.3653854361902</v>
      </c>
      <c r="AD280" s="9"/>
      <c r="AH280" s="50" t="n">
        <f aca="false">AH268</f>
        <v>1890.97734163897</v>
      </c>
      <c r="AI280" s="50" t="n">
        <f aca="false">AI268</f>
        <v>0</v>
      </c>
      <c r="AJ280" s="50" t="n">
        <f aca="false">AJ268</f>
        <v>765.820605438213</v>
      </c>
      <c r="AK280" s="50" t="n">
        <f aca="false">AK268</f>
        <v>570.922545092046</v>
      </c>
      <c r="AL280" s="50" t="n">
        <f aca="false">SUM(AH280:AK280)</f>
        <v>3227.72049216923</v>
      </c>
      <c r="AM280" s="50" t="n">
        <f aca="false">AM268</f>
        <v>2371.57693150685</v>
      </c>
      <c r="AN280" s="50" t="n">
        <f aca="false">AL280+AM280</f>
        <v>5599.29742367608</v>
      </c>
      <c r="AO280" s="8" t="n">
        <f aca="false">I280-AL280-AM280</f>
        <v>14141.0463584757</v>
      </c>
      <c r="AQ280" s="9" t="n">
        <f aca="false">$AQ$18</f>
        <v>43</v>
      </c>
      <c r="AR280" s="9"/>
      <c r="AS280" s="9" t="n">
        <f aca="false">AS$18</f>
        <v>30</v>
      </c>
      <c r="AT280" s="9" t="n">
        <f aca="false">AT$18</f>
        <v>38</v>
      </c>
      <c r="AU280" s="9" t="n">
        <f aca="false">SUMPRODUCT(AH280:AK280,AQ280:AT280)/AL280</f>
        <v>39.0311679319086</v>
      </c>
      <c r="AV280" s="9" t="n">
        <f aca="false">$Y$18/1000*CURVES!O239+$AV$14</f>
        <v>82.8376192880191</v>
      </c>
      <c r="AW280" s="9" t="n">
        <f aca="false">(AL280*AU280+AM280*AV280)/AN280</f>
        <v>57.5853474345081</v>
      </c>
      <c r="AX280" s="9" t="n">
        <f aca="false">CHOOSE(AX$18,CURVES!B239,CURVES!C239)</f>
        <v>61.5222222222222</v>
      </c>
      <c r="AY280" s="9" t="n">
        <f aca="false">(AN280*AW280+AO280*AX280)/I280</f>
        <v>60.4055378777422</v>
      </c>
    </row>
    <row r="281" customFormat="false" ht="12.75" hidden="false" customHeight="false" outlineLevel="0" collapsed="false">
      <c r="A281" s="85" t="n">
        <v>44105</v>
      </c>
      <c r="B281" s="31" t="n">
        <f aca="false">YEAR(A281)</f>
        <v>2020</v>
      </c>
      <c r="C281" s="31" t="n">
        <f aca="false">MONTH(A281)</f>
        <v>10</v>
      </c>
      <c r="D281" s="86" t="n">
        <v>0.063196638277782</v>
      </c>
      <c r="E281" s="87" t="n">
        <f aca="false">(1+D281/2)^(-2*(DATE($B282,$C282,20)-$E$17)/365.25)</f>
        <v>1.35213126441411</v>
      </c>
      <c r="F281" s="87"/>
      <c r="G281" s="8"/>
      <c r="H281" s="8" t="n">
        <f aca="false">(1+$I$17)*H269</f>
        <v>19907.2002776465</v>
      </c>
      <c r="I281" s="8" t="n">
        <f aca="false">(1+$I$17)*I269</f>
        <v>17086.6915008148</v>
      </c>
      <c r="K281" s="50" t="n">
        <f aca="false">K269</f>
        <v>2069.29166666667</v>
      </c>
      <c r="L281" s="50" t="n">
        <f aca="false">L269</f>
        <v>1227.52419354839</v>
      </c>
      <c r="M281" s="50" t="n">
        <f aca="false">M269</f>
        <v>369.340053763441</v>
      </c>
      <c r="N281" s="50" t="n">
        <f aca="false">N269</f>
        <v>3.27822580645161</v>
      </c>
      <c r="O281" s="50" t="n">
        <f aca="false">SUM(K281:N281)</f>
        <v>3669.43413978495</v>
      </c>
      <c r="P281" s="50" t="n">
        <f aca="false">P269</f>
        <v>3171.07549498463</v>
      </c>
      <c r="Q281" s="50" t="n">
        <f aca="false">O281+P281</f>
        <v>6840.50963476957</v>
      </c>
      <c r="R281" s="8" t="n">
        <f aca="false">H281-O281-P281</f>
        <v>13066.690642877</v>
      </c>
      <c r="T281" s="9" t="n">
        <f aca="false">$T$18</f>
        <v>48.72</v>
      </c>
      <c r="U281" s="9" t="n">
        <f aca="false">U$18</f>
        <v>23</v>
      </c>
      <c r="V281" s="9" t="n">
        <f aca="false">V$18</f>
        <v>34</v>
      </c>
      <c r="W281" s="9" t="n">
        <f aca="false">W$18</f>
        <v>38</v>
      </c>
      <c r="X281" s="9" t="n">
        <f aca="false">SUMPRODUCT(K281:N281,T281:W281)/O281</f>
        <v>38.624778497461</v>
      </c>
      <c r="Y281" s="9" t="n">
        <f aca="false">$Y$18/1000*CURVES!K240+$Y$14</f>
        <v>86.2993827284946</v>
      </c>
      <c r="Z281" s="9" t="n">
        <f aca="false">(O281*X281+P281*Y281)/Q281</f>
        <v>60.7254372614938</v>
      </c>
      <c r="AA281" s="9" t="n">
        <f aca="false">CHOOSE(AA$18,CURVES!F240,CURVES!G240)</f>
        <v>48.5092721414089</v>
      </c>
      <c r="AB281" s="9" t="n">
        <f aca="false">(Q281*Z281+R281*AA281)/H281</f>
        <v>52.7069892507159</v>
      </c>
      <c r="AD281" s="9"/>
      <c r="AH281" s="50" t="n">
        <f aca="false">AH269</f>
        <v>1913.83994918903</v>
      </c>
      <c r="AI281" s="50" t="n">
        <f aca="false">AI269</f>
        <v>0</v>
      </c>
      <c r="AJ281" s="50" t="n">
        <f aca="false">AJ269</f>
        <v>1075.38011608834</v>
      </c>
      <c r="AK281" s="50" t="n">
        <f aca="false">AK269</f>
        <v>576.385560502926</v>
      </c>
      <c r="AL281" s="50" t="n">
        <f aca="false">SUM(AH281:AK281)</f>
        <v>3565.6056257803</v>
      </c>
      <c r="AM281" s="50" t="n">
        <f aca="false">AM269</f>
        <v>2259.71325</v>
      </c>
      <c r="AN281" s="50" t="n">
        <f aca="false">AL281+AM281</f>
        <v>5825.3188757803</v>
      </c>
      <c r="AO281" s="8" t="n">
        <f aca="false">I281-AL281-AM281</f>
        <v>11261.3726250345</v>
      </c>
      <c r="AQ281" s="9" t="n">
        <f aca="false">$AQ$18</f>
        <v>43</v>
      </c>
      <c r="AR281" s="9"/>
      <c r="AS281" s="9" t="n">
        <f aca="false">AS$18</f>
        <v>30</v>
      </c>
      <c r="AT281" s="9" t="n">
        <f aca="false">AT$18</f>
        <v>38</v>
      </c>
      <c r="AU281" s="9" t="n">
        <f aca="false">SUMPRODUCT(AH281:AK281,AQ281:AT281)/AL281</f>
        <v>38.2709662589303</v>
      </c>
      <c r="AV281" s="9" t="n">
        <f aca="false">$Y$18/1000*CURVES!O240+$AV$14</f>
        <v>83.1526192880192</v>
      </c>
      <c r="AW281" s="9" t="n">
        <f aca="false">(AL281*AU281+AM281*AV281)/AN281</f>
        <v>55.6811146464123</v>
      </c>
      <c r="AX281" s="9" t="n">
        <f aca="false">CHOOSE(AX$18,CURVES!B240,CURVES!C240)</f>
        <v>48.1354838709678</v>
      </c>
      <c r="AY281" s="9" t="n">
        <f aca="false">(AN281*AW281+AO281*AX281)/I281</f>
        <v>50.7079950785219</v>
      </c>
    </row>
    <row r="282" customFormat="false" ht="12.75" hidden="false" customHeight="false" outlineLevel="0" collapsed="false">
      <c r="A282" s="85" t="n">
        <v>44136</v>
      </c>
      <c r="B282" s="31" t="n">
        <f aca="false">YEAR(A282)</f>
        <v>2020</v>
      </c>
      <c r="C282" s="31" t="n">
        <f aca="false">MONTH(A282)</f>
        <v>11</v>
      </c>
      <c r="D282" s="86" t="n">
        <v>0.063221143876406</v>
      </c>
      <c r="E282" s="87" t="n">
        <f aca="false">(1+D282/2)^(-2*(DATE($B283,$C283,20)-$E$17)/365.25)</f>
        <v>1.34539133170537</v>
      </c>
      <c r="F282" s="87"/>
      <c r="G282" s="8"/>
      <c r="H282" s="8" t="n">
        <f aca="false">(1+$I$17)*H270</f>
        <v>19473.1742137954</v>
      </c>
      <c r="I282" s="8" t="n">
        <f aca="false">(1+$I$17)*I270</f>
        <v>17346.0524512595</v>
      </c>
      <c r="K282" s="50" t="n">
        <f aca="false">K270</f>
        <v>2201.15833333333</v>
      </c>
      <c r="L282" s="50" t="n">
        <f aca="false">L270</f>
        <v>1270.02777777778</v>
      </c>
      <c r="M282" s="50" t="n">
        <f aca="false">M270</f>
        <v>241.311111111111</v>
      </c>
      <c r="N282" s="50" t="n">
        <f aca="false">N270</f>
        <v>3.11944444444444</v>
      </c>
      <c r="O282" s="50" t="n">
        <f aca="false">SUM(K282:N282)</f>
        <v>3715.61666666667</v>
      </c>
      <c r="P282" s="50" t="n">
        <f aca="false">P270</f>
        <v>3029.03315829808</v>
      </c>
      <c r="Q282" s="50" t="n">
        <f aca="false">O282+P282</f>
        <v>6744.64982496475</v>
      </c>
      <c r="R282" s="8" t="n">
        <f aca="false">H282-O282-P282</f>
        <v>12728.5243888306</v>
      </c>
      <c r="T282" s="9" t="n">
        <f aca="false">$T$18</f>
        <v>48.72</v>
      </c>
      <c r="U282" s="9" t="n">
        <f aca="false">U$18</f>
        <v>23</v>
      </c>
      <c r="V282" s="9" t="n">
        <f aca="false">V$18</f>
        <v>34</v>
      </c>
      <c r="W282" s="9" t="n">
        <f aca="false">W$18</f>
        <v>38</v>
      </c>
      <c r="X282" s="9" t="n">
        <f aca="false">SUMPRODUCT(K282:N282,T282:W282)/O282</f>
        <v>38.9637044247179</v>
      </c>
      <c r="Y282" s="9" t="n">
        <f aca="false">$Y$18/1000*CURVES!K241+$Y$14</f>
        <v>87.2706327284946</v>
      </c>
      <c r="Z282" s="9" t="n">
        <f aca="false">(O282*X282+P282*Y282)/Q282</f>
        <v>60.6584241514655</v>
      </c>
      <c r="AA282" s="9" t="n">
        <f aca="false">CHOOSE(AA$18,CURVES!F241,CURVES!G241)</f>
        <v>40.3697008801598</v>
      </c>
      <c r="AB282" s="9" t="n">
        <f aca="false">(Q282*Z282+R282*AA282)/H282</f>
        <v>47.3968209766682</v>
      </c>
      <c r="AD282" s="9"/>
      <c r="AH282" s="50" t="n">
        <f aca="false">AH270</f>
        <v>1838.78743628671</v>
      </c>
      <c r="AI282" s="50" t="n">
        <f aca="false">AI270</f>
        <v>0</v>
      </c>
      <c r="AJ282" s="50" t="n">
        <f aca="false">AJ270</f>
        <v>1347.87918472112</v>
      </c>
      <c r="AK282" s="50" t="n">
        <f aca="false">AK270</f>
        <v>499.439112514422</v>
      </c>
      <c r="AL282" s="50" t="n">
        <f aca="false">SUM(AH282:AK282)</f>
        <v>3686.10573352225</v>
      </c>
      <c r="AM282" s="50" t="n">
        <f aca="false">AM270</f>
        <v>2451.23764109589</v>
      </c>
      <c r="AN282" s="50" t="n">
        <f aca="false">AL282+AM282</f>
        <v>6137.34337461814</v>
      </c>
      <c r="AO282" s="8" t="n">
        <f aca="false">I282-AL282-AM282</f>
        <v>11208.7090766414</v>
      </c>
      <c r="AQ282" s="9" t="n">
        <f aca="false">$AQ$18</f>
        <v>43</v>
      </c>
      <c r="AR282" s="9"/>
      <c r="AS282" s="9" t="n">
        <f aca="false">AS$18</f>
        <v>30</v>
      </c>
      <c r="AT282" s="9" t="n">
        <f aca="false">AT$18</f>
        <v>38</v>
      </c>
      <c r="AU282" s="9" t="n">
        <f aca="false">SUMPRODUCT(AH282:AK282,AQ282:AT282)/AL282</f>
        <v>37.5688956282822</v>
      </c>
      <c r="AV282" s="9" t="n">
        <f aca="false">$Y$18/1000*CURVES!O241+$AV$14</f>
        <v>84.6226192880192</v>
      </c>
      <c r="AW282" s="9" t="n">
        <f aca="false">(AL282*AU282+AM282*AV282)/AN282</f>
        <v>56.3620202016075</v>
      </c>
      <c r="AX282" s="9" t="n">
        <f aca="false">CHOOSE(AX$18,CURVES!B241,CURVES!C241)</f>
        <v>45.8</v>
      </c>
      <c r="AY282" s="9" t="n">
        <f aca="false">(AN282*AW282+AO282*AX282)/I282</f>
        <v>49.5370315170592</v>
      </c>
    </row>
    <row r="283" customFormat="false" ht="12.75" hidden="false" customHeight="false" outlineLevel="0" collapsed="false">
      <c r="A283" s="85" t="n">
        <v>44166</v>
      </c>
      <c r="B283" s="31" t="n">
        <f aca="false">YEAR(A283)</f>
        <v>2020</v>
      </c>
      <c r="C283" s="31" t="n">
        <f aca="false">MONTH(A283)</f>
        <v>12</v>
      </c>
      <c r="D283" s="86" t="n">
        <v>0.063244858972038</v>
      </c>
      <c r="E283" s="87" t="n">
        <f aca="false">(1+D283/2)^(-2*(DATE($B284,$C284,20)-$E$17)/365.25)</f>
        <v>1.33844677520373</v>
      </c>
      <c r="F283" s="87"/>
      <c r="G283" s="8"/>
      <c r="H283" s="8" t="n">
        <f aca="false">(1+$I$17)*H271</f>
        <v>19332.9573000907</v>
      </c>
      <c r="I283" s="8" t="n">
        <f aca="false">(1+$I$17)*I271</f>
        <v>17306.6452415626</v>
      </c>
      <c r="K283" s="50" t="n">
        <f aca="false">K271</f>
        <v>2256.4126344086</v>
      </c>
      <c r="L283" s="50" t="n">
        <f aca="false">L271</f>
        <v>1157.21505376344</v>
      </c>
      <c r="M283" s="50" t="n">
        <f aca="false">M271</f>
        <v>239.860215053763</v>
      </c>
      <c r="N283" s="50" t="n">
        <f aca="false">N271</f>
        <v>2.96908602150538</v>
      </c>
      <c r="O283" s="50" t="n">
        <f aca="false">SUM(K283:N283)</f>
        <v>3656.45698924731</v>
      </c>
      <c r="P283" s="50" t="n">
        <f aca="false">P271</f>
        <v>2977.59684973097</v>
      </c>
      <c r="Q283" s="50" t="n">
        <f aca="false">O283+P283</f>
        <v>6634.05383897828</v>
      </c>
      <c r="R283" s="8" t="n">
        <f aca="false">H283-O283-P283</f>
        <v>12698.9034611124</v>
      </c>
      <c r="T283" s="9" t="n">
        <f aca="false">$T$18</f>
        <v>48.72</v>
      </c>
      <c r="U283" s="9" t="n">
        <f aca="false">U$18</f>
        <v>23</v>
      </c>
      <c r="V283" s="9" t="n">
        <f aca="false">V$18</f>
        <v>34</v>
      </c>
      <c r="W283" s="9" t="n">
        <f aca="false">W$18</f>
        <v>38</v>
      </c>
      <c r="X283" s="9" t="n">
        <f aca="false">SUMPRODUCT(K283:N283,T283:W283)/O283</f>
        <v>39.6056736867024</v>
      </c>
      <c r="Y283" s="9" t="n">
        <f aca="false">$Y$18/1000*CURVES!K242+$Y$14</f>
        <v>88.5831327284946</v>
      </c>
      <c r="Z283" s="9" t="n">
        <f aca="false">(O283*X283+P283*Y283)/Q283</f>
        <v>61.5884810757254</v>
      </c>
      <c r="AA283" s="9" t="n">
        <f aca="false">CHOOSE(AA$18,CURVES!F242,CURVES!G242)</f>
        <v>40.416627296837</v>
      </c>
      <c r="AB283" s="9" t="n">
        <f aca="false">(Q283*Z283+R283*AA283)/H283</f>
        <v>47.6816936630397</v>
      </c>
      <c r="AD283" s="9"/>
      <c r="AH283" s="50" t="n">
        <f aca="false">AH271</f>
        <v>1921.09500453605</v>
      </c>
      <c r="AI283" s="50" t="n">
        <f aca="false">AI271</f>
        <v>0</v>
      </c>
      <c r="AJ283" s="50" t="n">
        <f aca="false">AJ271</f>
        <v>1326.47869273451</v>
      </c>
      <c r="AK283" s="50" t="n">
        <f aca="false">AK271</f>
        <v>519.619723134563</v>
      </c>
      <c r="AL283" s="50" t="n">
        <f aca="false">SUM(AH283:AK283)</f>
        <v>3767.19342040512</v>
      </c>
      <c r="AM283" s="50" t="n">
        <f aca="false">AM271</f>
        <v>2024.24791129032</v>
      </c>
      <c r="AN283" s="50" t="n">
        <f aca="false">AL283+AM283</f>
        <v>5791.44133169545</v>
      </c>
      <c r="AO283" s="8" t="n">
        <f aca="false">I283-AL283-AM283</f>
        <v>11515.2039098671</v>
      </c>
      <c r="AQ283" s="9" t="n">
        <f aca="false">$AQ$18</f>
        <v>43</v>
      </c>
      <c r="AR283" s="9"/>
      <c r="AS283" s="9" t="n">
        <f aca="false">AS$18</f>
        <v>30</v>
      </c>
      <c r="AT283" s="9" t="n">
        <f aca="false">AT$18</f>
        <v>38</v>
      </c>
      <c r="AU283" s="9" t="n">
        <f aca="false">SUMPRODUCT(AH283:AK283,AQ283:AT283)/AL283</f>
        <v>37.7328635918334</v>
      </c>
      <c r="AV283" s="9" t="n">
        <f aca="false">$Y$18/1000*CURVES!O242+$AV$14</f>
        <v>85.9351192880192</v>
      </c>
      <c r="AW283" s="9" t="n">
        <f aca="false">(AL283*AU283+AM283*AV283)/AN283</f>
        <v>54.5807102372766</v>
      </c>
      <c r="AX283" s="9" t="n">
        <f aca="false">CHOOSE(AX$18,CURVES!B242,CURVES!C242)</f>
        <v>45.4258064516129</v>
      </c>
      <c r="AY283" s="9" t="n">
        <f aca="false">(AN283*AW283+AO283*AX283)/I283</f>
        <v>48.4893746609304</v>
      </c>
    </row>
    <row r="284" customFormat="false" ht="12.75" hidden="false" customHeight="false" outlineLevel="0" collapsed="false">
      <c r="A284" s="85" t="n">
        <v>44197</v>
      </c>
      <c r="B284" s="31" t="n">
        <f aca="false">YEAR(A284)</f>
        <v>2021</v>
      </c>
      <c r="C284" s="31" t="n">
        <f aca="false">MONTH(A284)</f>
        <v>1</v>
      </c>
      <c r="D284" s="88"/>
      <c r="E284" s="88"/>
      <c r="F284" s="88"/>
      <c r="G284" s="8"/>
      <c r="H284" s="8" t="n">
        <f aca="false">(1+$I$17)*H272</f>
        <v>19688.1807824057</v>
      </c>
      <c r="I284" s="8" t="n">
        <f aca="false">(1+$I$17)*I272</f>
        <v>18716.0709141893</v>
      </c>
      <c r="K284" s="50" t="n">
        <f aca="false">K272</f>
        <v>2185.91801075269</v>
      </c>
      <c r="L284" s="50" t="n">
        <f aca="false">L272</f>
        <v>1282.33064516129</v>
      </c>
      <c r="M284" s="50" t="n">
        <f aca="false">M272</f>
        <v>142.852150537634</v>
      </c>
      <c r="N284" s="50" t="n">
        <f aca="false">N272</f>
        <v>3.16801075268817</v>
      </c>
      <c r="O284" s="50" t="n">
        <f aca="false">SUM(K284:N284)</f>
        <v>3614.2688172043</v>
      </c>
      <c r="P284" s="50" t="n">
        <f aca="false">P272</f>
        <v>2792.6655547379</v>
      </c>
      <c r="Q284" s="50" t="n">
        <f aca="false">O284+P284</f>
        <v>6406.9343719422</v>
      </c>
      <c r="R284" s="8" t="n">
        <f aca="false">H284-O284-P284</f>
        <v>13281.2464104635</v>
      </c>
      <c r="T284" s="9" t="n">
        <f aca="false">$T$18</f>
        <v>48.72</v>
      </c>
      <c r="U284" s="9" t="n">
        <f aca="false">U$18</f>
        <v>23</v>
      </c>
      <c r="V284" s="9" t="n">
        <f aca="false">V$18</f>
        <v>34</v>
      </c>
      <c r="W284" s="9" t="n">
        <f aca="false">W$18</f>
        <v>38</v>
      </c>
      <c r="X284" s="9" t="n">
        <f aca="false">SUMPRODUCT(K284:N284,T284:W284)/O284</f>
        <v>39.0034319468534</v>
      </c>
      <c r="Y284" s="9" t="n">
        <f aca="false">$Y$18/1000*CURVES!K243+$Y$14</f>
        <v>90.3576327284946</v>
      </c>
      <c r="Z284" s="9" t="n">
        <f aca="false">(O284*X284+P284*Y284)/Q284</f>
        <v>61.3877891586331</v>
      </c>
      <c r="AA284" s="9" t="n">
        <f aca="false">CHOOSE(AA$18,CURVES!F243,CURVES!G243)</f>
        <v>41.6303049439417</v>
      </c>
      <c r="AB284" s="9" t="n">
        <f aca="false">(Q284*Z284+R284*AA284)/H284</f>
        <v>48.0597920619864</v>
      </c>
      <c r="AD284" s="9"/>
      <c r="AH284" s="50" t="n">
        <f aca="false">AH272</f>
        <v>1826.05608785899</v>
      </c>
      <c r="AI284" s="50" t="n">
        <f aca="false">AI272</f>
        <v>0</v>
      </c>
      <c r="AJ284" s="50" t="n">
        <f aca="false">AJ272</f>
        <v>1744.08931864439</v>
      </c>
      <c r="AK284" s="50" t="n">
        <f aca="false">AK272</f>
        <v>538.872892801371</v>
      </c>
      <c r="AL284" s="50" t="n">
        <f aca="false">SUM(AH284:AK284)</f>
        <v>4109.01829930475</v>
      </c>
      <c r="AM284" s="50" t="n">
        <f aca="false">AM272</f>
        <v>2445.3687016129</v>
      </c>
      <c r="AN284" s="50" t="n">
        <f aca="false">AL284+AM284</f>
        <v>6554.38700091765</v>
      </c>
      <c r="AO284" s="8" t="n">
        <f aca="false">I284-AL284-AM284</f>
        <v>12161.6839132716</v>
      </c>
      <c r="AQ284" s="9" t="n">
        <f aca="false">$AQ$18</f>
        <v>43</v>
      </c>
      <c r="AR284" s="9"/>
      <c r="AS284" s="9" t="n">
        <f aca="false">AS$18</f>
        <v>30</v>
      </c>
      <c r="AT284" s="9" t="n">
        <f aca="false">AT$18</f>
        <v>38</v>
      </c>
      <c r="AU284" s="9" t="n">
        <f aca="false">SUMPRODUCT(AH284:AK284,AQ284:AT284)/AL284</f>
        <v>36.8263780400598</v>
      </c>
      <c r="AV284" s="9" t="n">
        <f aca="false">$Y$18/1000*CURVES!O243+$AV$14</f>
        <v>87.7096192880192</v>
      </c>
      <c r="AW284" s="9" t="n">
        <f aca="false">(AL284*AU284+AM284*AV284)/AN284</f>
        <v>55.810347947079</v>
      </c>
      <c r="AX284" s="9" t="n">
        <f aca="false">CHOOSE(AX$18,CURVES!B243,CURVES!C243)</f>
        <v>48.6193548387097</v>
      </c>
      <c r="AY284" s="9" t="n">
        <f aca="false">(AN284*AW284+AO284*AX284)/I284</f>
        <v>51.1376479125755</v>
      </c>
    </row>
    <row r="285" customFormat="false" ht="12.75" hidden="false" customHeight="false" outlineLevel="0" collapsed="false">
      <c r="G285" s="8"/>
      <c r="H285" s="8"/>
      <c r="I285" s="8"/>
      <c r="K285" s="50"/>
      <c r="L285" s="50"/>
      <c r="M285" s="50"/>
      <c r="N285" s="50"/>
      <c r="O285" s="50"/>
      <c r="P285" s="50"/>
      <c r="Q285" s="50"/>
      <c r="T285" s="9"/>
      <c r="U285" s="9"/>
      <c r="V285" s="9"/>
      <c r="W285" s="9"/>
      <c r="X285" s="9"/>
      <c r="Y285" s="9"/>
      <c r="Z285" s="9"/>
      <c r="AA285" s="9"/>
    </row>
    <row r="286" customFormat="false" ht="12.75" hidden="false" customHeight="false" outlineLevel="0" collapsed="false">
      <c r="G286" s="8"/>
      <c r="H286" s="8"/>
      <c r="I286" s="8"/>
      <c r="K286" s="50"/>
      <c r="L286" s="50"/>
      <c r="M286" s="50"/>
      <c r="N286" s="50"/>
      <c r="O286" s="50"/>
      <c r="P286" s="50"/>
      <c r="Q286" s="50"/>
      <c r="T286" s="9"/>
      <c r="U286" s="9"/>
      <c r="V286" s="9"/>
      <c r="W286" s="9"/>
      <c r="X286" s="9"/>
      <c r="Y286" s="9"/>
      <c r="Z286" s="9"/>
      <c r="AA286" s="9"/>
    </row>
    <row r="287" customFormat="false" ht="12.75" hidden="false" customHeight="false" outlineLevel="0" collapsed="false">
      <c r="G287" s="8"/>
      <c r="H287" s="8"/>
      <c r="I287" s="8"/>
      <c r="K287" s="50"/>
      <c r="L287" s="50"/>
      <c r="M287" s="50"/>
      <c r="N287" s="50"/>
      <c r="O287" s="50"/>
      <c r="P287" s="50"/>
      <c r="Q287" s="50"/>
      <c r="T287" s="9"/>
      <c r="U287" s="9"/>
      <c r="V287" s="9"/>
      <c r="W287" s="9"/>
      <c r="X287" s="9"/>
      <c r="Y287" s="9"/>
      <c r="Z287" s="9"/>
      <c r="AA287" s="9"/>
    </row>
    <row r="288" customFormat="false" ht="12.75" hidden="false" customHeight="false" outlineLevel="0" collapsed="false">
      <c r="G288" s="8"/>
      <c r="H288" s="8"/>
      <c r="I288" s="8"/>
      <c r="K288" s="50"/>
      <c r="L288" s="50"/>
      <c r="M288" s="50"/>
      <c r="N288" s="50"/>
      <c r="O288" s="50"/>
      <c r="P288" s="50"/>
      <c r="Q288" s="50"/>
      <c r="T288" s="9"/>
      <c r="U288" s="9"/>
      <c r="V288" s="9"/>
      <c r="W288" s="9"/>
      <c r="X288" s="9"/>
      <c r="Y288" s="9"/>
      <c r="Z288" s="9"/>
      <c r="AA288" s="9"/>
    </row>
    <row r="289" customFormat="false" ht="12.75" hidden="false" customHeight="false" outlineLevel="0" collapsed="false">
      <c r="G289" s="8"/>
      <c r="H289" s="8"/>
      <c r="I289" s="8"/>
      <c r="K289" s="50"/>
      <c r="L289" s="50"/>
      <c r="M289" s="50"/>
      <c r="N289" s="50"/>
      <c r="O289" s="50"/>
      <c r="P289" s="50"/>
      <c r="Q289" s="50"/>
      <c r="T289" s="9"/>
      <c r="U289" s="9"/>
      <c r="V289" s="9"/>
      <c r="W289" s="9"/>
      <c r="X289" s="9"/>
      <c r="Y289" s="9"/>
      <c r="Z289" s="9"/>
      <c r="AA289" s="9"/>
    </row>
    <row r="290" customFormat="false" ht="12.75" hidden="false" customHeight="false" outlineLevel="0" collapsed="false">
      <c r="G290" s="8"/>
      <c r="H290" s="8"/>
      <c r="I290" s="8"/>
      <c r="K290" s="50"/>
      <c r="L290" s="50"/>
      <c r="M290" s="50"/>
      <c r="N290" s="50"/>
      <c r="O290" s="50"/>
      <c r="P290" s="50"/>
      <c r="Q290" s="50"/>
      <c r="T290" s="9"/>
      <c r="U290" s="9"/>
      <c r="V290" s="9"/>
      <c r="W290" s="9"/>
      <c r="X290" s="9"/>
      <c r="Y290" s="9"/>
      <c r="Z290" s="9"/>
      <c r="AA290" s="9"/>
    </row>
    <row r="291" customFormat="false" ht="12.75" hidden="false" customHeight="false" outlineLevel="0" collapsed="false">
      <c r="G291" s="8"/>
      <c r="H291" s="8"/>
      <c r="I291" s="8"/>
      <c r="K291" s="50"/>
      <c r="L291" s="50"/>
      <c r="M291" s="50"/>
      <c r="N291" s="50"/>
      <c r="O291" s="50"/>
      <c r="P291" s="50"/>
      <c r="Q291" s="50"/>
      <c r="T291" s="9"/>
      <c r="U291" s="9"/>
      <c r="V291" s="9"/>
      <c r="W291" s="9"/>
      <c r="X291" s="9"/>
      <c r="Y291" s="9"/>
      <c r="Z291" s="9"/>
      <c r="AA291" s="9"/>
    </row>
    <row r="292" customFormat="false" ht="12.75" hidden="false" customHeight="false" outlineLevel="0" collapsed="false">
      <c r="G292" s="8"/>
      <c r="H292" s="8"/>
      <c r="I292" s="8"/>
      <c r="K292" s="50"/>
      <c r="L292" s="50"/>
      <c r="M292" s="50"/>
      <c r="N292" s="50"/>
      <c r="O292" s="50"/>
      <c r="P292" s="50"/>
      <c r="Q292" s="50"/>
      <c r="T292" s="9"/>
      <c r="U292" s="9"/>
      <c r="V292" s="9"/>
      <c r="W292" s="9"/>
      <c r="X292" s="9"/>
      <c r="Y292" s="9"/>
      <c r="Z292" s="9"/>
      <c r="AA292" s="9"/>
    </row>
    <row r="293" customFormat="false" ht="12.75" hidden="false" customHeight="false" outlineLevel="0" collapsed="false">
      <c r="G293" s="8"/>
      <c r="H293" s="8"/>
      <c r="I293" s="8"/>
      <c r="K293" s="50"/>
      <c r="L293" s="50"/>
      <c r="M293" s="50"/>
      <c r="N293" s="50"/>
      <c r="O293" s="50"/>
      <c r="P293" s="50"/>
      <c r="Q293" s="50"/>
      <c r="T293" s="9"/>
      <c r="U293" s="9"/>
      <c r="V293" s="9"/>
      <c r="W293" s="9"/>
      <c r="X293" s="9"/>
      <c r="Y293" s="9"/>
      <c r="Z293" s="9"/>
      <c r="AA293" s="9"/>
    </row>
    <row r="294" customFormat="false" ht="12.75" hidden="false" customHeight="false" outlineLevel="0" collapsed="false">
      <c r="G294" s="8"/>
      <c r="H294" s="8"/>
      <c r="I294" s="8"/>
      <c r="K294" s="50"/>
      <c r="L294" s="50"/>
      <c r="M294" s="50"/>
      <c r="N294" s="50"/>
      <c r="O294" s="50"/>
      <c r="P294" s="50"/>
      <c r="Q294" s="50"/>
      <c r="T294" s="9"/>
      <c r="U294" s="9"/>
      <c r="V294" s="9"/>
      <c r="W294" s="9"/>
      <c r="X294" s="9"/>
      <c r="Y294" s="9"/>
      <c r="Z294" s="9"/>
      <c r="AA294" s="9"/>
    </row>
    <row r="295" customFormat="false" ht="12.75" hidden="false" customHeight="false" outlineLevel="0" collapsed="false">
      <c r="G295" s="8"/>
      <c r="H295" s="8"/>
      <c r="I295" s="8"/>
      <c r="K295" s="50"/>
      <c r="L295" s="50"/>
      <c r="M295" s="50"/>
      <c r="N295" s="50"/>
      <c r="O295" s="50"/>
      <c r="P295" s="50"/>
      <c r="Q295" s="50"/>
      <c r="T295" s="9"/>
      <c r="U295" s="9"/>
      <c r="V295" s="9"/>
      <c r="W295" s="9"/>
      <c r="X295" s="9"/>
      <c r="Y295" s="9"/>
      <c r="Z295" s="9"/>
      <c r="AA295" s="9"/>
    </row>
    <row r="296" customFormat="false" ht="12.75" hidden="false" customHeight="false" outlineLevel="0" collapsed="false">
      <c r="G296" s="8"/>
      <c r="H296" s="8"/>
      <c r="I296" s="8"/>
      <c r="K296" s="50"/>
      <c r="L296" s="50"/>
      <c r="M296" s="50"/>
      <c r="N296" s="50"/>
      <c r="O296" s="50"/>
      <c r="P296" s="50"/>
      <c r="Q296" s="50"/>
      <c r="T296" s="9"/>
      <c r="U296" s="9"/>
      <c r="V296" s="9"/>
      <c r="W296" s="9"/>
      <c r="X296" s="9"/>
      <c r="Y296" s="9"/>
      <c r="Z296" s="9"/>
      <c r="AA296" s="9"/>
    </row>
    <row r="297" customFormat="false" ht="12.75" hidden="false" customHeight="false" outlineLevel="0" collapsed="false">
      <c r="G297" s="8"/>
      <c r="H297" s="8"/>
      <c r="I297" s="8"/>
      <c r="K297" s="50"/>
      <c r="L297" s="50"/>
      <c r="M297" s="50"/>
      <c r="N297" s="50"/>
      <c r="O297" s="50"/>
      <c r="P297" s="50"/>
      <c r="Q297" s="50"/>
      <c r="T297" s="9"/>
      <c r="U297" s="9"/>
      <c r="V297" s="9"/>
      <c r="W297" s="9"/>
      <c r="X297" s="9"/>
      <c r="Y297" s="9"/>
      <c r="Z297" s="9"/>
      <c r="AA297" s="9"/>
    </row>
    <row r="298" customFormat="false" ht="12.75" hidden="false" customHeight="false" outlineLevel="0" collapsed="false">
      <c r="G298" s="8"/>
      <c r="H298" s="8"/>
      <c r="I298" s="8"/>
      <c r="K298" s="50"/>
      <c r="L298" s="50"/>
      <c r="M298" s="50"/>
      <c r="N298" s="50"/>
      <c r="O298" s="50"/>
      <c r="P298" s="50"/>
      <c r="Q298" s="50"/>
      <c r="T298" s="9"/>
      <c r="U298" s="9"/>
      <c r="V298" s="9"/>
      <c r="W298" s="9"/>
      <c r="X298" s="9"/>
      <c r="Y298" s="9"/>
      <c r="Z298" s="9"/>
      <c r="AA298" s="9"/>
    </row>
    <row r="299" customFormat="false" ht="12.75" hidden="false" customHeight="false" outlineLevel="0" collapsed="false">
      <c r="G299" s="8"/>
      <c r="H299" s="8"/>
      <c r="I299" s="8"/>
      <c r="K299" s="50"/>
      <c r="L299" s="50"/>
      <c r="M299" s="50"/>
      <c r="N299" s="50"/>
      <c r="O299" s="50"/>
      <c r="P299" s="50"/>
      <c r="Q299" s="50"/>
      <c r="T299" s="9"/>
      <c r="U299" s="9"/>
      <c r="V299" s="9"/>
      <c r="W299" s="9"/>
      <c r="X299" s="9"/>
      <c r="Y299" s="9"/>
      <c r="Z299" s="9"/>
      <c r="AA299" s="9"/>
    </row>
    <row r="300" customFormat="false" ht="12.75" hidden="false" customHeight="false" outlineLevel="0" collapsed="false">
      <c r="G300" s="8"/>
      <c r="H300" s="8"/>
      <c r="I300" s="8"/>
      <c r="K300" s="50"/>
      <c r="L300" s="50"/>
      <c r="M300" s="50"/>
      <c r="N300" s="50"/>
      <c r="O300" s="50"/>
      <c r="P300" s="50"/>
      <c r="Q300" s="50"/>
      <c r="T300" s="9"/>
      <c r="U300" s="9"/>
      <c r="V300" s="9"/>
      <c r="W300" s="9"/>
      <c r="X300" s="9"/>
      <c r="Y300" s="9"/>
      <c r="Z300" s="9"/>
      <c r="AA300" s="9"/>
    </row>
    <row r="301" customFormat="false" ht="12.75" hidden="false" customHeight="false" outlineLevel="0" collapsed="false">
      <c r="G301" s="8"/>
      <c r="H301" s="8"/>
      <c r="I301" s="8"/>
      <c r="K301" s="50"/>
      <c r="L301" s="50"/>
      <c r="M301" s="50"/>
      <c r="N301" s="50"/>
      <c r="O301" s="50"/>
      <c r="P301" s="50"/>
      <c r="Q301" s="50"/>
      <c r="T301" s="9"/>
      <c r="U301" s="9"/>
      <c r="V301" s="9"/>
      <c r="W301" s="9"/>
      <c r="X301" s="9"/>
      <c r="Y301" s="9"/>
      <c r="Z301" s="9"/>
      <c r="AA301" s="9"/>
    </row>
    <row r="302" customFormat="false" ht="12.75" hidden="false" customHeight="false" outlineLevel="0" collapsed="false">
      <c r="G302" s="8"/>
      <c r="H302" s="8"/>
      <c r="I302" s="8"/>
      <c r="K302" s="50"/>
      <c r="L302" s="50"/>
      <c r="M302" s="50"/>
      <c r="N302" s="50"/>
      <c r="O302" s="50"/>
      <c r="P302" s="50"/>
      <c r="Q302" s="50"/>
      <c r="T302" s="9"/>
      <c r="U302" s="9"/>
      <c r="V302" s="9"/>
      <c r="W302" s="9"/>
      <c r="X302" s="9"/>
      <c r="Y302" s="9"/>
      <c r="Z302" s="9"/>
      <c r="AA302" s="9"/>
    </row>
    <row r="303" customFormat="false" ht="12.75" hidden="false" customHeight="false" outlineLevel="0" collapsed="false">
      <c r="G303" s="8"/>
      <c r="H303" s="8"/>
      <c r="I303" s="8"/>
      <c r="K303" s="50"/>
      <c r="L303" s="50"/>
      <c r="M303" s="50"/>
      <c r="N303" s="50"/>
      <c r="O303" s="50"/>
      <c r="P303" s="50"/>
      <c r="Q303" s="50"/>
      <c r="T303" s="9"/>
      <c r="U303" s="9"/>
      <c r="V303" s="9"/>
      <c r="W303" s="9"/>
      <c r="X303" s="9"/>
      <c r="Y303" s="9"/>
      <c r="Z303" s="9"/>
      <c r="AA303" s="9"/>
    </row>
    <row r="304" customFormat="false" ht="12.75" hidden="false" customHeight="false" outlineLevel="0" collapsed="false">
      <c r="G304" s="8"/>
      <c r="H304" s="8"/>
      <c r="I304" s="8"/>
      <c r="K304" s="50"/>
      <c r="L304" s="50"/>
      <c r="M304" s="50"/>
      <c r="N304" s="50"/>
      <c r="O304" s="50"/>
      <c r="P304" s="50"/>
      <c r="Q304" s="50"/>
      <c r="T304" s="9"/>
      <c r="U304" s="9"/>
      <c r="V304" s="9"/>
      <c r="W304" s="9"/>
      <c r="X304" s="9"/>
      <c r="Y304" s="9"/>
      <c r="Z304" s="9"/>
      <c r="AA304" s="9"/>
    </row>
    <row r="305" customFormat="false" ht="12.75" hidden="false" customHeight="false" outlineLevel="0" collapsed="false">
      <c r="G305" s="8"/>
      <c r="H305" s="8"/>
      <c r="I305" s="8"/>
      <c r="K305" s="50"/>
      <c r="L305" s="50"/>
      <c r="M305" s="50"/>
      <c r="N305" s="50"/>
      <c r="O305" s="50"/>
      <c r="P305" s="50"/>
      <c r="Q305" s="50"/>
      <c r="T305" s="9"/>
      <c r="U305" s="9"/>
      <c r="V305" s="9"/>
      <c r="W305" s="9"/>
      <c r="X305" s="9"/>
      <c r="Y305" s="9"/>
      <c r="Z305" s="9"/>
      <c r="AA305" s="9"/>
    </row>
    <row r="306" customFormat="false" ht="12.75" hidden="false" customHeight="false" outlineLevel="0" collapsed="false">
      <c r="G306" s="8"/>
      <c r="H306" s="8"/>
      <c r="I306" s="8"/>
      <c r="K306" s="50"/>
      <c r="L306" s="50"/>
      <c r="M306" s="50"/>
      <c r="N306" s="50"/>
      <c r="O306" s="50"/>
      <c r="P306" s="50"/>
      <c r="Q306" s="50"/>
      <c r="T306" s="9"/>
      <c r="U306" s="9"/>
      <c r="V306" s="9"/>
      <c r="W306" s="9"/>
      <c r="X306" s="9"/>
      <c r="Y306" s="9"/>
      <c r="Z306" s="9"/>
      <c r="AA306" s="9"/>
    </row>
    <row r="307" customFormat="false" ht="12.75" hidden="false" customHeight="false" outlineLevel="0" collapsed="false">
      <c r="G307" s="8"/>
      <c r="H307" s="8"/>
      <c r="I307" s="8"/>
      <c r="K307" s="50"/>
      <c r="L307" s="50"/>
      <c r="M307" s="50"/>
      <c r="N307" s="50"/>
      <c r="O307" s="50"/>
      <c r="P307" s="50"/>
      <c r="Q307" s="50"/>
      <c r="T307" s="9"/>
      <c r="U307" s="9"/>
      <c r="V307" s="9"/>
      <c r="W307" s="9"/>
      <c r="X307" s="9"/>
      <c r="Y307" s="9"/>
      <c r="Z307" s="9"/>
      <c r="AA307" s="9"/>
    </row>
    <row r="308" customFormat="false" ht="12.75" hidden="false" customHeight="false" outlineLevel="0" collapsed="false">
      <c r="G308" s="8"/>
      <c r="H308" s="8"/>
      <c r="I308" s="8"/>
      <c r="K308" s="50"/>
      <c r="L308" s="50"/>
      <c r="M308" s="50"/>
      <c r="N308" s="50"/>
      <c r="O308" s="50"/>
      <c r="P308" s="50"/>
      <c r="Q308" s="50"/>
      <c r="T308" s="9"/>
      <c r="U308" s="9"/>
      <c r="V308" s="9"/>
      <c r="W308" s="9"/>
      <c r="X308" s="9"/>
      <c r="Y308" s="9"/>
      <c r="Z308" s="9"/>
      <c r="AA308" s="9"/>
    </row>
    <row r="309" customFormat="false" ht="12.75" hidden="false" customHeight="false" outlineLevel="0" collapsed="false">
      <c r="G309" s="8"/>
      <c r="H309" s="8"/>
      <c r="I309" s="8"/>
      <c r="K309" s="50"/>
      <c r="L309" s="50"/>
      <c r="M309" s="50"/>
      <c r="N309" s="50"/>
      <c r="O309" s="50"/>
      <c r="P309" s="50"/>
      <c r="Q309" s="50"/>
      <c r="T309" s="9"/>
      <c r="U309" s="9"/>
      <c r="V309" s="9"/>
      <c r="W309" s="9"/>
      <c r="X309" s="9"/>
      <c r="Y309" s="9"/>
      <c r="Z309" s="9"/>
      <c r="AA309" s="9"/>
    </row>
    <row r="310" customFormat="false" ht="12.75" hidden="false" customHeight="false" outlineLevel="0" collapsed="false">
      <c r="G310" s="8"/>
      <c r="H310" s="8"/>
      <c r="I310" s="8"/>
      <c r="K310" s="50"/>
      <c r="L310" s="50"/>
      <c r="M310" s="50"/>
      <c r="N310" s="50"/>
      <c r="O310" s="50"/>
      <c r="P310" s="50"/>
      <c r="Q310" s="50"/>
      <c r="T310" s="9"/>
      <c r="U310" s="9"/>
      <c r="V310" s="9"/>
      <c r="W310" s="9"/>
      <c r="X310" s="9"/>
      <c r="Y310" s="9"/>
      <c r="Z310" s="9"/>
      <c r="AA310" s="9"/>
    </row>
    <row r="311" customFormat="false" ht="12.75" hidden="false" customHeight="false" outlineLevel="0" collapsed="false">
      <c r="G311" s="8"/>
      <c r="H311" s="8"/>
      <c r="I311" s="8"/>
      <c r="K311" s="50"/>
      <c r="L311" s="50"/>
      <c r="M311" s="50"/>
      <c r="N311" s="50"/>
      <c r="O311" s="50"/>
      <c r="P311" s="50"/>
      <c r="Q311" s="50"/>
      <c r="T311" s="9"/>
      <c r="U311" s="9"/>
      <c r="V311" s="9"/>
      <c r="W311" s="9"/>
      <c r="X311" s="9"/>
      <c r="Y311" s="9"/>
      <c r="Z311" s="9"/>
      <c r="AA311" s="9"/>
    </row>
    <row r="312" customFormat="false" ht="12.75" hidden="false" customHeight="false" outlineLevel="0" collapsed="false">
      <c r="G312" s="8"/>
      <c r="H312" s="8"/>
      <c r="I312" s="8"/>
      <c r="K312" s="50"/>
      <c r="L312" s="50"/>
      <c r="M312" s="50"/>
      <c r="N312" s="50"/>
      <c r="O312" s="50"/>
      <c r="P312" s="50"/>
      <c r="Q312" s="50"/>
      <c r="T312" s="9"/>
      <c r="U312" s="9"/>
      <c r="V312" s="9"/>
      <c r="W312" s="9"/>
      <c r="X312" s="9"/>
      <c r="Y312" s="9"/>
      <c r="Z312" s="9"/>
      <c r="AA312" s="9"/>
    </row>
    <row r="313" customFormat="false" ht="12.75" hidden="false" customHeight="false" outlineLevel="0" collapsed="false">
      <c r="G313" s="8"/>
      <c r="H313" s="8"/>
      <c r="I313" s="8"/>
      <c r="K313" s="50"/>
      <c r="L313" s="50"/>
      <c r="M313" s="50"/>
      <c r="N313" s="50"/>
      <c r="O313" s="50"/>
      <c r="P313" s="50"/>
      <c r="Q313" s="50"/>
      <c r="T313" s="9"/>
      <c r="U313" s="9"/>
      <c r="V313" s="9"/>
      <c r="W313" s="9"/>
      <c r="X313" s="9"/>
      <c r="Y313" s="9"/>
      <c r="Z313" s="9"/>
      <c r="AA313" s="9"/>
    </row>
    <row r="314" customFormat="false" ht="12.75" hidden="false" customHeight="false" outlineLevel="0" collapsed="false">
      <c r="G314" s="8"/>
      <c r="H314" s="8"/>
      <c r="I314" s="8"/>
      <c r="K314" s="50"/>
      <c r="L314" s="50"/>
      <c r="M314" s="50"/>
      <c r="N314" s="50"/>
      <c r="O314" s="50"/>
      <c r="P314" s="50"/>
      <c r="Q314" s="50"/>
      <c r="T314" s="9"/>
      <c r="U314" s="9"/>
      <c r="V314" s="9"/>
      <c r="W314" s="9"/>
      <c r="X314" s="9"/>
      <c r="Y314" s="9"/>
      <c r="Z314" s="9"/>
      <c r="AA314" s="9"/>
    </row>
    <row r="315" customFormat="false" ht="12.75" hidden="false" customHeight="false" outlineLevel="0" collapsed="false">
      <c r="G315" s="8"/>
      <c r="H315" s="8"/>
      <c r="I315" s="8"/>
      <c r="K315" s="50"/>
      <c r="L315" s="50"/>
      <c r="M315" s="50"/>
      <c r="N315" s="50"/>
      <c r="O315" s="50"/>
      <c r="P315" s="50"/>
      <c r="Q315" s="50"/>
      <c r="T315" s="9"/>
      <c r="U315" s="9"/>
      <c r="V315" s="9"/>
      <c r="W315" s="9"/>
      <c r="X315" s="9"/>
      <c r="Y315" s="9"/>
      <c r="Z315" s="9"/>
      <c r="AA315" s="9"/>
    </row>
    <row r="316" customFormat="false" ht="12.75" hidden="false" customHeight="false" outlineLevel="0" collapsed="false">
      <c r="G316" s="8"/>
      <c r="H316" s="8"/>
      <c r="I316" s="8"/>
      <c r="K316" s="50"/>
      <c r="L316" s="50"/>
      <c r="M316" s="50"/>
      <c r="N316" s="50"/>
      <c r="O316" s="50"/>
      <c r="P316" s="50"/>
      <c r="Q316" s="50"/>
      <c r="T316" s="9"/>
      <c r="U316" s="9"/>
      <c r="V316" s="9"/>
      <c r="W316" s="9"/>
      <c r="X316" s="9"/>
      <c r="Y316" s="9"/>
      <c r="Z316" s="9"/>
      <c r="AA316" s="9"/>
    </row>
    <row r="317" customFormat="false" ht="12.75" hidden="false" customHeight="false" outlineLevel="0" collapsed="false">
      <c r="G317" s="8"/>
      <c r="H317" s="8"/>
      <c r="I317" s="8"/>
      <c r="K317" s="50"/>
      <c r="L317" s="50"/>
      <c r="M317" s="50"/>
      <c r="N317" s="50"/>
      <c r="O317" s="50"/>
      <c r="P317" s="50"/>
      <c r="Q317" s="50"/>
      <c r="T317" s="9"/>
      <c r="U317" s="9"/>
      <c r="V317" s="9"/>
      <c r="W317" s="9"/>
      <c r="X317" s="9"/>
      <c r="Y317" s="9"/>
      <c r="Z317" s="9"/>
      <c r="AA317" s="9"/>
    </row>
    <row r="318" customFormat="false" ht="12.75" hidden="false" customHeight="false" outlineLevel="0" collapsed="false">
      <c r="G318" s="8"/>
      <c r="H318" s="8"/>
      <c r="I318" s="8"/>
      <c r="K318" s="50"/>
      <c r="L318" s="50"/>
      <c r="M318" s="50"/>
      <c r="N318" s="50"/>
      <c r="O318" s="50"/>
      <c r="P318" s="50"/>
      <c r="Q318" s="50"/>
      <c r="T318" s="9"/>
      <c r="U318" s="9"/>
      <c r="V318" s="9"/>
      <c r="W318" s="9"/>
      <c r="X318" s="9"/>
      <c r="Y318" s="9"/>
      <c r="Z318" s="9"/>
      <c r="AA318" s="9"/>
    </row>
    <row r="319" customFormat="false" ht="12.75" hidden="false" customHeight="false" outlineLevel="0" collapsed="false">
      <c r="G319" s="8"/>
      <c r="H319" s="8"/>
      <c r="I319" s="8"/>
      <c r="K319" s="50"/>
      <c r="L319" s="50"/>
      <c r="M319" s="50"/>
      <c r="N319" s="50"/>
      <c r="O319" s="50"/>
      <c r="P319" s="50"/>
      <c r="Q319" s="50"/>
      <c r="T319" s="9"/>
      <c r="U319" s="9"/>
      <c r="V319" s="9"/>
      <c r="W319" s="9"/>
      <c r="X319" s="9"/>
      <c r="Y319" s="9"/>
      <c r="Z319" s="9"/>
      <c r="AA319" s="9"/>
    </row>
    <row r="320" customFormat="false" ht="12.75" hidden="false" customHeight="false" outlineLevel="0" collapsed="false">
      <c r="G320" s="8"/>
      <c r="H320" s="8"/>
      <c r="I320" s="8"/>
      <c r="K320" s="50"/>
      <c r="L320" s="50"/>
      <c r="M320" s="50"/>
      <c r="N320" s="50"/>
      <c r="O320" s="50"/>
      <c r="P320" s="50"/>
      <c r="Q320" s="50"/>
      <c r="T320" s="9"/>
      <c r="U320" s="9"/>
      <c r="V320" s="9"/>
      <c r="W320" s="9"/>
      <c r="X320" s="9"/>
      <c r="Y320" s="9"/>
      <c r="Z320" s="9"/>
      <c r="AA320" s="9"/>
    </row>
    <row r="321" customFormat="false" ht="12.75" hidden="false" customHeight="false" outlineLevel="0" collapsed="false">
      <c r="G321" s="8"/>
      <c r="H321" s="8"/>
      <c r="I321" s="8"/>
      <c r="K321" s="50"/>
      <c r="L321" s="50"/>
      <c r="M321" s="50"/>
      <c r="N321" s="50"/>
      <c r="O321" s="50"/>
      <c r="P321" s="50"/>
      <c r="Q321" s="50"/>
      <c r="T321" s="9"/>
      <c r="U321" s="9"/>
      <c r="V321" s="9"/>
      <c r="W321" s="9"/>
      <c r="X321" s="9"/>
      <c r="Y321" s="9"/>
      <c r="Z321" s="9"/>
      <c r="AA321" s="9"/>
    </row>
    <row r="322" customFormat="false" ht="12.75" hidden="false" customHeight="false" outlineLevel="0" collapsed="false">
      <c r="G322" s="8"/>
      <c r="H322" s="8"/>
      <c r="I322" s="8"/>
      <c r="K322" s="50"/>
      <c r="L322" s="50"/>
      <c r="M322" s="50"/>
      <c r="N322" s="50"/>
      <c r="O322" s="50"/>
      <c r="P322" s="50"/>
      <c r="Q322" s="50"/>
      <c r="T322" s="9"/>
      <c r="U322" s="9"/>
      <c r="V322" s="9"/>
      <c r="W322" s="9"/>
      <c r="X322" s="9"/>
      <c r="Y322" s="9"/>
      <c r="Z322" s="9"/>
      <c r="AA322" s="9"/>
    </row>
    <row r="323" customFormat="false" ht="12.75" hidden="false" customHeight="false" outlineLevel="0" collapsed="false">
      <c r="G323" s="8"/>
      <c r="H323" s="8"/>
      <c r="I323" s="8"/>
      <c r="K323" s="50"/>
      <c r="L323" s="50"/>
      <c r="M323" s="50"/>
      <c r="N323" s="50"/>
      <c r="O323" s="50"/>
      <c r="P323" s="50"/>
      <c r="Q323" s="50"/>
      <c r="T323" s="9"/>
      <c r="U323" s="9"/>
      <c r="V323" s="9"/>
      <c r="W323" s="9"/>
      <c r="X323" s="9"/>
      <c r="Y323" s="9"/>
      <c r="Z323" s="9"/>
      <c r="AA323" s="9"/>
    </row>
    <row r="324" customFormat="false" ht="12.75" hidden="false" customHeight="false" outlineLevel="0" collapsed="false">
      <c r="G324" s="8"/>
      <c r="H324" s="8"/>
      <c r="I324" s="8"/>
      <c r="K324" s="50"/>
      <c r="L324" s="50"/>
      <c r="M324" s="50"/>
      <c r="N324" s="50"/>
      <c r="O324" s="50"/>
      <c r="P324" s="50"/>
      <c r="Q324" s="50"/>
      <c r="T324" s="9"/>
      <c r="U324" s="9"/>
      <c r="V324" s="9"/>
      <c r="W324" s="9"/>
      <c r="X324" s="9"/>
      <c r="Y324" s="9"/>
      <c r="Z324" s="9"/>
      <c r="AA324" s="9"/>
    </row>
    <row r="325" customFormat="false" ht="12.75" hidden="false" customHeight="false" outlineLevel="0" collapsed="false">
      <c r="G325" s="8"/>
      <c r="H325" s="8"/>
      <c r="I325" s="8"/>
      <c r="K325" s="50"/>
      <c r="L325" s="50"/>
      <c r="M325" s="50"/>
      <c r="N325" s="50"/>
      <c r="O325" s="50"/>
      <c r="P325" s="50"/>
      <c r="Q325" s="50"/>
      <c r="T325" s="9"/>
      <c r="U325" s="9"/>
      <c r="V325" s="9"/>
      <c r="W325" s="9"/>
      <c r="X325" s="9"/>
      <c r="Y325" s="9"/>
      <c r="Z325" s="9"/>
      <c r="AA325" s="9"/>
    </row>
    <row r="326" customFormat="false" ht="12.75" hidden="false" customHeight="false" outlineLevel="0" collapsed="false">
      <c r="G326" s="8"/>
      <c r="H326" s="8"/>
      <c r="I326" s="8"/>
      <c r="K326" s="50"/>
      <c r="L326" s="50"/>
      <c r="M326" s="50"/>
      <c r="N326" s="50"/>
      <c r="O326" s="50"/>
      <c r="P326" s="50"/>
      <c r="Q326" s="50"/>
      <c r="T326" s="9"/>
      <c r="U326" s="9"/>
      <c r="V326" s="9"/>
      <c r="W326" s="9"/>
      <c r="X326" s="9"/>
      <c r="Y326" s="9"/>
      <c r="Z326" s="9"/>
      <c r="AA326" s="9"/>
    </row>
    <row r="327" customFormat="false" ht="12.75" hidden="false" customHeight="false" outlineLevel="0" collapsed="false">
      <c r="G327" s="8"/>
      <c r="H327" s="8"/>
      <c r="I327" s="8"/>
      <c r="K327" s="50"/>
      <c r="L327" s="50"/>
      <c r="M327" s="50"/>
      <c r="N327" s="50"/>
      <c r="O327" s="50"/>
      <c r="P327" s="50"/>
      <c r="Q327" s="50"/>
      <c r="T327" s="9"/>
      <c r="U327" s="9"/>
      <c r="V327" s="9"/>
      <c r="W327" s="9"/>
      <c r="X327" s="9"/>
      <c r="Y327" s="9"/>
      <c r="Z327" s="9"/>
      <c r="AA327" s="9"/>
    </row>
    <row r="328" customFormat="false" ht="12.75" hidden="false" customHeight="false" outlineLevel="0" collapsed="false">
      <c r="G328" s="8"/>
      <c r="H328" s="8"/>
      <c r="I328" s="8"/>
      <c r="K328" s="50"/>
      <c r="L328" s="50"/>
      <c r="M328" s="50"/>
      <c r="N328" s="50"/>
      <c r="O328" s="50"/>
      <c r="P328" s="50"/>
      <c r="Q328" s="50"/>
      <c r="T328" s="9"/>
      <c r="U328" s="9"/>
      <c r="V328" s="9"/>
      <c r="W328" s="9"/>
      <c r="X328" s="9"/>
      <c r="Y328" s="9"/>
      <c r="Z328" s="9"/>
      <c r="AA328" s="9"/>
    </row>
    <row r="329" customFormat="false" ht="12.75" hidden="false" customHeight="false" outlineLevel="0" collapsed="false">
      <c r="G329" s="8"/>
      <c r="H329" s="8"/>
      <c r="I329" s="8"/>
      <c r="K329" s="50"/>
      <c r="L329" s="50"/>
      <c r="M329" s="50"/>
      <c r="N329" s="50"/>
      <c r="O329" s="50"/>
      <c r="P329" s="50"/>
      <c r="Q329" s="50"/>
      <c r="T329" s="9"/>
      <c r="U329" s="9"/>
      <c r="V329" s="9"/>
      <c r="W329" s="9"/>
      <c r="X329" s="9"/>
      <c r="Y329" s="9"/>
      <c r="Z329" s="9"/>
      <c r="AA329" s="9"/>
    </row>
    <row r="330" customFormat="false" ht="12.75" hidden="false" customHeight="false" outlineLevel="0" collapsed="false">
      <c r="K330" s="50"/>
      <c r="L330" s="50"/>
      <c r="M330" s="50"/>
      <c r="N330" s="50"/>
      <c r="O330" s="50"/>
      <c r="P330" s="50"/>
      <c r="Q330" s="50"/>
      <c r="T330" s="9"/>
      <c r="U330" s="9"/>
      <c r="V330" s="9"/>
      <c r="W330" s="9"/>
      <c r="X330" s="9"/>
      <c r="Y330" s="9"/>
      <c r="Z330" s="9"/>
      <c r="AA330" s="9"/>
    </row>
    <row r="331" customFormat="false" ht="12.75" hidden="false" customHeight="false" outlineLevel="0" collapsed="false">
      <c r="K331" s="50"/>
      <c r="L331" s="50"/>
      <c r="M331" s="50"/>
      <c r="N331" s="50"/>
      <c r="O331" s="50"/>
      <c r="P331" s="50"/>
      <c r="Q331" s="50"/>
      <c r="T331" s="9"/>
      <c r="U331" s="9"/>
      <c r="V331" s="9"/>
      <c r="W331" s="9"/>
      <c r="X331" s="9"/>
      <c r="Y331" s="9"/>
      <c r="Z331" s="9"/>
      <c r="AA331" s="9"/>
    </row>
    <row r="332" customFormat="false" ht="12.75" hidden="false" customHeight="false" outlineLevel="0" collapsed="false">
      <c r="K332" s="50"/>
      <c r="L332" s="50"/>
      <c r="M332" s="50"/>
      <c r="N332" s="50"/>
      <c r="O332" s="50"/>
      <c r="P332" s="50"/>
      <c r="Q332" s="50"/>
      <c r="T332" s="9"/>
      <c r="U332" s="9"/>
      <c r="V332" s="9"/>
      <c r="W332" s="9"/>
      <c r="X332" s="9"/>
      <c r="Y332" s="9"/>
      <c r="Z332" s="9"/>
      <c r="AA332" s="9"/>
    </row>
    <row r="333" customFormat="false" ht="12.75" hidden="false" customHeight="false" outlineLevel="0" collapsed="false">
      <c r="K333" s="50"/>
      <c r="L333" s="50"/>
      <c r="M333" s="50"/>
      <c r="N333" s="50"/>
      <c r="O333" s="50"/>
      <c r="P333" s="50"/>
      <c r="Q333" s="50"/>
      <c r="T333" s="9"/>
      <c r="U333" s="9"/>
      <c r="V333" s="9"/>
      <c r="W333" s="9"/>
      <c r="X333" s="9"/>
      <c r="Y333" s="9"/>
      <c r="Z333" s="9"/>
      <c r="AA333" s="9"/>
    </row>
    <row r="334" customFormat="false" ht="12.75" hidden="false" customHeight="false" outlineLevel="0" collapsed="false">
      <c r="K334" s="50"/>
      <c r="L334" s="50"/>
      <c r="M334" s="50"/>
      <c r="N334" s="50"/>
      <c r="O334" s="50"/>
      <c r="P334" s="50"/>
      <c r="Q334" s="50"/>
      <c r="T334" s="9"/>
      <c r="U334" s="9"/>
      <c r="V334" s="9"/>
      <c r="W334" s="9"/>
      <c r="X334" s="9"/>
      <c r="Y334" s="9"/>
      <c r="Z334" s="9"/>
      <c r="AA334" s="9"/>
    </row>
    <row r="335" customFormat="false" ht="12.75" hidden="false" customHeight="false" outlineLevel="0" collapsed="false">
      <c r="K335" s="50"/>
      <c r="L335" s="50"/>
      <c r="M335" s="50"/>
      <c r="N335" s="50"/>
      <c r="O335" s="50"/>
      <c r="P335" s="50"/>
      <c r="Q335" s="50"/>
      <c r="T335" s="9"/>
      <c r="U335" s="9"/>
      <c r="V335" s="9"/>
      <c r="W335" s="9"/>
      <c r="X335" s="9"/>
      <c r="Y335" s="9"/>
      <c r="Z335" s="9"/>
      <c r="AA335" s="9"/>
    </row>
    <row r="336" customFormat="false" ht="12.75" hidden="false" customHeight="false" outlineLevel="0" collapsed="false">
      <c r="K336" s="50"/>
      <c r="L336" s="50"/>
      <c r="M336" s="50"/>
      <c r="N336" s="50"/>
      <c r="O336" s="50"/>
      <c r="P336" s="50"/>
      <c r="Q336" s="50"/>
      <c r="T336" s="9"/>
      <c r="U336" s="9"/>
      <c r="V336" s="9"/>
      <c r="W336" s="9"/>
      <c r="X336" s="9"/>
      <c r="Y336" s="9"/>
      <c r="Z336" s="9"/>
      <c r="AA336" s="9"/>
    </row>
    <row r="337" customFormat="false" ht="12.75" hidden="false" customHeight="false" outlineLevel="0" collapsed="false">
      <c r="K337" s="50"/>
      <c r="L337" s="50"/>
      <c r="M337" s="50"/>
      <c r="N337" s="50"/>
      <c r="O337" s="50"/>
      <c r="P337" s="50"/>
      <c r="Q337" s="50"/>
      <c r="T337" s="9"/>
      <c r="U337" s="9"/>
      <c r="V337" s="9"/>
      <c r="W337" s="9"/>
      <c r="X337" s="9"/>
      <c r="Y337" s="9"/>
      <c r="Z337" s="9"/>
      <c r="AA337" s="9"/>
    </row>
    <row r="338" customFormat="false" ht="12.75" hidden="false" customHeight="false" outlineLevel="0" collapsed="false">
      <c r="K338" s="50"/>
      <c r="L338" s="50"/>
      <c r="M338" s="50"/>
      <c r="N338" s="50"/>
      <c r="O338" s="50"/>
      <c r="P338" s="50"/>
      <c r="Q338" s="50"/>
      <c r="T338" s="9"/>
      <c r="U338" s="9"/>
      <c r="V338" s="9"/>
      <c r="W338" s="9"/>
      <c r="X338" s="9"/>
      <c r="Y338" s="9"/>
      <c r="Z338" s="9"/>
      <c r="AA338" s="9"/>
    </row>
    <row r="339" customFormat="false" ht="12.75" hidden="false" customHeight="false" outlineLevel="0" collapsed="false">
      <c r="K339" s="50"/>
      <c r="L339" s="50"/>
      <c r="M339" s="50"/>
      <c r="N339" s="50"/>
      <c r="O339" s="50"/>
      <c r="P339" s="50"/>
      <c r="Q339" s="50"/>
      <c r="T339" s="9"/>
      <c r="U339" s="9"/>
      <c r="V339" s="9"/>
      <c r="W339" s="9"/>
      <c r="X339" s="9"/>
      <c r="Y339" s="9"/>
      <c r="Z339" s="9"/>
      <c r="AA339" s="9"/>
    </row>
    <row r="340" customFormat="false" ht="12.75" hidden="false" customHeight="false" outlineLevel="0" collapsed="false">
      <c r="K340" s="50"/>
      <c r="L340" s="50"/>
      <c r="M340" s="50"/>
      <c r="N340" s="50"/>
      <c r="O340" s="50"/>
      <c r="P340" s="50"/>
      <c r="Q340" s="50"/>
      <c r="T340" s="9"/>
      <c r="U340" s="9"/>
      <c r="V340" s="9"/>
      <c r="W340" s="9"/>
      <c r="X340" s="9"/>
      <c r="Y340" s="9"/>
      <c r="Z340" s="9"/>
      <c r="AA340" s="9"/>
    </row>
    <row r="341" customFormat="false" ht="12.75" hidden="false" customHeight="false" outlineLevel="0" collapsed="false">
      <c r="K341" s="50"/>
      <c r="L341" s="50"/>
      <c r="M341" s="50"/>
      <c r="N341" s="50"/>
      <c r="O341" s="50"/>
      <c r="P341" s="50"/>
      <c r="Q341" s="50"/>
      <c r="T341" s="9"/>
      <c r="U341" s="9"/>
      <c r="V341" s="9"/>
      <c r="W341" s="9"/>
      <c r="X341" s="9"/>
      <c r="Y341" s="9"/>
      <c r="Z341" s="9"/>
      <c r="AA341" s="9"/>
    </row>
    <row r="342" customFormat="false" ht="12.75" hidden="false" customHeight="false" outlineLevel="0" collapsed="false">
      <c r="K342" s="50"/>
      <c r="L342" s="50"/>
      <c r="M342" s="50"/>
      <c r="N342" s="50"/>
      <c r="O342" s="50"/>
      <c r="P342" s="50"/>
      <c r="Q342" s="50"/>
      <c r="T342" s="9"/>
      <c r="U342" s="9"/>
      <c r="V342" s="9"/>
      <c r="W342" s="9"/>
      <c r="X342" s="9"/>
      <c r="Y342" s="9"/>
      <c r="Z342" s="9"/>
      <c r="AA342" s="9"/>
    </row>
    <row r="343" customFormat="false" ht="12.75" hidden="false" customHeight="false" outlineLevel="0" collapsed="false">
      <c r="K343" s="50"/>
      <c r="L343" s="50"/>
      <c r="M343" s="50"/>
      <c r="N343" s="50"/>
      <c r="O343" s="50"/>
      <c r="P343" s="50"/>
      <c r="Q343" s="50"/>
      <c r="T343" s="9"/>
      <c r="U343" s="9"/>
      <c r="V343" s="9"/>
      <c r="W343" s="9"/>
      <c r="X343" s="9"/>
      <c r="Y343" s="9"/>
      <c r="Z343" s="9"/>
      <c r="AA343" s="9"/>
    </row>
    <row r="344" customFormat="false" ht="12.75" hidden="false" customHeight="false" outlineLevel="0" collapsed="false">
      <c r="K344" s="50"/>
      <c r="L344" s="50"/>
      <c r="M344" s="50"/>
      <c r="N344" s="50"/>
      <c r="O344" s="50"/>
      <c r="P344" s="50"/>
      <c r="Q344" s="50"/>
      <c r="T344" s="9"/>
      <c r="U344" s="9"/>
      <c r="V344" s="9"/>
      <c r="W344" s="9"/>
      <c r="X344" s="9"/>
      <c r="Y344" s="9"/>
      <c r="Z344" s="9"/>
      <c r="AA344" s="9"/>
    </row>
    <row r="345" customFormat="false" ht="12.75" hidden="false" customHeight="false" outlineLevel="0" collapsed="false">
      <c r="K345" s="50"/>
      <c r="L345" s="50"/>
      <c r="M345" s="50"/>
      <c r="N345" s="50"/>
      <c r="O345" s="50"/>
      <c r="P345" s="50"/>
      <c r="Q345" s="50"/>
      <c r="T345" s="9"/>
      <c r="U345" s="9"/>
      <c r="V345" s="9"/>
      <c r="W345" s="9"/>
      <c r="X345" s="9"/>
      <c r="Y345" s="9"/>
      <c r="Z345" s="9"/>
      <c r="AA345" s="9"/>
    </row>
    <row r="346" customFormat="false" ht="12.75" hidden="false" customHeight="false" outlineLevel="0" collapsed="false">
      <c r="K346" s="50"/>
      <c r="L346" s="50"/>
      <c r="M346" s="50"/>
      <c r="N346" s="50"/>
      <c r="O346" s="50"/>
      <c r="P346" s="50"/>
      <c r="Q346" s="50"/>
      <c r="T346" s="9"/>
      <c r="U346" s="9"/>
      <c r="V346" s="9"/>
      <c r="W346" s="9"/>
      <c r="X346" s="9"/>
      <c r="Y346" s="9"/>
      <c r="Z346" s="9"/>
      <c r="AA346" s="9"/>
    </row>
    <row r="347" customFormat="false" ht="12.75" hidden="false" customHeight="false" outlineLevel="0" collapsed="false">
      <c r="K347" s="50"/>
      <c r="L347" s="50"/>
      <c r="M347" s="50"/>
      <c r="N347" s="50"/>
      <c r="O347" s="50"/>
      <c r="P347" s="50"/>
      <c r="Q347" s="50"/>
      <c r="T347" s="9"/>
      <c r="U347" s="9"/>
      <c r="V347" s="9"/>
      <c r="W347" s="9"/>
      <c r="X347" s="9"/>
      <c r="Y347" s="9"/>
      <c r="Z347" s="9"/>
      <c r="AA347" s="9"/>
    </row>
    <row r="348" customFormat="false" ht="12.75" hidden="false" customHeight="false" outlineLevel="0" collapsed="false">
      <c r="K348" s="50"/>
      <c r="L348" s="50"/>
      <c r="M348" s="50"/>
      <c r="N348" s="50"/>
      <c r="O348" s="50"/>
      <c r="P348" s="50"/>
      <c r="Q348" s="50"/>
      <c r="T348" s="9"/>
      <c r="U348" s="9"/>
      <c r="V348" s="9"/>
      <c r="W348" s="9"/>
      <c r="X348" s="9"/>
      <c r="Y348" s="9"/>
      <c r="Z348" s="9"/>
      <c r="AA348" s="9"/>
    </row>
    <row r="349" customFormat="false" ht="12.75" hidden="false" customHeight="false" outlineLevel="0" collapsed="false">
      <c r="K349" s="50"/>
      <c r="L349" s="50"/>
      <c r="M349" s="50"/>
      <c r="N349" s="50"/>
      <c r="O349" s="50"/>
      <c r="P349" s="50"/>
      <c r="Q349" s="50"/>
      <c r="T349" s="9"/>
      <c r="U349" s="9"/>
      <c r="V349" s="9"/>
      <c r="W349" s="9"/>
      <c r="X349" s="9"/>
      <c r="Y349" s="9"/>
      <c r="Z349" s="9"/>
      <c r="AA349" s="9"/>
    </row>
    <row r="350" customFormat="false" ht="12.75" hidden="false" customHeight="false" outlineLevel="0" collapsed="false">
      <c r="K350" s="50"/>
      <c r="L350" s="50"/>
      <c r="M350" s="50"/>
      <c r="N350" s="50"/>
      <c r="O350" s="50"/>
      <c r="P350" s="50"/>
      <c r="Q350" s="50"/>
      <c r="T350" s="9"/>
      <c r="U350" s="9"/>
      <c r="V350" s="9"/>
      <c r="W350" s="9"/>
      <c r="X350" s="9"/>
      <c r="Y350" s="9"/>
      <c r="Z350" s="9"/>
      <c r="AA350" s="9"/>
    </row>
    <row r="351" customFormat="false" ht="12.75" hidden="false" customHeight="false" outlineLevel="0" collapsed="false">
      <c r="K351" s="50"/>
      <c r="L351" s="50"/>
      <c r="M351" s="50"/>
      <c r="N351" s="50"/>
      <c r="O351" s="50"/>
      <c r="P351" s="50"/>
      <c r="Q351" s="50"/>
      <c r="T351" s="9"/>
      <c r="U351" s="9"/>
      <c r="V351" s="9"/>
      <c r="W351" s="9"/>
      <c r="X351" s="9"/>
      <c r="Y351" s="9"/>
      <c r="Z351" s="9"/>
      <c r="AA351" s="9"/>
    </row>
    <row r="352" customFormat="false" ht="12.75" hidden="false" customHeight="false" outlineLevel="0" collapsed="false">
      <c r="K352" s="50"/>
      <c r="L352" s="50"/>
      <c r="M352" s="50"/>
      <c r="N352" s="50"/>
      <c r="O352" s="50"/>
      <c r="P352" s="50"/>
      <c r="Q352" s="50"/>
      <c r="T352" s="9"/>
      <c r="U352" s="9"/>
      <c r="V352" s="9"/>
      <c r="W352" s="9"/>
      <c r="X352" s="9"/>
      <c r="Y352" s="9"/>
      <c r="Z352" s="9"/>
      <c r="AA352" s="9"/>
    </row>
    <row r="353" customFormat="false" ht="12.75" hidden="false" customHeight="false" outlineLevel="0" collapsed="false">
      <c r="K353" s="50"/>
      <c r="L353" s="50"/>
      <c r="M353" s="50"/>
      <c r="N353" s="50"/>
      <c r="O353" s="50"/>
      <c r="P353" s="50"/>
      <c r="Q353" s="50"/>
      <c r="T353" s="9"/>
      <c r="U353" s="9"/>
      <c r="V353" s="9"/>
      <c r="W353" s="9"/>
      <c r="X353" s="9"/>
      <c r="Y353" s="9"/>
      <c r="Z353" s="9"/>
      <c r="AA353" s="9"/>
    </row>
    <row r="354" customFormat="false" ht="12.75" hidden="false" customHeight="false" outlineLevel="0" collapsed="false">
      <c r="K354" s="50"/>
      <c r="L354" s="50"/>
      <c r="M354" s="50"/>
      <c r="N354" s="50"/>
      <c r="O354" s="50"/>
      <c r="P354" s="50"/>
      <c r="Q354" s="50"/>
      <c r="T354" s="9"/>
      <c r="U354" s="9"/>
      <c r="V354" s="9"/>
      <c r="W354" s="9"/>
      <c r="X354" s="9"/>
      <c r="Y354" s="9"/>
      <c r="Z354" s="9"/>
      <c r="AA354" s="9"/>
    </row>
    <row r="355" customFormat="false" ht="12.75" hidden="false" customHeight="false" outlineLevel="0" collapsed="false">
      <c r="K355" s="50"/>
      <c r="L355" s="50"/>
      <c r="M355" s="50"/>
      <c r="N355" s="50"/>
      <c r="O355" s="50"/>
      <c r="P355" s="50"/>
      <c r="Q355" s="50"/>
      <c r="T355" s="9"/>
      <c r="U355" s="9"/>
      <c r="V355" s="9"/>
      <c r="W355" s="9"/>
      <c r="X355" s="9"/>
      <c r="Y355" s="9"/>
      <c r="Z355" s="9"/>
      <c r="AA355" s="9"/>
    </row>
    <row r="356" customFormat="false" ht="12.75" hidden="false" customHeight="false" outlineLevel="0" collapsed="false">
      <c r="K356" s="50"/>
      <c r="L356" s="50"/>
      <c r="M356" s="50"/>
      <c r="N356" s="50"/>
      <c r="O356" s="50"/>
      <c r="P356" s="50"/>
      <c r="Q356" s="50"/>
      <c r="T356" s="9"/>
      <c r="U356" s="9"/>
      <c r="V356" s="9"/>
      <c r="W356" s="9"/>
      <c r="X356" s="9"/>
      <c r="Y356" s="9"/>
      <c r="Z356" s="9"/>
      <c r="AA356" s="9"/>
    </row>
    <row r="357" customFormat="false" ht="12.75" hidden="false" customHeight="false" outlineLevel="0" collapsed="false">
      <c r="K357" s="50"/>
      <c r="L357" s="50"/>
      <c r="M357" s="50"/>
      <c r="N357" s="50"/>
      <c r="O357" s="50"/>
      <c r="P357" s="50"/>
      <c r="Q357" s="50"/>
      <c r="T357" s="9"/>
      <c r="U357" s="9"/>
      <c r="V357" s="9"/>
      <c r="W357" s="9"/>
      <c r="X357" s="9"/>
      <c r="Y357" s="9"/>
      <c r="Z357" s="9"/>
      <c r="AA357" s="9"/>
    </row>
    <row r="358" customFormat="false" ht="12.75" hidden="false" customHeight="false" outlineLevel="0" collapsed="false">
      <c r="K358" s="50"/>
      <c r="L358" s="50"/>
      <c r="M358" s="50"/>
      <c r="N358" s="50"/>
      <c r="O358" s="50"/>
      <c r="P358" s="50"/>
      <c r="Q358" s="50"/>
      <c r="T358" s="9"/>
      <c r="U358" s="9"/>
      <c r="V358" s="9"/>
      <c r="W358" s="9"/>
      <c r="X358" s="9"/>
      <c r="Y358" s="9"/>
      <c r="Z358" s="9"/>
      <c r="AA358" s="9"/>
    </row>
    <row r="359" customFormat="false" ht="12.75" hidden="false" customHeight="false" outlineLevel="0" collapsed="false">
      <c r="K359" s="50"/>
      <c r="L359" s="50"/>
      <c r="M359" s="50"/>
      <c r="N359" s="50"/>
      <c r="O359" s="50"/>
      <c r="P359" s="50"/>
      <c r="Q359" s="50"/>
      <c r="T359" s="9"/>
      <c r="U359" s="9"/>
      <c r="V359" s="9"/>
      <c r="W359" s="9"/>
      <c r="X359" s="9"/>
      <c r="Y359" s="9"/>
      <c r="Z359" s="9"/>
      <c r="AA359" s="9"/>
    </row>
    <row r="360" customFormat="false" ht="12.75" hidden="false" customHeight="false" outlineLevel="0" collapsed="false">
      <c r="K360" s="50"/>
      <c r="L360" s="50"/>
      <c r="M360" s="50"/>
      <c r="N360" s="50"/>
      <c r="O360" s="50"/>
      <c r="P360" s="50"/>
      <c r="Q360" s="50"/>
      <c r="T360" s="9"/>
      <c r="U360" s="9"/>
      <c r="V360" s="9"/>
      <c r="W360" s="9"/>
      <c r="X360" s="9"/>
      <c r="Y360" s="9"/>
      <c r="Z360" s="9"/>
      <c r="AA360" s="9"/>
    </row>
    <row r="361" customFormat="false" ht="12.75" hidden="false" customHeight="false" outlineLevel="0" collapsed="false">
      <c r="K361" s="50"/>
      <c r="L361" s="50"/>
      <c r="M361" s="50"/>
      <c r="N361" s="50"/>
      <c r="O361" s="50"/>
      <c r="P361" s="50"/>
      <c r="Q361" s="50"/>
      <c r="T361" s="9"/>
      <c r="U361" s="9"/>
      <c r="V361" s="9"/>
      <c r="W361" s="9"/>
      <c r="X361" s="9"/>
      <c r="Y361" s="9"/>
      <c r="Z361" s="9"/>
      <c r="AA361" s="9"/>
    </row>
    <row r="362" customFormat="false" ht="12.75" hidden="false" customHeight="false" outlineLevel="0" collapsed="false">
      <c r="K362" s="50"/>
      <c r="L362" s="50"/>
      <c r="M362" s="50"/>
      <c r="N362" s="50"/>
      <c r="O362" s="50"/>
      <c r="P362" s="50"/>
      <c r="Q362" s="50"/>
      <c r="T362" s="9"/>
      <c r="U362" s="9"/>
      <c r="V362" s="9"/>
      <c r="W362" s="9"/>
      <c r="X362" s="9"/>
      <c r="Y362" s="9"/>
      <c r="Z362" s="9"/>
      <c r="AA362" s="9"/>
    </row>
    <row r="363" customFormat="false" ht="12.75" hidden="false" customHeight="false" outlineLevel="0" collapsed="false">
      <c r="K363" s="50"/>
      <c r="L363" s="50"/>
      <c r="M363" s="50"/>
      <c r="N363" s="50"/>
      <c r="O363" s="50"/>
      <c r="P363" s="50"/>
      <c r="Q363" s="50"/>
      <c r="T363" s="9"/>
      <c r="U363" s="9"/>
      <c r="V363" s="9"/>
      <c r="W363" s="9"/>
      <c r="X363" s="9"/>
      <c r="Y363" s="9"/>
      <c r="Z363" s="9"/>
      <c r="AA363" s="9"/>
    </row>
    <row r="364" customFormat="false" ht="12.75" hidden="false" customHeight="false" outlineLevel="0" collapsed="false">
      <c r="K364" s="50"/>
      <c r="L364" s="50"/>
      <c r="M364" s="50"/>
      <c r="N364" s="50"/>
      <c r="O364" s="50"/>
      <c r="P364" s="50"/>
      <c r="Q364" s="50"/>
      <c r="T364" s="9"/>
      <c r="U364" s="9"/>
      <c r="V364" s="9"/>
      <c r="W364" s="9"/>
      <c r="X364" s="9"/>
      <c r="Y364" s="9"/>
      <c r="Z364" s="9"/>
      <c r="AA364" s="9"/>
    </row>
    <row r="365" customFormat="false" ht="12.75" hidden="false" customHeight="false" outlineLevel="0" collapsed="false">
      <c r="K365" s="50"/>
      <c r="L365" s="50"/>
      <c r="M365" s="50"/>
      <c r="N365" s="50"/>
      <c r="O365" s="50"/>
      <c r="P365" s="50"/>
      <c r="Q365" s="50"/>
      <c r="T365" s="9"/>
      <c r="U365" s="9"/>
      <c r="V365" s="9"/>
      <c r="W365" s="9"/>
      <c r="X365" s="9"/>
      <c r="Y365" s="9"/>
      <c r="Z365" s="9"/>
      <c r="AA365" s="9"/>
    </row>
    <row r="366" customFormat="false" ht="12.75" hidden="false" customHeight="false" outlineLevel="0" collapsed="false">
      <c r="K366" s="50"/>
      <c r="L366" s="50"/>
      <c r="M366" s="50"/>
      <c r="N366" s="50"/>
      <c r="O366" s="50"/>
      <c r="P366" s="50"/>
      <c r="Q366" s="50"/>
      <c r="T366" s="9"/>
      <c r="U366" s="9"/>
      <c r="V366" s="9"/>
      <c r="W366" s="9"/>
      <c r="X366" s="9"/>
      <c r="Y366" s="9"/>
      <c r="Z366" s="9"/>
      <c r="AA366" s="9"/>
    </row>
    <row r="367" customFormat="false" ht="12.75" hidden="false" customHeight="false" outlineLevel="0" collapsed="false">
      <c r="K367" s="50"/>
      <c r="L367" s="50"/>
      <c r="M367" s="50"/>
      <c r="N367" s="50"/>
      <c r="O367" s="50"/>
      <c r="P367" s="50"/>
      <c r="Q367" s="50"/>
      <c r="T367" s="9"/>
      <c r="U367" s="9"/>
      <c r="V367" s="9"/>
      <c r="W367" s="9"/>
      <c r="X367" s="9"/>
      <c r="Y367" s="9"/>
      <c r="Z367" s="9"/>
      <c r="AA367" s="9"/>
    </row>
    <row r="368" customFormat="false" ht="12.75" hidden="false" customHeight="false" outlineLevel="0" collapsed="false">
      <c r="T368" s="9"/>
      <c r="U368" s="9"/>
      <c r="V368" s="9"/>
      <c r="W368" s="9"/>
      <c r="X368" s="9"/>
      <c r="Y368" s="9"/>
      <c r="Z368" s="9"/>
      <c r="AA368" s="9"/>
    </row>
    <row r="369" customFormat="false" ht="12.75" hidden="false" customHeight="false" outlineLevel="0" collapsed="false">
      <c r="T369" s="9"/>
      <c r="U369" s="9"/>
      <c r="V369" s="9"/>
      <c r="W369" s="9"/>
      <c r="X369" s="9"/>
      <c r="Y369" s="9"/>
      <c r="Z369" s="9"/>
      <c r="AA369" s="9"/>
    </row>
    <row r="370" customFormat="false" ht="12.75" hidden="false" customHeight="false" outlineLevel="0" collapsed="false">
      <c r="T370" s="9"/>
      <c r="U370" s="9"/>
      <c r="V370" s="9"/>
      <c r="W370" s="9"/>
      <c r="X370" s="9"/>
      <c r="Y370" s="9"/>
      <c r="Z370" s="9"/>
      <c r="AA370" s="9"/>
    </row>
    <row r="371" customFormat="false" ht="12.75" hidden="false" customHeight="false" outlineLevel="0" collapsed="false">
      <c r="T371" s="9"/>
      <c r="U371" s="9"/>
      <c r="V371" s="9"/>
      <c r="W371" s="9"/>
      <c r="X371" s="9"/>
      <c r="Y371" s="9"/>
      <c r="Z371" s="9"/>
      <c r="AA371" s="9"/>
    </row>
    <row r="372" customFormat="false" ht="12.75" hidden="false" customHeight="false" outlineLevel="0" collapsed="false">
      <c r="T372" s="9"/>
      <c r="U372" s="9"/>
      <c r="V372" s="9"/>
      <c r="W372" s="9"/>
      <c r="X372" s="9"/>
      <c r="Y372" s="9"/>
      <c r="Z372" s="9"/>
      <c r="AA372" s="9"/>
    </row>
    <row r="373" customFormat="false" ht="12.75" hidden="false" customHeight="false" outlineLevel="0" collapsed="false">
      <c r="T373" s="9"/>
      <c r="U373" s="9"/>
      <c r="V373" s="9"/>
      <c r="W373" s="9"/>
      <c r="X373" s="9"/>
      <c r="Y373" s="9"/>
      <c r="Z373" s="9"/>
      <c r="AA373" s="9"/>
    </row>
    <row r="374" customFormat="false" ht="12.75" hidden="false" customHeight="false" outlineLevel="0" collapsed="false">
      <c r="T374" s="9"/>
      <c r="U374" s="9"/>
      <c r="V374" s="9"/>
      <c r="W374" s="9"/>
      <c r="X374" s="9"/>
      <c r="Y374" s="9"/>
      <c r="Z374" s="9"/>
      <c r="AA374" s="9"/>
    </row>
    <row r="375" customFormat="false" ht="12.75" hidden="false" customHeight="false" outlineLevel="0" collapsed="false">
      <c r="T375" s="9"/>
      <c r="U375" s="9"/>
      <c r="V375" s="9"/>
      <c r="W375" s="9"/>
      <c r="X375" s="9"/>
      <c r="Y375" s="9"/>
      <c r="Z375" s="9"/>
      <c r="AA375" s="9"/>
    </row>
    <row r="376" customFormat="false" ht="12.75" hidden="false" customHeight="false" outlineLevel="0" collapsed="false">
      <c r="T376" s="9"/>
      <c r="U376" s="9"/>
      <c r="V376" s="9"/>
      <c r="W376" s="9"/>
      <c r="X376" s="9"/>
      <c r="Y376" s="9"/>
      <c r="Z376" s="9"/>
      <c r="AA376" s="9"/>
    </row>
    <row r="377" customFormat="false" ht="12.75" hidden="false" customHeight="false" outlineLevel="0" collapsed="false">
      <c r="T377" s="9"/>
      <c r="U377" s="9"/>
      <c r="V377" s="9"/>
      <c r="W377" s="9"/>
      <c r="X377" s="9"/>
      <c r="Y377" s="9"/>
      <c r="Z377" s="9"/>
      <c r="AA377" s="9"/>
    </row>
    <row r="378" customFormat="false" ht="12.75" hidden="false" customHeight="false" outlineLevel="0" collapsed="false">
      <c r="T378" s="9"/>
      <c r="U378" s="9"/>
      <c r="V378" s="9"/>
      <c r="W378" s="9"/>
      <c r="X378" s="9"/>
      <c r="Y378" s="9"/>
      <c r="Z378" s="9"/>
      <c r="AA378" s="9"/>
    </row>
    <row r="379" customFormat="false" ht="12.75" hidden="false" customHeight="false" outlineLevel="0" collapsed="false">
      <c r="T379" s="9"/>
      <c r="U379" s="9"/>
      <c r="V379" s="9"/>
      <c r="W379" s="9"/>
      <c r="X379" s="9"/>
      <c r="Y379" s="9"/>
      <c r="Z379" s="9"/>
      <c r="AA379" s="9"/>
    </row>
    <row r="380" customFormat="false" ht="12.75" hidden="false" customHeight="false" outlineLevel="0" collapsed="false">
      <c r="T380" s="9"/>
      <c r="U380" s="9"/>
      <c r="V380" s="9"/>
      <c r="W380" s="9"/>
      <c r="X380" s="9"/>
      <c r="Y380" s="9"/>
      <c r="Z380" s="9"/>
      <c r="AA380" s="9"/>
    </row>
    <row r="381" customFormat="false" ht="12.75" hidden="false" customHeight="false" outlineLevel="0" collapsed="false">
      <c r="T381" s="9"/>
      <c r="U381" s="9"/>
      <c r="V381" s="9"/>
      <c r="W381" s="9"/>
      <c r="X381" s="9"/>
      <c r="Y381" s="9"/>
      <c r="Z381" s="9"/>
      <c r="AA381" s="9"/>
    </row>
    <row r="382" customFormat="false" ht="12.75" hidden="false" customHeight="false" outlineLevel="0" collapsed="false">
      <c r="T382" s="9"/>
      <c r="U382" s="9"/>
      <c r="V382" s="9"/>
      <c r="W382" s="9"/>
      <c r="X382" s="9"/>
      <c r="Y382" s="9"/>
      <c r="Z382" s="9"/>
      <c r="AA382" s="9"/>
    </row>
    <row r="383" customFormat="false" ht="12.75" hidden="false" customHeight="false" outlineLevel="0" collapsed="false">
      <c r="T383" s="9"/>
      <c r="U383" s="9"/>
      <c r="V383" s="9"/>
      <c r="W383" s="9"/>
      <c r="X383" s="9"/>
      <c r="Y383" s="9"/>
      <c r="Z383" s="9"/>
      <c r="AA383" s="9"/>
    </row>
    <row r="384" customFormat="false" ht="12.75" hidden="false" customHeight="false" outlineLevel="0" collapsed="false">
      <c r="T384" s="9"/>
      <c r="U384" s="9"/>
      <c r="V384" s="9"/>
      <c r="W384" s="9"/>
      <c r="X384" s="9"/>
      <c r="Y384" s="9"/>
      <c r="Z384" s="9"/>
      <c r="AA384" s="9"/>
    </row>
    <row r="385" customFormat="false" ht="12.75" hidden="false" customHeight="false" outlineLevel="0" collapsed="false">
      <c r="T385" s="9"/>
      <c r="U385" s="9"/>
      <c r="V385" s="9"/>
      <c r="W385" s="9"/>
      <c r="X385" s="9"/>
      <c r="Y385" s="9"/>
      <c r="Z385" s="9"/>
      <c r="AA385" s="9"/>
    </row>
    <row r="386" customFormat="false" ht="12.75" hidden="false" customHeight="false" outlineLevel="0" collapsed="false">
      <c r="T386" s="9"/>
      <c r="U386" s="9"/>
      <c r="V386" s="9"/>
      <c r="W386" s="9"/>
      <c r="X386" s="9"/>
      <c r="Y386" s="9"/>
      <c r="Z386" s="9"/>
      <c r="AA386" s="9"/>
    </row>
    <row r="387" customFormat="false" ht="12.75" hidden="false" customHeight="false" outlineLevel="0" collapsed="false">
      <c r="T387" s="9"/>
      <c r="U387" s="9"/>
      <c r="V387" s="9"/>
      <c r="W387" s="9"/>
      <c r="X387" s="9"/>
      <c r="Y387" s="9"/>
      <c r="Z387" s="9"/>
      <c r="AA387" s="9"/>
    </row>
    <row r="388" customFormat="false" ht="12.75" hidden="false" customHeight="false" outlineLevel="0" collapsed="false">
      <c r="T388" s="9"/>
      <c r="U388" s="9"/>
      <c r="V388" s="9"/>
      <c r="W388" s="9"/>
      <c r="X388" s="9"/>
      <c r="Y388" s="9"/>
      <c r="Z388" s="9"/>
      <c r="AA388" s="9"/>
    </row>
    <row r="389" customFormat="false" ht="12.75" hidden="false" customHeight="false" outlineLevel="0" collapsed="false">
      <c r="T389" s="9"/>
      <c r="U389" s="9"/>
      <c r="V389" s="9"/>
      <c r="W389" s="9"/>
      <c r="X389" s="9"/>
      <c r="Y389" s="9"/>
      <c r="Z389" s="9"/>
      <c r="AA389" s="9"/>
    </row>
    <row r="390" customFormat="false" ht="12.75" hidden="false" customHeight="false" outlineLevel="0" collapsed="false">
      <c r="T390" s="9"/>
      <c r="U390" s="9"/>
      <c r="V390" s="9"/>
      <c r="W390" s="9"/>
      <c r="X390" s="9"/>
      <c r="Y390" s="9"/>
      <c r="Z390" s="9"/>
      <c r="AA390" s="9"/>
    </row>
    <row r="391" customFormat="false" ht="12.75" hidden="false" customHeight="false" outlineLevel="0" collapsed="false">
      <c r="T391" s="9"/>
      <c r="U391" s="9"/>
      <c r="V391" s="9"/>
      <c r="W391" s="9"/>
      <c r="X391" s="9"/>
      <c r="Y391" s="9"/>
      <c r="Z391" s="9"/>
      <c r="AA391" s="9"/>
    </row>
    <row r="392" customFormat="false" ht="12.75" hidden="false" customHeight="false" outlineLevel="0" collapsed="false">
      <c r="T392" s="9"/>
      <c r="U392" s="9"/>
      <c r="V392" s="9"/>
      <c r="W392" s="9"/>
      <c r="X392" s="9"/>
      <c r="Y392" s="9"/>
      <c r="Z392" s="9"/>
      <c r="AA392" s="9"/>
    </row>
    <row r="393" customFormat="false" ht="12.75" hidden="false" customHeight="false" outlineLevel="0" collapsed="false">
      <c r="T393" s="9"/>
      <c r="U393" s="9"/>
      <c r="V393" s="9"/>
      <c r="W393" s="9"/>
      <c r="X393" s="9"/>
      <c r="Y393" s="9"/>
      <c r="Z393" s="9"/>
      <c r="AA393" s="9"/>
    </row>
    <row r="394" customFormat="false" ht="12.75" hidden="false" customHeight="false" outlineLevel="0" collapsed="false">
      <c r="T394" s="9"/>
      <c r="U394" s="9"/>
      <c r="V394" s="9"/>
      <c r="W394" s="9"/>
      <c r="X394" s="9"/>
      <c r="Y394" s="9"/>
      <c r="Z394" s="9"/>
      <c r="AA394" s="9"/>
    </row>
    <row r="395" customFormat="false" ht="12.75" hidden="false" customHeight="false" outlineLevel="0" collapsed="false">
      <c r="T395" s="9"/>
      <c r="U395" s="9"/>
      <c r="V395" s="9"/>
      <c r="W395" s="9"/>
      <c r="X395" s="9"/>
      <c r="Y395" s="9"/>
      <c r="Z395" s="9"/>
      <c r="AA395" s="9"/>
    </row>
    <row r="396" customFormat="false" ht="12.75" hidden="false" customHeight="false" outlineLevel="0" collapsed="false">
      <c r="T396" s="9"/>
      <c r="U396" s="9"/>
      <c r="V396" s="9"/>
      <c r="W396" s="9"/>
      <c r="X396" s="9"/>
      <c r="Y396" s="9"/>
      <c r="Z396" s="9"/>
      <c r="AA396" s="9"/>
    </row>
    <row r="397" customFormat="false" ht="12.75" hidden="false" customHeight="false" outlineLevel="0" collapsed="false">
      <c r="T397" s="9"/>
      <c r="U397" s="9"/>
      <c r="V397" s="9"/>
      <c r="W397" s="9"/>
      <c r="X397" s="9"/>
      <c r="Y397" s="9"/>
      <c r="Z397" s="9"/>
      <c r="AA397" s="9"/>
    </row>
    <row r="398" customFormat="false" ht="12.75" hidden="false" customHeight="false" outlineLevel="0" collapsed="false">
      <c r="T398" s="9"/>
      <c r="U398" s="9"/>
      <c r="V398" s="9"/>
      <c r="W398" s="9"/>
      <c r="X398" s="9"/>
      <c r="Y398" s="9"/>
      <c r="Z398" s="9"/>
      <c r="AA398" s="9"/>
    </row>
    <row r="399" customFormat="false" ht="12.75" hidden="false" customHeight="false" outlineLevel="0" collapsed="false">
      <c r="T399" s="9"/>
      <c r="U399" s="9"/>
      <c r="V399" s="9"/>
      <c r="W399" s="9"/>
      <c r="X399" s="9"/>
      <c r="Y399" s="9"/>
      <c r="Z399" s="9"/>
      <c r="AA399" s="9"/>
    </row>
    <row r="400" customFormat="false" ht="12.75" hidden="false" customHeight="false" outlineLevel="0" collapsed="false">
      <c r="T400" s="9"/>
      <c r="U400" s="9"/>
      <c r="V400" s="9"/>
      <c r="W400" s="9"/>
      <c r="X400" s="9"/>
      <c r="Y400" s="9"/>
      <c r="Z400" s="9"/>
      <c r="AA400" s="9"/>
    </row>
    <row r="401" customFormat="false" ht="12.75" hidden="false" customHeight="false" outlineLevel="0" collapsed="false">
      <c r="T401" s="9"/>
      <c r="U401" s="9"/>
      <c r="V401" s="9"/>
      <c r="W401" s="9"/>
      <c r="X401" s="9"/>
      <c r="Y401" s="9"/>
      <c r="Z401" s="9"/>
      <c r="AA401" s="9"/>
    </row>
    <row r="402" customFormat="false" ht="12.75" hidden="false" customHeight="false" outlineLevel="0" collapsed="false">
      <c r="T402" s="9"/>
      <c r="U402" s="9"/>
      <c r="V402" s="9"/>
      <c r="W402" s="9"/>
      <c r="X402" s="9"/>
      <c r="Y402" s="9"/>
      <c r="Z402" s="9"/>
      <c r="AA402" s="9"/>
    </row>
    <row r="403" customFormat="false" ht="12.75" hidden="false" customHeight="false" outlineLevel="0" collapsed="false">
      <c r="T403" s="9"/>
      <c r="U403" s="9"/>
      <c r="V403" s="9"/>
      <c r="W403" s="9"/>
      <c r="X403" s="9"/>
      <c r="Y403" s="9"/>
      <c r="Z403" s="9"/>
      <c r="AA403" s="9"/>
    </row>
    <row r="404" customFormat="false" ht="12.75" hidden="false" customHeight="false" outlineLevel="0" collapsed="false">
      <c r="T404" s="9"/>
      <c r="U404" s="9"/>
      <c r="V404" s="9"/>
      <c r="W404" s="9"/>
      <c r="X404" s="9"/>
      <c r="Y404" s="9"/>
      <c r="Z404" s="9"/>
      <c r="AA404" s="9"/>
    </row>
    <row r="405" customFormat="false" ht="12.75" hidden="false" customHeight="false" outlineLevel="0" collapsed="false">
      <c r="T405" s="9"/>
      <c r="U405" s="9"/>
      <c r="V405" s="9"/>
      <c r="W405" s="9"/>
      <c r="X405" s="9"/>
      <c r="Y405" s="9"/>
      <c r="Z405" s="9"/>
      <c r="AA405" s="9"/>
    </row>
    <row r="406" customFormat="false" ht="12.75" hidden="false" customHeight="false" outlineLevel="0" collapsed="false">
      <c r="T406" s="9"/>
      <c r="U406" s="9"/>
      <c r="V406" s="9"/>
      <c r="W406" s="9"/>
      <c r="X406" s="9"/>
      <c r="Y406" s="9"/>
      <c r="Z406" s="9"/>
      <c r="AA406" s="9"/>
    </row>
    <row r="407" customFormat="false" ht="12.75" hidden="false" customHeight="false" outlineLevel="0" collapsed="false">
      <c r="T407" s="9"/>
      <c r="U407" s="9"/>
      <c r="V407" s="9"/>
      <c r="W407" s="9"/>
      <c r="X407" s="9"/>
      <c r="Y407" s="9"/>
      <c r="Z407" s="9"/>
      <c r="AA407" s="9"/>
    </row>
    <row r="408" customFormat="false" ht="12.75" hidden="false" customHeight="false" outlineLevel="0" collapsed="false">
      <c r="T408" s="9"/>
      <c r="U408" s="9"/>
      <c r="V408" s="9"/>
      <c r="W408" s="9"/>
      <c r="X408" s="9"/>
      <c r="Y408" s="9"/>
      <c r="Z408" s="9"/>
      <c r="AA408" s="9"/>
    </row>
    <row r="409" customFormat="false" ht="12.75" hidden="false" customHeight="false" outlineLevel="0" collapsed="false">
      <c r="T409" s="9"/>
      <c r="U409" s="9"/>
      <c r="V409" s="9"/>
      <c r="W409" s="9"/>
      <c r="X409" s="9"/>
      <c r="Y409" s="9"/>
      <c r="Z409" s="9"/>
      <c r="AA409" s="9"/>
    </row>
    <row r="410" customFormat="false" ht="12.75" hidden="false" customHeight="false" outlineLevel="0" collapsed="false">
      <c r="T410" s="9"/>
      <c r="U410" s="9"/>
      <c r="V410" s="9"/>
      <c r="W410" s="9"/>
      <c r="X410" s="9"/>
      <c r="Y410" s="9"/>
      <c r="Z410" s="9"/>
      <c r="AA410" s="9"/>
    </row>
    <row r="411" customFormat="false" ht="12.75" hidden="false" customHeight="false" outlineLevel="0" collapsed="false">
      <c r="T411" s="9"/>
      <c r="U411" s="9"/>
      <c r="V411" s="9"/>
      <c r="W411" s="9"/>
      <c r="X411" s="9"/>
      <c r="Y411" s="9"/>
      <c r="Z411" s="9"/>
      <c r="AA411" s="9"/>
    </row>
    <row r="412" customFormat="false" ht="12.75" hidden="false" customHeight="false" outlineLevel="0" collapsed="false">
      <c r="T412" s="9"/>
      <c r="U412" s="9"/>
      <c r="V412" s="9"/>
      <c r="W412" s="9"/>
      <c r="X412" s="9"/>
      <c r="Y412" s="9"/>
      <c r="Z412" s="9"/>
      <c r="AA412" s="9"/>
    </row>
    <row r="413" customFormat="false" ht="12.75" hidden="false" customHeight="false" outlineLevel="0" collapsed="false">
      <c r="T413" s="9"/>
      <c r="U413" s="9"/>
      <c r="V413" s="9"/>
      <c r="W413" s="9"/>
      <c r="X413" s="9"/>
      <c r="Y413" s="9"/>
      <c r="Z413" s="9"/>
      <c r="AA413" s="9"/>
    </row>
    <row r="414" customFormat="false" ht="12.75" hidden="false" customHeight="false" outlineLevel="0" collapsed="false">
      <c r="T414" s="9"/>
      <c r="U414" s="9"/>
      <c r="V414" s="9"/>
      <c r="W414" s="9"/>
      <c r="X414" s="9"/>
      <c r="Y414" s="9"/>
      <c r="Z414" s="9"/>
      <c r="AA414" s="9"/>
    </row>
    <row r="415" customFormat="false" ht="12.75" hidden="false" customHeight="false" outlineLevel="0" collapsed="false">
      <c r="T415" s="9"/>
      <c r="U415" s="9"/>
      <c r="V415" s="9"/>
      <c r="W415" s="9"/>
      <c r="X415" s="9"/>
      <c r="Y415" s="9"/>
      <c r="Z415" s="9"/>
      <c r="AA415" s="9"/>
    </row>
    <row r="416" customFormat="false" ht="12.75" hidden="false" customHeight="false" outlineLevel="0" collapsed="false">
      <c r="T416" s="9"/>
      <c r="U416" s="9"/>
      <c r="V416" s="9"/>
      <c r="W416" s="9"/>
      <c r="X416" s="9"/>
      <c r="Y416" s="9"/>
      <c r="Z416" s="9"/>
      <c r="AA416" s="9"/>
    </row>
    <row r="417" customFormat="false" ht="12.75" hidden="false" customHeight="false" outlineLevel="0" collapsed="false">
      <c r="T417" s="9"/>
      <c r="U417" s="9"/>
      <c r="V417" s="9"/>
      <c r="W417" s="9"/>
      <c r="X417" s="9"/>
      <c r="Y417" s="9"/>
      <c r="Z417" s="9"/>
      <c r="AA417" s="9"/>
    </row>
    <row r="418" customFormat="false" ht="12.75" hidden="false" customHeight="false" outlineLevel="0" collapsed="false">
      <c r="T418" s="9"/>
      <c r="U418" s="9"/>
      <c r="V418" s="9"/>
      <c r="W418" s="9"/>
      <c r="X418" s="9"/>
      <c r="Y418" s="9"/>
      <c r="Z418" s="9"/>
      <c r="AA418" s="9"/>
    </row>
    <row r="419" customFormat="false" ht="12.75" hidden="false" customHeight="false" outlineLevel="0" collapsed="false">
      <c r="T419" s="9"/>
      <c r="U419" s="9"/>
      <c r="V419" s="9"/>
      <c r="W419" s="9"/>
      <c r="X419" s="9"/>
      <c r="Y419" s="9"/>
      <c r="Z419" s="9"/>
      <c r="AA419" s="9"/>
    </row>
    <row r="420" customFormat="false" ht="12.75" hidden="false" customHeight="false" outlineLevel="0" collapsed="false">
      <c r="T420" s="9"/>
      <c r="U420" s="9"/>
      <c r="V420" s="9"/>
      <c r="W420" s="9"/>
      <c r="X420" s="9"/>
      <c r="Y420" s="9"/>
      <c r="Z420" s="9"/>
      <c r="AA420" s="9"/>
    </row>
    <row r="421" customFormat="false" ht="12.75" hidden="false" customHeight="false" outlineLevel="0" collapsed="false">
      <c r="T421" s="9"/>
      <c r="U421" s="9"/>
      <c r="V421" s="9"/>
      <c r="W421" s="9"/>
      <c r="X421" s="9"/>
      <c r="Y421" s="9"/>
      <c r="Z421" s="9"/>
      <c r="AA421" s="9"/>
    </row>
    <row r="422" customFormat="false" ht="12.75" hidden="false" customHeight="false" outlineLevel="0" collapsed="false">
      <c r="T422" s="9"/>
      <c r="U422" s="9"/>
      <c r="V422" s="9"/>
      <c r="W422" s="9"/>
      <c r="X422" s="9"/>
      <c r="Y422" s="9"/>
      <c r="Z422" s="9"/>
      <c r="AA422" s="9"/>
    </row>
    <row r="423" customFormat="false" ht="12.75" hidden="false" customHeight="false" outlineLevel="0" collapsed="false">
      <c r="T423" s="9"/>
      <c r="U423" s="9"/>
      <c r="V423" s="9"/>
      <c r="W423" s="9"/>
      <c r="X423" s="9"/>
      <c r="Y423" s="9"/>
      <c r="Z423" s="9"/>
      <c r="AA423" s="9"/>
    </row>
    <row r="424" customFormat="false" ht="12.75" hidden="false" customHeight="false" outlineLevel="0" collapsed="false">
      <c r="T424" s="9"/>
      <c r="U424" s="9"/>
      <c r="V424" s="9"/>
      <c r="W424" s="9"/>
      <c r="X424" s="9"/>
      <c r="Y424" s="9"/>
      <c r="Z424" s="9"/>
      <c r="AA424" s="9"/>
    </row>
    <row r="425" customFormat="false" ht="12.75" hidden="false" customHeight="false" outlineLevel="0" collapsed="false">
      <c r="T425" s="9"/>
      <c r="U425" s="9"/>
      <c r="V425" s="9"/>
      <c r="W425" s="9"/>
      <c r="X425" s="9"/>
      <c r="Y425" s="9"/>
      <c r="Z425" s="9"/>
      <c r="AA425" s="9"/>
    </row>
    <row r="426" customFormat="false" ht="12.75" hidden="false" customHeight="false" outlineLevel="0" collapsed="false">
      <c r="T426" s="9"/>
      <c r="U426" s="9"/>
      <c r="V426" s="9"/>
      <c r="W426" s="9"/>
      <c r="X426" s="9"/>
      <c r="Y426" s="9"/>
      <c r="Z426" s="9"/>
      <c r="AA426" s="9"/>
    </row>
    <row r="427" customFormat="false" ht="12.75" hidden="false" customHeight="false" outlineLevel="0" collapsed="false">
      <c r="T427" s="9"/>
      <c r="U427" s="9"/>
      <c r="V427" s="9"/>
      <c r="W427" s="9"/>
      <c r="X427" s="9"/>
      <c r="Y427" s="9"/>
      <c r="Z427" s="9"/>
      <c r="AA427" s="9"/>
    </row>
    <row r="428" customFormat="false" ht="12.75" hidden="false" customHeight="false" outlineLevel="0" collapsed="false">
      <c r="T428" s="9"/>
      <c r="U428" s="9"/>
      <c r="V428" s="9"/>
      <c r="W428" s="9"/>
      <c r="X428" s="9"/>
      <c r="Y428" s="9"/>
      <c r="Z428" s="9"/>
      <c r="AA428" s="9"/>
    </row>
    <row r="429" customFormat="false" ht="12.75" hidden="false" customHeight="false" outlineLevel="0" collapsed="false">
      <c r="T429" s="9"/>
      <c r="U429" s="9"/>
      <c r="V429" s="9"/>
      <c r="W429" s="9"/>
      <c r="X429" s="9"/>
      <c r="Y429" s="9"/>
      <c r="Z429" s="9"/>
      <c r="AA429" s="9"/>
    </row>
    <row r="430" customFormat="false" ht="12.75" hidden="false" customHeight="false" outlineLevel="0" collapsed="false">
      <c r="T430" s="9"/>
      <c r="U430" s="9"/>
      <c r="V430" s="9"/>
      <c r="W430" s="9"/>
      <c r="X430" s="9"/>
      <c r="Y430" s="9"/>
      <c r="Z430" s="9"/>
      <c r="AA430" s="9"/>
    </row>
    <row r="431" customFormat="false" ht="12.75" hidden="false" customHeight="false" outlineLevel="0" collapsed="false">
      <c r="T431" s="9"/>
      <c r="U431" s="9"/>
      <c r="V431" s="9"/>
      <c r="W431" s="9"/>
      <c r="X431" s="9"/>
      <c r="Y431" s="9"/>
      <c r="Z431" s="9"/>
      <c r="AA431" s="9"/>
    </row>
    <row r="432" customFormat="false" ht="12.75" hidden="false" customHeight="false" outlineLevel="0" collapsed="false">
      <c r="T432" s="9"/>
      <c r="U432" s="9"/>
      <c r="V432" s="9"/>
      <c r="W432" s="9"/>
      <c r="X432" s="9"/>
      <c r="Y432" s="9"/>
      <c r="Z432" s="9"/>
      <c r="AA432" s="9"/>
    </row>
    <row r="433" customFormat="false" ht="12.75" hidden="false" customHeight="false" outlineLevel="0" collapsed="false">
      <c r="T433" s="9"/>
      <c r="U433" s="9"/>
      <c r="V433" s="9"/>
      <c r="W433" s="9"/>
      <c r="X433" s="9"/>
      <c r="Y433" s="9"/>
      <c r="Z433" s="9"/>
      <c r="AA433" s="9"/>
    </row>
    <row r="434" customFormat="false" ht="12.75" hidden="false" customHeight="false" outlineLevel="0" collapsed="false">
      <c r="T434" s="9"/>
      <c r="U434" s="9"/>
      <c r="V434" s="9"/>
      <c r="W434" s="9"/>
      <c r="X434" s="9"/>
      <c r="Y434" s="9"/>
      <c r="Z434" s="9"/>
      <c r="AA434" s="9"/>
    </row>
    <row r="435" customFormat="false" ht="12.75" hidden="false" customHeight="false" outlineLevel="0" collapsed="false">
      <c r="T435" s="9"/>
      <c r="U435" s="9"/>
      <c r="V435" s="9"/>
      <c r="W435" s="9"/>
      <c r="X435" s="9"/>
      <c r="Y435" s="9"/>
      <c r="Z435" s="9"/>
      <c r="AA435" s="9"/>
    </row>
    <row r="436" customFormat="false" ht="12.75" hidden="false" customHeight="false" outlineLevel="0" collapsed="false">
      <c r="T436" s="9"/>
      <c r="U436" s="9"/>
      <c r="V436" s="9"/>
      <c r="W436" s="9"/>
      <c r="X436" s="9"/>
      <c r="Y436" s="9"/>
      <c r="Z436" s="9"/>
      <c r="AA436" s="9"/>
    </row>
    <row r="437" customFormat="false" ht="12.75" hidden="false" customHeight="false" outlineLevel="0" collapsed="false">
      <c r="T437" s="9"/>
      <c r="U437" s="9"/>
      <c r="V437" s="9"/>
      <c r="W437" s="9"/>
      <c r="X437" s="9"/>
      <c r="Y437" s="9"/>
      <c r="Z437" s="9"/>
      <c r="AA437" s="9"/>
    </row>
    <row r="438" customFormat="false" ht="12.75" hidden="false" customHeight="false" outlineLevel="0" collapsed="false">
      <c r="T438" s="9"/>
      <c r="U438" s="9"/>
      <c r="V438" s="9"/>
      <c r="W438" s="9"/>
      <c r="X438" s="9"/>
      <c r="Y438" s="9"/>
      <c r="Z438" s="9"/>
      <c r="AA438" s="9"/>
    </row>
    <row r="439" customFormat="false" ht="12.75" hidden="false" customHeight="false" outlineLevel="0" collapsed="false">
      <c r="T439" s="9"/>
      <c r="U439" s="9"/>
      <c r="V439" s="9"/>
      <c r="W439" s="9"/>
      <c r="X439" s="9"/>
      <c r="Y439" s="9"/>
      <c r="Z439" s="9"/>
      <c r="AA439" s="9"/>
    </row>
    <row r="440" customFormat="false" ht="12.75" hidden="false" customHeight="false" outlineLevel="0" collapsed="false">
      <c r="T440" s="9"/>
      <c r="U440" s="9"/>
      <c r="V440" s="9"/>
      <c r="W440" s="9"/>
      <c r="X440" s="9"/>
      <c r="Y440" s="9"/>
      <c r="Z440" s="9"/>
      <c r="AA440" s="9"/>
    </row>
    <row r="441" customFormat="false" ht="12.75" hidden="false" customHeight="false" outlineLevel="0" collapsed="false">
      <c r="T441" s="9"/>
      <c r="U441" s="9"/>
      <c r="V441" s="9"/>
      <c r="W441" s="9"/>
      <c r="X441" s="9"/>
      <c r="Y441" s="9"/>
      <c r="Z441" s="9"/>
      <c r="AA441" s="9"/>
    </row>
    <row r="442" customFormat="false" ht="12.75" hidden="false" customHeight="false" outlineLevel="0" collapsed="false">
      <c r="T442" s="9"/>
      <c r="U442" s="9"/>
      <c r="V442" s="9"/>
      <c r="W442" s="9"/>
      <c r="X442" s="9"/>
      <c r="Y442" s="9"/>
      <c r="Z442" s="9"/>
      <c r="AA442" s="9"/>
    </row>
    <row r="443" customFormat="false" ht="12.75" hidden="false" customHeight="false" outlineLevel="0" collapsed="false">
      <c r="T443" s="9"/>
      <c r="U443" s="9"/>
      <c r="V443" s="9"/>
      <c r="W443" s="9"/>
      <c r="X443" s="9"/>
      <c r="Y443" s="9"/>
      <c r="Z443" s="9"/>
      <c r="AA443" s="9"/>
    </row>
    <row r="444" customFormat="false" ht="12.75" hidden="false" customHeight="false" outlineLevel="0" collapsed="false">
      <c r="T444" s="9"/>
      <c r="U444" s="9"/>
      <c r="V444" s="9"/>
      <c r="W444" s="9"/>
      <c r="X444" s="9"/>
      <c r="Y444" s="9"/>
      <c r="Z444" s="9"/>
      <c r="AA444" s="9"/>
    </row>
    <row r="445" customFormat="false" ht="12.75" hidden="false" customHeight="false" outlineLevel="0" collapsed="false">
      <c r="T445" s="9"/>
      <c r="U445" s="9"/>
      <c r="V445" s="9"/>
      <c r="W445" s="9"/>
      <c r="X445" s="9"/>
      <c r="Y445" s="9"/>
      <c r="Z445" s="9"/>
      <c r="AA445" s="9"/>
    </row>
    <row r="446" customFormat="false" ht="12.75" hidden="false" customHeight="false" outlineLevel="0" collapsed="false">
      <c r="T446" s="9"/>
      <c r="U446" s="9"/>
      <c r="V446" s="9"/>
      <c r="W446" s="9"/>
      <c r="X446" s="9"/>
      <c r="Y446" s="9"/>
      <c r="Z446" s="9"/>
      <c r="AA446" s="9"/>
    </row>
    <row r="447" customFormat="false" ht="12.75" hidden="false" customHeight="false" outlineLevel="0" collapsed="false">
      <c r="T447" s="9"/>
      <c r="U447" s="9"/>
      <c r="V447" s="9"/>
      <c r="W447" s="9"/>
      <c r="X447" s="9"/>
      <c r="Y447" s="9"/>
      <c r="Z447" s="9"/>
      <c r="AA447" s="9"/>
    </row>
    <row r="448" customFormat="false" ht="12.75" hidden="false" customHeight="false" outlineLevel="0" collapsed="false">
      <c r="T448" s="9"/>
      <c r="U448" s="9"/>
      <c r="V448" s="9"/>
      <c r="W448" s="9"/>
      <c r="X448" s="9"/>
      <c r="Y448" s="9"/>
      <c r="Z448" s="9"/>
      <c r="AA448" s="9"/>
    </row>
    <row r="449" customFormat="false" ht="12.75" hidden="false" customHeight="false" outlineLevel="0" collapsed="false">
      <c r="T449" s="9"/>
      <c r="U449" s="9"/>
      <c r="V449" s="9"/>
      <c r="W449" s="9"/>
      <c r="X449" s="9"/>
      <c r="Y449" s="9"/>
      <c r="Z449" s="9"/>
      <c r="AA449" s="9"/>
    </row>
    <row r="450" customFormat="false" ht="12.75" hidden="false" customHeight="false" outlineLevel="0" collapsed="false">
      <c r="T450" s="9"/>
      <c r="U450" s="9"/>
      <c r="V450" s="9"/>
      <c r="W450" s="9"/>
      <c r="X450" s="9"/>
      <c r="Y450" s="9"/>
      <c r="Z450" s="9"/>
      <c r="AA450" s="9"/>
    </row>
    <row r="451" customFormat="false" ht="12.75" hidden="false" customHeight="false" outlineLevel="0" collapsed="false">
      <c r="T451" s="9"/>
      <c r="U451" s="9"/>
      <c r="V451" s="9"/>
      <c r="W451" s="9"/>
      <c r="X451" s="9"/>
      <c r="Y451" s="9"/>
      <c r="Z451" s="9"/>
      <c r="AA451" s="9"/>
    </row>
    <row r="452" customFormat="false" ht="12.75" hidden="false" customHeight="false" outlineLevel="0" collapsed="false">
      <c r="T452" s="9"/>
      <c r="U452" s="9"/>
      <c r="V452" s="9"/>
      <c r="W452" s="9"/>
      <c r="X452" s="9"/>
      <c r="Y452" s="9"/>
      <c r="Z452" s="9"/>
      <c r="AA452" s="9"/>
    </row>
    <row r="453" customFormat="false" ht="12.75" hidden="false" customHeight="false" outlineLevel="0" collapsed="false">
      <c r="T453" s="9"/>
      <c r="U453" s="9"/>
      <c r="V453" s="9"/>
      <c r="W453" s="9"/>
      <c r="X453" s="9"/>
      <c r="Y453" s="9"/>
      <c r="Z453" s="9"/>
      <c r="AA453" s="9"/>
    </row>
    <row r="454" customFormat="false" ht="12.75" hidden="false" customHeight="false" outlineLevel="0" collapsed="false">
      <c r="T454" s="9"/>
      <c r="U454" s="9"/>
      <c r="V454" s="9"/>
      <c r="W454" s="9"/>
      <c r="X454" s="9"/>
      <c r="Y454" s="9"/>
      <c r="Z454" s="9"/>
      <c r="AA454" s="9"/>
    </row>
    <row r="455" customFormat="false" ht="12.75" hidden="false" customHeight="false" outlineLevel="0" collapsed="false">
      <c r="T455" s="9"/>
      <c r="U455" s="9"/>
      <c r="V455" s="9"/>
      <c r="W455" s="9"/>
      <c r="X455" s="9"/>
      <c r="Y455" s="9"/>
      <c r="Z455" s="9"/>
      <c r="AA455" s="9"/>
    </row>
    <row r="456" customFormat="false" ht="12.75" hidden="false" customHeight="false" outlineLevel="0" collapsed="false">
      <c r="T456" s="9"/>
      <c r="U456" s="9"/>
      <c r="V456" s="9"/>
      <c r="W456" s="9"/>
      <c r="X456" s="9"/>
      <c r="Y456" s="9"/>
      <c r="Z456" s="9"/>
      <c r="AA456" s="9"/>
    </row>
    <row r="457" customFormat="false" ht="12.75" hidden="false" customHeight="false" outlineLevel="0" collapsed="false">
      <c r="T457" s="9"/>
      <c r="U457" s="9"/>
      <c r="V457" s="9"/>
      <c r="W457" s="9"/>
      <c r="X457" s="9"/>
      <c r="Y457" s="9"/>
      <c r="Z457" s="9"/>
      <c r="AA457" s="9"/>
    </row>
    <row r="458" customFormat="false" ht="12.75" hidden="false" customHeight="false" outlineLevel="0" collapsed="false">
      <c r="T458" s="9"/>
      <c r="U458" s="9"/>
      <c r="V458" s="9"/>
      <c r="W458" s="9"/>
      <c r="X458" s="9"/>
      <c r="Y458" s="9"/>
      <c r="Z458" s="9"/>
      <c r="AA458" s="9"/>
    </row>
    <row r="459" customFormat="false" ht="12.75" hidden="false" customHeight="false" outlineLevel="0" collapsed="false">
      <c r="T459" s="9"/>
      <c r="U459" s="9"/>
      <c r="V459" s="9"/>
      <c r="W459" s="9"/>
      <c r="X459" s="9"/>
      <c r="Y459" s="9"/>
      <c r="Z459" s="9"/>
      <c r="AA459" s="9"/>
    </row>
    <row r="460" customFormat="false" ht="12.75" hidden="false" customHeight="false" outlineLevel="0" collapsed="false">
      <c r="T460" s="9"/>
      <c r="U460" s="9"/>
      <c r="V460" s="9"/>
      <c r="W460" s="9"/>
      <c r="X460" s="9"/>
      <c r="Y460" s="9"/>
      <c r="Z460" s="9"/>
      <c r="AA460" s="9"/>
    </row>
    <row r="461" customFormat="false" ht="12.75" hidden="false" customHeight="false" outlineLevel="0" collapsed="false">
      <c r="T461" s="9"/>
      <c r="U461" s="9"/>
      <c r="V461" s="9"/>
      <c r="W461" s="9"/>
      <c r="X461" s="9"/>
      <c r="Y461" s="9"/>
      <c r="Z461" s="9"/>
      <c r="AA461" s="9"/>
    </row>
    <row r="462" customFormat="false" ht="12.75" hidden="false" customHeight="false" outlineLevel="0" collapsed="false">
      <c r="T462" s="9"/>
      <c r="U462" s="9"/>
      <c r="V462" s="9"/>
      <c r="W462" s="9"/>
      <c r="X462" s="9"/>
      <c r="Y462" s="9"/>
      <c r="Z462" s="9"/>
      <c r="AA462" s="9"/>
    </row>
    <row r="463" customFormat="false" ht="12.75" hidden="false" customHeight="false" outlineLevel="0" collapsed="false">
      <c r="T463" s="9"/>
      <c r="U463" s="9"/>
      <c r="V463" s="9"/>
      <c r="W463" s="9"/>
      <c r="X463" s="9"/>
      <c r="Y463" s="9"/>
      <c r="Z463" s="9"/>
      <c r="AA463" s="9"/>
    </row>
    <row r="464" customFormat="false" ht="12.75" hidden="false" customHeight="false" outlineLevel="0" collapsed="false">
      <c r="T464" s="9"/>
      <c r="U464" s="9"/>
      <c r="V464" s="9"/>
      <c r="W464" s="9"/>
      <c r="X464" s="9"/>
      <c r="Y464" s="9"/>
      <c r="Z464" s="9"/>
      <c r="AA464" s="9"/>
    </row>
    <row r="465" customFormat="false" ht="12.75" hidden="false" customHeight="false" outlineLevel="0" collapsed="false">
      <c r="T465" s="9"/>
      <c r="U465" s="9"/>
      <c r="V465" s="9"/>
      <c r="W465" s="9"/>
      <c r="X465" s="9"/>
      <c r="Y465" s="9"/>
      <c r="Z465" s="9"/>
      <c r="AA465" s="9"/>
    </row>
    <row r="466" customFormat="false" ht="12.75" hidden="false" customHeight="false" outlineLevel="0" collapsed="false">
      <c r="T466" s="9"/>
      <c r="U466" s="9"/>
      <c r="V466" s="9"/>
      <c r="W466" s="9"/>
      <c r="X466" s="9"/>
      <c r="Y466" s="9"/>
      <c r="Z466" s="9"/>
      <c r="AA466" s="9"/>
    </row>
    <row r="467" customFormat="false" ht="12.75" hidden="false" customHeight="false" outlineLevel="0" collapsed="false">
      <c r="T467" s="9"/>
      <c r="U467" s="9"/>
      <c r="V467" s="9"/>
      <c r="W467" s="9"/>
      <c r="X467" s="9"/>
      <c r="Y467" s="9"/>
      <c r="Z467" s="9"/>
      <c r="AA467" s="9"/>
    </row>
    <row r="468" customFormat="false" ht="12.75" hidden="false" customHeight="false" outlineLevel="0" collapsed="false">
      <c r="T468" s="9"/>
      <c r="U468" s="9"/>
      <c r="V468" s="9"/>
      <c r="W468" s="9"/>
      <c r="X468" s="9"/>
      <c r="Y468" s="9"/>
      <c r="Z468" s="9"/>
      <c r="AA468" s="9"/>
    </row>
    <row r="469" customFormat="false" ht="12.75" hidden="false" customHeight="false" outlineLevel="0" collapsed="false">
      <c r="T469" s="9"/>
      <c r="U469" s="9"/>
      <c r="V469" s="9"/>
      <c r="W469" s="9"/>
      <c r="X469" s="9"/>
      <c r="Y469" s="9"/>
      <c r="Z469" s="9"/>
      <c r="AA469" s="9"/>
    </row>
    <row r="470" customFormat="false" ht="12.75" hidden="false" customHeight="false" outlineLevel="0" collapsed="false">
      <c r="T470" s="9"/>
      <c r="U470" s="9"/>
      <c r="V470" s="9"/>
      <c r="W470" s="9"/>
      <c r="X470" s="9"/>
      <c r="Y470" s="9"/>
      <c r="Z470" s="9"/>
      <c r="AA470" s="9"/>
    </row>
    <row r="471" customFormat="false" ht="12.75" hidden="false" customHeight="false" outlineLevel="0" collapsed="false">
      <c r="T471" s="9"/>
      <c r="U471" s="9"/>
      <c r="V471" s="9"/>
      <c r="W471" s="9"/>
      <c r="X471" s="9"/>
      <c r="Y471" s="9"/>
      <c r="Z471" s="9"/>
      <c r="AA471" s="9"/>
    </row>
    <row r="472" customFormat="false" ht="12.75" hidden="false" customHeight="false" outlineLevel="0" collapsed="false">
      <c r="T472" s="9"/>
      <c r="U472" s="9"/>
      <c r="V472" s="9"/>
      <c r="W472" s="9"/>
      <c r="X472" s="9"/>
      <c r="Y472" s="9"/>
      <c r="Z472" s="9"/>
      <c r="AA472" s="9"/>
    </row>
    <row r="473" customFormat="false" ht="12.75" hidden="false" customHeight="false" outlineLevel="0" collapsed="false">
      <c r="T473" s="9"/>
      <c r="U473" s="9"/>
      <c r="V473" s="9"/>
      <c r="W473" s="9"/>
      <c r="X473" s="9"/>
      <c r="Y473" s="9"/>
      <c r="Z473" s="9"/>
      <c r="AA473" s="9"/>
    </row>
    <row r="474" customFormat="false" ht="12.75" hidden="false" customHeight="false" outlineLevel="0" collapsed="false">
      <c r="T474" s="9"/>
      <c r="U474" s="9"/>
      <c r="V474" s="9"/>
      <c r="W474" s="9"/>
      <c r="X474" s="9"/>
      <c r="Y474" s="9"/>
      <c r="Z474" s="9"/>
      <c r="AA474" s="9"/>
    </row>
    <row r="475" customFormat="false" ht="12.75" hidden="false" customHeight="false" outlineLevel="0" collapsed="false">
      <c r="T475" s="9"/>
      <c r="U475" s="9"/>
      <c r="V475" s="9"/>
      <c r="W475" s="9"/>
      <c r="X475" s="9"/>
      <c r="Y475" s="9"/>
      <c r="Z475" s="9"/>
      <c r="AA475" s="9"/>
    </row>
    <row r="476" customFormat="false" ht="12.75" hidden="false" customHeight="false" outlineLevel="0" collapsed="false">
      <c r="T476" s="9"/>
      <c r="U476" s="9"/>
      <c r="V476" s="9"/>
      <c r="W476" s="9"/>
      <c r="X476" s="9"/>
      <c r="Y476" s="9"/>
      <c r="Z476" s="9"/>
      <c r="AA476" s="9"/>
    </row>
    <row r="477" customFormat="false" ht="12.75" hidden="false" customHeight="false" outlineLevel="0" collapsed="false">
      <c r="T477" s="9"/>
      <c r="U477" s="9"/>
      <c r="V477" s="9"/>
      <c r="W477" s="9"/>
      <c r="X477" s="9"/>
      <c r="Y477" s="9"/>
      <c r="Z477" s="9"/>
      <c r="AA477" s="9"/>
    </row>
    <row r="478" customFormat="false" ht="12.75" hidden="false" customHeight="false" outlineLevel="0" collapsed="false">
      <c r="T478" s="9"/>
      <c r="U478" s="9"/>
      <c r="V478" s="9"/>
      <c r="W478" s="9"/>
      <c r="X478" s="9"/>
      <c r="Y478" s="9"/>
      <c r="Z478" s="9"/>
      <c r="AA478" s="9"/>
    </row>
    <row r="479" customFormat="false" ht="12.75" hidden="false" customHeight="false" outlineLevel="0" collapsed="false">
      <c r="T479" s="9"/>
      <c r="U479" s="9"/>
      <c r="V479" s="9"/>
      <c r="W479" s="9"/>
      <c r="X479" s="9"/>
      <c r="Y479" s="9"/>
      <c r="Z479" s="9"/>
      <c r="AA479" s="9"/>
    </row>
    <row r="480" customFormat="false" ht="12.75" hidden="false" customHeight="false" outlineLevel="0" collapsed="false">
      <c r="T480" s="9"/>
      <c r="U480" s="9"/>
      <c r="V480" s="9"/>
      <c r="W480" s="9"/>
      <c r="X480" s="9"/>
      <c r="Y480" s="9"/>
      <c r="Z480" s="9"/>
      <c r="AA480" s="9"/>
    </row>
    <row r="481" customFormat="false" ht="12.75" hidden="false" customHeight="false" outlineLevel="0" collapsed="false">
      <c r="T481" s="9"/>
      <c r="U481" s="9"/>
      <c r="V481" s="9"/>
      <c r="W481" s="9"/>
      <c r="X481" s="9"/>
      <c r="Y481" s="9"/>
      <c r="Z481" s="9"/>
      <c r="AA481" s="9"/>
    </row>
    <row r="482" customFormat="false" ht="12.75" hidden="false" customHeight="false" outlineLevel="0" collapsed="false">
      <c r="T482" s="9"/>
      <c r="U482" s="9"/>
      <c r="V482" s="9"/>
      <c r="W482" s="9"/>
      <c r="X482" s="9"/>
      <c r="Y482" s="9"/>
      <c r="Z482" s="9"/>
      <c r="AA482" s="9"/>
    </row>
    <row r="483" customFormat="false" ht="12.75" hidden="false" customHeight="false" outlineLevel="0" collapsed="false">
      <c r="T483" s="9"/>
      <c r="U483" s="9"/>
      <c r="V483" s="9"/>
      <c r="W483" s="9"/>
      <c r="X483" s="9"/>
      <c r="Y483" s="9"/>
      <c r="Z483" s="9"/>
      <c r="AA483" s="9"/>
    </row>
    <row r="484" customFormat="false" ht="12.75" hidden="false" customHeight="false" outlineLevel="0" collapsed="false">
      <c r="T484" s="9"/>
      <c r="U484" s="9"/>
      <c r="V484" s="9"/>
      <c r="W484" s="9"/>
      <c r="X484" s="9"/>
      <c r="Y484" s="9"/>
      <c r="Z484" s="9"/>
      <c r="AA484" s="9"/>
    </row>
    <row r="485" customFormat="false" ht="12.75" hidden="false" customHeight="false" outlineLevel="0" collapsed="false">
      <c r="T485" s="9"/>
      <c r="U485" s="9"/>
      <c r="V485" s="9"/>
      <c r="W485" s="9"/>
      <c r="X485" s="9"/>
      <c r="Y485" s="9"/>
      <c r="Z485" s="9"/>
      <c r="AA485" s="9"/>
    </row>
    <row r="486" customFormat="false" ht="12.75" hidden="false" customHeight="false" outlineLevel="0" collapsed="false">
      <c r="T486" s="9"/>
      <c r="U486" s="9"/>
      <c r="V486" s="9"/>
      <c r="W486" s="9"/>
      <c r="X486" s="9"/>
      <c r="Y486" s="9"/>
      <c r="Z486" s="9"/>
      <c r="AA486" s="9"/>
    </row>
    <row r="487" customFormat="false" ht="12.75" hidden="false" customHeight="false" outlineLevel="0" collapsed="false">
      <c r="T487" s="9"/>
      <c r="U487" s="9"/>
      <c r="V487" s="9"/>
      <c r="W487" s="9"/>
      <c r="X487" s="9"/>
      <c r="Y487" s="9"/>
      <c r="Z487" s="9"/>
      <c r="AA487" s="9"/>
    </row>
    <row r="488" customFormat="false" ht="12.75" hidden="false" customHeight="false" outlineLevel="0" collapsed="false">
      <c r="T488" s="9"/>
      <c r="U488" s="9"/>
      <c r="V488" s="9"/>
      <c r="W488" s="9"/>
      <c r="X488" s="9"/>
      <c r="Y488" s="9"/>
      <c r="Z488" s="9"/>
      <c r="AA488" s="9"/>
    </row>
    <row r="489" customFormat="false" ht="12.75" hidden="false" customHeight="false" outlineLevel="0" collapsed="false">
      <c r="T489" s="9"/>
      <c r="U489" s="9"/>
      <c r="V489" s="9"/>
      <c r="W489" s="9"/>
      <c r="X489" s="9"/>
      <c r="Y489" s="9"/>
      <c r="Z489" s="9"/>
      <c r="AA489" s="9"/>
    </row>
    <row r="490" customFormat="false" ht="12.75" hidden="false" customHeight="false" outlineLevel="0" collapsed="false">
      <c r="T490" s="9"/>
      <c r="U490" s="9"/>
      <c r="V490" s="9"/>
      <c r="W490" s="9"/>
      <c r="X490" s="9"/>
      <c r="Y490" s="9"/>
      <c r="Z490" s="9"/>
      <c r="AA490" s="9"/>
    </row>
    <row r="491" customFormat="false" ht="12.75" hidden="false" customHeight="false" outlineLevel="0" collapsed="false">
      <c r="T491" s="9"/>
      <c r="U491" s="9"/>
      <c r="V491" s="9"/>
      <c r="W491" s="9"/>
      <c r="X491" s="9"/>
      <c r="Y491" s="9"/>
      <c r="Z491" s="9"/>
      <c r="AA491" s="9"/>
    </row>
    <row r="492" customFormat="false" ht="12.75" hidden="false" customHeight="false" outlineLevel="0" collapsed="false">
      <c r="T492" s="9"/>
      <c r="U492" s="9"/>
      <c r="V492" s="9"/>
      <c r="W492" s="9"/>
      <c r="X492" s="9"/>
      <c r="Y492" s="9"/>
      <c r="Z492" s="9"/>
      <c r="AA492" s="9"/>
    </row>
    <row r="493" customFormat="false" ht="12.75" hidden="false" customHeight="false" outlineLevel="0" collapsed="false">
      <c r="T493" s="9"/>
      <c r="U493" s="9"/>
      <c r="V493" s="9"/>
      <c r="W493" s="9"/>
      <c r="X493" s="9"/>
      <c r="Y493" s="9"/>
      <c r="Z493" s="9"/>
      <c r="AA493" s="9"/>
    </row>
    <row r="494" customFormat="false" ht="12.75" hidden="false" customHeight="false" outlineLevel="0" collapsed="false">
      <c r="T494" s="9"/>
      <c r="U494" s="9"/>
      <c r="V494" s="9"/>
      <c r="W494" s="9"/>
      <c r="X494" s="9"/>
      <c r="Y494" s="9"/>
      <c r="Z494" s="9"/>
      <c r="AA494" s="9"/>
    </row>
    <row r="495" customFormat="false" ht="12.75" hidden="false" customHeight="false" outlineLevel="0" collapsed="false">
      <c r="T495" s="9"/>
      <c r="U495" s="9"/>
      <c r="V495" s="9"/>
      <c r="W495" s="9"/>
      <c r="X495" s="9"/>
      <c r="Y495" s="9"/>
      <c r="Z495" s="9"/>
      <c r="AA495" s="9"/>
    </row>
    <row r="496" customFormat="false" ht="12.75" hidden="false" customHeight="false" outlineLevel="0" collapsed="false">
      <c r="T496" s="9"/>
      <c r="U496" s="9"/>
      <c r="V496" s="9"/>
      <c r="W496" s="9"/>
      <c r="X496" s="9"/>
      <c r="Y496" s="9"/>
      <c r="Z496" s="9"/>
      <c r="AA496" s="9"/>
    </row>
    <row r="497" customFormat="false" ht="12.75" hidden="false" customHeight="false" outlineLevel="0" collapsed="false">
      <c r="T497" s="9"/>
      <c r="U497" s="9"/>
      <c r="V497" s="9"/>
      <c r="W497" s="9"/>
      <c r="X497" s="9"/>
      <c r="Y497" s="9"/>
      <c r="Z497" s="9"/>
      <c r="AA497" s="9"/>
    </row>
    <row r="498" customFormat="false" ht="12.75" hidden="false" customHeight="false" outlineLevel="0" collapsed="false">
      <c r="T498" s="9"/>
      <c r="U498" s="9"/>
      <c r="V498" s="9"/>
      <c r="W498" s="9"/>
      <c r="X498" s="9"/>
      <c r="Y498" s="9"/>
      <c r="Z498" s="9"/>
      <c r="AA498" s="9"/>
    </row>
    <row r="499" customFormat="false" ht="12.75" hidden="false" customHeight="false" outlineLevel="0" collapsed="false">
      <c r="T499" s="9"/>
      <c r="U499" s="9"/>
      <c r="V499" s="9"/>
      <c r="W499" s="9"/>
      <c r="X499" s="9"/>
      <c r="Y499" s="9"/>
      <c r="Z499" s="9"/>
      <c r="AA499" s="9"/>
    </row>
    <row r="500" customFormat="false" ht="12.75" hidden="false" customHeight="false" outlineLevel="0" collapsed="false">
      <c r="T500" s="9"/>
      <c r="U500" s="9"/>
      <c r="V500" s="9"/>
      <c r="W500" s="9"/>
      <c r="X500" s="9"/>
      <c r="Y500" s="9"/>
      <c r="Z500" s="9"/>
      <c r="AA500" s="9"/>
    </row>
    <row r="501" customFormat="false" ht="12.75" hidden="false" customHeight="false" outlineLevel="0" collapsed="false">
      <c r="T501" s="9"/>
      <c r="U501" s="9"/>
      <c r="V501" s="9"/>
      <c r="W501" s="9"/>
      <c r="X501" s="9"/>
      <c r="Y501" s="9"/>
      <c r="Z501" s="9"/>
      <c r="AA501" s="9"/>
    </row>
    <row r="502" customFormat="false" ht="12.75" hidden="false" customHeight="false" outlineLevel="0" collapsed="false">
      <c r="T502" s="9"/>
      <c r="U502" s="9"/>
      <c r="V502" s="9"/>
      <c r="W502" s="9"/>
      <c r="X502" s="9"/>
      <c r="Y502" s="9"/>
      <c r="Z502" s="9"/>
      <c r="AA502" s="9"/>
    </row>
    <row r="503" customFormat="false" ht="12.75" hidden="false" customHeight="false" outlineLevel="0" collapsed="false">
      <c r="T503" s="9"/>
      <c r="U503" s="9"/>
      <c r="V503" s="9"/>
      <c r="W503" s="9"/>
      <c r="X503" s="9"/>
      <c r="Y503" s="9"/>
      <c r="Z503" s="9"/>
      <c r="AA503" s="9"/>
    </row>
    <row r="504" customFormat="false" ht="12.75" hidden="false" customHeight="false" outlineLevel="0" collapsed="false">
      <c r="T504" s="9"/>
      <c r="U504" s="9"/>
      <c r="V504" s="9"/>
      <c r="W504" s="9"/>
      <c r="X504" s="9"/>
      <c r="Y504" s="9"/>
      <c r="Z504" s="9"/>
      <c r="AA504" s="9"/>
    </row>
    <row r="505" customFormat="false" ht="12.75" hidden="false" customHeight="false" outlineLevel="0" collapsed="false">
      <c r="T505" s="9"/>
      <c r="U505" s="9"/>
      <c r="V505" s="9"/>
      <c r="W505" s="9"/>
      <c r="X505" s="9"/>
      <c r="Y505" s="9"/>
      <c r="Z505" s="9"/>
      <c r="AA505" s="9"/>
    </row>
    <row r="506" customFormat="false" ht="12.75" hidden="false" customHeight="false" outlineLevel="0" collapsed="false">
      <c r="T506" s="9"/>
      <c r="U506" s="9"/>
      <c r="V506" s="9"/>
      <c r="W506" s="9"/>
      <c r="X506" s="9"/>
      <c r="Y506" s="9"/>
      <c r="Z506" s="9"/>
      <c r="AA506" s="9"/>
    </row>
    <row r="507" customFormat="false" ht="12.75" hidden="false" customHeight="false" outlineLevel="0" collapsed="false">
      <c r="T507" s="9"/>
      <c r="U507" s="9"/>
      <c r="V507" s="9"/>
      <c r="W507" s="9"/>
      <c r="X507" s="9"/>
      <c r="Y507" s="9"/>
      <c r="Z507" s="9"/>
      <c r="AA507" s="9"/>
    </row>
    <row r="508" customFormat="false" ht="12.75" hidden="false" customHeight="false" outlineLevel="0" collapsed="false">
      <c r="T508" s="9"/>
      <c r="U508" s="9"/>
      <c r="V508" s="9"/>
      <c r="W508" s="9"/>
      <c r="X508" s="9"/>
      <c r="Y508" s="9"/>
      <c r="Z508" s="9"/>
      <c r="AA508" s="9"/>
    </row>
    <row r="509" customFormat="false" ht="12.75" hidden="false" customHeight="false" outlineLevel="0" collapsed="false">
      <c r="T509" s="9"/>
      <c r="U509" s="9"/>
      <c r="V509" s="9"/>
      <c r="W509" s="9"/>
      <c r="X509" s="9"/>
      <c r="Y509" s="9"/>
      <c r="Z509" s="9"/>
      <c r="AA509" s="9"/>
    </row>
    <row r="510" customFormat="false" ht="12.75" hidden="false" customHeight="false" outlineLevel="0" collapsed="false">
      <c r="T510" s="9"/>
      <c r="U510" s="9"/>
      <c r="V510" s="9"/>
      <c r="W510" s="9"/>
      <c r="X510" s="9"/>
      <c r="Y510" s="9"/>
      <c r="Z510" s="9"/>
      <c r="AA510" s="9"/>
    </row>
    <row r="511" customFormat="false" ht="12.75" hidden="false" customHeight="false" outlineLevel="0" collapsed="false">
      <c r="T511" s="9"/>
      <c r="U511" s="9"/>
      <c r="V511" s="9"/>
      <c r="W511" s="9"/>
      <c r="X511" s="9"/>
      <c r="Y511" s="9"/>
      <c r="Z511" s="9"/>
      <c r="AA511" s="9"/>
    </row>
    <row r="512" customFormat="false" ht="12.75" hidden="false" customHeight="false" outlineLevel="0" collapsed="false">
      <c r="T512" s="9"/>
      <c r="U512" s="9"/>
      <c r="V512" s="9"/>
      <c r="W512" s="9"/>
      <c r="X512" s="9"/>
      <c r="Y512" s="9"/>
      <c r="Z512" s="9"/>
      <c r="AA512" s="9"/>
    </row>
    <row r="513" customFormat="false" ht="12.75" hidden="false" customHeight="false" outlineLevel="0" collapsed="false">
      <c r="T513" s="9"/>
      <c r="U513" s="9"/>
      <c r="V513" s="9"/>
      <c r="W513" s="9"/>
      <c r="X513" s="9"/>
      <c r="Y513" s="9"/>
      <c r="Z513" s="9"/>
      <c r="AA513" s="9"/>
    </row>
    <row r="514" customFormat="false" ht="12.75" hidden="false" customHeight="false" outlineLevel="0" collapsed="false">
      <c r="T514" s="9"/>
      <c r="U514" s="9"/>
      <c r="V514" s="9"/>
      <c r="W514" s="9"/>
      <c r="X514" s="9"/>
      <c r="Y514" s="9"/>
      <c r="Z514" s="9"/>
      <c r="AA514" s="9"/>
    </row>
    <row r="515" customFormat="false" ht="12.75" hidden="false" customHeight="false" outlineLevel="0" collapsed="false">
      <c r="T515" s="9"/>
      <c r="U515" s="9"/>
      <c r="V515" s="9"/>
      <c r="W515" s="9"/>
      <c r="X515" s="9"/>
      <c r="Y515" s="9"/>
      <c r="Z515" s="9"/>
      <c r="AA515" s="9"/>
    </row>
    <row r="516" customFormat="false" ht="12.75" hidden="false" customHeight="false" outlineLevel="0" collapsed="false">
      <c r="T516" s="9"/>
      <c r="U516" s="9"/>
      <c r="V516" s="9"/>
      <c r="W516" s="9"/>
      <c r="X516" s="9"/>
      <c r="Y516" s="9"/>
      <c r="Z516" s="9"/>
      <c r="AA516" s="9"/>
    </row>
    <row r="517" customFormat="false" ht="12.75" hidden="false" customHeight="false" outlineLevel="0" collapsed="false">
      <c r="T517" s="9"/>
      <c r="U517" s="9"/>
      <c r="V517" s="9"/>
      <c r="W517" s="9"/>
      <c r="X517" s="9"/>
      <c r="Y517" s="9"/>
      <c r="Z517" s="9"/>
      <c r="AA517" s="9"/>
    </row>
    <row r="518" customFormat="false" ht="12.75" hidden="false" customHeight="false" outlineLevel="0" collapsed="false">
      <c r="T518" s="9"/>
      <c r="U518" s="9"/>
      <c r="V518" s="9"/>
      <c r="W518" s="9"/>
      <c r="X518" s="9"/>
      <c r="Y518" s="9"/>
      <c r="Z518" s="9"/>
      <c r="AA518" s="9"/>
    </row>
    <row r="519" customFormat="false" ht="12.75" hidden="false" customHeight="false" outlineLevel="0" collapsed="false">
      <c r="T519" s="9"/>
      <c r="U519" s="9"/>
      <c r="V519" s="9"/>
      <c r="W519" s="9"/>
      <c r="X519" s="9"/>
      <c r="Y519" s="9"/>
      <c r="Z519" s="9"/>
      <c r="AA519" s="9"/>
    </row>
    <row r="520" customFormat="false" ht="12.75" hidden="false" customHeight="false" outlineLevel="0" collapsed="false">
      <c r="T520" s="9"/>
      <c r="U520" s="9"/>
      <c r="V520" s="9"/>
      <c r="W520" s="9"/>
      <c r="X520" s="9"/>
      <c r="Y520" s="9"/>
      <c r="Z520" s="9"/>
      <c r="AA520" s="9"/>
    </row>
    <row r="521" customFormat="false" ht="12.75" hidden="false" customHeight="false" outlineLevel="0" collapsed="false">
      <c r="T521" s="9"/>
      <c r="U521" s="9"/>
      <c r="V521" s="9"/>
      <c r="W521" s="9"/>
      <c r="X521" s="9"/>
      <c r="Y521" s="9"/>
      <c r="Z521" s="9"/>
      <c r="AA521" s="9"/>
    </row>
    <row r="522" customFormat="false" ht="12.75" hidden="false" customHeight="false" outlineLevel="0" collapsed="false">
      <c r="T522" s="9"/>
      <c r="U522" s="9"/>
      <c r="V522" s="9"/>
      <c r="W522" s="9"/>
      <c r="X522" s="9"/>
      <c r="Y522" s="9"/>
      <c r="Z522" s="9"/>
      <c r="AA522" s="9"/>
    </row>
    <row r="523" customFormat="false" ht="12.75" hidden="false" customHeight="false" outlineLevel="0" collapsed="false">
      <c r="T523" s="9"/>
      <c r="U523" s="9"/>
      <c r="V523" s="9"/>
      <c r="W523" s="9"/>
      <c r="X523" s="9"/>
      <c r="Y523" s="9"/>
      <c r="Z523" s="9"/>
      <c r="AA523" s="9"/>
    </row>
    <row r="524" customFormat="false" ht="12.75" hidden="false" customHeight="false" outlineLevel="0" collapsed="false">
      <c r="T524" s="9"/>
      <c r="U524" s="9"/>
      <c r="V524" s="9"/>
      <c r="W524" s="9"/>
      <c r="X524" s="9"/>
      <c r="Y524" s="9"/>
      <c r="Z524" s="9"/>
      <c r="AA524" s="9"/>
    </row>
    <row r="525" customFormat="false" ht="12.75" hidden="false" customHeight="false" outlineLevel="0" collapsed="false">
      <c r="T525" s="9"/>
      <c r="U525" s="9"/>
      <c r="V525" s="9"/>
      <c r="W525" s="9"/>
      <c r="X525" s="9"/>
      <c r="Y525" s="9"/>
      <c r="Z525" s="9"/>
      <c r="AA525" s="9"/>
    </row>
    <row r="526" customFormat="false" ht="12.75" hidden="false" customHeight="false" outlineLevel="0" collapsed="false">
      <c r="T526" s="9"/>
      <c r="U526" s="9"/>
      <c r="V526" s="9"/>
      <c r="W526" s="9"/>
      <c r="X526" s="9"/>
      <c r="Y526" s="9"/>
      <c r="Z526" s="9"/>
      <c r="AA526" s="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O27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O4" activeCellId="0" sqref="O4"/>
    </sheetView>
  </sheetViews>
  <sheetFormatPr defaultColWidth="9.0546875" defaultRowHeight="12.75" customHeight="true" zeroHeight="false" outlineLevelRow="0" outlineLevelCol="0"/>
  <sheetData>
    <row r="2" customFormat="false" ht="13.5" hidden="false" customHeight="false" outlineLevel="0" collapsed="false">
      <c r="B2" s="0" t="s">
        <v>68</v>
      </c>
      <c r="F2" s="0" t="s">
        <v>69</v>
      </c>
      <c r="K2" s="0" t="s">
        <v>70</v>
      </c>
      <c r="O2" s="0" t="s">
        <v>70</v>
      </c>
    </row>
    <row r="3" customFormat="false" ht="13.5" hidden="false" customHeight="false" outlineLevel="0" collapsed="false">
      <c r="B3" s="89" t="s">
        <v>71</v>
      </c>
      <c r="C3" s="90" t="s">
        <v>72</v>
      </c>
      <c r="D3" s="31"/>
      <c r="F3" s="89" t="s">
        <v>71</v>
      </c>
      <c r="G3" s="90" t="s">
        <v>72</v>
      </c>
      <c r="J3" s="0" t="s">
        <v>73</v>
      </c>
      <c r="K3" s="62" t="n">
        <v>0.5</v>
      </c>
      <c r="N3" s="91" t="s">
        <v>74</v>
      </c>
      <c r="O3" s="62" t="n">
        <v>0.3</v>
      </c>
    </row>
    <row r="4" customFormat="false" ht="12.75" hidden="false" customHeight="false" outlineLevel="0" collapsed="false">
      <c r="A4" s="60" t="n">
        <v>36923</v>
      </c>
      <c r="B4" s="92" t="n">
        <v>172.091836734694</v>
      </c>
      <c r="C4" s="93" t="n">
        <v>175.163265306122</v>
      </c>
      <c r="D4" s="94"/>
      <c r="E4" s="60" t="n">
        <v>36923</v>
      </c>
      <c r="F4" s="92" t="n">
        <v>135.19387755102</v>
      </c>
      <c r="G4" s="93" t="n">
        <v>143.051020408163</v>
      </c>
      <c r="I4" s="60" t="n">
        <v>36923</v>
      </c>
      <c r="J4" s="95" t="n">
        <v>9.708</v>
      </c>
      <c r="K4" s="96" t="n">
        <f aca="false">$K$3+J4</f>
        <v>10.208</v>
      </c>
      <c r="M4" s="60" t="n">
        <v>36923</v>
      </c>
      <c r="N4" s="95" t="n">
        <v>9.908</v>
      </c>
      <c r="O4" s="96" t="n">
        <f aca="false">$O$3+N4</f>
        <v>10.208</v>
      </c>
    </row>
    <row r="5" customFormat="false" ht="12.75" hidden="false" customHeight="false" outlineLevel="0" collapsed="false">
      <c r="A5" s="60" t="n">
        <v>36951</v>
      </c>
      <c r="B5" s="92" t="n">
        <v>156.415192507804</v>
      </c>
      <c r="C5" s="93" t="n">
        <v>159.495837669095</v>
      </c>
      <c r="D5" s="94"/>
      <c r="E5" s="60" t="n">
        <v>36951</v>
      </c>
      <c r="F5" s="92" t="n">
        <v>125.956295525494</v>
      </c>
      <c r="G5" s="93" t="n">
        <v>133.859521331946</v>
      </c>
      <c r="I5" s="60" t="n">
        <v>36951</v>
      </c>
      <c r="J5" s="97" t="n">
        <v>8.825</v>
      </c>
      <c r="K5" s="96" t="n">
        <f aca="false">$K$3+J5</f>
        <v>9.325</v>
      </c>
      <c r="M5" s="60" t="n">
        <v>36951</v>
      </c>
      <c r="N5" s="97" t="n">
        <v>9.025</v>
      </c>
      <c r="O5" s="96" t="n">
        <f aca="false">$O$3+N5</f>
        <v>9.325</v>
      </c>
    </row>
    <row r="6" customFormat="false" ht="12.75" hidden="false" customHeight="false" outlineLevel="0" collapsed="false">
      <c r="A6" s="60" t="n">
        <v>36982</v>
      </c>
      <c r="B6" s="92" t="n">
        <v>119.555555555556</v>
      </c>
      <c r="C6" s="93" t="n">
        <v>122.611111111111</v>
      </c>
      <c r="D6" s="94"/>
      <c r="E6" s="60" t="n">
        <v>36982</v>
      </c>
      <c r="F6" s="92" t="n">
        <v>111.703703703704</v>
      </c>
      <c r="G6" s="93" t="n">
        <v>119.481481481481</v>
      </c>
      <c r="I6" s="60" t="n">
        <v>36982</v>
      </c>
      <c r="J6" s="97" t="n">
        <v>6.995</v>
      </c>
      <c r="K6" s="96" t="n">
        <f aca="false">$K$3+J6</f>
        <v>7.495</v>
      </c>
      <c r="M6" s="60" t="n">
        <v>36982</v>
      </c>
      <c r="N6" s="97" t="n">
        <v>7.095</v>
      </c>
      <c r="O6" s="96" t="n">
        <f aca="false">$O$3+N6</f>
        <v>7.395</v>
      </c>
    </row>
    <row r="7" customFormat="false" ht="12.75" hidden="false" customHeight="false" outlineLevel="0" collapsed="false">
      <c r="A7" s="60" t="n">
        <v>37012</v>
      </c>
      <c r="B7" s="92" t="n">
        <v>122.750780437045</v>
      </c>
      <c r="C7" s="93" t="n">
        <v>125.809920221991</v>
      </c>
      <c r="D7" s="94"/>
      <c r="E7" s="60" t="n">
        <v>37012</v>
      </c>
      <c r="F7" s="92" t="n">
        <v>113.612903225806</v>
      </c>
      <c r="G7" s="93" t="n">
        <v>121.408602150538</v>
      </c>
      <c r="I7" s="60" t="n">
        <v>37012</v>
      </c>
      <c r="J7" s="97" t="n">
        <v>6.89</v>
      </c>
      <c r="K7" s="96" t="n">
        <f aca="false">$K$3+J7</f>
        <v>7.39</v>
      </c>
      <c r="M7" s="60" t="n">
        <v>37012</v>
      </c>
      <c r="N7" s="97" t="n">
        <v>6.99</v>
      </c>
      <c r="O7" s="96" t="n">
        <f aca="false">$O$3+N7</f>
        <v>7.29</v>
      </c>
    </row>
    <row r="8" customFormat="false" ht="12.75" hidden="false" customHeight="false" outlineLevel="0" collapsed="false">
      <c r="A8" s="60" t="n">
        <v>37043</v>
      </c>
      <c r="B8" s="92" t="n">
        <v>132.414814814815</v>
      </c>
      <c r="C8" s="93" t="n">
        <v>135.492592592593</v>
      </c>
      <c r="D8" s="94"/>
      <c r="E8" s="60" t="n">
        <v>37043</v>
      </c>
      <c r="F8" s="92" t="n">
        <v>138.413333333333</v>
      </c>
      <c r="G8" s="93" t="n">
        <v>146.302222222222</v>
      </c>
      <c r="I8" s="60" t="n">
        <v>37043</v>
      </c>
      <c r="J8" s="97" t="n">
        <v>7.24</v>
      </c>
      <c r="K8" s="96" t="n">
        <f aca="false">$K$3+J8</f>
        <v>7.74</v>
      </c>
      <c r="M8" s="60" t="n">
        <v>37043</v>
      </c>
      <c r="N8" s="97" t="n">
        <v>7.34</v>
      </c>
      <c r="O8" s="96" t="n">
        <f aca="false">$O$3+N8</f>
        <v>7.64</v>
      </c>
    </row>
    <row r="9" customFormat="false" ht="12.75" hidden="false" customHeight="false" outlineLevel="0" collapsed="false">
      <c r="A9" s="60" t="n">
        <v>37073</v>
      </c>
      <c r="B9" s="92" t="n">
        <v>147.928199791883</v>
      </c>
      <c r="C9" s="93" t="n">
        <v>150.965834200486</v>
      </c>
      <c r="D9" s="94"/>
      <c r="E9" s="60" t="n">
        <v>37073</v>
      </c>
      <c r="F9" s="92" t="n">
        <v>144.173083593479</v>
      </c>
      <c r="G9" s="93" t="n">
        <v>151.86125563649</v>
      </c>
      <c r="I9" s="60" t="n">
        <v>37073</v>
      </c>
      <c r="J9" s="97" t="n">
        <v>7.76</v>
      </c>
      <c r="K9" s="96" t="n">
        <f aca="false">$K$3+J9</f>
        <v>8.26</v>
      </c>
      <c r="M9" s="60" t="n">
        <v>37073</v>
      </c>
      <c r="N9" s="97" t="n">
        <v>7.66</v>
      </c>
      <c r="O9" s="96" t="n">
        <f aca="false">$O$3+N9</f>
        <v>7.96</v>
      </c>
    </row>
    <row r="10" customFormat="false" ht="12.75" hidden="false" customHeight="false" outlineLevel="0" collapsed="false">
      <c r="A10" s="60" t="n">
        <v>37104</v>
      </c>
      <c r="B10" s="92" t="n">
        <v>181.073881373569</v>
      </c>
      <c r="C10" s="93" t="n">
        <v>184.15452653486</v>
      </c>
      <c r="D10" s="94"/>
      <c r="E10" s="60" t="n">
        <v>37104</v>
      </c>
      <c r="F10" s="92" t="n">
        <v>181.62330905307</v>
      </c>
      <c r="G10" s="93" t="n">
        <v>189.526534859521</v>
      </c>
      <c r="I10" s="60" t="n">
        <v>37104</v>
      </c>
      <c r="J10" s="97" t="n">
        <v>7.86</v>
      </c>
      <c r="K10" s="96" t="n">
        <f aca="false">$K$3+J10</f>
        <v>8.36</v>
      </c>
      <c r="M10" s="60" t="n">
        <v>37104</v>
      </c>
      <c r="N10" s="97" t="n">
        <v>7.76</v>
      </c>
      <c r="O10" s="96" t="n">
        <f aca="false">$O$3+N10</f>
        <v>8.06</v>
      </c>
    </row>
    <row r="11" customFormat="false" ht="12.75" hidden="false" customHeight="false" outlineLevel="0" collapsed="false">
      <c r="A11" s="60" t="n">
        <v>37135</v>
      </c>
      <c r="B11" s="92" t="n">
        <v>143.986666666667</v>
      </c>
      <c r="C11" s="93" t="n">
        <v>147.02</v>
      </c>
      <c r="D11" s="94"/>
      <c r="E11" s="60" t="n">
        <v>37135</v>
      </c>
      <c r="F11" s="92" t="n">
        <v>134.18</v>
      </c>
      <c r="G11" s="93" t="n">
        <v>141.846666666667</v>
      </c>
      <c r="I11" s="60" t="n">
        <v>37135</v>
      </c>
      <c r="J11" s="97" t="n">
        <v>7.727</v>
      </c>
      <c r="K11" s="96" t="n">
        <f aca="false">$K$3+J11</f>
        <v>8.227</v>
      </c>
      <c r="M11" s="60" t="n">
        <v>37135</v>
      </c>
      <c r="N11" s="97" t="n">
        <v>7.627</v>
      </c>
      <c r="O11" s="96" t="n">
        <f aca="false">$O$3+N11</f>
        <v>7.927</v>
      </c>
    </row>
    <row r="12" customFormat="false" ht="12.75" hidden="false" customHeight="false" outlineLevel="0" collapsed="false">
      <c r="A12" s="60" t="n">
        <v>37165</v>
      </c>
      <c r="B12" s="92" t="n">
        <v>111.914672216441</v>
      </c>
      <c r="C12" s="93" t="n">
        <v>114.995317377732</v>
      </c>
      <c r="D12" s="94"/>
      <c r="E12" s="60" t="n">
        <v>37165</v>
      </c>
      <c r="F12" s="92" t="n">
        <v>102.474505723205</v>
      </c>
      <c r="G12" s="93" t="n">
        <v>110.377731529657</v>
      </c>
      <c r="I12" s="60" t="n">
        <v>37165</v>
      </c>
      <c r="J12" s="97" t="n">
        <v>6.862</v>
      </c>
      <c r="K12" s="96" t="n">
        <f aca="false">$K$3+J12</f>
        <v>7.362</v>
      </c>
      <c r="M12" s="60" t="n">
        <v>37165</v>
      </c>
      <c r="N12" s="97" t="n">
        <v>6.912</v>
      </c>
      <c r="O12" s="96" t="n">
        <f aca="false">$O$3+N12</f>
        <v>7.212</v>
      </c>
    </row>
    <row r="13" customFormat="false" ht="12.75" hidden="false" customHeight="false" outlineLevel="0" collapsed="false">
      <c r="A13" s="60" t="n">
        <v>37196</v>
      </c>
      <c r="B13" s="92" t="n">
        <v>101.777777777778</v>
      </c>
      <c r="C13" s="93" t="n">
        <v>104.833333333333</v>
      </c>
      <c r="D13" s="94"/>
      <c r="E13" s="60" t="n">
        <v>37196</v>
      </c>
      <c r="F13" s="92" t="n">
        <v>93.037037037037</v>
      </c>
      <c r="G13" s="93" t="n">
        <v>100.814814814815</v>
      </c>
      <c r="I13" s="60" t="n">
        <v>37196</v>
      </c>
      <c r="J13" s="97" t="n">
        <v>7.17</v>
      </c>
      <c r="K13" s="96" t="n">
        <f aca="false">$K$3+J13</f>
        <v>7.67</v>
      </c>
      <c r="M13" s="60" t="n">
        <v>37196</v>
      </c>
      <c r="N13" s="97" t="n">
        <v>7.5</v>
      </c>
      <c r="O13" s="96" t="n">
        <f aca="false">$O$3+N13</f>
        <v>7.8</v>
      </c>
    </row>
    <row r="14" customFormat="false" ht="12.75" hidden="false" customHeight="false" outlineLevel="0" collapsed="false">
      <c r="A14" s="60" t="n">
        <v>37226</v>
      </c>
      <c r="B14" s="92" t="n">
        <v>102.756850502948</v>
      </c>
      <c r="C14" s="93" t="n">
        <v>105.79448491155</v>
      </c>
      <c r="D14" s="94"/>
      <c r="E14" s="60" t="n">
        <v>37226</v>
      </c>
      <c r="F14" s="92" t="n">
        <v>88.3683662851197</v>
      </c>
      <c r="G14" s="93" t="n">
        <v>96.0565383281304</v>
      </c>
      <c r="I14" s="60" t="n">
        <v>37226</v>
      </c>
      <c r="J14" s="97" t="n">
        <v>7.3</v>
      </c>
      <c r="K14" s="96" t="n">
        <f aca="false">$K$3+J14</f>
        <v>7.8</v>
      </c>
      <c r="M14" s="60" t="n">
        <v>37226</v>
      </c>
      <c r="N14" s="97" t="n">
        <v>7.63</v>
      </c>
      <c r="O14" s="96" t="n">
        <f aca="false">$O$3+N14</f>
        <v>7.93</v>
      </c>
    </row>
    <row r="15" customFormat="false" ht="12.75" hidden="false" customHeight="false" outlineLevel="0" collapsed="false">
      <c r="A15" s="60" t="n">
        <v>37257</v>
      </c>
      <c r="B15" s="92" t="n">
        <v>84.5143947277142</v>
      </c>
      <c r="C15" s="93" t="n">
        <v>88.3531044051335</v>
      </c>
      <c r="D15" s="94"/>
      <c r="E15" s="60" t="n">
        <v>37257</v>
      </c>
      <c r="F15" s="92" t="n">
        <v>77.5874089490114</v>
      </c>
      <c r="G15" s="93" t="n">
        <v>81.4261186264308</v>
      </c>
      <c r="I15" s="60" t="n">
        <v>37257</v>
      </c>
      <c r="J15" s="97" t="n">
        <v>7.2975</v>
      </c>
      <c r="K15" s="96" t="n">
        <f aca="false">$K$3+J15</f>
        <v>7.7975</v>
      </c>
      <c r="M15" s="60" t="n">
        <v>37257</v>
      </c>
      <c r="N15" s="97" t="n">
        <v>7.628</v>
      </c>
      <c r="O15" s="96" t="n">
        <f aca="false">$O$3+N15</f>
        <v>7.928</v>
      </c>
    </row>
    <row r="16" customFormat="false" ht="12.75" hidden="false" customHeight="false" outlineLevel="0" collapsed="false">
      <c r="A16" s="60" t="n">
        <v>37288</v>
      </c>
      <c r="B16" s="92" t="n">
        <v>77.0612244897959</v>
      </c>
      <c r="C16" s="93" t="n">
        <v>80.9183673469388</v>
      </c>
      <c r="D16" s="94"/>
      <c r="E16" s="60" t="n">
        <v>37288</v>
      </c>
      <c r="F16" s="92" t="n">
        <v>70.5663265306122</v>
      </c>
      <c r="G16" s="93" t="n">
        <v>74.4234693877551</v>
      </c>
      <c r="I16" s="60" t="n">
        <v>37288</v>
      </c>
      <c r="J16" s="97" t="n">
        <v>7.0425</v>
      </c>
      <c r="K16" s="96" t="n">
        <f aca="false">$K$3+J16</f>
        <v>7.5425</v>
      </c>
      <c r="M16" s="60" t="n">
        <v>37288</v>
      </c>
      <c r="N16" s="97" t="n">
        <v>7.373</v>
      </c>
      <c r="O16" s="96" t="n">
        <f aca="false">$O$3+N16</f>
        <v>7.673</v>
      </c>
    </row>
    <row r="17" customFormat="false" ht="12.75" hidden="false" customHeight="false" outlineLevel="0" collapsed="false">
      <c r="A17" s="60" t="n">
        <v>37316</v>
      </c>
      <c r="B17" s="92" t="n">
        <v>69.6248699271592</v>
      </c>
      <c r="C17" s="93" t="n">
        <v>73.4635796045786</v>
      </c>
      <c r="D17" s="94"/>
      <c r="E17" s="60" t="n">
        <v>37316</v>
      </c>
      <c r="F17" s="92" t="n">
        <v>69.1116892126257</v>
      </c>
      <c r="G17" s="93" t="n">
        <v>72.9503988900451</v>
      </c>
      <c r="I17" s="60" t="n">
        <v>37316</v>
      </c>
      <c r="J17" s="97" t="n">
        <v>6.7025</v>
      </c>
      <c r="K17" s="96" t="n">
        <f aca="false">$K$3+J17</f>
        <v>7.2025</v>
      </c>
      <c r="M17" s="60" t="n">
        <v>37316</v>
      </c>
      <c r="N17" s="97" t="n">
        <v>7.033</v>
      </c>
      <c r="O17" s="96" t="n">
        <f aca="false">$O$3+N17</f>
        <v>7.333</v>
      </c>
    </row>
    <row r="18" customFormat="false" ht="12.75" hidden="false" customHeight="false" outlineLevel="0" collapsed="false">
      <c r="A18" s="60" t="n">
        <v>37347</v>
      </c>
      <c r="B18" s="92" t="n">
        <v>68.1</v>
      </c>
      <c r="C18" s="93" t="n">
        <v>71.9666666666667</v>
      </c>
      <c r="D18" s="94"/>
      <c r="E18" s="60" t="n">
        <v>37347</v>
      </c>
      <c r="F18" s="92" t="n">
        <v>65.4281481481481</v>
      </c>
      <c r="G18" s="93" t="n">
        <v>69.2948148148148</v>
      </c>
      <c r="I18" s="60" t="n">
        <v>37347</v>
      </c>
      <c r="J18" s="97" t="n">
        <v>5.775</v>
      </c>
      <c r="K18" s="96" t="n">
        <f aca="false">$K$3+J18</f>
        <v>6.275</v>
      </c>
      <c r="M18" s="60" t="n">
        <v>37347</v>
      </c>
      <c r="N18" s="97" t="n">
        <v>5.875</v>
      </c>
      <c r="O18" s="96" t="n">
        <f aca="false">$O$3+N18</f>
        <v>6.175</v>
      </c>
    </row>
    <row r="19" customFormat="false" ht="12.75" hidden="false" customHeight="false" outlineLevel="0" collapsed="false">
      <c r="A19" s="60" t="n">
        <v>37377</v>
      </c>
      <c r="B19" s="92" t="n">
        <v>67.6843565730142</v>
      </c>
      <c r="C19" s="93" t="n">
        <v>71.5230662504336</v>
      </c>
      <c r="D19" s="94"/>
      <c r="E19" s="60" t="n">
        <v>37377</v>
      </c>
      <c r="F19" s="92" t="n">
        <v>66.522806104752</v>
      </c>
      <c r="G19" s="93" t="n">
        <v>70.3615157821714</v>
      </c>
      <c r="I19" s="60" t="n">
        <v>37377</v>
      </c>
      <c r="J19" s="97" t="n">
        <v>5.568</v>
      </c>
      <c r="K19" s="96" t="n">
        <f aca="false">$K$3+J19</f>
        <v>6.068</v>
      </c>
      <c r="M19" s="60" t="n">
        <v>37377</v>
      </c>
      <c r="N19" s="97" t="n">
        <v>5.668</v>
      </c>
      <c r="O19" s="96" t="n">
        <f aca="false">$O$3+N19</f>
        <v>5.968</v>
      </c>
    </row>
    <row r="20" customFormat="false" ht="12.75" hidden="false" customHeight="false" outlineLevel="0" collapsed="false">
      <c r="A20" s="60" t="n">
        <v>37408</v>
      </c>
      <c r="B20" s="92" t="n">
        <v>71.037037037037</v>
      </c>
      <c r="C20" s="93" t="n">
        <v>74.8703703703704</v>
      </c>
      <c r="D20" s="94"/>
      <c r="E20" s="60" t="n">
        <v>37408</v>
      </c>
      <c r="F20" s="92" t="n">
        <v>76</v>
      </c>
      <c r="G20" s="93" t="n">
        <v>79.8333333333333</v>
      </c>
      <c r="I20" s="60" t="n">
        <v>37408</v>
      </c>
      <c r="J20" s="97" t="n">
        <v>5.528</v>
      </c>
      <c r="K20" s="96" t="n">
        <f aca="false">$K$3+J20</f>
        <v>6.028</v>
      </c>
      <c r="M20" s="60" t="n">
        <v>37408</v>
      </c>
      <c r="N20" s="97" t="n">
        <v>5.628</v>
      </c>
      <c r="O20" s="96" t="n">
        <f aca="false">$O$3+N20</f>
        <v>5.928</v>
      </c>
    </row>
    <row r="21" customFormat="false" ht="12.75" hidden="false" customHeight="false" outlineLevel="0" collapsed="false">
      <c r="A21" s="60" t="n">
        <v>37438</v>
      </c>
      <c r="B21" s="92" t="n">
        <v>102.004769337496</v>
      </c>
      <c r="C21" s="93" t="n">
        <v>105.843479014915</v>
      </c>
      <c r="D21" s="94"/>
      <c r="E21" s="60" t="n">
        <v>37438</v>
      </c>
      <c r="F21" s="92" t="n">
        <v>102.759365244537</v>
      </c>
      <c r="G21" s="93" t="n">
        <v>106.598074921956</v>
      </c>
      <c r="I21" s="60" t="n">
        <v>37438</v>
      </c>
      <c r="J21" s="97" t="n">
        <v>6.218</v>
      </c>
      <c r="K21" s="96" t="n">
        <f aca="false">$K$3+J21</f>
        <v>6.718</v>
      </c>
      <c r="M21" s="60" t="n">
        <v>37438</v>
      </c>
      <c r="N21" s="97" t="n">
        <v>6.318</v>
      </c>
      <c r="O21" s="96" t="n">
        <f aca="false">$O$3+N21</f>
        <v>6.618</v>
      </c>
    </row>
    <row r="22" customFormat="false" ht="12.75" hidden="false" customHeight="false" outlineLevel="0" collapsed="false">
      <c r="A22" s="60" t="n">
        <v>37469</v>
      </c>
      <c r="B22" s="92" t="n">
        <v>113.60353798127</v>
      </c>
      <c r="C22" s="93" t="n">
        <v>117.474505723205</v>
      </c>
      <c r="D22" s="94"/>
      <c r="E22" s="60" t="n">
        <v>37469</v>
      </c>
      <c r="F22" s="92" t="n">
        <v>112.671696149844</v>
      </c>
      <c r="G22" s="93" t="n">
        <v>116.542663891779</v>
      </c>
      <c r="I22" s="60" t="n">
        <v>37469</v>
      </c>
      <c r="J22" s="97" t="n">
        <v>6.213</v>
      </c>
      <c r="K22" s="96" t="n">
        <f aca="false">$K$3+J22</f>
        <v>6.713</v>
      </c>
      <c r="M22" s="60" t="n">
        <v>37469</v>
      </c>
      <c r="N22" s="97" t="n">
        <v>6.313</v>
      </c>
      <c r="O22" s="96" t="n">
        <f aca="false">$O$3+N22</f>
        <v>6.613</v>
      </c>
    </row>
    <row r="23" customFormat="false" ht="12.75" hidden="false" customHeight="false" outlineLevel="0" collapsed="false">
      <c r="A23" s="60" t="n">
        <v>37500</v>
      </c>
      <c r="B23" s="92" t="n">
        <v>102.093333333333</v>
      </c>
      <c r="C23" s="93" t="n">
        <v>105.893333333333</v>
      </c>
      <c r="D23" s="94"/>
      <c r="E23" s="60" t="n">
        <v>37500</v>
      </c>
      <c r="F23" s="92" t="n">
        <v>98.8933333333333</v>
      </c>
      <c r="G23" s="93" t="n">
        <v>102.693333333333</v>
      </c>
      <c r="I23" s="60" t="n">
        <v>37500</v>
      </c>
      <c r="J23" s="97" t="n">
        <v>6.2</v>
      </c>
      <c r="K23" s="96" t="n">
        <f aca="false">$K$3+J23</f>
        <v>6.7</v>
      </c>
      <c r="M23" s="60" t="n">
        <v>37500</v>
      </c>
      <c r="N23" s="97" t="n">
        <v>6.3</v>
      </c>
      <c r="O23" s="96" t="n">
        <f aca="false">$O$3+N23</f>
        <v>6.6</v>
      </c>
    </row>
    <row r="24" customFormat="false" ht="12.75" hidden="false" customHeight="false" outlineLevel="0" collapsed="false">
      <c r="A24" s="60" t="n">
        <v>37530</v>
      </c>
      <c r="B24" s="92" t="n">
        <v>76.579604578564</v>
      </c>
      <c r="C24" s="93" t="n">
        <v>80.4505723204995</v>
      </c>
      <c r="D24" s="94"/>
      <c r="E24" s="60" t="n">
        <v>37530</v>
      </c>
      <c r="F24" s="92" t="n">
        <v>76.4110301768991</v>
      </c>
      <c r="G24" s="93" t="n">
        <v>80.2819979188346</v>
      </c>
      <c r="I24" s="60" t="n">
        <v>37530</v>
      </c>
      <c r="J24" s="97" t="n">
        <v>5.63</v>
      </c>
      <c r="K24" s="96" t="n">
        <f aca="false">$K$3+J24</f>
        <v>6.13</v>
      </c>
      <c r="M24" s="60" t="n">
        <v>37530</v>
      </c>
      <c r="N24" s="97" t="n">
        <v>5.73</v>
      </c>
      <c r="O24" s="96" t="n">
        <f aca="false">$O$3+N24</f>
        <v>6.03</v>
      </c>
    </row>
    <row r="25" customFormat="false" ht="12.75" hidden="false" customHeight="false" outlineLevel="0" collapsed="false">
      <c r="A25" s="60" t="n">
        <v>37561</v>
      </c>
      <c r="B25" s="92" t="n">
        <v>70.2962962962963</v>
      </c>
      <c r="C25" s="93" t="n">
        <v>74.1296296296296</v>
      </c>
      <c r="D25" s="94"/>
      <c r="E25" s="60" t="n">
        <v>37561</v>
      </c>
      <c r="F25" s="92" t="n">
        <v>65.1851851851852</v>
      </c>
      <c r="G25" s="93" t="n">
        <v>69.0185185185185</v>
      </c>
      <c r="I25" s="60" t="n">
        <v>37561</v>
      </c>
      <c r="J25" s="97" t="n">
        <v>5.445</v>
      </c>
      <c r="K25" s="96" t="n">
        <f aca="false">$K$3+J25</f>
        <v>5.945</v>
      </c>
      <c r="M25" s="60" t="n">
        <v>37561</v>
      </c>
      <c r="N25" s="97" t="n">
        <v>5.6</v>
      </c>
      <c r="O25" s="96" t="n">
        <f aca="false">$O$3+N25</f>
        <v>5.9</v>
      </c>
    </row>
    <row r="26" customFormat="false" ht="12.75" hidden="false" customHeight="false" outlineLevel="0" collapsed="false">
      <c r="A26" s="60" t="n">
        <v>37591</v>
      </c>
      <c r="B26" s="92" t="n">
        <v>70.111342351717</v>
      </c>
      <c r="C26" s="93" t="n">
        <v>73.9177939646202</v>
      </c>
      <c r="D26" s="94"/>
      <c r="E26" s="60" t="n">
        <v>37591</v>
      </c>
      <c r="F26" s="92" t="n">
        <v>63.4394727714187</v>
      </c>
      <c r="G26" s="93" t="n">
        <v>67.2459243843219</v>
      </c>
      <c r="I26" s="60" t="n">
        <v>37591</v>
      </c>
      <c r="J26" s="97" t="n">
        <v>5.545</v>
      </c>
      <c r="K26" s="96" t="n">
        <f aca="false">$K$3+J26</f>
        <v>6.045</v>
      </c>
      <c r="M26" s="60" t="n">
        <v>37591</v>
      </c>
      <c r="N26" s="97" t="n">
        <v>5.7</v>
      </c>
      <c r="O26" s="96" t="n">
        <f aca="false">$O$3+N26</f>
        <v>6</v>
      </c>
    </row>
    <row r="27" customFormat="false" ht="12.75" hidden="false" customHeight="false" outlineLevel="0" collapsed="false">
      <c r="A27" s="60" t="n">
        <v>37622</v>
      </c>
      <c r="B27" s="92" t="n">
        <v>56.6827956989247</v>
      </c>
      <c r="C27" s="93" t="n">
        <v>60.5215053763441</v>
      </c>
      <c r="D27" s="94"/>
      <c r="E27" s="60" t="n">
        <v>37622</v>
      </c>
      <c r="F27" s="92" t="n">
        <v>51.0215053763441</v>
      </c>
      <c r="G27" s="93" t="n">
        <v>54.8602150537634</v>
      </c>
      <c r="I27" s="60" t="n">
        <v>37622</v>
      </c>
      <c r="J27" s="97" t="n">
        <v>5.574</v>
      </c>
      <c r="K27" s="96" t="n">
        <f aca="false">$K$3+J27</f>
        <v>6.074</v>
      </c>
      <c r="M27" s="60" t="n">
        <v>37622</v>
      </c>
      <c r="N27" s="97" t="n">
        <v>5.729</v>
      </c>
      <c r="O27" s="96" t="n">
        <f aca="false">$O$3+N27</f>
        <v>6.029</v>
      </c>
    </row>
    <row r="28" customFormat="false" ht="12.75" hidden="false" customHeight="false" outlineLevel="0" collapsed="false">
      <c r="A28" s="60" t="n">
        <v>37653</v>
      </c>
      <c r="B28" s="92" t="n">
        <v>55.4642857142857</v>
      </c>
      <c r="C28" s="93" t="n">
        <v>59.3214285714286</v>
      </c>
      <c r="D28" s="94"/>
      <c r="E28" s="60" t="n">
        <v>37653</v>
      </c>
      <c r="F28" s="92" t="n">
        <v>50.1428571428571</v>
      </c>
      <c r="G28" s="93" t="n">
        <v>54</v>
      </c>
      <c r="I28" s="60" t="n">
        <v>37653</v>
      </c>
      <c r="J28" s="97" t="n">
        <v>5.399</v>
      </c>
      <c r="K28" s="96" t="n">
        <f aca="false">$K$3+J28</f>
        <v>5.899</v>
      </c>
      <c r="M28" s="60" t="n">
        <v>37653</v>
      </c>
      <c r="N28" s="97" t="n">
        <v>5.554</v>
      </c>
      <c r="O28" s="96" t="n">
        <f aca="false">$O$3+N28</f>
        <v>5.854</v>
      </c>
    </row>
    <row r="29" customFormat="false" ht="12.75" hidden="false" customHeight="false" outlineLevel="0" collapsed="false">
      <c r="A29" s="60" t="n">
        <v>37681</v>
      </c>
      <c r="B29" s="92" t="n">
        <v>53.1532258064516</v>
      </c>
      <c r="C29" s="93" t="n">
        <v>56.991935483871</v>
      </c>
      <c r="D29" s="94"/>
      <c r="E29" s="60" t="n">
        <v>37681</v>
      </c>
      <c r="F29" s="92" t="n">
        <v>49.4623655913978</v>
      </c>
      <c r="G29" s="93" t="n">
        <v>53.3010752688172</v>
      </c>
      <c r="I29" s="60" t="n">
        <v>37681</v>
      </c>
      <c r="J29" s="97" t="n">
        <v>5.149</v>
      </c>
      <c r="K29" s="96" t="n">
        <f aca="false">$K$3+J29</f>
        <v>5.649</v>
      </c>
      <c r="M29" s="60" t="n">
        <v>37681</v>
      </c>
      <c r="N29" s="97" t="n">
        <v>5.304</v>
      </c>
      <c r="O29" s="96" t="n">
        <f aca="false">$O$3+N29</f>
        <v>5.604</v>
      </c>
    </row>
    <row r="30" customFormat="false" ht="12.75" hidden="false" customHeight="false" outlineLevel="0" collapsed="false">
      <c r="A30" s="60" t="n">
        <v>37712</v>
      </c>
      <c r="B30" s="92" t="n">
        <v>52.2666666666667</v>
      </c>
      <c r="C30" s="93" t="n">
        <v>56.1333333333333</v>
      </c>
      <c r="D30" s="94"/>
      <c r="E30" s="60" t="n">
        <v>37712</v>
      </c>
      <c r="F30" s="92" t="n">
        <v>49.5555555555556</v>
      </c>
      <c r="G30" s="93" t="n">
        <v>53.4222222222222</v>
      </c>
      <c r="I30" s="60" t="n">
        <v>37712</v>
      </c>
      <c r="J30" s="97" t="n">
        <v>4.896</v>
      </c>
      <c r="K30" s="96" t="n">
        <f aca="false">$K$3+J30</f>
        <v>5.396</v>
      </c>
      <c r="M30" s="60" t="n">
        <v>37712</v>
      </c>
      <c r="N30" s="97" t="n">
        <v>5.051</v>
      </c>
      <c r="O30" s="96" t="n">
        <f aca="false">$O$3+N30</f>
        <v>5.351</v>
      </c>
    </row>
    <row r="31" customFormat="false" ht="12.75" hidden="false" customHeight="false" outlineLevel="0" collapsed="false">
      <c r="A31" s="60" t="n">
        <v>37742</v>
      </c>
      <c r="B31" s="92" t="n">
        <v>51.9489247311828</v>
      </c>
      <c r="C31" s="93" t="n">
        <v>55.7876344086021</v>
      </c>
      <c r="D31" s="94"/>
      <c r="E31" s="60" t="n">
        <v>37742</v>
      </c>
      <c r="F31" s="92" t="n">
        <v>48.1827956989247</v>
      </c>
      <c r="G31" s="93" t="n">
        <v>52.0215053763441</v>
      </c>
      <c r="I31" s="60" t="n">
        <v>37742</v>
      </c>
      <c r="J31" s="97" t="n">
        <v>4.821</v>
      </c>
      <c r="K31" s="96" t="n">
        <f aca="false">$K$3+J31</f>
        <v>5.321</v>
      </c>
      <c r="M31" s="60" t="n">
        <v>37742</v>
      </c>
      <c r="N31" s="97" t="n">
        <v>4.976</v>
      </c>
      <c r="O31" s="96" t="n">
        <f aca="false">$O$3+N31</f>
        <v>5.276</v>
      </c>
    </row>
    <row r="32" customFormat="false" ht="12.75" hidden="false" customHeight="false" outlineLevel="0" collapsed="false">
      <c r="A32" s="60" t="n">
        <v>37773</v>
      </c>
      <c r="B32" s="92" t="n">
        <v>56.8055555555556</v>
      </c>
      <c r="C32" s="93" t="n">
        <v>60.6388888888889</v>
      </c>
      <c r="D32" s="94"/>
      <c r="E32" s="60" t="n">
        <v>37773</v>
      </c>
      <c r="F32" s="92" t="n">
        <v>58.6666666666667</v>
      </c>
      <c r="G32" s="93" t="n">
        <v>62.5</v>
      </c>
      <c r="I32" s="60" t="n">
        <v>37773</v>
      </c>
      <c r="J32" s="97" t="n">
        <v>4.825</v>
      </c>
      <c r="K32" s="96" t="n">
        <f aca="false">$K$3+J32</f>
        <v>5.325</v>
      </c>
      <c r="M32" s="60" t="n">
        <v>37773</v>
      </c>
      <c r="N32" s="97" t="n">
        <v>4.98</v>
      </c>
      <c r="O32" s="96" t="n">
        <f aca="false">$O$3+N32</f>
        <v>5.28</v>
      </c>
    </row>
    <row r="33" customFormat="false" ht="12.75" hidden="false" customHeight="false" outlineLevel="0" collapsed="false">
      <c r="A33" s="60" t="n">
        <v>37803</v>
      </c>
      <c r="B33" s="92" t="n">
        <v>79.5161290322581</v>
      </c>
      <c r="C33" s="93" t="n">
        <v>83.3548387096774</v>
      </c>
      <c r="D33" s="94"/>
      <c r="E33" s="60" t="n">
        <v>37803</v>
      </c>
      <c r="F33" s="92" t="n">
        <v>80.1935483870968</v>
      </c>
      <c r="G33" s="93" t="n">
        <v>84.0322580645161</v>
      </c>
      <c r="I33" s="60" t="n">
        <v>37803</v>
      </c>
      <c r="J33" s="97" t="n">
        <v>4.84</v>
      </c>
      <c r="K33" s="96" t="n">
        <f aca="false">$K$3+J33</f>
        <v>5.34</v>
      </c>
      <c r="M33" s="60" t="n">
        <v>37803</v>
      </c>
      <c r="N33" s="97" t="n">
        <v>4.995</v>
      </c>
      <c r="O33" s="96" t="n">
        <f aca="false">$O$3+N33</f>
        <v>5.295</v>
      </c>
    </row>
    <row r="34" customFormat="false" ht="12.75" hidden="false" customHeight="false" outlineLevel="0" collapsed="false">
      <c r="A34" s="60" t="n">
        <v>37834</v>
      </c>
      <c r="B34" s="92" t="n">
        <v>88.0564516129032</v>
      </c>
      <c r="C34" s="93" t="n">
        <v>91.8951612903226</v>
      </c>
      <c r="D34" s="94"/>
      <c r="E34" s="60" t="n">
        <v>37834</v>
      </c>
      <c r="F34" s="92" t="n">
        <v>85.4301075268817</v>
      </c>
      <c r="G34" s="93" t="n">
        <v>89.2688172043011</v>
      </c>
      <c r="I34" s="60" t="n">
        <v>37834</v>
      </c>
      <c r="J34" s="97" t="n">
        <v>4.84</v>
      </c>
      <c r="K34" s="96" t="n">
        <f aca="false">$K$3+J34</f>
        <v>5.34</v>
      </c>
      <c r="M34" s="60" t="n">
        <v>37834</v>
      </c>
      <c r="N34" s="97" t="n">
        <v>4.995</v>
      </c>
      <c r="O34" s="96" t="n">
        <f aca="false">$O$3+N34</f>
        <v>5.295</v>
      </c>
    </row>
    <row r="35" customFormat="false" ht="12.75" hidden="false" customHeight="false" outlineLevel="0" collapsed="false">
      <c r="A35" s="60" t="n">
        <v>37865</v>
      </c>
      <c r="B35" s="92" t="n">
        <v>80.1111111111111</v>
      </c>
      <c r="C35" s="93" t="n">
        <v>83.9444444444444</v>
      </c>
      <c r="D35" s="94"/>
      <c r="E35" s="60" t="n">
        <v>37865</v>
      </c>
      <c r="F35" s="92" t="n">
        <v>79.8888888888889</v>
      </c>
      <c r="G35" s="93" t="n">
        <v>83.7222222222222</v>
      </c>
      <c r="I35" s="60" t="n">
        <v>37865</v>
      </c>
      <c r="J35" s="97" t="n">
        <v>4.861</v>
      </c>
      <c r="K35" s="96" t="n">
        <f aca="false">$K$3+J35</f>
        <v>5.361</v>
      </c>
      <c r="M35" s="60" t="n">
        <v>37865</v>
      </c>
      <c r="N35" s="97" t="n">
        <v>5.016</v>
      </c>
      <c r="O35" s="96" t="n">
        <f aca="false">$O$3+N35</f>
        <v>5.316</v>
      </c>
    </row>
    <row r="36" customFormat="false" ht="12.75" hidden="false" customHeight="false" outlineLevel="0" collapsed="false">
      <c r="A36" s="60" t="n">
        <v>37895</v>
      </c>
      <c r="B36" s="92" t="n">
        <v>55.7741935483871</v>
      </c>
      <c r="C36" s="93" t="n">
        <v>59.6451612903226</v>
      </c>
      <c r="D36" s="94"/>
      <c r="E36" s="60" t="n">
        <v>37895</v>
      </c>
      <c r="F36" s="92" t="n">
        <v>58.0967741935484</v>
      </c>
      <c r="G36" s="93" t="n">
        <v>61.9677419354839</v>
      </c>
      <c r="I36" s="60" t="n">
        <v>37895</v>
      </c>
      <c r="J36" s="97" t="n">
        <v>4.886</v>
      </c>
      <c r="K36" s="96" t="n">
        <f aca="false">$K$3+J36</f>
        <v>5.386</v>
      </c>
      <c r="M36" s="60" t="n">
        <v>37895</v>
      </c>
      <c r="N36" s="97" t="n">
        <v>5.041</v>
      </c>
      <c r="O36" s="96" t="n">
        <f aca="false">$O$3+N36</f>
        <v>5.341</v>
      </c>
    </row>
    <row r="37" customFormat="false" ht="12.75" hidden="false" customHeight="false" outlineLevel="0" collapsed="false">
      <c r="A37" s="60" t="n">
        <v>37926</v>
      </c>
      <c r="B37" s="92" t="n">
        <v>53.1666666666667</v>
      </c>
      <c r="C37" s="93" t="n">
        <v>56.9666666666667</v>
      </c>
      <c r="D37" s="94"/>
      <c r="E37" s="60" t="n">
        <v>37926</v>
      </c>
      <c r="F37" s="92" t="n">
        <v>48.9333333333333</v>
      </c>
      <c r="G37" s="93" t="n">
        <v>52.7333333333333</v>
      </c>
      <c r="I37" s="60" t="n">
        <v>37926</v>
      </c>
      <c r="J37" s="97" t="n">
        <v>4.661</v>
      </c>
      <c r="K37" s="96" t="n">
        <f aca="false">$K$3+J37</f>
        <v>5.161</v>
      </c>
      <c r="M37" s="60" t="n">
        <v>37926</v>
      </c>
      <c r="N37" s="97" t="n">
        <v>4.816</v>
      </c>
      <c r="O37" s="96" t="n">
        <f aca="false">$O$3+N37</f>
        <v>5.116</v>
      </c>
    </row>
    <row r="38" customFormat="false" ht="12.75" hidden="false" customHeight="false" outlineLevel="0" collapsed="false">
      <c r="A38" s="60" t="n">
        <v>37956</v>
      </c>
      <c r="B38" s="92" t="n">
        <v>52.9408602150538</v>
      </c>
      <c r="C38" s="93" t="n">
        <v>56.7795698924731</v>
      </c>
      <c r="D38" s="94"/>
      <c r="E38" s="60" t="n">
        <v>37956</v>
      </c>
      <c r="F38" s="92" t="n">
        <v>49.1827956989247</v>
      </c>
      <c r="G38" s="93" t="n">
        <v>53.0215053763441</v>
      </c>
      <c r="I38" s="60" t="n">
        <v>37956</v>
      </c>
      <c r="J38" s="97" t="n">
        <v>4.786</v>
      </c>
      <c r="K38" s="96" t="n">
        <f aca="false">$K$3+J38</f>
        <v>5.286</v>
      </c>
      <c r="M38" s="60" t="n">
        <v>37956</v>
      </c>
      <c r="N38" s="97" t="n">
        <v>4.941</v>
      </c>
      <c r="O38" s="96" t="n">
        <f aca="false">$O$3+N38</f>
        <v>5.241</v>
      </c>
    </row>
    <row r="39" customFormat="false" ht="12.75" hidden="false" customHeight="false" outlineLevel="0" collapsed="false">
      <c r="A39" s="60" t="n">
        <v>37987</v>
      </c>
      <c r="B39" s="92" t="n">
        <v>48.8284946236559</v>
      </c>
      <c r="C39" s="93" t="n">
        <v>52.6672043010753</v>
      </c>
      <c r="D39" s="94"/>
      <c r="E39" s="60" t="n">
        <v>37987</v>
      </c>
      <c r="F39" s="92" t="n">
        <v>42.5564516129032</v>
      </c>
      <c r="G39" s="93" t="n">
        <v>46.3951612903226</v>
      </c>
      <c r="I39" s="60" t="n">
        <v>37987</v>
      </c>
      <c r="J39" s="97" t="n">
        <v>4.815</v>
      </c>
      <c r="K39" s="96" t="n">
        <f aca="false">$K$3+J39</f>
        <v>5.315</v>
      </c>
      <c r="M39" s="60" t="n">
        <v>37987</v>
      </c>
      <c r="N39" s="97" t="n">
        <v>4.97</v>
      </c>
      <c r="O39" s="96" t="n">
        <f aca="false">$O$3+N39</f>
        <v>5.27</v>
      </c>
    </row>
    <row r="40" customFormat="false" ht="12.75" hidden="false" customHeight="false" outlineLevel="0" collapsed="false">
      <c r="A40" s="60" t="n">
        <v>38018</v>
      </c>
      <c r="B40" s="92" t="n">
        <v>47.2724137931034</v>
      </c>
      <c r="C40" s="93" t="n">
        <v>51.1</v>
      </c>
      <c r="D40" s="94"/>
      <c r="E40" s="60" t="n">
        <v>38018</v>
      </c>
      <c r="F40" s="92" t="n">
        <v>41.3362068965517</v>
      </c>
      <c r="G40" s="93" t="n">
        <v>45.1637931034483</v>
      </c>
      <c r="I40" s="60" t="n">
        <v>38018</v>
      </c>
      <c r="J40" s="97" t="n">
        <v>4.719</v>
      </c>
      <c r="K40" s="96" t="n">
        <f aca="false">$K$3+J40</f>
        <v>5.219</v>
      </c>
      <c r="M40" s="60" t="n">
        <v>38018</v>
      </c>
      <c r="N40" s="97" t="n">
        <v>4.874</v>
      </c>
      <c r="O40" s="96" t="n">
        <f aca="false">$O$3+N40</f>
        <v>5.174</v>
      </c>
    </row>
    <row r="41" customFormat="false" ht="12.75" hidden="false" customHeight="false" outlineLevel="0" collapsed="false">
      <c r="A41" s="60" t="n">
        <v>38047</v>
      </c>
      <c r="B41" s="92" t="n">
        <v>45.6258064516129</v>
      </c>
      <c r="C41" s="93" t="n">
        <v>49.4967741935484</v>
      </c>
      <c r="D41" s="94"/>
      <c r="E41" s="60" t="n">
        <v>38047</v>
      </c>
      <c r="F41" s="92" t="n">
        <v>41.3145161290323</v>
      </c>
      <c r="G41" s="93" t="n">
        <v>45.1854838709677</v>
      </c>
      <c r="I41" s="60" t="n">
        <v>38047</v>
      </c>
      <c r="J41" s="97" t="n">
        <v>4.569</v>
      </c>
      <c r="K41" s="96" t="n">
        <f aca="false">$K$3+J41</f>
        <v>5.069</v>
      </c>
      <c r="M41" s="60" t="n">
        <v>38047</v>
      </c>
      <c r="N41" s="97" t="n">
        <v>4.724</v>
      </c>
      <c r="O41" s="96" t="n">
        <f aca="false">$O$3+N41</f>
        <v>5.024</v>
      </c>
    </row>
    <row r="42" customFormat="false" ht="12.75" hidden="false" customHeight="false" outlineLevel="0" collapsed="false">
      <c r="A42" s="60" t="n">
        <v>38078</v>
      </c>
      <c r="B42" s="92" t="n">
        <v>43.61</v>
      </c>
      <c r="C42" s="93" t="n">
        <v>47.4766666666667</v>
      </c>
      <c r="D42" s="94"/>
      <c r="E42" s="60" t="n">
        <v>38078</v>
      </c>
      <c r="F42" s="92" t="n">
        <v>40.9833333333333</v>
      </c>
      <c r="G42" s="93" t="n">
        <v>44.85</v>
      </c>
      <c r="I42" s="60" t="n">
        <v>38078</v>
      </c>
      <c r="J42" s="97" t="n">
        <v>4.441</v>
      </c>
      <c r="K42" s="96" t="n">
        <f aca="false">$K$3+J42</f>
        <v>4.941</v>
      </c>
      <c r="M42" s="60" t="n">
        <v>38078</v>
      </c>
      <c r="N42" s="97" t="n">
        <v>4.341</v>
      </c>
      <c r="O42" s="96" t="n">
        <f aca="false">$O$3+N42</f>
        <v>4.641</v>
      </c>
    </row>
    <row r="43" customFormat="false" ht="12.75" hidden="false" customHeight="false" outlineLevel="0" collapsed="false">
      <c r="A43" s="60" t="n">
        <v>38108</v>
      </c>
      <c r="B43" s="92" t="n">
        <v>42.9881720430108</v>
      </c>
      <c r="C43" s="93" t="n">
        <v>46.794623655914</v>
      </c>
      <c r="D43" s="94"/>
      <c r="E43" s="60" t="n">
        <v>38108</v>
      </c>
      <c r="F43" s="92" t="n">
        <v>39.4112903225806</v>
      </c>
      <c r="G43" s="93" t="n">
        <v>43.2177419354839</v>
      </c>
      <c r="I43" s="60" t="n">
        <v>38108</v>
      </c>
      <c r="J43" s="97" t="n">
        <v>4.416</v>
      </c>
      <c r="K43" s="96" t="n">
        <f aca="false">$K$3+J43</f>
        <v>4.916</v>
      </c>
      <c r="M43" s="60" t="n">
        <v>38108</v>
      </c>
      <c r="N43" s="97" t="n">
        <v>4.316</v>
      </c>
      <c r="O43" s="96" t="n">
        <f aca="false">$O$3+N43</f>
        <v>4.616</v>
      </c>
    </row>
    <row r="44" customFormat="false" ht="12.75" hidden="false" customHeight="false" outlineLevel="0" collapsed="false">
      <c r="A44" s="60" t="n">
        <v>38139</v>
      </c>
      <c r="B44" s="92" t="n">
        <v>48.8211111111111</v>
      </c>
      <c r="C44" s="93" t="n">
        <v>52.6877777777778</v>
      </c>
      <c r="D44" s="94"/>
      <c r="E44" s="60" t="n">
        <v>38139</v>
      </c>
      <c r="F44" s="92" t="n">
        <v>50.9611111111111</v>
      </c>
      <c r="G44" s="93" t="n">
        <v>54.8277777777778</v>
      </c>
      <c r="I44" s="60" t="n">
        <v>38139</v>
      </c>
      <c r="J44" s="97" t="n">
        <v>4.445</v>
      </c>
      <c r="K44" s="96" t="n">
        <f aca="false">$K$3+J44</f>
        <v>4.945</v>
      </c>
      <c r="M44" s="60" t="n">
        <v>38139</v>
      </c>
      <c r="N44" s="97" t="n">
        <v>4.345</v>
      </c>
      <c r="O44" s="96" t="n">
        <f aca="false">$O$3+N44</f>
        <v>4.645</v>
      </c>
    </row>
    <row r="45" customFormat="false" ht="12.75" hidden="false" customHeight="false" outlineLevel="0" collapsed="false">
      <c r="A45" s="60" t="n">
        <v>38169</v>
      </c>
      <c r="B45" s="92" t="n">
        <v>68.4467741935484</v>
      </c>
      <c r="C45" s="93" t="n">
        <v>72.2854838709677</v>
      </c>
      <c r="D45" s="94"/>
      <c r="E45" s="60" t="n">
        <v>38169</v>
      </c>
      <c r="F45" s="92" t="n">
        <v>68.3736559139785</v>
      </c>
      <c r="G45" s="93" t="n">
        <v>72.2123655913978</v>
      </c>
      <c r="I45" s="60" t="n">
        <v>38169</v>
      </c>
      <c r="J45" s="97" t="n">
        <v>4.475</v>
      </c>
      <c r="K45" s="96" t="n">
        <f aca="false">$K$3+J45</f>
        <v>4.975</v>
      </c>
      <c r="M45" s="60" t="n">
        <v>38169</v>
      </c>
      <c r="N45" s="97" t="n">
        <v>4.375</v>
      </c>
      <c r="O45" s="96" t="n">
        <f aca="false">$O$3+N45</f>
        <v>4.675</v>
      </c>
    </row>
    <row r="46" customFormat="false" ht="12.75" hidden="false" customHeight="false" outlineLevel="0" collapsed="false">
      <c r="A46" s="60" t="n">
        <v>38200</v>
      </c>
      <c r="B46" s="92" t="n">
        <v>76.9870967741935</v>
      </c>
      <c r="C46" s="93" t="n">
        <v>80.8258064516129</v>
      </c>
      <c r="D46" s="94"/>
      <c r="E46" s="60" t="n">
        <v>38200</v>
      </c>
      <c r="F46" s="92" t="n">
        <v>73.6102150537634</v>
      </c>
      <c r="G46" s="93" t="n">
        <v>77.4489247311828</v>
      </c>
      <c r="I46" s="60" t="n">
        <v>38200</v>
      </c>
      <c r="J46" s="97" t="n">
        <v>4.495</v>
      </c>
      <c r="K46" s="96" t="n">
        <f aca="false">$K$3+J46</f>
        <v>4.995</v>
      </c>
      <c r="M46" s="60" t="n">
        <v>38200</v>
      </c>
      <c r="N46" s="97" t="n">
        <v>4.395</v>
      </c>
      <c r="O46" s="96" t="n">
        <f aca="false">$O$3+N46</f>
        <v>4.695</v>
      </c>
    </row>
    <row r="47" customFormat="false" ht="12.75" hidden="false" customHeight="false" outlineLevel="0" collapsed="false">
      <c r="A47" s="60" t="n">
        <v>38231</v>
      </c>
      <c r="B47" s="92" t="n">
        <v>69.0777777777778</v>
      </c>
      <c r="C47" s="93" t="n">
        <v>72.9111111111111</v>
      </c>
      <c r="D47" s="94"/>
      <c r="E47" s="60" t="n">
        <v>38231</v>
      </c>
      <c r="F47" s="92" t="n">
        <v>68.1111111111111</v>
      </c>
      <c r="G47" s="93" t="n">
        <v>71.9444444444444</v>
      </c>
      <c r="I47" s="60" t="n">
        <v>38231</v>
      </c>
      <c r="J47" s="97" t="n">
        <v>4.516</v>
      </c>
      <c r="K47" s="96" t="n">
        <f aca="false">$K$3+J47</f>
        <v>5.016</v>
      </c>
      <c r="M47" s="60" t="n">
        <v>38231</v>
      </c>
      <c r="N47" s="97" t="n">
        <v>4.416</v>
      </c>
      <c r="O47" s="96" t="n">
        <f aca="false">$O$3+N47</f>
        <v>4.716</v>
      </c>
    </row>
    <row r="48" customFormat="false" ht="12.75" hidden="false" customHeight="false" outlineLevel="0" collapsed="false">
      <c r="A48" s="60" t="n">
        <v>38261</v>
      </c>
      <c r="B48" s="92" t="n">
        <v>47.3069892473118</v>
      </c>
      <c r="C48" s="93" t="n">
        <v>51.1456989247312</v>
      </c>
      <c r="D48" s="94"/>
      <c r="E48" s="60" t="n">
        <v>38261</v>
      </c>
      <c r="F48" s="92" t="n">
        <v>48.9327956989247</v>
      </c>
      <c r="G48" s="93" t="n">
        <v>52.7715053763441</v>
      </c>
      <c r="I48" s="60" t="n">
        <v>38261</v>
      </c>
      <c r="J48" s="97" t="n">
        <v>4.546</v>
      </c>
      <c r="K48" s="96" t="n">
        <f aca="false">$K$3+J48</f>
        <v>5.046</v>
      </c>
      <c r="M48" s="60" t="n">
        <v>38261</v>
      </c>
      <c r="N48" s="97" t="n">
        <v>4.446</v>
      </c>
      <c r="O48" s="96" t="n">
        <f aca="false">$O$3+N48</f>
        <v>4.746</v>
      </c>
    </row>
    <row r="49" customFormat="false" ht="12.75" hidden="false" customHeight="false" outlineLevel="0" collapsed="false">
      <c r="A49" s="60" t="n">
        <v>38292</v>
      </c>
      <c r="B49" s="92" t="n">
        <v>45.7166666666667</v>
      </c>
      <c r="C49" s="93" t="n">
        <v>49.55</v>
      </c>
      <c r="D49" s="94"/>
      <c r="E49" s="60" t="n">
        <v>38292</v>
      </c>
      <c r="F49" s="92" t="n">
        <v>40.8055555555556</v>
      </c>
      <c r="G49" s="93" t="n">
        <v>44.6388888888889</v>
      </c>
      <c r="I49" s="60" t="n">
        <v>38292</v>
      </c>
      <c r="J49" s="97" t="n">
        <v>4.571</v>
      </c>
      <c r="K49" s="96" t="n">
        <f aca="false">$K$3+J49</f>
        <v>5.071</v>
      </c>
      <c r="M49" s="60" t="n">
        <v>38292</v>
      </c>
      <c r="N49" s="97" t="n">
        <v>4.471</v>
      </c>
      <c r="O49" s="96" t="n">
        <f aca="false">$O$3+N49</f>
        <v>4.771</v>
      </c>
    </row>
    <row r="50" customFormat="false" ht="12.75" hidden="false" customHeight="false" outlineLevel="0" collapsed="false">
      <c r="A50" s="60" t="n">
        <v>38322</v>
      </c>
      <c r="B50" s="92" t="n">
        <v>44.9467741935484</v>
      </c>
      <c r="C50" s="93" t="n">
        <v>48.7854838709677</v>
      </c>
      <c r="D50" s="94"/>
      <c r="E50" s="60" t="n">
        <v>38322</v>
      </c>
      <c r="F50" s="92" t="n">
        <v>40.5779569892473</v>
      </c>
      <c r="G50" s="93" t="n">
        <v>44.4166666666667</v>
      </c>
      <c r="I50" s="60" t="n">
        <v>38322</v>
      </c>
      <c r="J50" s="97" t="n">
        <v>4.696</v>
      </c>
      <c r="K50" s="96" t="n">
        <f aca="false">$K$3+J50</f>
        <v>5.196</v>
      </c>
      <c r="M50" s="60" t="n">
        <v>38322</v>
      </c>
      <c r="N50" s="97" t="n">
        <v>4.596</v>
      </c>
      <c r="O50" s="96" t="n">
        <f aca="false">$O$3+N50</f>
        <v>4.896</v>
      </c>
    </row>
    <row r="51" customFormat="false" ht="12.75" hidden="false" customHeight="false" outlineLevel="0" collapsed="false">
      <c r="A51" s="60" t="n">
        <v>38353</v>
      </c>
      <c r="B51" s="92" t="n">
        <v>44.8</v>
      </c>
      <c r="C51" s="93" t="n">
        <v>48.6064516129032</v>
      </c>
      <c r="D51" s="94"/>
      <c r="E51" s="60" t="n">
        <v>38353</v>
      </c>
      <c r="F51" s="92" t="n">
        <v>38.155376344086</v>
      </c>
      <c r="G51" s="93" t="n">
        <v>41.9618279569892</v>
      </c>
      <c r="I51" s="60" t="n">
        <v>38353</v>
      </c>
      <c r="J51" s="97" t="n">
        <v>4.76</v>
      </c>
      <c r="K51" s="96" t="n">
        <f aca="false">$K$3+J51</f>
        <v>5.26</v>
      </c>
      <c r="M51" s="60" t="n">
        <v>38353</v>
      </c>
      <c r="N51" s="97" t="n">
        <v>4.66</v>
      </c>
      <c r="O51" s="96" t="n">
        <f aca="false">$O$3+N51</f>
        <v>4.96</v>
      </c>
    </row>
    <row r="52" customFormat="false" ht="12.75" hidden="false" customHeight="false" outlineLevel="0" collapsed="false">
      <c r="A52" s="60" t="n">
        <v>38384</v>
      </c>
      <c r="B52" s="92" t="n">
        <v>43.8071428571429</v>
      </c>
      <c r="C52" s="93" t="n">
        <v>47.6642857142857</v>
      </c>
      <c r="D52" s="94"/>
      <c r="E52" s="60" t="n">
        <v>38384</v>
      </c>
      <c r="F52" s="92" t="n">
        <v>37.4214285714286</v>
      </c>
      <c r="G52" s="93" t="n">
        <v>41.2785714285714</v>
      </c>
      <c r="I52" s="60" t="n">
        <v>38384</v>
      </c>
      <c r="J52" s="97" t="n">
        <v>4.664</v>
      </c>
      <c r="K52" s="96" t="n">
        <f aca="false">$K$3+J52</f>
        <v>5.164</v>
      </c>
      <c r="M52" s="60" t="n">
        <v>38384</v>
      </c>
      <c r="N52" s="97" t="n">
        <v>4.564</v>
      </c>
      <c r="O52" s="96" t="n">
        <f aca="false">$O$3+N52</f>
        <v>4.864</v>
      </c>
    </row>
    <row r="53" customFormat="false" ht="12.75" hidden="false" customHeight="false" outlineLevel="0" collapsed="false">
      <c r="A53" s="60" t="n">
        <v>38412</v>
      </c>
      <c r="B53" s="92" t="n">
        <v>41.8596774193548</v>
      </c>
      <c r="C53" s="93" t="n">
        <v>45.7306451612903</v>
      </c>
      <c r="D53" s="94"/>
      <c r="E53" s="60" t="n">
        <v>38412</v>
      </c>
      <c r="F53" s="92" t="n">
        <v>37.0951612903226</v>
      </c>
      <c r="G53" s="93" t="n">
        <v>40.9661290322581</v>
      </c>
      <c r="I53" s="60" t="n">
        <v>38412</v>
      </c>
      <c r="J53" s="97" t="n">
        <v>4.514</v>
      </c>
      <c r="K53" s="96" t="n">
        <f aca="false">$K$3+J53</f>
        <v>5.014</v>
      </c>
      <c r="M53" s="60" t="n">
        <v>38412</v>
      </c>
      <c r="N53" s="97" t="n">
        <v>4.414</v>
      </c>
      <c r="O53" s="96" t="n">
        <f aca="false">$O$3+N53</f>
        <v>4.714</v>
      </c>
    </row>
    <row r="54" customFormat="false" ht="12.75" hidden="false" customHeight="false" outlineLevel="0" collapsed="false">
      <c r="A54" s="60" t="n">
        <v>38443</v>
      </c>
      <c r="B54" s="92" t="n">
        <v>39.5022222222222</v>
      </c>
      <c r="C54" s="93" t="n">
        <v>43.3688888888889</v>
      </c>
      <c r="D54" s="94"/>
      <c r="E54" s="60" t="n">
        <v>38443</v>
      </c>
      <c r="F54" s="92" t="n">
        <v>36.7166666666667</v>
      </c>
      <c r="G54" s="93" t="n">
        <v>40.5833333333333</v>
      </c>
      <c r="I54" s="60" t="n">
        <v>38443</v>
      </c>
      <c r="J54" s="97" t="n">
        <v>4.391</v>
      </c>
      <c r="K54" s="96" t="n">
        <f aca="false">$K$3+J54</f>
        <v>4.891</v>
      </c>
      <c r="M54" s="60" t="n">
        <v>38443</v>
      </c>
      <c r="N54" s="97" t="n">
        <v>4.291</v>
      </c>
      <c r="O54" s="96" t="n">
        <f aca="false">$O$3+N54</f>
        <v>4.591</v>
      </c>
    </row>
    <row r="55" customFormat="false" ht="12.75" hidden="false" customHeight="false" outlineLevel="0" collapsed="false">
      <c r="A55" s="60" t="n">
        <v>38473</v>
      </c>
      <c r="B55" s="92" t="n">
        <v>38.9747311827957</v>
      </c>
      <c r="C55" s="93" t="n">
        <v>42.7811827956989</v>
      </c>
      <c r="D55" s="94"/>
      <c r="E55" s="60" t="n">
        <v>38473</v>
      </c>
      <c r="F55" s="92" t="n">
        <v>35.2951612903226</v>
      </c>
      <c r="G55" s="93" t="n">
        <v>39.1016129032258</v>
      </c>
      <c r="I55" s="60" t="n">
        <v>38473</v>
      </c>
      <c r="J55" s="97" t="n">
        <v>4.366</v>
      </c>
      <c r="K55" s="96" t="n">
        <f aca="false">$K$3+J55</f>
        <v>4.866</v>
      </c>
      <c r="M55" s="60" t="n">
        <v>38473</v>
      </c>
      <c r="N55" s="97" t="n">
        <v>4.266</v>
      </c>
      <c r="O55" s="96" t="n">
        <f aca="false">$O$3+N55</f>
        <v>4.566</v>
      </c>
    </row>
    <row r="56" customFormat="false" ht="12.75" hidden="false" customHeight="false" outlineLevel="0" collapsed="false">
      <c r="A56" s="60" t="n">
        <v>38504</v>
      </c>
      <c r="B56" s="92" t="n">
        <v>44.7133333333333</v>
      </c>
      <c r="C56" s="93" t="n">
        <v>48.58</v>
      </c>
      <c r="D56" s="94"/>
      <c r="E56" s="60" t="n">
        <v>38504</v>
      </c>
      <c r="F56" s="92" t="n">
        <v>46.6944444444444</v>
      </c>
      <c r="G56" s="93" t="n">
        <v>50.5611111111111</v>
      </c>
      <c r="I56" s="60" t="n">
        <v>38504</v>
      </c>
      <c r="J56" s="97" t="n">
        <v>4.395</v>
      </c>
      <c r="K56" s="96" t="n">
        <f aca="false">$K$3+J56</f>
        <v>4.895</v>
      </c>
      <c r="M56" s="60" t="n">
        <v>38504</v>
      </c>
      <c r="N56" s="97" t="n">
        <v>4.295</v>
      </c>
      <c r="O56" s="96" t="n">
        <f aca="false">$O$3+N56</f>
        <v>4.595</v>
      </c>
    </row>
    <row r="57" customFormat="false" ht="12.75" hidden="false" customHeight="false" outlineLevel="0" collapsed="false">
      <c r="A57" s="60" t="n">
        <v>38534</v>
      </c>
      <c r="B57" s="92" t="n">
        <v>61.1870967741936</v>
      </c>
      <c r="C57" s="93" t="n">
        <v>64.9935483870968</v>
      </c>
      <c r="D57" s="94"/>
      <c r="E57" s="60" t="n">
        <v>38534</v>
      </c>
      <c r="F57" s="92" t="n">
        <v>60.5801075268817</v>
      </c>
      <c r="G57" s="93" t="n">
        <v>64.3865591397849</v>
      </c>
      <c r="I57" s="60" t="n">
        <v>38534</v>
      </c>
      <c r="J57" s="97" t="n">
        <v>4.425</v>
      </c>
      <c r="K57" s="96" t="n">
        <f aca="false">$K$3+J57</f>
        <v>4.925</v>
      </c>
      <c r="M57" s="60" t="n">
        <v>38534</v>
      </c>
      <c r="N57" s="97" t="n">
        <v>4.325</v>
      </c>
      <c r="O57" s="96" t="n">
        <f aca="false">$O$3+N57</f>
        <v>4.625</v>
      </c>
    </row>
    <row r="58" customFormat="false" ht="12.75" hidden="false" customHeight="false" outlineLevel="0" collapsed="false">
      <c r="A58" s="60" t="n">
        <v>38565</v>
      </c>
      <c r="B58" s="92" t="n">
        <v>71.4403225806452</v>
      </c>
      <c r="C58" s="93" t="n">
        <v>75.3112903225807</v>
      </c>
      <c r="D58" s="94"/>
      <c r="E58" s="60" t="n">
        <v>38565</v>
      </c>
      <c r="F58" s="92" t="n">
        <v>67.3370967741936</v>
      </c>
      <c r="G58" s="93" t="n">
        <v>71.208064516129</v>
      </c>
      <c r="I58" s="60" t="n">
        <v>38565</v>
      </c>
      <c r="J58" s="97" t="n">
        <v>4.445</v>
      </c>
      <c r="K58" s="96" t="n">
        <f aca="false">$K$3+J58</f>
        <v>4.945</v>
      </c>
      <c r="M58" s="60" t="n">
        <v>38565</v>
      </c>
      <c r="N58" s="97" t="n">
        <v>4.345</v>
      </c>
      <c r="O58" s="96" t="n">
        <f aca="false">$O$3+N58</f>
        <v>4.645</v>
      </c>
    </row>
    <row r="59" customFormat="false" ht="12.75" hidden="false" customHeight="false" outlineLevel="0" collapsed="false">
      <c r="A59" s="60" t="n">
        <v>38596</v>
      </c>
      <c r="B59" s="92" t="n">
        <v>62.5777777777778</v>
      </c>
      <c r="C59" s="93" t="n">
        <v>66.4111111111111</v>
      </c>
      <c r="D59" s="94"/>
      <c r="E59" s="60" t="n">
        <v>38596</v>
      </c>
      <c r="F59" s="92" t="n">
        <v>61.0666666666667</v>
      </c>
      <c r="G59" s="93" t="n">
        <v>64.9</v>
      </c>
      <c r="I59" s="60" t="n">
        <v>38596</v>
      </c>
      <c r="J59" s="97" t="n">
        <v>4.466</v>
      </c>
      <c r="K59" s="96" t="n">
        <f aca="false">$K$3+J59</f>
        <v>4.966</v>
      </c>
      <c r="M59" s="60" t="n">
        <v>38596</v>
      </c>
      <c r="N59" s="97" t="n">
        <v>4.366</v>
      </c>
      <c r="O59" s="96" t="n">
        <f aca="false">$O$3+N59</f>
        <v>4.666</v>
      </c>
    </row>
    <row r="60" customFormat="false" ht="12.75" hidden="false" customHeight="false" outlineLevel="0" collapsed="false">
      <c r="A60" s="60" t="n">
        <v>38626</v>
      </c>
      <c r="B60" s="92" t="n">
        <v>43.5784946236559</v>
      </c>
      <c r="C60" s="93" t="n">
        <v>47.4172043010753</v>
      </c>
      <c r="D60" s="94"/>
      <c r="E60" s="60" t="n">
        <v>38626</v>
      </c>
      <c r="F60" s="92" t="n">
        <v>44.8758064516129</v>
      </c>
      <c r="G60" s="93" t="n">
        <v>48.7145161290323</v>
      </c>
      <c r="I60" s="60" t="n">
        <v>38626</v>
      </c>
      <c r="J60" s="97" t="n">
        <v>4.496</v>
      </c>
      <c r="K60" s="96" t="n">
        <f aca="false">$K$3+J60</f>
        <v>4.996</v>
      </c>
      <c r="M60" s="60" t="n">
        <v>38626</v>
      </c>
      <c r="N60" s="97" t="n">
        <v>4.396</v>
      </c>
      <c r="O60" s="96" t="n">
        <f aca="false">$O$3+N60</f>
        <v>4.696</v>
      </c>
    </row>
    <row r="61" customFormat="false" ht="12.75" hidden="false" customHeight="false" outlineLevel="0" collapsed="false">
      <c r="A61" s="60" t="n">
        <v>38657</v>
      </c>
      <c r="B61" s="92" t="n">
        <v>41.9944444444444</v>
      </c>
      <c r="C61" s="93" t="n">
        <v>45.8277777777778</v>
      </c>
      <c r="D61" s="94"/>
      <c r="E61" s="60" t="n">
        <v>38657</v>
      </c>
      <c r="F61" s="92" t="n">
        <v>36.7611111111111</v>
      </c>
      <c r="G61" s="93" t="n">
        <v>40.5944444444444</v>
      </c>
      <c r="I61" s="60" t="n">
        <v>38657</v>
      </c>
      <c r="J61" s="97" t="n">
        <v>4.516</v>
      </c>
      <c r="K61" s="96" t="n">
        <f aca="false">$K$3+J61</f>
        <v>5.016</v>
      </c>
      <c r="M61" s="60" t="n">
        <v>38657</v>
      </c>
      <c r="N61" s="97" t="n">
        <v>4.416</v>
      </c>
      <c r="O61" s="96" t="n">
        <f aca="false">$O$3+N61</f>
        <v>4.716</v>
      </c>
    </row>
    <row r="62" customFormat="false" ht="12.75" hidden="false" customHeight="false" outlineLevel="0" collapsed="false">
      <c r="A62" s="60" t="n">
        <v>38687</v>
      </c>
      <c r="B62" s="92" t="n">
        <v>41.2182795698925</v>
      </c>
      <c r="C62" s="93" t="n">
        <v>45.0569892473118</v>
      </c>
      <c r="D62" s="94"/>
      <c r="E62" s="60" t="n">
        <v>38687</v>
      </c>
      <c r="F62" s="92" t="n">
        <v>36.5209677419355</v>
      </c>
      <c r="G62" s="93" t="n">
        <v>40.3596774193548</v>
      </c>
      <c r="I62" s="60" t="n">
        <v>38687</v>
      </c>
      <c r="J62" s="97" t="n">
        <v>4.641</v>
      </c>
      <c r="K62" s="96" t="n">
        <f aca="false">$K$3+J62</f>
        <v>5.141</v>
      </c>
      <c r="M62" s="60" t="n">
        <v>38687</v>
      </c>
      <c r="N62" s="97" t="n">
        <v>4.541</v>
      </c>
      <c r="O62" s="96" t="n">
        <f aca="false">$O$3+N62</f>
        <v>4.841</v>
      </c>
    </row>
    <row r="63" customFormat="false" ht="12.75" hidden="false" customHeight="false" outlineLevel="0" collapsed="false">
      <c r="A63" s="60" t="n">
        <v>38718</v>
      </c>
      <c r="B63" s="92" t="n">
        <v>43.8129032258065</v>
      </c>
      <c r="C63" s="93" t="n">
        <v>47.6193548387097</v>
      </c>
      <c r="D63" s="94"/>
      <c r="E63" s="60" t="n">
        <v>38718</v>
      </c>
      <c r="F63" s="92" t="n">
        <v>37.9241935483871</v>
      </c>
      <c r="G63" s="93" t="n">
        <v>41.7306451612903</v>
      </c>
      <c r="I63" s="60" t="n">
        <v>38718</v>
      </c>
      <c r="J63" s="97" t="n">
        <v>4.725</v>
      </c>
      <c r="K63" s="96" t="n">
        <f aca="false">$K$3+J63</f>
        <v>5.225</v>
      </c>
      <c r="M63" s="60" t="n">
        <v>38718</v>
      </c>
      <c r="N63" s="97" t="n">
        <v>4.625</v>
      </c>
      <c r="O63" s="96" t="n">
        <f aca="false">$O$3+N63</f>
        <v>4.925</v>
      </c>
    </row>
    <row r="64" customFormat="false" ht="12.75" hidden="false" customHeight="false" outlineLevel="0" collapsed="false">
      <c r="A64" s="60" t="n">
        <v>38749</v>
      </c>
      <c r="B64" s="92" t="n">
        <v>42.7642857142857</v>
      </c>
      <c r="C64" s="93" t="n">
        <v>46.6214285714286</v>
      </c>
      <c r="D64" s="94"/>
      <c r="E64" s="60" t="n">
        <v>38749</v>
      </c>
      <c r="F64" s="92" t="n">
        <v>37.25</v>
      </c>
      <c r="G64" s="93" t="n">
        <v>41.1071428571429</v>
      </c>
      <c r="I64" s="60" t="n">
        <v>38749</v>
      </c>
      <c r="J64" s="97" t="n">
        <v>4.629</v>
      </c>
      <c r="K64" s="96" t="n">
        <f aca="false">$K$3+J64</f>
        <v>5.129</v>
      </c>
      <c r="M64" s="60" t="n">
        <v>38749</v>
      </c>
      <c r="N64" s="97" t="n">
        <v>4.529</v>
      </c>
      <c r="O64" s="96" t="n">
        <f aca="false">$O$3+N64</f>
        <v>4.829</v>
      </c>
    </row>
    <row r="65" customFormat="false" ht="12.75" hidden="false" customHeight="false" outlineLevel="0" collapsed="false">
      <c r="A65" s="60" t="n">
        <v>38777</v>
      </c>
      <c r="B65" s="92" t="n">
        <v>40.8016129032258</v>
      </c>
      <c r="C65" s="93" t="n">
        <v>44.6725806451613</v>
      </c>
      <c r="D65" s="94"/>
      <c r="E65" s="60" t="n">
        <v>38777</v>
      </c>
      <c r="F65" s="92" t="n">
        <v>36.9274193548387</v>
      </c>
      <c r="G65" s="93" t="n">
        <v>40.7983870967742</v>
      </c>
      <c r="I65" s="60" t="n">
        <v>38777</v>
      </c>
      <c r="J65" s="97" t="n">
        <v>4.479</v>
      </c>
      <c r="K65" s="96" t="n">
        <f aca="false">$K$3+J65</f>
        <v>4.979</v>
      </c>
      <c r="M65" s="60" t="n">
        <v>38777</v>
      </c>
      <c r="N65" s="97" t="n">
        <v>4.379</v>
      </c>
      <c r="O65" s="96" t="n">
        <f aca="false">$O$3+N65</f>
        <v>4.679</v>
      </c>
    </row>
    <row r="66" customFormat="false" ht="12.75" hidden="false" customHeight="false" outlineLevel="0" collapsed="false">
      <c r="A66" s="60" t="n">
        <v>38808</v>
      </c>
      <c r="B66" s="92" t="n">
        <v>38.6444444444444</v>
      </c>
      <c r="C66" s="93" t="n">
        <v>42.4777777777778</v>
      </c>
      <c r="D66" s="94"/>
      <c r="E66" s="60" t="n">
        <v>38808</v>
      </c>
      <c r="F66" s="92" t="n">
        <v>36.3055555555556</v>
      </c>
      <c r="G66" s="93" t="n">
        <v>40.1388888888889</v>
      </c>
      <c r="I66" s="60" t="n">
        <v>38808</v>
      </c>
      <c r="J66" s="97" t="n">
        <v>4.416</v>
      </c>
      <c r="K66" s="96" t="n">
        <f aca="false">$K$3+J66</f>
        <v>4.916</v>
      </c>
      <c r="M66" s="60" t="n">
        <v>38808</v>
      </c>
      <c r="N66" s="97" t="n">
        <v>4.316</v>
      </c>
      <c r="O66" s="96" t="n">
        <f aca="false">$O$3+N66</f>
        <v>4.616</v>
      </c>
    </row>
    <row r="67" customFormat="false" ht="12.75" hidden="false" customHeight="false" outlineLevel="0" collapsed="false">
      <c r="A67" s="60" t="n">
        <v>38838</v>
      </c>
      <c r="B67" s="92" t="n">
        <v>38.7284946236559</v>
      </c>
      <c r="C67" s="93" t="n">
        <v>42.5672043010753</v>
      </c>
      <c r="D67" s="94"/>
      <c r="E67" s="60" t="n">
        <v>38838</v>
      </c>
      <c r="F67" s="92" t="n">
        <v>35.344623655914</v>
      </c>
      <c r="G67" s="93" t="n">
        <v>39.1833333333333</v>
      </c>
      <c r="I67" s="60" t="n">
        <v>38838</v>
      </c>
      <c r="J67" s="97" t="n">
        <v>4.391</v>
      </c>
      <c r="K67" s="96" t="n">
        <f aca="false">$K$3+J67</f>
        <v>4.891</v>
      </c>
      <c r="M67" s="60" t="n">
        <v>38838</v>
      </c>
      <c r="N67" s="97" t="n">
        <v>4.291</v>
      </c>
      <c r="O67" s="96" t="n">
        <f aca="false">$O$3+N67</f>
        <v>4.591</v>
      </c>
    </row>
    <row r="68" customFormat="false" ht="12.75" hidden="false" customHeight="false" outlineLevel="0" collapsed="false">
      <c r="A68" s="60" t="n">
        <v>38869</v>
      </c>
      <c r="B68" s="92" t="n">
        <v>44.0933333333333</v>
      </c>
      <c r="C68" s="93" t="n">
        <v>47.96</v>
      </c>
      <c r="D68" s="94"/>
      <c r="E68" s="60" t="n">
        <v>38869</v>
      </c>
      <c r="F68" s="92" t="n">
        <v>46.5255555555556</v>
      </c>
      <c r="G68" s="93" t="n">
        <v>50.3922222222222</v>
      </c>
      <c r="I68" s="60" t="n">
        <v>38869</v>
      </c>
      <c r="J68" s="97" t="n">
        <v>4.42</v>
      </c>
      <c r="K68" s="96" t="n">
        <f aca="false">$K$3+J68</f>
        <v>4.92</v>
      </c>
      <c r="M68" s="60" t="n">
        <v>38869</v>
      </c>
      <c r="N68" s="97" t="n">
        <v>4.32</v>
      </c>
      <c r="O68" s="96" t="n">
        <f aca="false">$O$3+N68</f>
        <v>4.62</v>
      </c>
    </row>
    <row r="69" customFormat="false" ht="12.75" hidden="false" customHeight="false" outlineLevel="0" collapsed="false">
      <c r="A69" s="60" t="n">
        <v>38899</v>
      </c>
      <c r="B69" s="92" t="n">
        <v>57.4559139784946</v>
      </c>
      <c r="C69" s="93" t="n">
        <v>61.2623655913978</v>
      </c>
      <c r="D69" s="94"/>
      <c r="E69" s="60" t="n">
        <v>38899</v>
      </c>
      <c r="F69" s="92" t="n">
        <v>58.244623655914</v>
      </c>
      <c r="G69" s="93" t="n">
        <v>62.0510752688172</v>
      </c>
      <c r="I69" s="60" t="n">
        <v>38899</v>
      </c>
      <c r="J69" s="97" t="n">
        <v>4.45</v>
      </c>
      <c r="K69" s="96" t="n">
        <f aca="false">$K$3+J69</f>
        <v>4.95</v>
      </c>
      <c r="M69" s="60" t="n">
        <v>38899</v>
      </c>
      <c r="N69" s="97" t="n">
        <v>4.35</v>
      </c>
      <c r="O69" s="96" t="n">
        <f aca="false">$O$3+N69</f>
        <v>4.65</v>
      </c>
    </row>
    <row r="70" customFormat="false" ht="12.75" hidden="false" customHeight="false" outlineLevel="0" collapsed="false">
      <c r="A70" s="60" t="n">
        <v>38930</v>
      </c>
      <c r="B70" s="92" t="n">
        <v>67.7306451612903</v>
      </c>
      <c r="C70" s="93" t="n">
        <v>71.6016129032258</v>
      </c>
      <c r="D70" s="94"/>
      <c r="E70" s="60" t="n">
        <v>38930</v>
      </c>
      <c r="F70" s="92" t="n">
        <v>64.8467741935484</v>
      </c>
      <c r="G70" s="93" t="n">
        <v>68.7177419354839</v>
      </c>
      <c r="I70" s="60" t="n">
        <v>38930</v>
      </c>
      <c r="J70" s="97" t="n">
        <v>4.47</v>
      </c>
      <c r="K70" s="96" t="n">
        <f aca="false">$K$3+J70</f>
        <v>4.97</v>
      </c>
      <c r="M70" s="60" t="n">
        <v>38930</v>
      </c>
      <c r="N70" s="97" t="n">
        <v>4.37</v>
      </c>
      <c r="O70" s="96" t="n">
        <f aca="false">$O$3+N70</f>
        <v>4.67</v>
      </c>
    </row>
    <row r="71" customFormat="false" ht="12.75" hidden="false" customHeight="false" outlineLevel="0" collapsed="false">
      <c r="A71" s="60" t="n">
        <v>38961</v>
      </c>
      <c r="B71" s="92" t="n">
        <v>58.8555555555556</v>
      </c>
      <c r="C71" s="93" t="n">
        <v>62.6888888888889</v>
      </c>
      <c r="D71" s="94"/>
      <c r="E71" s="60" t="n">
        <v>38961</v>
      </c>
      <c r="F71" s="92" t="n">
        <v>58.6666666666667</v>
      </c>
      <c r="G71" s="93" t="n">
        <v>62.5</v>
      </c>
      <c r="I71" s="60" t="n">
        <v>38961</v>
      </c>
      <c r="J71" s="97" t="n">
        <v>4.491</v>
      </c>
      <c r="K71" s="96" t="n">
        <f aca="false">$K$3+J71</f>
        <v>4.991</v>
      </c>
      <c r="M71" s="60" t="n">
        <v>38961</v>
      </c>
      <c r="N71" s="97" t="n">
        <v>4.391</v>
      </c>
      <c r="O71" s="96" t="n">
        <f aca="false">$O$3+N71</f>
        <v>4.691</v>
      </c>
    </row>
    <row r="72" customFormat="false" ht="12.75" hidden="false" customHeight="false" outlineLevel="0" collapsed="false">
      <c r="A72" s="60" t="n">
        <v>38991</v>
      </c>
      <c r="B72" s="92" t="n">
        <v>42.9752688172043</v>
      </c>
      <c r="C72" s="93" t="n">
        <v>46.8139784946237</v>
      </c>
      <c r="D72" s="94"/>
      <c r="E72" s="60" t="n">
        <v>38991</v>
      </c>
      <c r="F72" s="92" t="n">
        <v>44.6994623655914</v>
      </c>
      <c r="G72" s="93" t="n">
        <v>48.5381720430107</v>
      </c>
      <c r="I72" s="60" t="n">
        <v>38991</v>
      </c>
      <c r="J72" s="97" t="n">
        <v>4.521</v>
      </c>
      <c r="K72" s="96" t="n">
        <f aca="false">$K$3+J72</f>
        <v>5.021</v>
      </c>
      <c r="M72" s="60" t="n">
        <v>38991</v>
      </c>
      <c r="N72" s="97" t="n">
        <v>4.421</v>
      </c>
      <c r="O72" s="96" t="n">
        <f aca="false">$O$3+N72</f>
        <v>4.721</v>
      </c>
    </row>
    <row r="73" customFormat="false" ht="12.75" hidden="false" customHeight="false" outlineLevel="0" collapsed="false">
      <c r="A73" s="60" t="n">
        <v>39022</v>
      </c>
      <c r="B73" s="92" t="n">
        <v>41.3944444444444</v>
      </c>
      <c r="C73" s="93" t="n">
        <v>45.2277777777778</v>
      </c>
      <c r="D73" s="94"/>
      <c r="E73" s="60" t="n">
        <v>39022</v>
      </c>
      <c r="F73" s="92" t="n">
        <v>36.5833333333333</v>
      </c>
      <c r="G73" s="93" t="n">
        <v>40.4166666666667</v>
      </c>
      <c r="I73" s="60" t="n">
        <v>39022</v>
      </c>
      <c r="J73" s="97" t="n">
        <v>4.541</v>
      </c>
      <c r="K73" s="96" t="n">
        <f aca="false">$K$3+J73</f>
        <v>5.041</v>
      </c>
      <c r="M73" s="60" t="n">
        <v>39022</v>
      </c>
      <c r="N73" s="97" t="n">
        <v>4.441</v>
      </c>
      <c r="O73" s="96" t="n">
        <f aca="false">$O$3+N73</f>
        <v>4.741</v>
      </c>
    </row>
    <row r="74" customFormat="false" ht="12.75" hidden="false" customHeight="false" outlineLevel="0" collapsed="false">
      <c r="A74" s="60" t="n">
        <v>39052</v>
      </c>
      <c r="B74" s="92" t="n">
        <v>40.2913978494624</v>
      </c>
      <c r="C74" s="93" t="n">
        <v>44.0978494623656</v>
      </c>
      <c r="D74" s="94"/>
      <c r="E74" s="60" t="n">
        <v>39052</v>
      </c>
      <c r="F74" s="92" t="n">
        <v>36.1102150537634</v>
      </c>
      <c r="G74" s="93" t="n">
        <v>39.9166666666667</v>
      </c>
      <c r="I74" s="60" t="n">
        <v>39052</v>
      </c>
      <c r="J74" s="97" t="n">
        <v>4.666</v>
      </c>
      <c r="K74" s="96" t="n">
        <f aca="false">$K$3+J74</f>
        <v>5.166</v>
      </c>
      <c r="M74" s="60" t="n">
        <v>39052</v>
      </c>
      <c r="N74" s="97" t="n">
        <v>4.566</v>
      </c>
      <c r="O74" s="96" t="n">
        <f aca="false">$O$3+N74</f>
        <v>4.866</v>
      </c>
    </row>
    <row r="75" customFormat="false" ht="12.75" hidden="false" customHeight="false" outlineLevel="0" collapsed="false">
      <c r="A75" s="60" t="n">
        <v>39083</v>
      </c>
      <c r="B75" s="92" t="n">
        <v>44.0774193548387</v>
      </c>
      <c r="C75" s="93" t="n">
        <v>48.6365591397849</v>
      </c>
      <c r="D75" s="94"/>
      <c r="E75" s="60" t="n">
        <v>39083</v>
      </c>
      <c r="F75" s="92" t="n">
        <v>38.3349462365591</v>
      </c>
      <c r="G75" s="93" t="n">
        <v>42.8940860215054</v>
      </c>
      <c r="I75" s="60" t="n">
        <v>39083</v>
      </c>
      <c r="J75" s="97" t="n">
        <v>4.76</v>
      </c>
      <c r="K75" s="96" t="n">
        <f aca="false">$K$3+J75</f>
        <v>5.26</v>
      </c>
      <c r="M75" s="60" t="n">
        <v>39083</v>
      </c>
      <c r="N75" s="97" t="n">
        <v>4.66</v>
      </c>
      <c r="O75" s="96" t="n">
        <f aca="false">$O$3+N75</f>
        <v>4.96</v>
      </c>
    </row>
    <row r="76" customFormat="false" ht="12.75" hidden="false" customHeight="false" outlineLevel="0" collapsed="false">
      <c r="A76" s="60" t="n">
        <v>39114</v>
      </c>
      <c r="B76" s="92" t="n">
        <v>42.7642857142857</v>
      </c>
      <c r="C76" s="93" t="n">
        <v>47.3357142857143</v>
      </c>
      <c r="D76" s="94"/>
      <c r="E76" s="60" t="n">
        <v>39114</v>
      </c>
      <c r="F76" s="92" t="n">
        <v>37.3928571428571</v>
      </c>
      <c r="G76" s="93" t="n">
        <v>41.9642857142857</v>
      </c>
      <c r="I76" s="60" t="n">
        <v>39114</v>
      </c>
      <c r="J76" s="97" t="n">
        <v>4.664</v>
      </c>
      <c r="K76" s="96" t="n">
        <f aca="false">$K$3+J76</f>
        <v>5.164</v>
      </c>
      <c r="M76" s="60" t="n">
        <v>39114</v>
      </c>
      <c r="N76" s="97" t="n">
        <v>4.564</v>
      </c>
      <c r="O76" s="96" t="n">
        <f aca="false">$O$3+N76</f>
        <v>4.864</v>
      </c>
    </row>
    <row r="77" customFormat="false" ht="12.75" hidden="false" customHeight="false" outlineLevel="0" collapsed="false">
      <c r="A77" s="60" t="n">
        <v>39142</v>
      </c>
      <c r="B77" s="92" t="n">
        <v>40.8016129032258</v>
      </c>
      <c r="C77" s="93" t="n">
        <v>45.3822580645161</v>
      </c>
      <c r="D77" s="94"/>
      <c r="E77" s="60" t="n">
        <v>39142</v>
      </c>
      <c r="F77" s="92" t="n">
        <v>37.0725806451613</v>
      </c>
      <c r="G77" s="93" t="n">
        <v>41.6532258064516</v>
      </c>
      <c r="I77" s="60" t="n">
        <v>39142</v>
      </c>
      <c r="J77" s="97" t="n">
        <v>4.514</v>
      </c>
      <c r="K77" s="96" t="n">
        <f aca="false">$K$3+J77</f>
        <v>5.014</v>
      </c>
      <c r="M77" s="60" t="n">
        <v>39142</v>
      </c>
      <c r="N77" s="97" t="n">
        <v>4.414</v>
      </c>
      <c r="O77" s="96" t="n">
        <f aca="false">$O$3+N77</f>
        <v>4.714</v>
      </c>
    </row>
    <row r="78" customFormat="false" ht="12.75" hidden="false" customHeight="false" outlineLevel="0" collapsed="false">
      <c r="A78" s="60" t="n">
        <v>39173</v>
      </c>
      <c r="B78" s="92" t="n">
        <v>38.6444444444444</v>
      </c>
      <c r="C78" s="93" t="n">
        <v>43.2</v>
      </c>
      <c r="D78" s="94"/>
      <c r="E78" s="60" t="n">
        <v>39173</v>
      </c>
      <c r="F78" s="92" t="n">
        <v>36.4444444444444</v>
      </c>
      <c r="G78" s="93" t="n">
        <v>41</v>
      </c>
      <c r="I78" s="60" t="n">
        <v>39173</v>
      </c>
      <c r="J78" s="97" t="n">
        <v>4.451</v>
      </c>
      <c r="K78" s="96" t="n">
        <f aca="false">$K$3+J78</f>
        <v>4.951</v>
      </c>
      <c r="M78" s="60" t="n">
        <v>39173</v>
      </c>
      <c r="N78" s="97" t="n">
        <v>4.351</v>
      </c>
      <c r="O78" s="96" t="n">
        <f aca="false">$O$3+N78</f>
        <v>4.651</v>
      </c>
    </row>
    <row r="79" customFormat="false" ht="12.75" hidden="false" customHeight="false" outlineLevel="0" collapsed="false">
      <c r="A79" s="60" t="n">
        <v>39203</v>
      </c>
      <c r="B79" s="92" t="n">
        <v>38.7284946236559</v>
      </c>
      <c r="C79" s="93" t="n">
        <v>43.2876344086021</v>
      </c>
      <c r="D79" s="94"/>
      <c r="E79" s="60" t="n">
        <v>39203</v>
      </c>
      <c r="F79" s="92" t="n">
        <v>35.4844086021505</v>
      </c>
      <c r="G79" s="93" t="n">
        <v>40.0435483870968</v>
      </c>
      <c r="I79" s="60" t="n">
        <v>39203</v>
      </c>
      <c r="J79" s="97" t="n">
        <v>4.426</v>
      </c>
      <c r="K79" s="96" t="n">
        <f aca="false">$K$3+J79</f>
        <v>4.926</v>
      </c>
      <c r="M79" s="60" t="n">
        <v>39203</v>
      </c>
      <c r="N79" s="97" t="n">
        <v>4.326</v>
      </c>
      <c r="O79" s="96" t="n">
        <f aca="false">$O$3+N79</f>
        <v>4.626</v>
      </c>
    </row>
    <row r="80" customFormat="false" ht="12.75" hidden="false" customHeight="false" outlineLevel="0" collapsed="false">
      <c r="A80" s="60" t="n">
        <v>39234</v>
      </c>
      <c r="B80" s="92" t="n">
        <v>44.0933333333333</v>
      </c>
      <c r="C80" s="93" t="n">
        <v>48.6711111111111</v>
      </c>
      <c r="D80" s="94"/>
      <c r="E80" s="60" t="n">
        <v>39234</v>
      </c>
      <c r="F80" s="92" t="n">
        <v>46.67</v>
      </c>
      <c r="G80" s="93" t="n">
        <v>51.2477777777778</v>
      </c>
      <c r="I80" s="60" t="n">
        <v>39234</v>
      </c>
      <c r="J80" s="97" t="n">
        <v>4.455</v>
      </c>
      <c r="K80" s="96" t="n">
        <f aca="false">$K$3+J80</f>
        <v>4.955</v>
      </c>
      <c r="M80" s="60" t="n">
        <v>39234</v>
      </c>
      <c r="N80" s="97" t="n">
        <v>3.915</v>
      </c>
      <c r="O80" s="96" t="n">
        <f aca="false">$O$3+N80</f>
        <v>4.215</v>
      </c>
    </row>
    <row r="81" customFormat="false" ht="12.75" hidden="false" customHeight="false" outlineLevel="0" collapsed="false">
      <c r="A81" s="60" t="n">
        <v>39264</v>
      </c>
      <c r="B81" s="92" t="n">
        <v>55.9559139784946</v>
      </c>
      <c r="C81" s="93" t="n">
        <v>60.4935483870968</v>
      </c>
      <c r="D81" s="94"/>
      <c r="E81" s="60" t="n">
        <v>39264</v>
      </c>
      <c r="F81" s="92" t="n">
        <v>57.9758064516129</v>
      </c>
      <c r="G81" s="93" t="n">
        <v>62.5134408602151</v>
      </c>
      <c r="I81" s="60" t="n">
        <v>39264</v>
      </c>
      <c r="J81" s="97" t="n">
        <v>4.485</v>
      </c>
      <c r="K81" s="96" t="n">
        <f aca="false">$K$3+J81</f>
        <v>4.985</v>
      </c>
      <c r="M81" s="60" t="n">
        <v>39264</v>
      </c>
      <c r="N81" s="97" t="n">
        <v>3.945</v>
      </c>
      <c r="O81" s="96" t="n">
        <f aca="false">$O$3+N81</f>
        <v>4.245</v>
      </c>
    </row>
    <row r="82" customFormat="false" ht="12.75" hidden="false" customHeight="false" outlineLevel="0" collapsed="false">
      <c r="A82" s="60" t="n">
        <v>39295</v>
      </c>
      <c r="B82" s="92" t="n">
        <v>66.2306451612903</v>
      </c>
      <c r="C82" s="93" t="n">
        <v>70.8112903225807</v>
      </c>
      <c r="D82" s="94"/>
      <c r="E82" s="60" t="n">
        <v>39295</v>
      </c>
      <c r="F82" s="92" t="n">
        <v>64.5564516129032</v>
      </c>
      <c r="G82" s="93" t="n">
        <v>69.1370967741936</v>
      </c>
      <c r="I82" s="60" t="n">
        <v>39295</v>
      </c>
      <c r="J82" s="97" t="n">
        <v>4.505</v>
      </c>
      <c r="K82" s="96" t="n">
        <f aca="false">$K$3+J82</f>
        <v>5.005</v>
      </c>
      <c r="M82" s="60" t="n">
        <v>39295</v>
      </c>
      <c r="N82" s="97" t="n">
        <v>3.965</v>
      </c>
      <c r="O82" s="96" t="n">
        <f aca="false">$O$3+N82</f>
        <v>4.265</v>
      </c>
    </row>
    <row r="83" customFormat="false" ht="12.75" hidden="false" customHeight="false" outlineLevel="0" collapsed="false">
      <c r="A83" s="60" t="n">
        <v>39326</v>
      </c>
      <c r="B83" s="92" t="n">
        <v>56.5733333333333</v>
      </c>
      <c r="C83" s="93" t="n">
        <v>61.1066666666667</v>
      </c>
      <c r="D83" s="94"/>
      <c r="E83" s="60" t="n">
        <v>39326</v>
      </c>
      <c r="F83" s="92" t="n">
        <v>57.7833333333333</v>
      </c>
      <c r="G83" s="93" t="n">
        <v>62.3166666666667</v>
      </c>
      <c r="I83" s="60" t="n">
        <v>39326</v>
      </c>
      <c r="J83" s="97" t="n">
        <v>4.526</v>
      </c>
      <c r="K83" s="96" t="n">
        <f aca="false">$K$3+J83</f>
        <v>5.026</v>
      </c>
      <c r="M83" s="60" t="n">
        <v>39326</v>
      </c>
      <c r="N83" s="97" t="n">
        <v>3.986</v>
      </c>
      <c r="O83" s="96" t="n">
        <f aca="false">$O$3+N83</f>
        <v>4.286</v>
      </c>
    </row>
    <row r="84" customFormat="false" ht="12.75" hidden="false" customHeight="false" outlineLevel="0" collapsed="false">
      <c r="A84" s="60" t="n">
        <v>39356</v>
      </c>
      <c r="B84" s="92" t="n">
        <v>43.2935483870968</v>
      </c>
      <c r="C84" s="93" t="n">
        <v>47.8741935483871</v>
      </c>
      <c r="D84" s="94"/>
      <c r="E84" s="60" t="n">
        <v>39356</v>
      </c>
      <c r="F84" s="92" t="n">
        <v>45.208064516129</v>
      </c>
      <c r="G84" s="93" t="n">
        <v>49.7887096774194</v>
      </c>
      <c r="I84" s="60" t="n">
        <v>39356</v>
      </c>
      <c r="J84" s="97" t="n">
        <v>4.556</v>
      </c>
      <c r="K84" s="96" t="n">
        <f aca="false">$K$3+J84</f>
        <v>5.056</v>
      </c>
      <c r="M84" s="60" t="n">
        <v>39356</v>
      </c>
      <c r="N84" s="97" t="n">
        <v>4.016</v>
      </c>
      <c r="O84" s="96" t="n">
        <f aca="false">$O$3+N84</f>
        <v>4.316</v>
      </c>
    </row>
    <row r="85" customFormat="false" ht="12.75" hidden="false" customHeight="false" outlineLevel="0" collapsed="false">
      <c r="A85" s="60" t="n">
        <v>39387</v>
      </c>
      <c r="B85" s="92" t="n">
        <v>41.3944444444444</v>
      </c>
      <c r="C85" s="93" t="n">
        <v>45.95</v>
      </c>
      <c r="D85" s="94"/>
      <c r="E85" s="60" t="n">
        <v>39387</v>
      </c>
      <c r="F85" s="92" t="n">
        <v>36.7222222222222</v>
      </c>
      <c r="G85" s="93" t="n">
        <v>41.2777777777778</v>
      </c>
      <c r="I85" s="60" t="n">
        <v>39387</v>
      </c>
      <c r="J85" s="97" t="n">
        <v>4.576</v>
      </c>
      <c r="K85" s="96" t="n">
        <f aca="false">$K$3+J85</f>
        <v>5.076</v>
      </c>
      <c r="M85" s="60" t="n">
        <v>39387</v>
      </c>
      <c r="N85" s="97" t="n">
        <v>4.156</v>
      </c>
      <c r="O85" s="96" t="n">
        <f aca="false">$O$3+N85</f>
        <v>4.456</v>
      </c>
    </row>
    <row r="86" customFormat="false" ht="12.75" hidden="false" customHeight="false" outlineLevel="0" collapsed="false">
      <c r="A86" s="60" t="n">
        <v>39417</v>
      </c>
      <c r="B86" s="92" t="n">
        <v>40.2913978494624</v>
      </c>
      <c r="C86" s="93" t="n">
        <v>44.8290322580645</v>
      </c>
      <c r="D86" s="94"/>
      <c r="E86" s="60" t="n">
        <v>39417</v>
      </c>
      <c r="F86" s="92" t="n">
        <v>36.244623655914</v>
      </c>
      <c r="G86" s="93" t="n">
        <v>40.7822580645161</v>
      </c>
      <c r="I86" s="60" t="n">
        <v>39417</v>
      </c>
      <c r="J86" s="97" t="n">
        <v>4.701</v>
      </c>
      <c r="K86" s="96" t="n">
        <f aca="false">$K$3+J86</f>
        <v>5.201</v>
      </c>
      <c r="M86" s="60" t="n">
        <v>39417</v>
      </c>
      <c r="N86" s="97" t="n">
        <v>4.281</v>
      </c>
      <c r="O86" s="96" t="n">
        <f aca="false">$O$3+N86</f>
        <v>4.581</v>
      </c>
    </row>
    <row r="87" customFormat="false" ht="12.75" hidden="false" customHeight="false" outlineLevel="0" collapsed="false">
      <c r="A87" s="60" t="n">
        <v>39448</v>
      </c>
      <c r="B87" s="92" t="n">
        <v>44.3817204301075</v>
      </c>
      <c r="C87" s="93" t="n">
        <v>48.9408602150538</v>
      </c>
      <c r="D87" s="94"/>
      <c r="E87" s="60" t="n">
        <v>39448</v>
      </c>
      <c r="F87" s="92" t="n">
        <v>38.5849462365591</v>
      </c>
      <c r="G87" s="93" t="n">
        <v>43.1440860215054</v>
      </c>
      <c r="I87" s="60" t="n">
        <v>39448</v>
      </c>
      <c r="J87" s="97" t="n">
        <v>4.805</v>
      </c>
      <c r="K87" s="96" t="n">
        <f aca="false">$K$3+J87</f>
        <v>5.305</v>
      </c>
      <c r="M87" s="60" t="n">
        <v>39448</v>
      </c>
      <c r="N87" s="97" t="n">
        <v>4.385</v>
      </c>
      <c r="O87" s="96" t="n">
        <f aca="false">$O$3+N87</f>
        <v>4.685</v>
      </c>
    </row>
    <row r="88" customFormat="false" ht="12.75" hidden="false" customHeight="false" outlineLevel="0" collapsed="false">
      <c r="A88" s="60" t="n">
        <v>39479</v>
      </c>
      <c r="B88" s="92" t="n">
        <v>43.0994252873563</v>
      </c>
      <c r="C88" s="93" t="n">
        <v>47.6741379310345</v>
      </c>
      <c r="D88" s="94"/>
      <c r="E88" s="60" t="n">
        <v>39479</v>
      </c>
      <c r="F88" s="92" t="n">
        <v>37.6781609195402</v>
      </c>
      <c r="G88" s="93" t="n">
        <v>42.2528735632184</v>
      </c>
      <c r="I88" s="60" t="n">
        <v>39479</v>
      </c>
      <c r="J88" s="97" t="n">
        <v>4.709</v>
      </c>
      <c r="K88" s="96" t="n">
        <f aca="false">$K$3+J88</f>
        <v>5.209</v>
      </c>
      <c r="M88" s="60" t="n">
        <v>39479</v>
      </c>
      <c r="N88" s="97" t="n">
        <v>4.289</v>
      </c>
      <c r="O88" s="96" t="n">
        <f aca="false">$O$3+N88</f>
        <v>4.589</v>
      </c>
    </row>
    <row r="89" customFormat="false" ht="12.75" hidden="false" customHeight="false" outlineLevel="0" collapsed="false">
      <c r="A89" s="60" t="n">
        <v>39508</v>
      </c>
      <c r="B89" s="92" t="n">
        <v>40.8521505376344</v>
      </c>
      <c r="C89" s="93" t="n">
        <v>45.4112903225806</v>
      </c>
      <c r="D89" s="94"/>
      <c r="E89" s="60" t="n">
        <v>39508</v>
      </c>
      <c r="F89" s="92" t="n">
        <v>37.0698924731183</v>
      </c>
      <c r="G89" s="93" t="n">
        <v>41.6290322580645</v>
      </c>
      <c r="I89" s="60" t="n">
        <v>39508</v>
      </c>
      <c r="J89" s="97" t="n">
        <v>4.559</v>
      </c>
      <c r="K89" s="96" t="n">
        <f aca="false">$K$3+J89</f>
        <v>5.059</v>
      </c>
      <c r="M89" s="60" t="n">
        <v>39508</v>
      </c>
      <c r="N89" s="97" t="n">
        <v>4.139</v>
      </c>
      <c r="O89" s="96" t="n">
        <f aca="false">$O$3+N89</f>
        <v>4.439</v>
      </c>
    </row>
    <row r="90" customFormat="false" ht="12.75" hidden="false" customHeight="false" outlineLevel="0" collapsed="false">
      <c r="A90" s="60" t="n">
        <v>39539</v>
      </c>
      <c r="B90" s="92" t="n">
        <v>39.18</v>
      </c>
      <c r="C90" s="93" t="n">
        <v>43.7577777777778</v>
      </c>
      <c r="D90" s="94"/>
      <c r="E90" s="60" t="n">
        <v>39539</v>
      </c>
      <c r="F90" s="92" t="n">
        <v>36.9422222222222</v>
      </c>
      <c r="G90" s="93" t="n">
        <v>41.52</v>
      </c>
      <c r="I90" s="60" t="n">
        <v>39539</v>
      </c>
      <c r="J90" s="97" t="n">
        <v>4.496</v>
      </c>
      <c r="K90" s="96" t="n">
        <f aca="false">$K$3+J90</f>
        <v>4.996</v>
      </c>
      <c r="M90" s="60" t="n">
        <v>39539</v>
      </c>
      <c r="N90" s="97" t="n">
        <v>3.956</v>
      </c>
      <c r="O90" s="96" t="n">
        <f aca="false">$O$3+N90</f>
        <v>4.256</v>
      </c>
    </row>
    <row r="91" customFormat="false" ht="12.75" hidden="false" customHeight="false" outlineLevel="0" collapsed="false">
      <c r="A91" s="60" t="n">
        <v>39569</v>
      </c>
      <c r="B91" s="92" t="n">
        <v>39.0327956989247</v>
      </c>
      <c r="C91" s="93" t="n">
        <v>43.591935483871</v>
      </c>
      <c r="D91" s="94"/>
      <c r="E91" s="60" t="n">
        <v>39569</v>
      </c>
      <c r="F91" s="92" t="n">
        <v>35.7344086021505</v>
      </c>
      <c r="G91" s="93" t="n">
        <v>40.2935483870968</v>
      </c>
      <c r="I91" s="60" t="n">
        <v>39569</v>
      </c>
      <c r="J91" s="97" t="n">
        <v>4.471</v>
      </c>
      <c r="K91" s="96" t="n">
        <f aca="false">$K$3+J91</f>
        <v>4.971</v>
      </c>
      <c r="M91" s="60" t="n">
        <v>39569</v>
      </c>
      <c r="N91" s="97" t="n">
        <v>3.931</v>
      </c>
      <c r="O91" s="96" t="n">
        <f aca="false">$O$3+N91</f>
        <v>4.231</v>
      </c>
    </row>
    <row r="92" customFormat="false" ht="12.75" hidden="false" customHeight="false" outlineLevel="0" collapsed="false">
      <c r="A92" s="60" t="n">
        <v>39600</v>
      </c>
      <c r="B92" s="92" t="n">
        <v>43.9222222222222</v>
      </c>
      <c r="C92" s="93" t="n">
        <v>48.4777777777778</v>
      </c>
      <c r="D92" s="94"/>
      <c r="E92" s="60" t="n">
        <v>39600</v>
      </c>
      <c r="F92" s="92" t="n">
        <v>46.25</v>
      </c>
      <c r="G92" s="93" t="n">
        <v>50.8055555555556</v>
      </c>
      <c r="I92" s="60" t="n">
        <v>39600</v>
      </c>
      <c r="J92" s="97" t="n">
        <v>4.5</v>
      </c>
      <c r="K92" s="96" t="n">
        <f aca="false">$K$3+J92</f>
        <v>5</v>
      </c>
      <c r="M92" s="60" t="n">
        <v>39600</v>
      </c>
      <c r="N92" s="97" t="n">
        <v>3.96</v>
      </c>
      <c r="O92" s="96" t="n">
        <f aca="false">$O$3+N92</f>
        <v>4.26</v>
      </c>
    </row>
    <row r="93" customFormat="false" ht="12.75" hidden="false" customHeight="false" outlineLevel="0" collapsed="false">
      <c r="A93" s="60" t="n">
        <v>39630</v>
      </c>
      <c r="B93" s="92" t="n">
        <v>56.3634408602151</v>
      </c>
      <c r="C93" s="93" t="n">
        <v>60.9225806451613</v>
      </c>
      <c r="D93" s="94"/>
      <c r="E93" s="60" t="n">
        <v>39630</v>
      </c>
      <c r="F93" s="92" t="n">
        <v>58.8548387096774</v>
      </c>
      <c r="G93" s="93" t="n">
        <v>63.4139784946237</v>
      </c>
      <c r="I93" s="60" t="n">
        <v>39630</v>
      </c>
      <c r="J93" s="97" t="n">
        <v>4.53</v>
      </c>
      <c r="K93" s="96" t="n">
        <f aca="false">$K$3+J93</f>
        <v>5.03</v>
      </c>
      <c r="M93" s="60" t="n">
        <v>39630</v>
      </c>
      <c r="N93" s="97" t="n">
        <v>3.99</v>
      </c>
      <c r="O93" s="96" t="n">
        <f aca="false">$O$3+N93</f>
        <v>4.29</v>
      </c>
    </row>
    <row r="94" customFormat="false" ht="12.75" hidden="false" customHeight="false" outlineLevel="0" collapsed="false">
      <c r="A94" s="60" t="n">
        <v>39661</v>
      </c>
      <c r="B94" s="92" t="n">
        <v>64.9037634408602</v>
      </c>
      <c r="C94" s="93" t="n">
        <v>69.4629032258064</v>
      </c>
      <c r="D94" s="94"/>
      <c r="E94" s="60" t="n">
        <v>39661</v>
      </c>
      <c r="F94" s="92" t="n">
        <v>64.0913978494624</v>
      </c>
      <c r="G94" s="93" t="n">
        <v>68.6505376344086</v>
      </c>
      <c r="I94" s="60" t="n">
        <v>39661</v>
      </c>
      <c r="J94" s="97" t="n">
        <v>4.55</v>
      </c>
      <c r="K94" s="96" t="n">
        <f aca="false">$K$3+J94</f>
        <v>5.05</v>
      </c>
      <c r="M94" s="60" t="n">
        <v>39661</v>
      </c>
      <c r="N94" s="97" t="n">
        <v>4.01</v>
      </c>
      <c r="O94" s="96" t="n">
        <f aca="false">$O$3+N94</f>
        <v>4.31</v>
      </c>
    </row>
    <row r="95" customFormat="false" ht="12.75" hidden="false" customHeight="false" outlineLevel="0" collapsed="false">
      <c r="A95" s="60" t="n">
        <v>39692</v>
      </c>
      <c r="B95" s="92" t="n">
        <v>57.0222222222222</v>
      </c>
      <c r="C95" s="93" t="n">
        <v>61.5777777777778</v>
      </c>
      <c r="D95" s="94"/>
      <c r="E95" s="60" t="n">
        <v>39692</v>
      </c>
      <c r="F95" s="92" t="n">
        <v>58.6388888888889</v>
      </c>
      <c r="G95" s="93" t="n">
        <v>63.1944444444444</v>
      </c>
      <c r="I95" s="60" t="n">
        <v>39692</v>
      </c>
      <c r="J95" s="97" t="n">
        <v>4.571</v>
      </c>
      <c r="K95" s="96" t="n">
        <f aca="false">$K$3+J95</f>
        <v>5.071</v>
      </c>
      <c r="M95" s="60" t="n">
        <v>39692</v>
      </c>
      <c r="N95" s="97" t="n">
        <v>4.031</v>
      </c>
      <c r="O95" s="96" t="n">
        <f aca="false">$O$3+N95</f>
        <v>4.331</v>
      </c>
    </row>
    <row r="96" customFormat="false" ht="12.75" hidden="false" customHeight="false" outlineLevel="0" collapsed="false">
      <c r="A96" s="60" t="n">
        <v>39722</v>
      </c>
      <c r="B96" s="92" t="n">
        <v>43.5903225806452</v>
      </c>
      <c r="C96" s="93" t="n">
        <v>48.1709677419355</v>
      </c>
      <c r="D96" s="94"/>
      <c r="E96" s="60" t="n">
        <v>39722</v>
      </c>
      <c r="F96" s="92" t="n">
        <v>45.458064516129</v>
      </c>
      <c r="G96" s="93" t="n">
        <v>50.0387096774194</v>
      </c>
      <c r="I96" s="60" t="n">
        <v>39722</v>
      </c>
      <c r="J96" s="97" t="n">
        <v>4.601</v>
      </c>
      <c r="K96" s="96" t="n">
        <f aca="false">$K$3+J96</f>
        <v>5.101</v>
      </c>
      <c r="M96" s="60" t="n">
        <v>39722</v>
      </c>
      <c r="N96" s="97" t="n">
        <v>4.061</v>
      </c>
      <c r="O96" s="96" t="n">
        <f aca="false">$O$3+N96</f>
        <v>4.361</v>
      </c>
    </row>
    <row r="97" customFormat="false" ht="12.75" hidden="false" customHeight="false" outlineLevel="0" collapsed="false">
      <c r="A97" s="60" t="n">
        <v>39753</v>
      </c>
      <c r="B97" s="92" t="n">
        <v>41.34</v>
      </c>
      <c r="C97" s="93" t="n">
        <v>45.8733333333333</v>
      </c>
      <c r="D97" s="94"/>
      <c r="E97" s="60" t="n">
        <v>39753</v>
      </c>
      <c r="F97" s="92" t="n">
        <v>36.7133333333333</v>
      </c>
      <c r="G97" s="93" t="n">
        <v>41.2466666666667</v>
      </c>
      <c r="I97" s="60" t="n">
        <v>39753</v>
      </c>
      <c r="J97" s="97" t="n">
        <v>4.621</v>
      </c>
      <c r="K97" s="96" t="n">
        <f aca="false">$K$3+J97</f>
        <v>5.121</v>
      </c>
      <c r="M97" s="60" t="n">
        <v>39753</v>
      </c>
      <c r="N97" s="97" t="n">
        <v>4.201</v>
      </c>
      <c r="O97" s="96" t="n">
        <f aca="false">$O$3+N97</f>
        <v>4.501</v>
      </c>
    </row>
    <row r="98" customFormat="false" ht="12.75" hidden="false" customHeight="false" outlineLevel="0" collapsed="false">
      <c r="A98" s="60" t="n">
        <v>39783</v>
      </c>
      <c r="B98" s="92" t="n">
        <v>40.9193548387097</v>
      </c>
      <c r="C98" s="93" t="n">
        <v>45.4784946236559</v>
      </c>
      <c r="D98" s="94"/>
      <c r="E98" s="60" t="n">
        <v>39783</v>
      </c>
      <c r="F98" s="92" t="n">
        <v>36.7344086021505</v>
      </c>
      <c r="G98" s="93" t="n">
        <v>41.2935483870968</v>
      </c>
      <c r="I98" s="60" t="n">
        <v>39783</v>
      </c>
      <c r="J98" s="97" t="n">
        <v>4.746</v>
      </c>
      <c r="K98" s="96" t="n">
        <f aca="false">$K$3+J98</f>
        <v>5.246</v>
      </c>
      <c r="M98" s="60" t="n">
        <v>39783</v>
      </c>
      <c r="N98" s="97" t="n">
        <v>4.326</v>
      </c>
      <c r="O98" s="96" t="n">
        <f aca="false">$O$3+N98</f>
        <v>4.626</v>
      </c>
    </row>
    <row r="99" customFormat="false" ht="12.75" hidden="false" customHeight="false" outlineLevel="0" collapsed="false">
      <c r="A99" s="60" t="n">
        <v>39814</v>
      </c>
      <c r="B99" s="92" t="n">
        <v>44.9096774193548</v>
      </c>
      <c r="C99" s="93" t="n">
        <v>49.9096774193548</v>
      </c>
      <c r="D99" s="94"/>
      <c r="E99" s="60" t="n">
        <v>39814</v>
      </c>
      <c r="F99" s="92" t="n">
        <v>38.8569892473118</v>
      </c>
      <c r="G99" s="93" t="n">
        <v>43.8569892473118</v>
      </c>
      <c r="I99" s="60" t="n">
        <v>39814</v>
      </c>
      <c r="J99" s="97" t="n">
        <v>4.86</v>
      </c>
      <c r="K99" s="96" t="n">
        <f aca="false">$K$3+J99</f>
        <v>5.36</v>
      </c>
      <c r="M99" s="60" t="n">
        <v>39814</v>
      </c>
      <c r="N99" s="97" t="n">
        <v>4.44</v>
      </c>
      <c r="O99" s="96" t="n">
        <f aca="false">$O$3+N99</f>
        <v>4.74</v>
      </c>
    </row>
    <row r="100" customFormat="false" ht="12.75" hidden="false" customHeight="false" outlineLevel="0" collapsed="false">
      <c r="A100" s="60" t="n">
        <v>39845</v>
      </c>
      <c r="B100" s="92" t="n">
        <v>43.5928571428571</v>
      </c>
      <c r="C100" s="93" t="n">
        <v>48.5928571428571</v>
      </c>
      <c r="D100" s="94"/>
      <c r="E100" s="60" t="n">
        <v>39845</v>
      </c>
      <c r="F100" s="92" t="n">
        <v>38.1965443248856</v>
      </c>
      <c r="G100" s="93" t="n">
        <v>43.1965443248856</v>
      </c>
      <c r="I100" s="60" t="n">
        <v>39845</v>
      </c>
      <c r="J100" s="97" t="n">
        <v>4.764</v>
      </c>
      <c r="K100" s="96" t="n">
        <f aca="false">$K$3+J100</f>
        <v>5.264</v>
      </c>
      <c r="M100" s="60" t="n">
        <v>39845</v>
      </c>
      <c r="N100" s="97" t="n">
        <v>4.344</v>
      </c>
      <c r="O100" s="96" t="n">
        <f aca="false">$O$3+N100</f>
        <v>4.644</v>
      </c>
    </row>
    <row r="101" customFormat="false" ht="12.75" hidden="false" customHeight="false" outlineLevel="0" collapsed="false">
      <c r="A101" s="60" t="n">
        <v>39873</v>
      </c>
      <c r="B101" s="92" t="n">
        <v>41.3801075268817</v>
      </c>
      <c r="C101" s="93" t="n">
        <v>46.3801075268817</v>
      </c>
      <c r="D101" s="94"/>
      <c r="E101" s="60" t="n">
        <v>39873</v>
      </c>
      <c r="F101" s="92" t="n">
        <v>37.6181240168235</v>
      </c>
      <c r="G101" s="93" t="n">
        <v>42.6181240168235</v>
      </c>
      <c r="I101" s="60" t="n">
        <v>39873</v>
      </c>
      <c r="J101" s="97" t="n">
        <v>4.614</v>
      </c>
      <c r="K101" s="96" t="n">
        <f aca="false">$K$3+J101</f>
        <v>5.114</v>
      </c>
      <c r="M101" s="60" t="n">
        <v>39873</v>
      </c>
      <c r="N101" s="97" t="n">
        <v>4.194</v>
      </c>
      <c r="O101" s="96" t="n">
        <f aca="false">$O$3+N101</f>
        <v>4.494</v>
      </c>
    </row>
    <row r="102" customFormat="false" ht="12.75" hidden="false" customHeight="false" outlineLevel="0" collapsed="false">
      <c r="A102" s="60" t="n">
        <v>39904</v>
      </c>
      <c r="B102" s="92" t="n">
        <v>39.7088888888889</v>
      </c>
      <c r="C102" s="93" t="n">
        <v>44.7088888888889</v>
      </c>
      <c r="D102" s="94"/>
      <c r="E102" s="60" t="n">
        <v>39904</v>
      </c>
      <c r="F102" s="92" t="n">
        <v>37.2133333333333</v>
      </c>
      <c r="G102" s="93" t="n">
        <v>42.2133333333333</v>
      </c>
      <c r="I102" s="60" t="n">
        <v>39904</v>
      </c>
      <c r="J102" s="97" t="n">
        <v>4.551</v>
      </c>
      <c r="K102" s="96" t="n">
        <f aca="false">$K$3+J102</f>
        <v>5.051</v>
      </c>
      <c r="M102" s="60" t="n">
        <v>39904</v>
      </c>
      <c r="N102" s="97" t="n">
        <v>4.011</v>
      </c>
      <c r="O102" s="96" t="n">
        <f aca="false">$O$3+N102</f>
        <v>4.311</v>
      </c>
    </row>
    <row r="103" customFormat="false" ht="12.75" hidden="false" customHeight="false" outlineLevel="0" collapsed="false">
      <c r="A103" s="60" t="n">
        <v>39934</v>
      </c>
      <c r="B103" s="92" t="n">
        <v>39.2295698924731</v>
      </c>
      <c r="C103" s="93" t="n">
        <v>44.2295698924731</v>
      </c>
      <c r="D103" s="94"/>
      <c r="E103" s="60" t="n">
        <v>39934</v>
      </c>
      <c r="F103" s="92" t="n">
        <v>35.9830188722534</v>
      </c>
      <c r="G103" s="93" t="n">
        <v>40.9830188722534</v>
      </c>
      <c r="I103" s="60" t="n">
        <v>39934</v>
      </c>
      <c r="J103" s="97" t="n">
        <v>4.526</v>
      </c>
      <c r="K103" s="96" t="n">
        <f aca="false">$K$3+J103</f>
        <v>5.026</v>
      </c>
      <c r="M103" s="60" t="n">
        <v>39934</v>
      </c>
      <c r="N103" s="97" t="n">
        <v>3.986</v>
      </c>
      <c r="O103" s="96" t="n">
        <f aca="false">$O$3+N103</f>
        <v>4.286</v>
      </c>
    </row>
    <row r="104" customFormat="false" ht="12.75" hidden="false" customHeight="false" outlineLevel="0" collapsed="false">
      <c r="A104" s="60" t="n">
        <v>39965</v>
      </c>
      <c r="B104" s="92" t="n">
        <v>44.92</v>
      </c>
      <c r="C104" s="93" t="n">
        <v>49.92</v>
      </c>
      <c r="D104" s="94"/>
      <c r="E104" s="60" t="n">
        <v>39965</v>
      </c>
      <c r="F104" s="92" t="n">
        <v>47.4224620591595</v>
      </c>
      <c r="G104" s="93" t="n">
        <v>52.4224620591595</v>
      </c>
      <c r="I104" s="60" t="n">
        <v>39965</v>
      </c>
      <c r="J104" s="97" t="n">
        <v>4.555</v>
      </c>
      <c r="K104" s="96" t="n">
        <f aca="false">$K$3+J104</f>
        <v>5.055</v>
      </c>
      <c r="M104" s="60" t="n">
        <v>39965</v>
      </c>
      <c r="N104" s="97" t="n">
        <v>4.015</v>
      </c>
      <c r="O104" s="96" t="n">
        <f aca="false">$O$3+N104</f>
        <v>4.315</v>
      </c>
    </row>
    <row r="105" customFormat="false" ht="12.75" hidden="false" customHeight="false" outlineLevel="0" collapsed="false">
      <c r="A105" s="60" t="n">
        <v>39995</v>
      </c>
      <c r="B105" s="92" t="n">
        <v>56.8913978494624</v>
      </c>
      <c r="C105" s="93" t="n">
        <v>61.8913978494624</v>
      </c>
      <c r="D105" s="94"/>
      <c r="E105" s="60" t="n">
        <v>39995</v>
      </c>
      <c r="F105" s="92" t="n">
        <v>59.1268817204301</v>
      </c>
      <c r="G105" s="93" t="n">
        <v>64.1268817204301</v>
      </c>
      <c r="I105" s="60" t="n">
        <v>39995</v>
      </c>
      <c r="J105" s="97" t="n">
        <v>4.585</v>
      </c>
      <c r="K105" s="96" t="n">
        <f aca="false">$K$3+J105</f>
        <v>5.085</v>
      </c>
      <c r="M105" s="60" t="n">
        <v>39995</v>
      </c>
      <c r="N105" s="97" t="n">
        <v>4.045</v>
      </c>
      <c r="O105" s="96" t="n">
        <f aca="false">$O$3+N105</f>
        <v>4.345</v>
      </c>
    </row>
    <row r="106" customFormat="false" ht="12.75" hidden="false" customHeight="false" outlineLevel="0" collapsed="false">
      <c r="A106" s="60" t="n">
        <v>40026</v>
      </c>
      <c r="B106" s="92" t="n">
        <v>65.4317204301075</v>
      </c>
      <c r="C106" s="93" t="n">
        <v>70.4317204301075</v>
      </c>
      <c r="D106" s="94"/>
      <c r="E106" s="60" t="n">
        <v>40026</v>
      </c>
      <c r="F106" s="92" t="n">
        <v>63.6641555084366</v>
      </c>
      <c r="G106" s="93" t="n">
        <v>68.6641555084366</v>
      </c>
      <c r="I106" s="60" t="n">
        <v>40026</v>
      </c>
      <c r="J106" s="97" t="n">
        <v>4.605</v>
      </c>
      <c r="K106" s="96" t="n">
        <f aca="false">$K$3+J106</f>
        <v>5.105</v>
      </c>
      <c r="M106" s="60" t="n">
        <v>40026</v>
      </c>
      <c r="N106" s="97" t="n">
        <v>4.065</v>
      </c>
      <c r="O106" s="96" t="n">
        <f aca="false">$O$3+N106</f>
        <v>4.365</v>
      </c>
    </row>
    <row r="107" customFormat="false" ht="12.75" hidden="false" customHeight="false" outlineLevel="0" collapsed="false">
      <c r="A107" s="60" t="n">
        <v>40057</v>
      </c>
      <c r="B107" s="92" t="n">
        <v>57.55</v>
      </c>
      <c r="C107" s="93" t="n">
        <v>62.55</v>
      </c>
      <c r="D107" s="94"/>
      <c r="E107" s="60" t="n">
        <v>40057</v>
      </c>
      <c r="F107" s="92" t="n">
        <v>58.2163083577415</v>
      </c>
      <c r="G107" s="93" t="n">
        <v>63.2163083577415</v>
      </c>
      <c r="I107" s="60" t="n">
        <v>40057</v>
      </c>
      <c r="J107" s="97" t="n">
        <v>4.626</v>
      </c>
      <c r="K107" s="96" t="n">
        <f aca="false">$K$3+J107</f>
        <v>5.126</v>
      </c>
      <c r="M107" s="60" t="n">
        <v>40057</v>
      </c>
      <c r="N107" s="97" t="n">
        <v>4.086</v>
      </c>
      <c r="O107" s="96" t="n">
        <f aca="false">$O$3+N107</f>
        <v>4.386</v>
      </c>
    </row>
    <row r="108" customFormat="false" ht="12.75" hidden="false" customHeight="false" outlineLevel="0" collapsed="false">
      <c r="A108" s="60" t="n">
        <v>40087</v>
      </c>
      <c r="B108" s="92" t="n">
        <v>44.1193548387097</v>
      </c>
      <c r="C108" s="93" t="n">
        <v>49.1193548387097</v>
      </c>
      <c r="D108" s="94"/>
      <c r="E108" s="60" t="n">
        <v>40087</v>
      </c>
      <c r="F108" s="92" t="n">
        <v>45.7290322580645</v>
      </c>
      <c r="G108" s="93" t="n">
        <v>50.7290322580645</v>
      </c>
      <c r="I108" s="60" t="n">
        <v>40087</v>
      </c>
      <c r="J108" s="97" t="n">
        <v>4.656</v>
      </c>
      <c r="K108" s="96" t="n">
        <f aca="false">$K$3+J108</f>
        <v>5.156</v>
      </c>
      <c r="M108" s="60" t="n">
        <v>40087</v>
      </c>
      <c r="N108" s="97" t="n">
        <v>4.116</v>
      </c>
      <c r="O108" s="96" t="n">
        <f aca="false">$O$3+N108</f>
        <v>4.416</v>
      </c>
    </row>
    <row r="109" customFormat="false" ht="12.75" hidden="false" customHeight="false" outlineLevel="0" collapsed="false">
      <c r="A109" s="60" t="n">
        <v>40118</v>
      </c>
      <c r="B109" s="92" t="n">
        <v>41.8666666666667</v>
      </c>
      <c r="C109" s="93" t="n">
        <v>46.8666666666667</v>
      </c>
      <c r="D109" s="94"/>
      <c r="E109" s="60" t="n">
        <v>40118</v>
      </c>
      <c r="F109" s="92" t="n">
        <v>37.1818684105846</v>
      </c>
      <c r="G109" s="93" t="n">
        <v>42.1818684105846</v>
      </c>
      <c r="I109" s="60" t="n">
        <v>40118</v>
      </c>
      <c r="J109" s="97" t="n">
        <v>4.676</v>
      </c>
      <c r="K109" s="96" t="n">
        <f aca="false">$K$3+J109</f>
        <v>5.176</v>
      </c>
      <c r="M109" s="60" t="n">
        <v>40118</v>
      </c>
      <c r="N109" s="97" t="n">
        <v>4.256</v>
      </c>
      <c r="O109" s="96" t="n">
        <f aca="false">$O$3+N109</f>
        <v>4.556</v>
      </c>
    </row>
    <row r="110" customFormat="false" ht="12.75" hidden="false" customHeight="false" outlineLevel="0" collapsed="false">
      <c r="A110" s="60" t="n">
        <v>40148</v>
      </c>
      <c r="B110" s="92" t="n">
        <v>41.447311827957</v>
      </c>
      <c r="C110" s="93" t="n">
        <v>46.447311827957</v>
      </c>
      <c r="D110" s="94"/>
      <c r="E110" s="60" t="n">
        <v>40148</v>
      </c>
      <c r="F110" s="92" t="n">
        <v>37.2110986024946</v>
      </c>
      <c r="G110" s="93" t="n">
        <v>42.2110986024946</v>
      </c>
      <c r="I110" s="60" t="n">
        <v>40148</v>
      </c>
      <c r="J110" s="97" t="n">
        <v>4.801</v>
      </c>
      <c r="K110" s="96" t="n">
        <f aca="false">$K$3+J110</f>
        <v>5.301</v>
      </c>
      <c r="M110" s="60" t="n">
        <v>40148</v>
      </c>
      <c r="N110" s="97" t="n">
        <v>4.381</v>
      </c>
      <c r="O110" s="96" t="n">
        <f aca="false">$O$3+N110</f>
        <v>4.681</v>
      </c>
    </row>
    <row r="111" customFormat="false" ht="12.75" hidden="false" customHeight="false" outlineLevel="0" collapsed="false">
      <c r="A111" s="60" t="n">
        <v>40179</v>
      </c>
      <c r="B111" s="92" t="n">
        <v>45.2860215053763</v>
      </c>
      <c r="C111" s="93" t="n">
        <v>50.2860215053764</v>
      </c>
      <c r="D111" s="94"/>
      <c r="E111" s="60" t="n">
        <v>40179</v>
      </c>
      <c r="F111" s="92" t="n">
        <v>38.8548387096774</v>
      </c>
      <c r="G111" s="93" t="n">
        <v>43.8548387096774</v>
      </c>
      <c r="I111" s="60" t="n">
        <v>40179</v>
      </c>
      <c r="J111" s="97" t="n">
        <v>4.925</v>
      </c>
      <c r="K111" s="96" t="n">
        <f aca="false">$K$3+J111</f>
        <v>5.425</v>
      </c>
      <c r="M111" s="60" t="n">
        <v>40179</v>
      </c>
      <c r="N111" s="97" t="n">
        <v>4.505</v>
      </c>
      <c r="O111" s="96" t="n">
        <f aca="false">$O$3+N111</f>
        <v>4.805</v>
      </c>
    </row>
    <row r="112" customFormat="false" ht="12.75" hidden="false" customHeight="false" outlineLevel="0" collapsed="false">
      <c r="A112" s="60" t="n">
        <v>40210</v>
      </c>
      <c r="B112" s="92" t="n">
        <v>44.2357142857143</v>
      </c>
      <c r="C112" s="93" t="n">
        <v>49.2357142857143</v>
      </c>
      <c r="D112" s="94"/>
      <c r="E112" s="60" t="n">
        <v>40210</v>
      </c>
      <c r="F112" s="92" t="n">
        <v>38.7080759191925</v>
      </c>
      <c r="G112" s="93" t="n">
        <v>43.7080759191925</v>
      </c>
      <c r="I112" s="60" t="n">
        <v>40210</v>
      </c>
      <c r="J112" s="97" t="n">
        <v>4.829</v>
      </c>
      <c r="K112" s="96" t="n">
        <f aca="false">$K$3+J112</f>
        <v>5.329</v>
      </c>
      <c r="M112" s="60" t="n">
        <v>40210</v>
      </c>
      <c r="N112" s="97" t="n">
        <v>4.409</v>
      </c>
      <c r="O112" s="96" t="n">
        <f aca="false">$O$3+N112</f>
        <v>4.709</v>
      </c>
    </row>
    <row r="113" customFormat="false" ht="12.75" hidden="false" customHeight="false" outlineLevel="0" collapsed="false">
      <c r="A113" s="60" t="n">
        <v>40238</v>
      </c>
      <c r="B113" s="92" t="n">
        <v>42.2725806451613</v>
      </c>
      <c r="C113" s="93" t="n">
        <v>47.2725806451613</v>
      </c>
      <c r="D113" s="94"/>
      <c r="E113" s="60" t="n">
        <v>40238</v>
      </c>
      <c r="F113" s="92" t="n">
        <v>38.3961094017602</v>
      </c>
      <c r="G113" s="93" t="n">
        <v>43.3961094017602</v>
      </c>
      <c r="I113" s="60" t="n">
        <v>40238</v>
      </c>
      <c r="J113" s="97" t="n">
        <v>4.679</v>
      </c>
      <c r="K113" s="96" t="n">
        <f aca="false">$K$3+J113</f>
        <v>5.179</v>
      </c>
      <c r="M113" s="60" t="n">
        <v>40238</v>
      </c>
      <c r="N113" s="97" t="n">
        <v>4.259</v>
      </c>
      <c r="O113" s="96" t="n">
        <f aca="false">$O$3+N113</f>
        <v>4.559</v>
      </c>
    </row>
    <row r="114" customFormat="false" ht="12.75" hidden="false" customHeight="false" outlineLevel="0" collapsed="false">
      <c r="A114" s="60" t="n">
        <v>40269</v>
      </c>
      <c r="B114" s="92" t="n">
        <v>40.3533333333333</v>
      </c>
      <c r="C114" s="93" t="n">
        <v>45.3533333333333</v>
      </c>
      <c r="D114" s="94"/>
      <c r="E114" s="60" t="n">
        <v>40269</v>
      </c>
      <c r="F114" s="92" t="n">
        <v>37.4633333333333</v>
      </c>
      <c r="G114" s="93" t="n">
        <v>42.4633333333333</v>
      </c>
      <c r="I114" s="60" t="n">
        <v>40269</v>
      </c>
      <c r="J114" s="97" t="n">
        <v>4.616</v>
      </c>
      <c r="K114" s="96" t="n">
        <f aca="false">$K$3+J114</f>
        <v>5.116</v>
      </c>
      <c r="M114" s="60" t="n">
        <v>40269</v>
      </c>
      <c r="N114" s="97" t="n">
        <v>4.076</v>
      </c>
      <c r="O114" s="96" t="n">
        <f aca="false">$O$3+N114</f>
        <v>4.376</v>
      </c>
    </row>
    <row r="115" customFormat="false" ht="12.75" hidden="false" customHeight="false" outlineLevel="0" collapsed="false">
      <c r="A115" s="60" t="n">
        <v>40299</v>
      </c>
      <c r="B115" s="92" t="n">
        <v>39.8639784946237</v>
      </c>
      <c r="C115" s="93" t="n">
        <v>44.8639784946237</v>
      </c>
      <c r="D115" s="94"/>
      <c r="E115" s="60" t="n">
        <v>40299</v>
      </c>
      <c r="F115" s="92" t="n">
        <v>36.4324855077456</v>
      </c>
      <c r="G115" s="93" t="n">
        <v>41.4324855077456</v>
      </c>
      <c r="I115" s="60" t="n">
        <v>40299</v>
      </c>
      <c r="J115" s="97" t="n">
        <v>4.591</v>
      </c>
      <c r="K115" s="96" t="n">
        <f aca="false">$K$3+J115</f>
        <v>5.091</v>
      </c>
      <c r="M115" s="60" t="n">
        <v>40299</v>
      </c>
      <c r="N115" s="97" t="n">
        <v>4.051</v>
      </c>
      <c r="O115" s="96" t="n">
        <f aca="false">$O$3+N115</f>
        <v>4.351</v>
      </c>
    </row>
    <row r="116" customFormat="false" ht="12.75" hidden="false" customHeight="false" outlineLevel="0" collapsed="false">
      <c r="A116" s="60" t="n">
        <v>40330</v>
      </c>
      <c r="B116" s="92" t="n">
        <v>45.5644444444444</v>
      </c>
      <c r="C116" s="93" t="n">
        <v>50.5644444444445</v>
      </c>
      <c r="D116" s="94"/>
      <c r="E116" s="60" t="n">
        <v>40330</v>
      </c>
      <c r="F116" s="92" t="n">
        <v>47.886822203435</v>
      </c>
      <c r="G116" s="93" t="n">
        <v>52.886822203435</v>
      </c>
      <c r="I116" s="60" t="n">
        <v>40330</v>
      </c>
      <c r="J116" s="97" t="n">
        <v>4.62</v>
      </c>
      <c r="K116" s="96" t="n">
        <f aca="false">$K$3+J116</f>
        <v>5.12</v>
      </c>
      <c r="M116" s="60" t="n">
        <v>40330</v>
      </c>
      <c r="N116" s="97" t="n">
        <v>4.08</v>
      </c>
      <c r="O116" s="96" t="n">
        <f aca="false">$O$3+N116</f>
        <v>4.38</v>
      </c>
    </row>
    <row r="117" customFormat="false" ht="12.75" hidden="false" customHeight="false" outlineLevel="0" collapsed="false">
      <c r="A117" s="60" t="n">
        <v>40360</v>
      </c>
      <c r="B117" s="92" t="n">
        <v>57.5311827956989</v>
      </c>
      <c r="C117" s="93" t="n">
        <v>62.5311827956989</v>
      </c>
      <c r="D117" s="94"/>
      <c r="E117" s="60" t="n">
        <v>40360</v>
      </c>
      <c r="F117" s="92" t="n">
        <v>59.3768817204301</v>
      </c>
      <c r="G117" s="93" t="n">
        <v>64.3768817204301</v>
      </c>
      <c r="I117" s="60" t="n">
        <v>40360</v>
      </c>
      <c r="J117" s="97" t="n">
        <v>4.65</v>
      </c>
      <c r="K117" s="96" t="n">
        <f aca="false">$K$3+J117</f>
        <v>5.15</v>
      </c>
      <c r="M117" s="60" t="n">
        <v>40360</v>
      </c>
      <c r="N117" s="97" t="n">
        <v>4.11</v>
      </c>
      <c r="O117" s="96" t="n">
        <f aca="false">$O$3+N117</f>
        <v>4.41</v>
      </c>
    </row>
    <row r="118" customFormat="false" ht="12.75" hidden="false" customHeight="false" outlineLevel="0" collapsed="false">
      <c r="A118" s="60" t="n">
        <v>40391</v>
      </c>
      <c r="B118" s="92" t="n">
        <v>66.0715053763441</v>
      </c>
      <c r="C118" s="93" t="n">
        <v>71.0715053763441</v>
      </c>
      <c r="D118" s="94"/>
      <c r="E118" s="60" t="n">
        <v>40391</v>
      </c>
      <c r="F118" s="92" t="n">
        <v>63.2662367683432</v>
      </c>
      <c r="G118" s="93" t="n">
        <v>68.2662367683432</v>
      </c>
      <c r="I118" s="60" t="n">
        <v>40391</v>
      </c>
      <c r="J118" s="97" t="n">
        <v>4.67</v>
      </c>
      <c r="K118" s="96" t="n">
        <f aca="false">$K$3+J118</f>
        <v>5.17</v>
      </c>
      <c r="M118" s="60" t="n">
        <v>40391</v>
      </c>
      <c r="N118" s="97" t="n">
        <v>4.13</v>
      </c>
      <c r="O118" s="96" t="n">
        <f aca="false">$O$3+N118</f>
        <v>4.43</v>
      </c>
    </row>
    <row r="119" customFormat="false" ht="12.75" hidden="false" customHeight="false" outlineLevel="0" collapsed="false">
      <c r="A119" s="60" t="n">
        <v>40422</v>
      </c>
      <c r="B119" s="92" t="n">
        <v>58.1888888888889</v>
      </c>
      <c r="C119" s="93" t="n">
        <v>63.1888888888889</v>
      </c>
      <c r="D119" s="94"/>
      <c r="E119" s="60" t="n">
        <v>40422</v>
      </c>
      <c r="F119" s="92" t="n">
        <v>57.8225429429051</v>
      </c>
      <c r="G119" s="93" t="n">
        <v>62.8225429429051</v>
      </c>
      <c r="I119" s="60" t="n">
        <v>40422</v>
      </c>
      <c r="J119" s="97" t="n">
        <v>4.691</v>
      </c>
      <c r="K119" s="96" t="n">
        <f aca="false">$K$3+J119</f>
        <v>5.191</v>
      </c>
      <c r="M119" s="60" t="n">
        <v>40422</v>
      </c>
      <c r="N119" s="97" t="n">
        <v>4.151</v>
      </c>
      <c r="O119" s="96" t="n">
        <f aca="false">$O$3+N119</f>
        <v>4.451</v>
      </c>
    </row>
    <row r="120" customFormat="false" ht="12.75" hidden="false" customHeight="false" outlineLevel="0" collapsed="false">
      <c r="A120" s="60" t="n">
        <v>40452</v>
      </c>
      <c r="B120" s="92" t="n">
        <v>44.447311827957</v>
      </c>
      <c r="C120" s="93" t="n">
        <v>49.447311827957</v>
      </c>
      <c r="D120" s="94"/>
      <c r="E120" s="60" t="n">
        <v>40452</v>
      </c>
      <c r="F120" s="92" t="n">
        <v>45.6112903225806</v>
      </c>
      <c r="G120" s="93" t="n">
        <v>50.6112903225806</v>
      </c>
      <c r="I120" s="60" t="n">
        <v>40452</v>
      </c>
      <c r="J120" s="97" t="n">
        <v>4.721</v>
      </c>
      <c r="K120" s="96" t="n">
        <f aca="false">$K$3+J120</f>
        <v>5.221</v>
      </c>
      <c r="M120" s="60" t="n">
        <v>40452</v>
      </c>
      <c r="N120" s="97" t="n">
        <v>4.181</v>
      </c>
      <c r="O120" s="96" t="n">
        <f aca="false">$O$3+N120</f>
        <v>4.481</v>
      </c>
    </row>
    <row r="121" customFormat="false" ht="12.75" hidden="false" customHeight="false" outlineLevel="0" collapsed="false">
      <c r="A121" s="60" t="n">
        <v>40483</v>
      </c>
      <c r="B121" s="92" t="n">
        <v>42.8666666666667</v>
      </c>
      <c r="C121" s="93" t="n">
        <v>47.8666666666667</v>
      </c>
      <c r="D121" s="94"/>
      <c r="E121" s="60" t="n">
        <v>40483</v>
      </c>
      <c r="F121" s="92" t="n">
        <v>37.8861758350751</v>
      </c>
      <c r="G121" s="93" t="n">
        <v>42.8861758350751</v>
      </c>
      <c r="I121" s="60" t="n">
        <v>40483</v>
      </c>
      <c r="J121" s="97" t="n">
        <v>4.741</v>
      </c>
      <c r="K121" s="96" t="n">
        <f aca="false">$K$3+J121</f>
        <v>5.241</v>
      </c>
      <c r="M121" s="60" t="n">
        <v>40483</v>
      </c>
      <c r="N121" s="97" t="n">
        <v>4.321</v>
      </c>
      <c r="O121" s="96" t="n">
        <f aca="false">$O$3+N121</f>
        <v>4.621</v>
      </c>
    </row>
    <row r="122" customFormat="false" ht="12.75" hidden="false" customHeight="false" outlineLevel="0" collapsed="false">
      <c r="A122" s="60" t="n">
        <v>40513</v>
      </c>
      <c r="B122" s="92" t="n">
        <v>42.0870967741936</v>
      </c>
      <c r="C122" s="93" t="n">
        <v>47.0870967741936</v>
      </c>
      <c r="D122" s="94"/>
      <c r="E122" s="60" t="n">
        <v>40513</v>
      </c>
      <c r="F122" s="92" t="n">
        <v>37.6507103028283</v>
      </c>
      <c r="G122" s="93" t="n">
        <v>42.6507103028283</v>
      </c>
      <c r="I122" s="60" t="n">
        <v>40513</v>
      </c>
      <c r="J122" s="97" t="n">
        <v>4.866</v>
      </c>
      <c r="K122" s="96" t="n">
        <f aca="false">$K$3+J122</f>
        <v>5.366</v>
      </c>
      <c r="M122" s="60" t="n">
        <v>40513</v>
      </c>
      <c r="N122" s="97" t="n">
        <v>4.446</v>
      </c>
      <c r="O122" s="96" t="n">
        <f aca="false">$O$3+N122</f>
        <v>4.746</v>
      </c>
    </row>
    <row r="123" customFormat="false" ht="12.75" hidden="false" customHeight="false" outlineLevel="0" collapsed="false">
      <c r="A123" s="60" t="n">
        <v>40544</v>
      </c>
      <c r="B123" s="92" t="n">
        <v>45.9204301075269</v>
      </c>
      <c r="C123" s="93" t="n">
        <v>50.9204301075269</v>
      </c>
      <c r="D123" s="94"/>
      <c r="E123" s="60" t="n">
        <v>40544</v>
      </c>
      <c r="F123" s="92" t="n">
        <v>39.1048387096774</v>
      </c>
      <c r="G123" s="93" t="n">
        <v>44.1048387096774</v>
      </c>
      <c r="I123" s="60" t="n">
        <v>40544</v>
      </c>
      <c r="J123" s="97" t="n">
        <v>5</v>
      </c>
      <c r="K123" s="96" t="n">
        <f aca="false">$K$3+J123</f>
        <v>5.5</v>
      </c>
      <c r="M123" s="60" t="n">
        <v>40544</v>
      </c>
      <c r="N123" s="97" t="n">
        <v>4.58</v>
      </c>
      <c r="O123" s="96" t="n">
        <f aca="false">$O$3+N123</f>
        <v>4.88</v>
      </c>
    </row>
    <row r="124" customFormat="false" ht="12.75" hidden="false" customHeight="false" outlineLevel="0" collapsed="false">
      <c r="A124" s="60" t="n">
        <v>40575</v>
      </c>
      <c r="B124" s="92" t="n">
        <v>44.8785714285714</v>
      </c>
      <c r="C124" s="93" t="n">
        <v>49.8785714285714</v>
      </c>
      <c r="D124" s="94"/>
      <c r="E124" s="60" t="n">
        <v>40575</v>
      </c>
      <c r="F124" s="92" t="n">
        <v>39.2003903647056</v>
      </c>
      <c r="G124" s="93" t="n">
        <v>44.2003903647056</v>
      </c>
      <c r="I124" s="60" t="n">
        <v>40575</v>
      </c>
      <c r="J124" s="97" t="n">
        <v>4.904</v>
      </c>
      <c r="K124" s="96" t="n">
        <f aca="false">$K$3+J124</f>
        <v>5.404</v>
      </c>
      <c r="M124" s="60" t="n">
        <v>40575</v>
      </c>
      <c r="N124" s="97" t="n">
        <v>4.484</v>
      </c>
      <c r="O124" s="96" t="n">
        <f aca="false">$O$3+N124</f>
        <v>4.784</v>
      </c>
    </row>
    <row r="125" customFormat="false" ht="12.75" hidden="false" customHeight="false" outlineLevel="0" collapsed="false">
      <c r="A125" s="60" t="n">
        <v>40603</v>
      </c>
      <c r="B125" s="92" t="n">
        <v>42.9177419354839</v>
      </c>
      <c r="C125" s="93" t="n">
        <v>47.9177419354839</v>
      </c>
      <c r="D125" s="94"/>
      <c r="E125" s="60" t="n">
        <v>40603</v>
      </c>
      <c r="F125" s="92" t="n">
        <v>38.8923321447815</v>
      </c>
      <c r="G125" s="93" t="n">
        <v>43.8923321447815</v>
      </c>
      <c r="I125" s="60" t="n">
        <v>40603</v>
      </c>
      <c r="J125" s="97" t="n">
        <v>4.754</v>
      </c>
      <c r="K125" s="96" t="n">
        <f aca="false">$K$3+J125</f>
        <v>5.254</v>
      </c>
      <c r="M125" s="60" t="n">
        <v>40603</v>
      </c>
      <c r="N125" s="97" t="n">
        <v>4.334</v>
      </c>
      <c r="O125" s="96" t="n">
        <f aca="false">$O$3+N125</f>
        <v>4.634</v>
      </c>
    </row>
    <row r="126" customFormat="false" ht="12.75" hidden="false" customHeight="false" outlineLevel="0" collapsed="false">
      <c r="A126" s="60" t="n">
        <v>40634</v>
      </c>
      <c r="B126" s="92" t="n">
        <v>40.9977777777778</v>
      </c>
      <c r="C126" s="93" t="n">
        <v>45.9977777777778</v>
      </c>
      <c r="D126" s="94"/>
      <c r="E126" s="60" t="n">
        <v>40634</v>
      </c>
      <c r="F126" s="92" t="n">
        <v>37.7133333333333</v>
      </c>
      <c r="G126" s="93" t="n">
        <v>42.7133333333333</v>
      </c>
      <c r="I126" s="60" t="n">
        <v>40634</v>
      </c>
      <c r="J126" s="97" t="n">
        <v>4.691</v>
      </c>
      <c r="K126" s="96" t="n">
        <f aca="false">$K$3+J126</f>
        <v>5.191</v>
      </c>
      <c r="M126" s="60" t="n">
        <v>40634</v>
      </c>
      <c r="N126" s="97" t="n">
        <v>4.151</v>
      </c>
      <c r="O126" s="96" t="n">
        <f aca="false">$O$3+N126</f>
        <v>4.451</v>
      </c>
    </row>
    <row r="127" customFormat="false" ht="12.75" hidden="false" customHeight="false" outlineLevel="0" collapsed="false">
      <c r="A127" s="60" t="n">
        <v>40664</v>
      </c>
      <c r="B127" s="92" t="n">
        <v>40.4983870967742</v>
      </c>
      <c r="C127" s="93" t="n">
        <v>45.4983870967742</v>
      </c>
      <c r="D127" s="94"/>
      <c r="E127" s="60" t="n">
        <v>40664</v>
      </c>
      <c r="F127" s="92" t="n">
        <v>36.8672937177694</v>
      </c>
      <c r="G127" s="93" t="n">
        <v>41.8672937177694</v>
      </c>
      <c r="I127" s="60" t="n">
        <v>40664</v>
      </c>
      <c r="J127" s="97" t="n">
        <v>4.666</v>
      </c>
      <c r="K127" s="96" t="n">
        <f aca="false">$K$3+J127</f>
        <v>5.166</v>
      </c>
      <c r="M127" s="60" t="n">
        <v>40664</v>
      </c>
      <c r="N127" s="97" t="n">
        <v>4.126</v>
      </c>
      <c r="O127" s="96" t="n">
        <f aca="false">$O$3+N127</f>
        <v>4.426</v>
      </c>
    </row>
    <row r="128" customFormat="false" ht="12.75" hidden="false" customHeight="false" outlineLevel="0" collapsed="false">
      <c r="A128" s="60" t="n">
        <v>40695</v>
      </c>
      <c r="B128" s="92" t="n">
        <v>46.2088888888889</v>
      </c>
      <c r="C128" s="93" t="n">
        <v>51.2088888888889</v>
      </c>
      <c r="D128" s="94"/>
      <c r="E128" s="60" t="n">
        <v>40695</v>
      </c>
      <c r="F128" s="92" t="n">
        <v>48.335429426474</v>
      </c>
      <c r="G128" s="93" t="n">
        <v>53.335429426474</v>
      </c>
      <c r="I128" s="60" t="n">
        <v>40695</v>
      </c>
      <c r="J128" s="97" t="n">
        <v>4.695</v>
      </c>
      <c r="K128" s="96" t="n">
        <f aca="false">$K$3+J128</f>
        <v>5.195</v>
      </c>
      <c r="M128" s="60" t="n">
        <v>40695</v>
      </c>
      <c r="N128" s="97" t="n">
        <v>4.155</v>
      </c>
      <c r="O128" s="96" t="n">
        <f aca="false">$O$3+N128</f>
        <v>4.455</v>
      </c>
    </row>
    <row r="129" customFormat="false" ht="12.75" hidden="false" customHeight="false" outlineLevel="0" collapsed="false">
      <c r="A129" s="60" t="n">
        <v>40725</v>
      </c>
      <c r="B129" s="92" t="n">
        <v>57.4451612903226</v>
      </c>
      <c r="C129" s="93" t="n">
        <v>62.4451612903226</v>
      </c>
      <c r="D129" s="94"/>
      <c r="E129" s="60" t="n">
        <v>40725</v>
      </c>
      <c r="F129" s="92" t="n">
        <v>58.9989247311828</v>
      </c>
      <c r="G129" s="93" t="n">
        <v>63.9989247311828</v>
      </c>
      <c r="I129" s="60" t="n">
        <v>40725</v>
      </c>
      <c r="J129" s="97" t="n">
        <v>4.725</v>
      </c>
      <c r="K129" s="96" t="n">
        <f aca="false">$K$3+J129</f>
        <v>5.225</v>
      </c>
      <c r="M129" s="60" t="n">
        <v>40725</v>
      </c>
      <c r="N129" s="97" t="n">
        <v>4.185</v>
      </c>
      <c r="O129" s="96" t="n">
        <f aca="false">$O$3+N129</f>
        <v>4.485</v>
      </c>
    </row>
    <row r="130" customFormat="false" ht="12.75" hidden="false" customHeight="false" outlineLevel="0" collapsed="false">
      <c r="A130" s="60" t="n">
        <v>40756</v>
      </c>
      <c r="B130" s="92" t="n">
        <v>67.6790322580645</v>
      </c>
      <c r="C130" s="93" t="n">
        <v>72.6790322580645</v>
      </c>
      <c r="D130" s="94"/>
      <c r="E130" s="60" t="n">
        <v>40756</v>
      </c>
      <c r="F130" s="92" t="n">
        <v>63.5550160778672</v>
      </c>
      <c r="G130" s="93" t="n">
        <v>68.5550160778672</v>
      </c>
      <c r="I130" s="60" t="n">
        <v>40756</v>
      </c>
      <c r="J130" s="97" t="n">
        <v>4.745</v>
      </c>
      <c r="K130" s="96" t="n">
        <f aca="false">$K$3+J130</f>
        <v>5.245</v>
      </c>
      <c r="M130" s="60" t="n">
        <v>40756</v>
      </c>
      <c r="N130" s="97" t="n">
        <v>4.205</v>
      </c>
      <c r="O130" s="96" t="n">
        <f aca="false">$O$3+N130</f>
        <v>4.505</v>
      </c>
    </row>
    <row r="131" customFormat="false" ht="12.75" hidden="false" customHeight="false" outlineLevel="0" collapsed="false">
      <c r="A131" s="60" t="n">
        <v>40787</v>
      </c>
      <c r="B131" s="92" t="n">
        <v>58.8277777777778</v>
      </c>
      <c r="C131" s="93" t="n">
        <v>63.8277777777778</v>
      </c>
      <c r="D131" s="94"/>
      <c r="E131" s="60" t="n">
        <v>40787</v>
      </c>
      <c r="F131" s="92" t="n">
        <v>57.4760956300581</v>
      </c>
      <c r="G131" s="93" t="n">
        <v>62.4760956300581</v>
      </c>
      <c r="I131" s="60" t="n">
        <v>40787</v>
      </c>
      <c r="J131" s="97" t="n">
        <v>4.766</v>
      </c>
      <c r="K131" s="96" t="n">
        <f aca="false">$K$3+J131</f>
        <v>5.266</v>
      </c>
      <c r="M131" s="60" t="n">
        <v>40787</v>
      </c>
      <c r="N131" s="97" t="n">
        <v>4.226</v>
      </c>
      <c r="O131" s="96" t="n">
        <f aca="false">$O$3+N131</f>
        <v>4.526</v>
      </c>
    </row>
    <row r="132" customFormat="false" ht="12.75" hidden="false" customHeight="false" outlineLevel="0" collapsed="false">
      <c r="A132" s="60" t="n">
        <v>40817</v>
      </c>
      <c r="B132" s="92" t="n">
        <v>45.0870967741936</v>
      </c>
      <c r="C132" s="93" t="n">
        <v>50.0870967741936</v>
      </c>
      <c r="D132" s="94"/>
      <c r="E132" s="60" t="n">
        <v>40817</v>
      </c>
      <c r="F132" s="92" t="n">
        <v>45.8612903225806</v>
      </c>
      <c r="G132" s="93" t="n">
        <v>50.8612903225806</v>
      </c>
      <c r="I132" s="60" t="n">
        <v>40817</v>
      </c>
      <c r="J132" s="97" t="n">
        <v>4.796</v>
      </c>
      <c r="K132" s="96" t="n">
        <f aca="false">$K$3+J132</f>
        <v>5.296</v>
      </c>
      <c r="M132" s="60" t="n">
        <v>40817</v>
      </c>
      <c r="N132" s="97" t="n">
        <v>4.256</v>
      </c>
      <c r="O132" s="96" t="n">
        <f aca="false">$O$3+N132</f>
        <v>4.556</v>
      </c>
    </row>
    <row r="133" customFormat="false" ht="12.75" hidden="false" customHeight="false" outlineLevel="0" collapsed="false">
      <c r="A133" s="60" t="n">
        <v>40848</v>
      </c>
      <c r="B133" s="92" t="n">
        <v>43.5055555555556</v>
      </c>
      <c r="C133" s="93" t="n">
        <v>48.5055555555556</v>
      </c>
      <c r="D133" s="94"/>
      <c r="E133" s="60" t="n">
        <v>40848</v>
      </c>
      <c r="F133" s="92" t="n">
        <v>38.3107220471053</v>
      </c>
      <c r="G133" s="93" t="n">
        <v>43.3107220471053</v>
      </c>
      <c r="I133" s="60" t="n">
        <v>40848</v>
      </c>
      <c r="J133" s="97" t="n">
        <v>4.816</v>
      </c>
      <c r="K133" s="96" t="n">
        <f aca="false">$K$3+J133</f>
        <v>5.316</v>
      </c>
      <c r="M133" s="60" t="n">
        <v>40848</v>
      </c>
      <c r="N133" s="97" t="n">
        <v>4.396</v>
      </c>
      <c r="O133" s="96" t="n">
        <f aca="false">$O$3+N133</f>
        <v>4.696</v>
      </c>
    </row>
    <row r="134" customFormat="false" ht="12.75" hidden="false" customHeight="false" outlineLevel="0" collapsed="false">
      <c r="A134" s="60" t="n">
        <v>40878</v>
      </c>
      <c r="B134" s="92" t="n">
        <v>42.7268817204301</v>
      </c>
      <c r="C134" s="93" t="n">
        <v>47.7268817204301</v>
      </c>
      <c r="D134" s="94"/>
      <c r="E134" s="60" t="n">
        <v>40878</v>
      </c>
      <c r="F134" s="92" t="n">
        <v>38.0763826194522</v>
      </c>
      <c r="G134" s="93" t="n">
        <v>43.0763826194522</v>
      </c>
      <c r="I134" s="60" t="n">
        <v>40878</v>
      </c>
      <c r="J134" s="97" t="n">
        <v>4.941</v>
      </c>
      <c r="K134" s="96" t="n">
        <f aca="false">$K$3+J134</f>
        <v>5.441</v>
      </c>
      <c r="M134" s="60" t="n">
        <v>40878</v>
      </c>
      <c r="N134" s="97" t="n">
        <v>4.521</v>
      </c>
      <c r="O134" s="96" t="n">
        <f aca="false">$O$3+N134</f>
        <v>4.821</v>
      </c>
    </row>
    <row r="135" customFormat="false" ht="12.75" hidden="false" customHeight="false" outlineLevel="0" collapsed="false">
      <c r="A135" s="60" t="n">
        <v>40909</v>
      </c>
      <c r="B135" s="92" t="n">
        <v>46.5548387096774</v>
      </c>
      <c r="C135" s="93" t="n">
        <v>51.5548387096774</v>
      </c>
      <c r="D135" s="94"/>
      <c r="E135" s="60" t="n">
        <v>40909</v>
      </c>
      <c r="F135" s="92" t="n">
        <v>39.3679161271781</v>
      </c>
      <c r="G135" s="93" t="n">
        <v>44.3679161271781</v>
      </c>
      <c r="I135" s="60" t="n">
        <v>40909</v>
      </c>
      <c r="J135" s="97" t="n">
        <v>5.08</v>
      </c>
      <c r="K135" s="96" t="n">
        <f aca="false">$K$3+J135</f>
        <v>5.58</v>
      </c>
      <c r="M135" s="60" t="n">
        <v>40909</v>
      </c>
      <c r="N135" s="97" t="n">
        <v>4.66</v>
      </c>
      <c r="O135" s="96" t="n">
        <f aca="false">$O$3+N135</f>
        <v>4.96</v>
      </c>
    </row>
    <row r="136" customFormat="false" ht="12.75" hidden="false" customHeight="false" outlineLevel="0" collapsed="false">
      <c r="A136" s="60" t="n">
        <v>40940</v>
      </c>
      <c r="B136" s="92" t="n">
        <v>45.5591954022989</v>
      </c>
      <c r="C136" s="93" t="n">
        <v>50.5591954022989</v>
      </c>
      <c r="D136" s="94"/>
      <c r="E136" s="60" t="n">
        <v>40940</v>
      </c>
      <c r="F136" s="92" t="n">
        <v>39.7373968533734</v>
      </c>
      <c r="G136" s="93" t="n">
        <v>44.7373968533735</v>
      </c>
      <c r="I136" s="60" t="n">
        <v>40940</v>
      </c>
      <c r="J136" s="97" t="n">
        <v>4.984</v>
      </c>
      <c r="K136" s="96" t="n">
        <f aca="false">$K$3+J136</f>
        <v>5.484</v>
      </c>
      <c r="M136" s="60" t="n">
        <v>40940</v>
      </c>
      <c r="N136" s="97" t="n">
        <v>4.564</v>
      </c>
      <c r="O136" s="96" t="n">
        <f aca="false">$O$3+N136</f>
        <v>4.864</v>
      </c>
    </row>
    <row r="137" customFormat="false" ht="12.75" hidden="false" customHeight="false" outlineLevel="0" collapsed="false">
      <c r="A137" s="60" t="n">
        <v>40969</v>
      </c>
      <c r="B137" s="92" t="n">
        <v>43.5629032258065</v>
      </c>
      <c r="C137" s="93" t="n">
        <v>48.5629032258065</v>
      </c>
      <c r="D137" s="94"/>
      <c r="E137" s="60" t="n">
        <v>40969</v>
      </c>
      <c r="F137" s="92" t="n">
        <v>39.3919425373626</v>
      </c>
      <c r="G137" s="93" t="n">
        <v>44.3919425373626</v>
      </c>
      <c r="I137" s="60" t="n">
        <v>40969</v>
      </c>
      <c r="J137" s="97" t="n">
        <v>4.834</v>
      </c>
      <c r="K137" s="96" t="n">
        <f aca="false">$K$3+J137</f>
        <v>5.334</v>
      </c>
      <c r="M137" s="60" t="n">
        <v>40969</v>
      </c>
      <c r="N137" s="97" t="n">
        <v>4.414</v>
      </c>
      <c r="O137" s="96" t="n">
        <f aca="false">$O$3+N137</f>
        <v>4.714</v>
      </c>
    </row>
    <row r="138" customFormat="false" ht="12.75" hidden="false" customHeight="false" outlineLevel="0" collapsed="false">
      <c r="A138" s="60" t="n">
        <v>41000</v>
      </c>
      <c r="B138" s="92" t="n">
        <v>41.3944444444444</v>
      </c>
      <c r="C138" s="93" t="n">
        <v>46.3944444444444</v>
      </c>
      <c r="D138" s="94"/>
      <c r="E138" s="60" t="n">
        <v>41000</v>
      </c>
      <c r="F138" s="92" t="n">
        <v>37.8153373363412</v>
      </c>
      <c r="G138" s="93" t="n">
        <v>42.8153373363412</v>
      </c>
      <c r="I138" s="60" t="n">
        <v>41000</v>
      </c>
      <c r="J138" s="97" t="n">
        <v>4.771</v>
      </c>
      <c r="K138" s="96" t="n">
        <f aca="false">$K$3+J138</f>
        <v>5.271</v>
      </c>
      <c r="M138" s="60" t="n">
        <v>41000</v>
      </c>
      <c r="N138" s="97" t="n">
        <v>4.231</v>
      </c>
      <c r="O138" s="96" t="n">
        <f aca="false">$O$3+N138</f>
        <v>4.531</v>
      </c>
    </row>
    <row r="139" customFormat="false" ht="12.75" hidden="false" customHeight="false" outlineLevel="0" collapsed="false">
      <c r="A139" s="60" t="n">
        <v>41030</v>
      </c>
      <c r="B139" s="92" t="n">
        <v>41.4801075268817</v>
      </c>
      <c r="C139" s="93" t="n">
        <v>46.4801075268817</v>
      </c>
      <c r="D139" s="94"/>
      <c r="E139" s="60" t="n">
        <v>41030</v>
      </c>
      <c r="F139" s="92" t="n">
        <v>37.6703698553949</v>
      </c>
      <c r="G139" s="93" t="n">
        <v>42.6703698553949</v>
      </c>
      <c r="I139" s="60" t="n">
        <v>41030</v>
      </c>
      <c r="J139" s="97" t="n">
        <v>4.746</v>
      </c>
      <c r="K139" s="96" t="n">
        <f aca="false">$K$3+J139</f>
        <v>5.246</v>
      </c>
      <c r="M139" s="60" t="n">
        <v>41030</v>
      </c>
      <c r="N139" s="97" t="n">
        <v>4.206</v>
      </c>
      <c r="O139" s="96" t="n">
        <f aca="false">$O$3+N139</f>
        <v>4.506</v>
      </c>
    </row>
    <row r="140" customFormat="false" ht="12.75" hidden="false" customHeight="false" outlineLevel="0" collapsed="false">
      <c r="A140" s="60" t="n">
        <v>41061</v>
      </c>
      <c r="B140" s="92" t="n">
        <v>46.8533333333333</v>
      </c>
      <c r="C140" s="93" t="n">
        <v>51.8533333333333</v>
      </c>
      <c r="D140" s="94"/>
      <c r="E140" s="60" t="n">
        <v>41061</v>
      </c>
      <c r="F140" s="92" t="n">
        <v>48.8780929947936</v>
      </c>
      <c r="G140" s="93" t="n">
        <v>53.8780929947936</v>
      </c>
      <c r="I140" s="60" t="n">
        <v>41061</v>
      </c>
      <c r="J140" s="97" t="n">
        <v>4.775</v>
      </c>
      <c r="K140" s="96" t="n">
        <f aca="false">$K$3+J140</f>
        <v>5.275</v>
      </c>
      <c r="M140" s="60" t="n">
        <v>41061</v>
      </c>
      <c r="N140" s="97" t="n">
        <v>4.235</v>
      </c>
      <c r="O140" s="96" t="n">
        <f aca="false">$O$3+N140</f>
        <v>4.535</v>
      </c>
    </row>
    <row r="141" customFormat="false" ht="12.75" hidden="false" customHeight="false" outlineLevel="0" collapsed="false">
      <c r="A141" s="60" t="n">
        <v>41091</v>
      </c>
      <c r="B141" s="92" t="n">
        <v>58.0795698924731</v>
      </c>
      <c r="C141" s="93" t="n">
        <v>63.0795698924731</v>
      </c>
      <c r="D141" s="94"/>
      <c r="E141" s="60" t="n">
        <v>41091</v>
      </c>
      <c r="F141" s="92" t="n">
        <v>59.108740733571</v>
      </c>
      <c r="G141" s="93" t="n">
        <v>64.108740733571</v>
      </c>
      <c r="I141" s="60" t="n">
        <v>41091</v>
      </c>
      <c r="J141" s="97" t="n">
        <v>4.805</v>
      </c>
      <c r="K141" s="96" t="n">
        <f aca="false">$K$3+J141</f>
        <v>5.305</v>
      </c>
      <c r="M141" s="60" t="n">
        <v>41091</v>
      </c>
      <c r="N141" s="97" t="n">
        <v>4.265</v>
      </c>
      <c r="O141" s="96" t="n">
        <f aca="false">$O$3+N141</f>
        <v>4.565</v>
      </c>
    </row>
    <row r="142" customFormat="false" ht="12.75" hidden="false" customHeight="false" outlineLevel="0" collapsed="false">
      <c r="A142" s="60" t="n">
        <v>41122</v>
      </c>
      <c r="B142" s="92" t="n">
        <v>68.3241935483871</v>
      </c>
      <c r="C142" s="93" t="n">
        <v>73.3241935483871</v>
      </c>
      <c r="D142" s="94"/>
      <c r="E142" s="60" t="n">
        <v>41122</v>
      </c>
      <c r="F142" s="92" t="n">
        <v>63.1224007318165</v>
      </c>
      <c r="G142" s="93" t="n">
        <v>68.1224007318165</v>
      </c>
      <c r="I142" s="60" t="n">
        <v>41122</v>
      </c>
      <c r="J142" s="97" t="n">
        <v>4.825</v>
      </c>
      <c r="K142" s="96" t="n">
        <f aca="false">$K$3+J142</f>
        <v>5.325</v>
      </c>
      <c r="M142" s="60" t="n">
        <v>41122</v>
      </c>
      <c r="N142" s="97" t="n">
        <v>4.285</v>
      </c>
      <c r="O142" s="96" t="n">
        <f aca="false">$O$3+N142</f>
        <v>4.585</v>
      </c>
    </row>
    <row r="143" customFormat="false" ht="12.75" hidden="false" customHeight="false" outlineLevel="0" collapsed="false">
      <c r="A143" s="60" t="n">
        <v>41153</v>
      </c>
      <c r="B143" s="92" t="n">
        <v>58.7</v>
      </c>
      <c r="C143" s="93" t="n">
        <v>63.7</v>
      </c>
      <c r="D143" s="94"/>
      <c r="E143" s="60" t="n">
        <v>41153</v>
      </c>
      <c r="F143" s="92" t="n">
        <v>56.547352708439</v>
      </c>
      <c r="G143" s="93" t="n">
        <v>61.547352708439</v>
      </c>
      <c r="I143" s="60" t="n">
        <v>41153</v>
      </c>
      <c r="J143" s="97" t="n">
        <v>4.846</v>
      </c>
      <c r="K143" s="96" t="n">
        <f aca="false">$K$3+J143</f>
        <v>5.346</v>
      </c>
      <c r="M143" s="60" t="n">
        <v>41153</v>
      </c>
      <c r="N143" s="97" t="n">
        <v>4.306</v>
      </c>
      <c r="O143" s="96" t="n">
        <f aca="false">$O$3+N143</f>
        <v>4.606</v>
      </c>
    </row>
    <row r="144" customFormat="false" ht="12.75" hidden="false" customHeight="false" outlineLevel="0" collapsed="false">
      <c r="A144" s="60" t="n">
        <v>41183</v>
      </c>
      <c r="B144" s="92" t="n">
        <v>46.0548387096774</v>
      </c>
      <c r="C144" s="93" t="n">
        <v>51.0548387096774</v>
      </c>
      <c r="D144" s="94"/>
      <c r="E144" s="60" t="n">
        <v>41183</v>
      </c>
      <c r="F144" s="92" t="n">
        <v>46.4945613812675</v>
      </c>
      <c r="G144" s="93" t="n">
        <v>51.4945613812675</v>
      </c>
      <c r="I144" s="60" t="n">
        <v>41183</v>
      </c>
      <c r="J144" s="97" t="n">
        <v>4.876</v>
      </c>
      <c r="K144" s="96" t="n">
        <f aca="false">$K$3+J144</f>
        <v>5.376</v>
      </c>
      <c r="M144" s="60" t="n">
        <v>41183</v>
      </c>
      <c r="N144" s="97" t="n">
        <v>4.336</v>
      </c>
      <c r="O144" s="96" t="n">
        <f aca="false">$O$3+N144</f>
        <v>4.636</v>
      </c>
    </row>
    <row r="145" customFormat="false" ht="12.75" hidden="false" customHeight="false" outlineLevel="0" collapsed="false">
      <c r="A145" s="60" t="n">
        <v>41214</v>
      </c>
      <c r="B145" s="92" t="n">
        <v>44.1444444444444</v>
      </c>
      <c r="C145" s="93" t="n">
        <v>49.1444444444444</v>
      </c>
      <c r="D145" s="94"/>
      <c r="E145" s="60" t="n">
        <v>41214</v>
      </c>
      <c r="F145" s="92" t="n">
        <v>38.7534286042227</v>
      </c>
      <c r="G145" s="93" t="n">
        <v>43.7534286042227</v>
      </c>
      <c r="I145" s="60" t="n">
        <v>41214</v>
      </c>
      <c r="J145" s="97" t="n">
        <v>4.896</v>
      </c>
      <c r="K145" s="96" t="n">
        <f aca="false">$K$3+J145</f>
        <v>5.396</v>
      </c>
      <c r="M145" s="60" t="n">
        <v>41214</v>
      </c>
      <c r="N145" s="97" t="n">
        <v>4.476</v>
      </c>
      <c r="O145" s="96" t="n">
        <f aca="false">$O$3+N145</f>
        <v>4.776</v>
      </c>
    </row>
    <row r="146" customFormat="false" ht="12.75" hidden="false" customHeight="false" outlineLevel="0" collapsed="false">
      <c r="A146" s="60" t="n">
        <v>41244</v>
      </c>
      <c r="B146" s="92" t="n">
        <v>43.0333333333333</v>
      </c>
      <c r="C146" s="93" t="n">
        <v>48.0333333333333</v>
      </c>
      <c r="D146" s="94"/>
      <c r="E146" s="60" t="n">
        <v>41244</v>
      </c>
      <c r="F146" s="92" t="n">
        <v>38.253437283208</v>
      </c>
      <c r="G146" s="93" t="n">
        <v>43.2534372832079</v>
      </c>
      <c r="I146" s="60" t="n">
        <v>41244</v>
      </c>
      <c r="J146" s="97" t="n">
        <v>5.021</v>
      </c>
      <c r="K146" s="96" t="n">
        <f aca="false">$K$3+J146</f>
        <v>5.521</v>
      </c>
      <c r="M146" s="60" t="n">
        <v>41244</v>
      </c>
      <c r="N146" s="97" t="n">
        <v>4.601</v>
      </c>
      <c r="O146" s="96" t="n">
        <f aca="false">$O$3+N146</f>
        <v>4.901</v>
      </c>
    </row>
    <row r="147" customFormat="false" ht="12.75" hidden="false" customHeight="false" outlineLevel="0" collapsed="false">
      <c r="A147" s="60" t="n">
        <v>41275</v>
      </c>
      <c r="B147" s="92" t="n">
        <v>47.4688172043011</v>
      </c>
      <c r="C147" s="93" t="n">
        <v>52.4688172043011</v>
      </c>
      <c r="D147" s="94"/>
      <c r="E147" s="60" t="n">
        <v>41275</v>
      </c>
      <c r="F147" s="92" t="n">
        <v>39.9033140163165</v>
      </c>
      <c r="G147" s="93" t="n">
        <v>44.9033140163165</v>
      </c>
      <c r="I147" s="60" t="n">
        <v>41275</v>
      </c>
      <c r="J147" s="97" t="n">
        <v>5.165</v>
      </c>
      <c r="K147" s="96" t="n">
        <f aca="false">$K$3+J147</f>
        <v>5.665</v>
      </c>
      <c r="M147" s="60" t="n">
        <v>41275</v>
      </c>
      <c r="N147" s="97" t="n">
        <v>4.745</v>
      </c>
      <c r="O147" s="96" t="n">
        <f aca="false">$O$3+N147</f>
        <v>5.045</v>
      </c>
    </row>
    <row r="148" customFormat="false" ht="12.75" hidden="false" customHeight="false" outlineLevel="0" collapsed="false">
      <c r="A148" s="60" t="n">
        <v>41306</v>
      </c>
      <c r="B148" s="92" t="n">
        <v>46.1642857142857</v>
      </c>
      <c r="C148" s="93" t="n">
        <v>51.1642857142857</v>
      </c>
      <c r="D148" s="94"/>
      <c r="E148" s="60" t="n">
        <v>41306</v>
      </c>
      <c r="F148" s="92" t="n">
        <v>39.9448831801326</v>
      </c>
      <c r="G148" s="93" t="n">
        <v>44.9448831801326</v>
      </c>
      <c r="I148" s="60" t="n">
        <v>41306</v>
      </c>
      <c r="J148" s="97" t="n">
        <v>5.069</v>
      </c>
      <c r="K148" s="96" t="n">
        <f aca="false">$K$3+J148</f>
        <v>5.569</v>
      </c>
      <c r="M148" s="60" t="n">
        <v>41306</v>
      </c>
      <c r="N148" s="97" t="n">
        <v>4.649</v>
      </c>
      <c r="O148" s="96" t="n">
        <f aca="false">$O$3+N148</f>
        <v>4.949</v>
      </c>
    </row>
    <row r="149" customFormat="false" ht="12.75" hidden="false" customHeight="false" outlineLevel="0" collapsed="false">
      <c r="A149" s="60" t="n">
        <v>41334</v>
      </c>
      <c r="B149" s="92" t="n">
        <v>43.939247311828</v>
      </c>
      <c r="C149" s="93" t="n">
        <v>48.939247311828</v>
      </c>
      <c r="D149" s="94"/>
      <c r="E149" s="60" t="n">
        <v>41334</v>
      </c>
      <c r="F149" s="92" t="n">
        <v>39.3515540393679</v>
      </c>
      <c r="G149" s="93" t="n">
        <v>44.3515540393679</v>
      </c>
      <c r="I149" s="60" t="n">
        <v>41334</v>
      </c>
      <c r="J149" s="97" t="n">
        <v>4.919</v>
      </c>
      <c r="K149" s="96" t="n">
        <f aca="false">$K$3+J149</f>
        <v>5.419</v>
      </c>
      <c r="M149" s="60" t="n">
        <v>41334</v>
      </c>
      <c r="N149" s="97" t="n">
        <v>4.499</v>
      </c>
      <c r="O149" s="96" t="n">
        <f aca="false">$O$3+N149</f>
        <v>4.799</v>
      </c>
    </row>
    <row r="150" customFormat="false" ht="12.75" hidden="false" customHeight="false" outlineLevel="0" collapsed="false">
      <c r="A150" s="60" t="n">
        <v>41365</v>
      </c>
      <c r="B150" s="92" t="n">
        <v>42.2866666666667</v>
      </c>
      <c r="C150" s="93" t="n">
        <v>47.2866666666667</v>
      </c>
      <c r="D150" s="94"/>
      <c r="E150" s="60" t="n">
        <v>41365</v>
      </c>
      <c r="F150" s="92" t="n">
        <v>38.3958704225663</v>
      </c>
      <c r="G150" s="93" t="n">
        <v>43.3958704225663</v>
      </c>
      <c r="I150" s="60" t="n">
        <v>41365</v>
      </c>
      <c r="J150" s="97" t="n">
        <v>4.856</v>
      </c>
      <c r="K150" s="96" t="n">
        <f aca="false">$K$3+J150</f>
        <v>5.356</v>
      </c>
      <c r="M150" s="60" t="n">
        <v>41365</v>
      </c>
      <c r="N150" s="97" t="n">
        <v>4.316</v>
      </c>
      <c r="O150" s="96" t="n">
        <f aca="false">$O$3+N150</f>
        <v>4.616</v>
      </c>
    </row>
    <row r="151" customFormat="false" ht="12.75" hidden="false" customHeight="false" outlineLevel="0" collapsed="false">
      <c r="A151" s="60" t="n">
        <v>41395</v>
      </c>
      <c r="B151" s="92" t="n">
        <v>42.1198924731183</v>
      </c>
      <c r="C151" s="93" t="n">
        <v>47.1198924731183</v>
      </c>
      <c r="D151" s="94"/>
      <c r="E151" s="60" t="n">
        <v>41395</v>
      </c>
      <c r="F151" s="92" t="n">
        <v>37.9988902283257</v>
      </c>
      <c r="G151" s="93" t="n">
        <v>42.9988902283257</v>
      </c>
      <c r="I151" s="60" t="n">
        <v>41395</v>
      </c>
      <c r="J151" s="97" t="n">
        <v>4.831</v>
      </c>
      <c r="K151" s="96" t="n">
        <f aca="false">$K$3+J151</f>
        <v>5.331</v>
      </c>
      <c r="M151" s="60" t="n">
        <v>41395</v>
      </c>
      <c r="N151" s="97" t="n">
        <v>4.291</v>
      </c>
      <c r="O151" s="96" t="n">
        <f aca="false">$O$3+N151</f>
        <v>4.591</v>
      </c>
    </row>
    <row r="152" customFormat="false" ht="12.75" hidden="false" customHeight="false" outlineLevel="0" collapsed="false">
      <c r="A152" s="60" t="n">
        <v>41426</v>
      </c>
      <c r="B152" s="92" t="n">
        <v>47.0055555555556</v>
      </c>
      <c r="C152" s="93" t="n">
        <v>52.0055555555556</v>
      </c>
      <c r="D152" s="94"/>
      <c r="E152" s="60" t="n">
        <v>41426</v>
      </c>
      <c r="F152" s="92" t="n">
        <v>48.5110703637319</v>
      </c>
      <c r="G152" s="93" t="n">
        <v>53.5110703637319</v>
      </c>
      <c r="I152" s="60" t="n">
        <v>41426</v>
      </c>
      <c r="J152" s="97" t="n">
        <v>4.86</v>
      </c>
      <c r="K152" s="96" t="n">
        <f aca="false">$K$3+J152</f>
        <v>5.36</v>
      </c>
      <c r="M152" s="60" t="n">
        <v>41426</v>
      </c>
      <c r="N152" s="97" t="n">
        <v>4.32</v>
      </c>
      <c r="O152" s="96" t="n">
        <f aca="false">$O$3+N152</f>
        <v>4.62</v>
      </c>
    </row>
    <row r="153" customFormat="false" ht="12.75" hidden="false" customHeight="false" outlineLevel="0" collapsed="false">
      <c r="A153" s="60" t="n">
        <v>41456</v>
      </c>
      <c r="B153" s="92" t="n">
        <v>59.4505376344086</v>
      </c>
      <c r="C153" s="93" t="n">
        <v>64.4505376344086</v>
      </c>
      <c r="D153" s="94"/>
      <c r="E153" s="60" t="n">
        <v>41456</v>
      </c>
      <c r="F153" s="92" t="n">
        <v>59.8665961616808</v>
      </c>
      <c r="G153" s="93" t="n">
        <v>64.8665961616809</v>
      </c>
      <c r="I153" s="60" t="n">
        <v>41456</v>
      </c>
      <c r="J153" s="97" t="n">
        <v>4.89</v>
      </c>
      <c r="K153" s="96" t="n">
        <f aca="false">$K$3+J153</f>
        <v>5.39</v>
      </c>
      <c r="M153" s="60" t="n">
        <v>41456</v>
      </c>
      <c r="N153" s="97" t="n">
        <v>4.35</v>
      </c>
      <c r="O153" s="96" t="n">
        <f aca="false">$O$3+N153</f>
        <v>4.65</v>
      </c>
    </row>
    <row r="154" customFormat="false" ht="12.75" hidden="false" customHeight="false" outlineLevel="0" collapsed="false">
      <c r="A154" s="60" t="n">
        <v>41487</v>
      </c>
      <c r="B154" s="92" t="n">
        <v>68.9693548387097</v>
      </c>
      <c r="C154" s="93" t="n">
        <v>73.9693548387097</v>
      </c>
      <c r="D154" s="94"/>
      <c r="E154" s="60" t="n">
        <v>41487</v>
      </c>
      <c r="F154" s="92" t="n">
        <v>63.2983532676169</v>
      </c>
      <c r="G154" s="93" t="n">
        <v>68.2983532676169</v>
      </c>
      <c r="I154" s="60" t="n">
        <v>41487</v>
      </c>
      <c r="J154" s="97" t="n">
        <v>4.91</v>
      </c>
      <c r="K154" s="96" t="n">
        <f aca="false">$K$3+J154</f>
        <v>5.41</v>
      </c>
      <c r="M154" s="60" t="n">
        <v>41487</v>
      </c>
      <c r="N154" s="97" t="n">
        <v>4.37</v>
      </c>
      <c r="O154" s="96" t="n">
        <f aca="false">$O$3+N154</f>
        <v>4.67</v>
      </c>
    </row>
    <row r="155" customFormat="false" ht="12.75" hidden="false" customHeight="false" outlineLevel="0" collapsed="false">
      <c r="A155" s="60" t="n">
        <v>41518</v>
      </c>
      <c r="B155" s="92" t="n">
        <v>59.3333333333333</v>
      </c>
      <c r="C155" s="93" t="n">
        <v>64.3333333333333</v>
      </c>
      <c r="D155" s="94"/>
      <c r="E155" s="60" t="n">
        <v>41518</v>
      </c>
      <c r="F155" s="92" t="n">
        <v>56.7059360227577</v>
      </c>
      <c r="G155" s="93" t="n">
        <v>61.7059360227577</v>
      </c>
      <c r="I155" s="60" t="n">
        <v>41518</v>
      </c>
      <c r="J155" s="97" t="n">
        <v>4.931</v>
      </c>
      <c r="K155" s="96" t="n">
        <f aca="false">$K$3+J155</f>
        <v>5.431</v>
      </c>
      <c r="M155" s="60" t="n">
        <v>41518</v>
      </c>
      <c r="N155" s="97" t="n">
        <v>4.391</v>
      </c>
      <c r="O155" s="96" t="n">
        <f aca="false">$O$3+N155</f>
        <v>4.691</v>
      </c>
    </row>
    <row r="156" customFormat="false" ht="12.75" hidden="false" customHeight="false" outlineLevel="0" collapsed="false">
      <c r="A156" s="60" t="n">
        <v>41548</v>
      </c>
      <c r="B156" s="92" t="n">
        <v>46.7</v>
      </c>
      <c r="C156" s="93" t="n">
        <v>51.7</v>
      </c>
      <c r="D156" s="94"/>
      <c r="E156" s="60" t="n">
        <v>41548</v>
      </c>
      <c r="F156" s="92" t="n">
        <v>46.7592721414089</v>
      </c>
      <c r="G156" s="93" t="n">
        <v>51.7592721414089</v>
      </c>
      <c r="I156" s="60" t="n">
        <v>41548</v>
      </c>
      <c r="J156" s="97" t="n">
        <v>4.961</v>
      </c>
      <c r="K156" s="96" t="n">
        <f aca="false">$K$3+J156</f>
        <v>5.461</v>
      </c>
      <c r="M156" s="60" t="n">
        <v>41548</v>
      </c>
      <c r="N156" s="97" t="n">
        <v>4.421</v>
      </c>
      <c r="O156" s="96" t="n">
        <f aca="false">$O$3+N156</f>
        <v>4.721</v>
      </c>
    </row>
    <row r="157" customFormat="false" ht="12.75" hidden="false" customHeight="false" outlineLevel="0" collapsed="false">
      <c r="A157" s="60" t="n">
        <v>41579</v>
      </c>
      <c r="B157" s="92" t="n">
        <v>44.7833333333333</v>
      </c>
      <c r="C157" s="93" t="n">
        <v>49.7833333333333</v>
      </c>
      <c r="D157" s="94"/>
      <c r="E157" s="60" t="n">
        <v>41579</v>
      </c>
      <c r="F157" s="92" t="n">
        <v>39.0061872416944</v>
      </c>
      <c r="G157" s="93" t="n">
        <v>44.0061872416944</v>
      </c>
      <c r="I157" s="60" t="n">
        <v>41579</v>
      </c>
      <c r="J157" s="97" t="n">
        <v>4.681</v>
      </c>
      <c r="K157" s="96" t="n">
        <f aca="false">$K$3+J157</f>
        <v>5.181</v>
      </c>
      <c r="M157" s="60" t="n">
        <v>41579</v>
      </c>
      <c r="N157" s="97" t="n">
        <v>4.561</v>
      </c>
      <c r="O157" s="96" t="n">
        <f aca="false">$O$3+N157</f>
        <v>4.861</v>
      </c>
    </row>
    <row r="158" customFormat="false" ht="12.75" hidden="false" customHeight="false" outlineLevel="0" collapsed="false">
      <c r="A158" s="60" t="n">
        <v>41609</v>
      </c>
      <c r="B158" s="92" t="n">
        <v>43.6677419354839</v>
      </c>
      <c r="C158" s="93" t="n">
        <v>48.6677419354839</v>
      </c>
      <c r="D158" s="94"/>
      <c r="E158" s="60" t="n">
        <v>41609</v>
      </c>
      <c r="F158" s="92" t="n">
        <v>38.5072385293081</v>
      </c>
      <c r="G158" s="93" t="n">
        <v>43.507238529308</v>
      </c>
      <c r="I158" s="60" t="n">
        <v>41609</v>
      </c>
      <c r="J158" s="97" t="n">
        <v>4.806</v>
      </c>
      <c r="K158" s="96" t="n">
        <f aca="false">$K$3+J158</f>
        <v>5.306</v>
      </c>
      <c r="M158" s="60" t="n">
        <v>41609</v>
      </c>
      <c r="N158" s="97" t="n">
        <v>4.686</v>
      </c>
      <c r="O158" s="96" t="n">
        <f aca="false">$O$3+N158</f>
        <v>4.986</v>
      </c>
    </row>
    <row r="159" customFormat="false" ht="12.75" hidden="false" customHeight="false" outlineLevel="0" collapsed="false">
      <c r="A159" s="60" t="n">
        <v>41640</v>
      </c>
      <c r="B159" s="92" t="n">
        <v>48.1086021505376</v>
      </c>
      <c r="C159" s="93" t="n">
        <v>53.1086021505376</v>
      </c>
      <c r="D159" s="94"/>
      <c r="E159" s="60" t="n">
        <v>41640</v>
      </c>
      <c r="F159" s="92" t="n">
        <v>40.1533140163165</v>
      </c>
      <c r="G159" s="93" t="n">
        <v>45.1533140163165</v>
      </c>
      <c r="I159" s="60" t="n">
        <v>41640</v>
      </c>
      <c r="J159" s="97" t="n">
        <v>4.955</v>
      </c>
      <c r="K159" s="96" t="n">
        <f aca="false">$K$3+J159</f>
        <v>5.455</v>
      </c>
      <c r="M159" s="60" t="n">
        <v>41640</v>
      </c>
      <c r="N159" s="97" t="n">
        <v>4.835</v>
      </c>
      <c r="O159" s="96" t="n">
        <f aca="false">$O$3+N159</f>
        <v>5.135</v>
      </c>
    </row>
    <row r="160" customFormat="false" ht="12.75" hidden="false" customHeight="false" outlineLevel="0" collapsed="false">
      <c r="A160" s="60" t="n">
        <v>41671</v>
      </c>
      <c r="B160" s="92" t="n">
        <v>46.8071428571429</v>
      </c>
      <c r="C160" s="93" t="n">
        <v>51.8071428571429</v>
      </c>
      <c r="D160" s="94"/>
      <c r="E160" s="60" t="n">
        <v>41671</v>
      </c>
      <c r="F160" s="92" t="n">
        <v>40.1815599735859</v>
      </c>
      <c r="G160" s="93" t="n">
        <v>45.1815599735859</v>
      </c>
      <c r="I160" s="60" t="n">
        <v>41671</v>
      </c>
      <c r="J160" s="97" t="n">
        <v>4.859</v>
      </c>
      <c r="K160" s="96" t="n">
        <f aca="false">$K$3+J160</f>
        <v>5.359</v>
      </c>
      <c r="M160" s="60" t="n">
        <v>41671</v>
      </c>
      <c r="N160" s="97" t="n">
        <v>4.739</v>
      </c>
      <c r="O160" s="96" t="n">
        <f aca="false">$O$3+N160</f>
        <v>5.039</v>
      </c>
    </row>
    <row r="161" customFormat="false" ht="12.75" hidden="false" customHeight="false" outlineLevel="0" collapsed="false">
      <c r="A161" s="60" t="n">
        <v>41699</v>
      </c>
      <c r="B161" s="92" t="n">
        <v>44.5790322580645</v>
      </c>
      <c r="C161" s="93" t="n">
        <v>49.5790322580645</v>
      </c>
      <c r="D161" s="94"/>
      <c r="E161" s="60" t="n">
        <v>41699</v>
      </c>
      <c r="F161" s="92" t="n">
        <v>39.5885173533921</v>
      </c>
      <c r="G161" s="93" t="n">
        <v>44.5885173533921</v>
      </c>
      <c r="I161" s="60" t="n">
        <v>41699</v>
      </c>
      <c r="J161" s="97" t="n">
        <v>4.709</v>
      </c>
      <c r="K161" s="96" t="n">
        <f aca="false">$K$3+J161</f>
        <v>5.209</v>
      </c>
      <c r="M161" s="60" t="n">
        <v>41699</v>
      </c>
      <c r="N161" s="97" t="n">
        <v>4.589</v>
      </c>
      <c r="O161" s="96" t="n">
        <f aca="false">$O$3+N161</f>
        <v>4.889</v>
      </c>
    </row>
    <row r="162" customFormat="false" ht="12.75" hidden="false" customHeight="false" outlineLevel="0" collapsed="false">
      <c r="A162" s="60" t="n">
        <v>41730</v>
      </c>
      <c r="B162" s="92" t="n">
        <v>42.9311111111111</v>
      </c>
      <c r="C162" s="93" t="n">
        <v>47.9311111111111</v>
      </c>
      <c r="D162" s="94"/>
      <c r="E162" s="60" t="n">
        <v>41730</v>
      </c>
      <c r="F162" s="92" t="n">
        <v>38.6458704225663</v>
      </c>
      <c r="G162" s="93" t="n">
        <v>43.6458704225663</v>
      </c>
      <c r="I162" s="60" t="n">
        <v>41730</v>
      </c>
      <c r="J162" s="97" t="n">
        <v>4.701</v>
      </c>
      <c r="K162" s="96" t="n">
        <f aca="false">$K$3+J162</f>
        <v>5.201</v>
      </c>
      <c r="M162" s="60" t="n">
        <v>41730</v>
      </c>
      <c r="N162" s="97" t="n">
        <v>4.406</v>
      </c>
      <c r="O162" s="96" t="n">
        <f aca="false">$O$3+N162</f>
        <v>4.706</v>
      </c>
    </row>
    <row r="163" customFormat="false" ht="12.75" hidden="false" customHeight="false" outlineLevel="0" collapsed="false">
      <c r="A163" s="60" t="n">
        <v>41760</v>
      </c>
      <c r="B163" s="92" t="n">
        <v>42.7596774193548</v>
      </c>
      <c r="C163" s="93" t="n">
        <v>47.7596774193548</v>
      </c>
      <c r="D163" s="94"/>
      <c r="E163" s="60" t="n">
        <v>41760</v>
      </c>
      <c r="F163" s="92" t="n">
        <v>38.2359388983887</v>
      </c>
      <c r="G163" s="93" t="n">
        <v>43.2359388983887</v>
      </c>
      <c r="I163" s="60" t="n">
        <v>41760</v>
      </c>
      <c r="J163" s="97" t="n">
        <v>4.676</v>
      </c>
      <c r="K163" s="96" t="n">
        <f aca="false">$K$3+J163</f>
        <v>5.176</v>
      </c>
      <c r="M163" s="60" t="n">
        <v>41760</v>
      </c>
      <c r="N163" s="97" t="n">
        <v>4.381</v>
      </c>
      <c r="O163" s="96" t="n">
        <f aca="false">$O$3+N163</f>
        <v>4.681</v>
      </c>
    </row>
    <row r="164" customFormat="false" ht="12.75" hidden="false" customHeight="false" outlineLevel="0" collapsed="false">
      <c r="A164" s="60" t="n">
        <v>41791</v>
      </c>
      <c r="B164" s="92" t="n">
        <v>47.6444444444444</v>
      </c>
      <c r="C164" s="93" t="n">
        <v>52.6444444444444</v>
      </c>
      <c r="D164" s="94"/>
      <c r="E164" s="60" t="n">
        <v>41791</v>
      </c>
      <c r="F164" s="92" t="n">
        <v>48.7482020551406</v>
      </c>
      <c r="G164" s="93" t="n">
        <v>53.7482020551406</v>
      </c>
      <c r="I164" s="60" t="n">
        <v>41791</v>
      </c>
      <c r="J164" s="97" t="n">
        <v>4.705</v>
      </c>
      <c r="K164" s="96" t="n">
        <f aca="false">$K$3+J164</f>
        <v>5.205</v>
      </c>
      <c r="M164" s="60" t="n">
        <v>41791</v>
      </c>
      <c r="N164" s="97" t="n">
        <v>4.41</v>
      </c>
      <c r="O164" s="96" t="n">
        <f aca="false">$O$3+N164</f>
        <v>4.71</v>
      </c>
    </row>
    <row r="165" customFormat="false" ht="12.75" hidden="false" customHeight="false" outlineLevel="0" collapsed="false">
      <c r="A165" s="60" t="n">
        <v>41821</v>
      </c>
      <c r="B165" s="92" t="n">
        <v>60.0903225806452</v>
      </c>
      <c r="C165" s="93" t="n">
        <v>65.0903225806452</v>
      </c>
      <c r="D165" s="94"/>
      <c r="E165" s="60" t="n">
        <v>41821</v>
      </c>
      <c r="F165" s="92" t="n">
        <v>60.1165961616808</v>
      </c>
      <c r="G165" s="93" t="n">
        <v>65.1165961616809</v>
      </c>
      <c r="I165" s="60" t="n">
        <v>41821</v>
      </c>
      <c r="J165" s="97" t="n">
        <v>4.735</v>
      </c>
      <c r="K165" s="96" t="n">
        <f aca="false">$K$3+J165</f>
        <v>5.235</v>
      </c>
      <c r="M165" s="60" t="n">
        <v>41821</v>
      </c>
      <c r="N165" s="97" t="n">
        <v>4.44</v>
      </c>
      <c r="O165" s="96" t="n">
        <f aca="false">$O$3+N165</f>
        <v>4.74</v>
      </c>
    </row>
    <row r="166" customFormat="false" ht="12.75" hidden="false" customHeight="false" outlineLevel="0" collapsed="false">
      <c r="A166" s="60" t="n">
        <v>41852</v>
      </c>
      <c r="B166" s="92" t="n">
        <v>68.6306451612903</v>
      </c>
      <c r="C166" s="93" t="n">
        <v>73.6306451612903</v>
      </c>
      <c r="D166" s="94"/>
      <c r="E166" s="60" t="n">
        <v>41852</v>
      </c>
      <c r="F166" s="92" t="n">
        <v>62.961195814308</v>
      </c>
      <c r="G166" s="93" t="n">
        <v>67.961195814308</v>
      </c>
      <c r="I166" s="60" t="n">
        <v>41852</v>
      </c>
      <c r="J166" s="97" t="n">
        <v>4.755</v>
      </c>
      <c r="K166" s="96" t="n">
        <f aca="false">$K$3+J166</f>
        <v>5.255</v>
      </c>
      <c r="M166" s="60" t="n">
        <v>41852</v>
      </c>
      <c r="N166" s="97" t="n">
        <v>4.46</v>
      </c>
      <c r="O166" s="96" t="n">
        <f aca="false">$O$3+N166</f>
        <v>4.76</v>
      </c>
    </row>
    <row r="167" customFormat="false" ht="12.75" hidden="false" customHeight="false" outlineLevel="0" collapsed="false">
      <c r="A167" s="60" t="n">
        <v>41883</v>
      </c>
      <c r="B167" s="92" t="n">
        <v>60.7444444444444</v>
      </c>
      <c r="C167" s="93" t="n">
        <v>65.7444444444444</v>
      </c>
      <c r="D167" s="94"/>
      <c r="E167" s="60" t="n">
        <v>41883</v>
      </c>
      <c r="F167" s="92" t="n">
        <v>57.5220829960856</v>
      </c>
      <c r="G167" s="93" t="n">
        <v>62.5220829960856</v>
      </c>
      <c r="I167" s="60" t="n">
        <v>41883</v>
      </c>
      <c r="J167" s="97" t="n">
        <v>4.776</v>
      </c>
      <c r="K167" s="96" t="n">
        <f aca="false">$K$3+J167</f>
        <v>5.276</v>
      </c>
      <c r="M167" s="60" t="n">
        <v>41883</v>
      </c>
      <c r="N167" s="97" t="n">
        <v>4.481</v>
      </c>
      <c r="O167" s="96" t="n">
        <f aca="false">$O$3+N167</f>
        <v>4.781</v>
      </c>
    </row>
    <row r="168" customFormat="false" ht="12.75" hidden="false" customHeight="false" outlineLevel="0" collapsed="false">
      <c r="A168" s="60" t="n">
        <v>41913</v>
      </c>
      <c r="B168" s="92" t="n">
        <v>47.3451612903226</v>
      </c>
      <c r="C168" s="93" t="n">
        <v>52.3451612903226</v>
      </c>
      <c r="D168" s="94"/>
      <c r="E168" s="60" t="n">
        <v>41913</v>
      </c>
      <c r="F168" s="92" t="n">
        <v>47.0092721414089</v>
      </c>
      <c r="G168" s="93" t="n">
        <v>52.0092721414089</v>
      </c>
      <c r="I168" s="60" t="n">
        <v>41913</v>
      </c>
      <c r="J168" s="97" t="n">
        <v>4.806</v>
      </c>
      <c r="K168" s="96" t="n">
        <f aca="false">$K$3+J168</f>
        <v>5.306</v>
      </c>
      <c r="M168" s="60" t="n">
        <v>41913</v>
      </c>
      <c r="N168" s="97" t="n">
        <v>4.511</v>
      </c>
      <c r="O168" s="96" t="n">
        <f aca="false">$O$3+N168</f>
        <v>4.811</v>
      </c>
    </row>
    <row r="169" customFormat="false" ht="12.75" hidden="false" customHeight="false" outlineLevel="0" collapsed="false">
      <c r="A169" s="60" t="n">
        <v>41944</v>
      </c>
      <c r="B169" s="92" t="n">
        <v>45.0333333333333</v>
      </c>
      <c r="C169" s="93" t="n">
        <v>50.0333333333333</v>
      </c>
      <c r="D169" s="94"/>
      <c r="E169" s="60" t="n">
        <v>41944</v>
      </c>
      <c r="F169" s="92" t="n">
        <v>38.9563779871674</v>
      </c>
      <c r="G169" s="93" t="n">
        <v>43.9563779871674</v>
      </c>
      <c r="I169" s="60" t="n">
        <v>41944</v>
      </c>
      <c r="J169" s="97" t="n">
        <v>4.771</v>
      </c>
      <c r="K169" s="96" t="n">
        <f aca="false">$K$3+J169</f>
        <v>5.271</v>
      </c>
      <c r="M169" s="60" t="n">
        <v>41944</v>
      </c>
      <c r="N169" s="97" t="n">
        <v>4.651</v>
      </c>
      <c r="O169" s="96" t="n">
        <f aca="false">$O$3+N169</f>
        <v>4.951</v>
      </c>
    </row>
    <row r="170" customFormat="false" ht="12.75" hidden="false" customHeight="false" outlineLevel="0" collapsed="false">
      <c r="A170" s="60" t="n">
        <v>41974</v>
      </c>
      <c r="B170" s="92" t="n">
        <v>44.6462365591398</v>
      </c>
      <c r="C170" s="93" t="n">
        <v>49.6462365591398</v>
      </c>
      <c r="D170" s="94"/>
      <c r="E170" s="60" t="n">
        <v>41974</v>
      </c>
      <c r="F170" s="92" t="n">
        <v>39.0074984574095</v>
      </c>
      <c r="G170" s="93" t="n">
        <v>44.0074984574095</v>
      </c>
      <c r="I170" s="60" t="n">
        <v>41974</v>
      </c>
      <c r="J170" s="97" t="n">
        <v>4.896</v>
      </c>
      <c r="K170" s="96" t="n">
        <f aca="false">$K$3+J170</f>
        <v>5.396</v>
      </c>
      <c r="M170" s="60" t="n">
        <v>41974</v>
      </c>
      <c r="N170" s="97" t="n">
        <v>4.776</v>
      </c>
      <c r="O170" s="96" t="n">
        <f aca="false">$O$3+N170</f>
        <v>5.076</v>
      </c>
    </row>
    <row r="171" customFormat="false" ht="12.75" hidden="false" customHeight="false" outlineLevel="0" collapsed="false">
      <c r="A171" s="60" t="n">
        <v>42005</v>
      </c>
      <c r="B171" s="92" t="n">
        <v>48.7483870967742</v>
      </c>
      <c r="C171" s="93" t="n">
        <v>53.7483870967742</v>
      </c>
      <c r="D171" s="94"/>
      <c r="E171" s="60" t="n">
        <v>42005</v>
      </c>
      <c r="F171" s="92" t="n">
        <v>40.4033140163165</v>
      </c>
      <c r="G171" s="93" t="n">
        <v>45.4033140163165</v>
      </c>
      <c r="I171" s="60" t="n">
        <v>42005</v>
      </c>
      <c r="J171" s="97" t="n">
        <v>5.05</v>
      </c>
      <c r="K171" s="96" t="n">
        <f aca="false">$K$3+J171</f>
        <v>5.55</v>
      </c>
      <c r="M171" s="60" t="n">
        <v>42005</v>
      </c>
      <c r="N171" s="97" t="n">
        <v>4.93</v>
      </c>
      <c r="O171" s="96" t="n">
        <f aca="false">$O$3+N171</f>
        <v>5.23</v>
      </c>
    </row>
    <row r="172" customFormat="false" ht="12.75" hidden="false" customHeight="false" outlineLevel="0" collapsed="false">
      <c r="A172" s="60" t="n">
        <v>42036</v>
      </c>
      <c r="B172" s="92" t="n">
        <v>47.45</v>
      </c>
      <c r="C172" s="93" t="n">
        <v>52.45</v>
      </c>
      <c r="D172" s="94"/>
      <c r="E172" s="60" t="n">
        <v>42036</v>
      </c>
      <c r="F172" s="92" t="n">
        <v>40.4182367670392</v>
      </c>
      <c r="G172" s="93" t="n">
        <v>45.4182367670392</v>
      </c>
      <c r="I172" s="60" t="n">
        <v>42036</v>
      </c>
      <c r="J172" s="97" t="n">
        <v>4.954</v>
      </c>
      <c r="K172" s="96" t="n">
        <f aca="false">$K$3+J172</f>
        <v>5.454</v>
      </c>
      <c r="M172" s="60" t="n">
        <v>42036</v>
      </c>
      <c r="N172" s="97" t="n">
        <v>4.834</v>
      </c>
      <c r="O172" s="96" t="n">
        <f aca="false">$O$3+N172</f>
        <v>5.134</v>
      </c>
    </row>
    <row r="173" customFormat="false" ht="12.75" hidden="false" customHeight="false" outlineLevel="0" collapsed="false">
      <c r="A173" s="60" t="n">
        <v>42064</v>
      </c>
      <c r="B173" s="92" t="n">
        <v>45.2188172043011</v>
      </c>
      <c r="C173" s="93" t="n">
        <v>50.2188172043011</v>
      </c>
      <c r="D173" s="94"/>
      <c r="E173" s="60" t="n">
        <v>42064</v>
      </c>
      <c r="F173" s="92" t="n">
        <v>39.8254806674162</v>
      </c>
      <c r="G173" s="93" t="n">
        <v>44.8254806674162</v>
      </c>
      <c r="I173" s="60" t="n">
        <v>42064</v>
      </c>
      <c r="J173" s="97" t="n">
        <v>4.804</v>
      </c>
      <c r="K173" s="96" t="n">
        <f aca="false">$K$3+J173</f>
        <v>5.304</v>
      </c>
      <c r="M173" s="60" t="n">
        <v>42064</v>
      </c>
      <c r="N173" s="97" t="n">
        <v>4.684</v>
      </c>
      <c r="O173" s="96" t="n">
        <f aca="false">$O$3+N173</f>
        <v>4.984</v>
      </c>
    </row>
    <row r="174" customFormat="false" ht="12.75" hidden="false" customHeight="false" outlineLevel="0" collapsed="false">
      <c r="A174" s="60" t="n">
        <v>42095</v>
      </c>
      <c r="B174" s="92" t="n">
        <v>43.5755555555556</v>
      </c>
      <c r="C174" s="93" t="n">
        <v>48.5755555555556</v>
      </c>
      <c r="D174" s="94"/>
      <c r="E174" s="60" t="n">
        <v>42095</v>
      </c>
      <c r="F174" s="92" t="n">
        <v>38.8958704225663</v>
      </c>
      <c r="G174" s="93" t="n">
        <v>43.8958704225663</v>
      </c>
      <c r="I174" s="60" t="n">
        <v>42095</v>
      </c>
      <c r="J174" s="97" t="n">
        <v>4.796</v>
      </c>
      <c r="K174" s="96" t="n">
        <f aca="false">$K$3+J174</f>
        <v>5.296</v>
      </c>
      <c r="M174" s="60" t="n">
        <v>42095</v>
      </c>
      <c r="N174" s="97" t="n">
        <v>4.501</v>
      </c>
      <c r="O174" s="96" t="n">
        <f aca="false">$O$3+N174</f>
        <v>4.801</v>
      </c>
    </row>
    <row r="175" customFormat="false" ht="12.75" hidden="false" customHeight="false" outlineLevel="0" collapsed="false">
      <c r="A175" s="60" t="n">
        <v>42125</v>
      </c>
      <c r="B175" s="92" t="n">
        <v>43.0360215053763</v>
      </c>
      <c r="C175" s="93" t="n">
        <v>48.0360215053763</v>
      </c>
      <c r="D175" s="94"/>
      <c r="E175" s="60" t="n">
        <v>42125</v>
      </c>
      <c r="F175" s="92" t="n">
        <v>38.2137313037044</v>
      </c>
      <c r="G175" s="93" t="n">
        <v>43.2137313037044</v>
      </c>
      <c r="I175" s="60" t="n">
        <v>42125</v>
      </c>
      <c r="J175" s="97" t="n">
        <v>4.771</v>
      </c>
      <c r="K175" s="96" t="n">
        <f aca="false">$K$3+J175</f>
        <v>5.271</v>
      </c>
      <c r="M175" s="60" t="n">
        <v>42125</v>
      </c>
      <c r="N175" s="97" t="n">
        <v>4.476</v>
      </c>
      <c r="O175" s="96" t="n">
        <f aca="false">$O$3+N175</f>
        <v>4.776</v>
      </c>
    </row>
    <row r="176" customFormat="false" ht="12.75" hidden="false" customHeight="false" outlineLevel="0" collapsed="false">
      <c r="A176" s="60" t="n">
        <v>42156</v>
      </c>
      <c r="B176" s="92" t="n">
        <v>48.7866666666667</v>
      </c>
      <c r="C176" s="93" t="n">
        <v>53.7866666666667</v>
      </c>
      <c r="D176" s="94"/>
      <c r="E176" s="60" t="n">
        <v>42156</v>
      </c>
      <c r="F176" s="92" t="n">
        <v>49.6754541090102</v>
      </c>
      <c r="G176" s="93" t="n">
        <v>54.6754541090102</v>
      </c>
      <c r="I176" s="60" t="n">
        <v>42156</v>
      </c>
      <c r="J176" s="97" t="n">
        <v>4.8</v>
      </c>
      <c r="K176" s="96" t="n">
        <f aca="false">$K$3+J176</f>
        <v>5.3</v>
      </c>
      <c r="M176" s="60" t="n">
        <v>42156</v>
      </c>
      <c r="N176" s="97" t="n">
        <v>4.505</v>
      </c>
      <c r="O176" s="96" t="n">
        <f aca="false">$O$3+N176</f>
        <v>4.805</v>
      </c>
    </row>
    <row r="177" customFormat="false" ht="12.75" hidden="false" customHeight="false" outlineLevel="0" collapsed="false">
      <c r="A177" s="60" t="n">
        <v>42186</v>
      </c>
      <c r="B177" s="92" t="n">
        <v>60.7301075268817</v>
      </c>
      <c r="C177" s="93" t="n">
        <v>65.7301075268817</v>
      </c>
      <c r="D177" s="94"/>
      <c r="E177" s="60" t="n">
        <v>42186</v>
      </c>
      <c r="F177" s="92" t="n">
        <v>60.3665961616809</v>
      </c>
      <c r="G177" s="93" t="n">
        <v>65.3665961616809</v>
      </c>
      <c r="I177" s="60" t="n">
        <v>42186</v>
      </c>
      <c r="J177" s="97" t="n">
        <v>4.83</v>
      </c>
      <c r="K177" s="96" t="n">
        <f aca="false">$K$3+J177</f>
        <v>5.33</v>
      </c>
      <c r="M177" s="60" t="n">
        <v>42186</v>
      </c>
      <c r="N177" s="97" t="n">
        <v>4.535</v>
      </c>
      <c r="O177" s="96" t="n">
        <f aca="false">$O$3+N177</f>
        <v>4.835</v>
      </c>
    </row>
    <row r="178" customFormat="false" ht="12.75" hidden="false" customHeight="false" outlineLevel="0" collapsed="false">
      <c r="A178" s="60" t="n">
        <v>42217</v>
      </c>
      <c r="B178" s="92" t="n">
        <v>69.2704301075269</v>
      </c>
      <c r="C178" s="93" t="n">
        <v>74.2704301075269</v>
      </c>
      <c r="D178" s="94"/>
      <c r="E178" s="60" t="n">
        <v>42217</v>
      </c>
      <c r="F178" s="92" t="n">
        <v>63.2569552904805</v>
      </c>
      <c r="G178" s="93" t="n">
        <v>68.2569552904805</v>
      </c>
      <c r="I178" s="60" t="n">
        <v>42217</v>
      </c>
      <c r="J178" s="97" t="n">
        <v>4.85</v>
      </c>
      <c r="K178" s="96" t="n">
        <f aca="false">$K$3+J178</f>
        <v>5.35</v>
      </c>
      <c r="M178" s="60" t="n">
        <v>42217</v>
      </c>
      <c r="N178" s="97" t="n">
        <v>4.555</v>
      </c>
      <c r="O178" s="96" t="n">
        <f aca="false">$O$3+N178</f>
        <v>4.855</v>
      </c>
    </row>
    <row r="179" customFormat="false" ht="12.75" hidden="false" customHeight="false" outlineLevel="0" collapsed="false">
      <c r="A179" s="60" t="n">
        <v>42248</v>
      </c>
      <c r="B179" s="92" t="n">
        <v>61.3833333333333</v>
      </c>
      <c r="C179" s="93" t="n">
        <v>66.3833333333333</v>
      </c>
      <c r="D179" s="94"/>
      <c r="E179" s="60" t="n">
        <v>42248</v>
      </c>
      <c r="F179" s="92" t="n">
        <v>57.8175491422827</v>
      </c>
      <c r="G179" s="93" t="n">
        <v>62.8175491422827</v>
      </c>
      <c r="I179" s="60" t="n">
        <v>42248</v>
      </c>
      <c r="J179" s="97" t="n">
        <v>4.871</v>
      </c>
      <c r="K179" s="96" t="n">
        <f aca="false">$K$3+J179</f>
        <v>5.371</v>
      </c>
      <c r="M179" s="60" t="n">
        <v>42248</v>
      </c>
      <c r="N179" s="97" t="n">
        <v>4.576</v>
      </c>
      <c r="O179" s="96" t="n">
        <f aca="false">$O$3+N179</f>
        <v>4.876</v>
      </c>
    </row>
    <row r="180" customFormat="false" ht="12.75" hidden="false" customHeight="false" outlineLevel="0" collapsed="false">
      <c r="A180" s="60" t="n">
        <v>42278</v>
      </c>
      <c r="B180" s="92" t="n">
        <v>47.9903225806452</v>
      </c>
      <c r="C180" s="93" t="n">
        <v>52.9903225806452</v>
      </c>
      <c r="D180" s="94"/>
      <c r="E180" s="60" t="n">
        <v>42278</v>
      </c>
      <c r="F180" s="92" t="n">
        <v>47.2592721414089</v>
      </c>
      <c r="G180" s="93" t="n">
        <v>52.2592721414089</v>
      </c>
      <c r="I180" s="60" t="n">
        <v>42278</v>
      </c>
      <c r="J180" s="97" t="n">
        <v>4.901</v>
      </c>
      <c r="K180" s="96" t="n">
        <f aca="false">$K$3+J180</f>
        <v>5.401</v>
      </c>
      <c r="M180" s="60" t="n">
        <v>42278</v>
      </c>
      <c r="N180" s="97" t="n">
        <v>4.606</v>
      </c>
      <c r="O180" s="96" t="n">
        <f aca="false">$O$3+N180</f>
        <v>4.906</v>
      </c>
    </row>
    <row r="181" customFormat="false" ht="12.75" hidden="false" customHeight="false" outlineLevel="0" collapsed="false">
      <c r="A181" s="60" t="n">
        <v>42309</v>
      </c>
      <c r="B181" s="92" t="n">
        <v>45.6666666666667</v>
      </c>
      <c r="C181" s="93" t="n">
        <v>50.6666666666667</v>
      </c>
      <c r="D181" s="94"/>
      <c r="E181" s="60" t="n">
        <v>42309</v>
      </c>
      <c r="F181" s="92" t="n">
        <v>39.1919318026661</v>
      </c>
      <c r="G181" s="93" t="n">
        <v>44.1919318026661</v>
      </c>
      <c r="I181" s="60" t="n">
        <v>42309</v>
      </c>
      <c r="J181" s="97" t="n">
        <v>4.866</v>
      </c>
      <c r="K181" s="96" t="n">
        <f aca="false">$K$3+J181</f>
        <v>5.366</v>
      </c>
      <c r="M181" s="60" t="n">
        <v>42309</v>
      </c>
      <c r="N181" s="97" t="n">
        <v>4.746</v>
      </c>
      <c r="O181" s="96" t="n">
        <f aca="false">$O$3+N181</f>
        <v>5.046</v>
      </c>
    </row>
    <row r="182" customFormat="false" ht="12.75" hidden="false" customHeight="false" outlineLevel="0" collapsed="false">
      <c r="A182" s="60" t="n">
        <v>42339</v>
      </c>
      <c r="B182" s="92" t="n">
        <v>45.2860215053763</v>
      </c>
      <c r="C182" s="93" t="n">
        <v>50.2860215053763</v>
      </c>
      <c r="D182" s="94"/>
      <c r="E182" s="60" t="n">
        <v>42339</v>
      </c>
      <c r="F182" s="92" t="n">
        <v>39.2423532639808</v>
      </c>
      <c r="G182" s="93" t="n">
        <v>44.2423532639808</v>
      </c>
      <c r="I182" s="60" t="n">
        <v>42339</v>
      </c>
      <c r="J182" s="97" t="n">
        <v>4.991</v>
      </c>
      <c r="K182" s="96" t="n">
        <f aca="false">$K$3+J182</f>
        <v>5.491</v>
      </c>
      <c r="M182" s="60" t="n">
        <v>42339</v>
      </c>
      <c r="N182" s="97" t="n">
        <v>4.871</v>
      </c>
      <c r="O182" s="96" t="n">
        <f aca="false">$O$3+N182</f>
        <v>5.171</v>
      </c>
    </row>
    <row r="183" customFormat="false" ht="12.75" hidden="false" customHeight="false" outlineLevel="0" collapsed="false">
      <c r="A183" s="60" t="n">
        <v>42370</v>
      </c>
      <c r="B183" s="92" t="n">
        <v>48.4849462365591</v>
      </c>
      <c r="C183" s="93" t="n">
        <v>53.4849462365591</v>
      </c>
      <c r="D183" s="94"/>
      <c r="E183" s="60" t="n">
        <v>42370</v>
      </c>
      <c r="F183" s="92" t="n">
        <v>40.3803049439417</v>
      </c>
      <c r="G183" s="93" t="n">
        <v>45.3803049439417</v>
      </c>
      <c r="I183" s="60" t="n">
        <v>42370</v>
      </c>
      <c r="J183" s="97" t="n">
        <v>5.15</v>
      </c>
      <c r="K183" s="96" t="n">
        <f aca="false">$K$3+J183</f>
        <v>5.65</v>
      </c>
      <c r="M183" s="60" t="n">
        <v>42370</v>
      </c>
      <c r="N183" s="97" t="n">
        <v>5.03</v>
      </c>
      <c r="O183" s="96" t="n">
        <f aca="false">$O$3+N183</f>
        <v>5.33</v>
      </c>
    </row>
    <row r="184" customFormat="false" ht="12.75" hidden="false" customHeight="false" outlineLevel="0" collapsed="false">
      <c r="A184" s="60" t="n">
        <v>42401</v>
      </c>
      <c r="B184" s="92" t="n">
        <v>47.5189655172414</v>
      </c>
      <c r="C184" s="93" t="n">
        <v>52.5189655172414</v>
      </c>
      <c r="D184" s="94"/>
      <c r="E184" s="60" t="n">
        <v>42401</v>
      </c>
      <c r="F184" s="92" t="n">
        <v>40.6954298560437</v>
      </c>
      <c r="G184" s="93" t="n">
        <v>45.6954298560437</v>
      </c>
      <c r="I184" s="60" t="n">
        <v>42401</v>
      </c>
      <c r="J184" s="97" t="n">
        <v>5.054</v>
      </c>
      <c r="K184" s="96" t="n">
        <f aca="false">$K$3+J184</f>
        <v>5.554</v>
      </c>
      <c r="M184" s="60" t="n">
        <v>42401</v>
      </c>
      <c r="N184" s="97" t="n">
        <v>4.934</v>
      </c>
      <c r="O184" s="96" t="n">
        <f aca="false">$O$3+N184</f>
        <v>5.234</v>
      </c>
    </row>
    <row r="185" customFormat="false" ht="12.75" hidden="false" customHeight="false" outlineLevel="0" collapsed="false">
      <c r="A185" s="60" t="n">
        <v>42430</v>
      </c>
      <c r="B185" s="92" t="n">
        <v>45.5274193548387</v>
      </c>
      <c r="C185" s="93" t="n">
        <v>50.5274193548387</v>
      </c>
      <c r="D185" s="94"/>
      <c r="E185" s="60" t="n">
        <v>42430</v>
      </c>
      <c r="F185" s="92" t="n">
        <v>40.3492657447815</v>
      </c>
      <c r="G185" s="93" t="n">
        <v>45.3492657447815</v>
      </c>
      <c r="I185" s="60" t="n">
        <v>42430</v>
      </c>
      <c r="J185" s="97" t="n">
        <v>4.904</v>
      </c>
      <c r="K185" s="96" t="n">
        <f aca="false">$K$3+J185</f>
        <v>5.404</v>
      </c>
      <c r="M185" s="60" t="n">
        <v>42430</v>
      </c>
      <c r="N185" s="97" t="n">
        <v>4.784</v>
      </c>
      <c r="O185" s="96" t="n">
        <f aca="false">$O$3+N185</f>
        <v>5.084</v>
      </c>
    </row>
    <row r="186" customFormat="false" ht="12.75" hidden="false" customHeight="false" outlineLevel="0" collapsed="false">
      <c r="A186" s="60" t="n">
        <v>42461</v>
      </c>
      <c r="B186" s="92" t="n">
        <v>43.6044444444444</v>
      </c>
      <c r="C186" s="93" t="n">
        <v>48.6044444444444</v>
      </c>
      <c r="D186" s="94"/>
      <c r="E186" s="60" t="n">
        <v>42461</v>
      </c>
      <c r="F186" s="92" t="n">
        <v>39.1458704225663</v>
      </c>
      <c r="G186" s="93" t="n">
        <v>44.1458704225663</v>
      </c>
      <c r="I186" s="60" t="n">
        <v>42461</v>
      </c>
      <c r="J186" s="97" t="n">
        <v>4.896</v>
      </c>
      <c r="K186" s="96" t="n">
        <f aca="false">$K$3+J186</f>
        <v>5.396</v>
      </c>
      <c r="M186" s="60" t="n">
        <v>42461</v>
      </c>
      <c r="N186" s="97" t="n">
        <v>4.601</v>
      </c>
      <c r="O186" s="96" t="n">
        <f aca="false">$O$3+N186</f>
        <v>4.901</v>
      </c>
    </row>
    <row r="187" customFormat="false" ht="12.75" hidden="false" customHeight="false" outlineLevel="0" collapsed="false">
      <c r="A187" s="60" t="n">
        <v>42491</v>
      </c>
      <c r="B187" s="92" t="n">
        <v>43.0629032258065</v>
      </c>
      <c r="C187" s="93" t="n">
        <v>48.0629032258065</v>
      </c>
      <c r="D187" s="94"/>
      <c r="E187" s="60" t="n">
        <v>42491</v>
      </c>
      <c r="F187" s="92" t="n">
        <v>38.4512781018419</v>
      </c>
      <c r="G187" s="93" t="n">
        <v>43.4512781018419</v>
      </c>
      <c r="I187" s="60" t="n">
        <v>42491</v>
      </c>
      <c r="J187" s="97" t="n">
        <v>4.871</v>
      </c>
      <c r="K187" s="96" t="n">
        <f aca="false">$K$3+J187</f>
        <v>5.371</v>
      </c>
      <c r="M187" s="60" t="n">
        <v>42491</v>
      </c>
      <c r="N187" s="97" t="n">
        <v>4.576</v>
      </c>
      <c r="O187" s="96" t="n">
        <f aca="false">$O$3+N187</f>
        <v>4.876</v>
      </c>
    </row>
    <row r="188" customFormat="false" ht="12.75" hidden="false" customHeight="false" outlineLevel="0" collapsed="false">
      <c r="A188" s="60" t="n">
        <v>42522</v>
      </c>
      <c r="B188" s="92" t="n">
        <v>48.8155555555556</v>
      </c>
      <c r="C188" s="93" t="n">
        <v>53.8155555555556</v>
      </c>
      <c r="D188" s="94"/>
      <c r="E188" s="60" t="n">
        <v>42522</v>
      </c>
      <c r="F188" s="92" t="n">
        <v>49.9120710680753</v>
      </c>
      <c r="G188" s="93" t="n">
        <v>54.9120710680753</v>
      </c>
      <c r="I188" s="60" t="n">
        <v>42522</v>
      </c>
      <c r="J188" s="97" t="n">
        <v>4.9</v>
      </c>
      <c r="K188" s="96" t="n">
        <f aca="false">$K$3+J188</f>
        <v>5.4</v>
      </c>
      <c r="M188" s="60" t="n">
        <v>42522</v>
      </c>
      <c r="N188" s="97" t="n">
        <v>4.605</v>
      </c>
      <c r="O188" s="96" t="n">
        <f aca="false">$O$3+N188</f>
        <v>4.905</v>
      </c>
    </row>
    <row r="189" customFormat="false" ht="12.75" hidden="false" customHeight="false" outlineLevel="0" collapsed="false">
      <c r="A189" s="60" t="n">
        <v>42552</v>
      </c>
      <c r="B189" s="92" t="n">
        <v>60.0096774193548</v>
      </c>
      <c r="C189" s="93" t="n">
        <v>65.0096774193548</v>
      </c>
      <c r="D189" s="94"/>
      <c r="E189" s="60" t="n">
        <v>42552</v>
      </c>
      <c r="F189" s="92" t="n">
        <v>59.9759423159092</v>
      </c>
      <c r="G189" s="93" t="n">
        <v>64.9759423159092</v>
      </c>
      <c r="I189" s="60" t="n">
        <v>42552</v>
      </c>
      <c r="J189" s="97" t="n">
        <v>4.93</v>
      </c>
      <c r="K189" s="96" t="n">
        <f aca="false">$K$3+J189</f>
        <v>5.43</v>
      </c>
      <c r="M189" s="60" t="n">
        <v>42552</v>
      </c>
      <c r="N189" s="97" t="n">
        <v>4.635</v>
      </c>
      <c r="O189" s="96" t="n">
        <f aca="false">$O$3+N189</f>
        <v>4.935</v>
      </c>
    </row>
    <row r="190" customFormat="false" ht="12.75" hidden="false" customHeight="false" outlineLevel="0" collapsed="false">
      <c r="A190" s="60" t="n">
        <v>42583</v>
      </c>
      <c r="B190" s="92" t="n">
        <v>70.2887096774194</v>
      </c>
      <c r="C190" s="93" t="n">
        <v>75.2887096774194</v>
      </c>
      <c r="D190" s="94"/>
      <c r="E190" s="60" t="n">
        <v>42583</v>
      </c>
      <c r="F190" s="92" t="n">
        <v>64.1909116356929</v>
      </c>
      <c r="G190" s="93" t="n">
        <v>69.1909116356929</v>
      </c>
      <c r="I190" s="60" t="n">
        <v>42583</v>
      </c>
      <c r="J190" s="97" t="n">
        <v>4.95</v>
      </c>
      <c r="K190" s="96" t="n">
        <f aca="false">$K$3+J190</f>
        <v>5.45</v>
      </c>
      <c r="M190" s="60" t="n">
        <v>42583</v>
      </c>
      <c r="N190" s="97" t="n">
        <v>4.655</v>
      </c>
      <c r="O190" s="96" t="n">
        <f aca="false">$O$3+N190</f>
        <v>4.955</v>
      </c>
    </row>
    <row r="191" customFormat="false" ht="12.75" hidden="false" customHeight="false" outlineLevel="0" collapsed="false">
      <c r="A191" s="60" t="n">
        <v>42614</v>
      </c>
      <c r="B191" s="92" t="n">
        <v>61.4111111111111</v>
      </c>
      <c r="C191" s="93" t="n">
        <v>66.4111111111111</v>
      </c>
      <c r="D191" s="94"/>
      <c r="E191" s="60" t="n">
        <v>42614</v>
      </c>
      <c r="F191" s="92" t="n">
        <v>58.1130152884798</v>
      </c>
      <c r="G191" s="93" t="n">
        <v>63.1130152884798</v>
      </c>
      <c r="I191" s="60" t="n">
        <v>42614</v>
      </c>
      <c r="J191" s="97" t="n">
        <v>4.971</v>
      </c>
      <c r="K191" s="96" t="n">
        <f aca="false">$K$3+J191</f>
        <v>5.471</v>
      </c>
      <c r="M191" s="60" t="n">
        <v>42614</v>
      </c>
      <c r="N191" s="97" t="n">
        <v>4.676</v>
      </c>
      <c r="O191" s="96" t="n">
        <f aca="false">$O$3+N191</f>
        <v>4.976</v>
      </c>
    </row>
    <row r="192" customFormat="false" ht="12.75" hidden="false" customHeight="false" outlineLevel="0" collapsed="false">
      <c r="A192" s="60" t="n">
        <v>42644</v>
      </c>
      <c r="B192" s="92" t="n">
        <v>47.6741935483871</v>
      </c>
      <c r="C192" s="93" t="n">
        <v>52.6741935483871</v>
      </c>
      <c r="D192" s="94"/>
      <c r="E192" s="60" t="n">
        <v>42644</v>
      </c>
      <c r="F192" s="92" t="n">
        <v>47.1430809691735</v>
      </c>
      <c r="G192" s="93" t="n">
        <v>52.1430809691735</v>
      </c>
      <c r="I192" s="60" t="n">
        <v>42644</v>
      </c>
      <c r="J192" s="97" t="n">
        <v>5.001</v>
      </c>
      <c r="K192" s="96" t="n">
        <f aca="false">$K$3+J192</f>
        <v>5.501</v>
      </c>
      <c r="M192" s="60" t="n">
        <v>42644</v>
      </c>
      <c r="N192" s="97" t="n">
        <v>4.706</v>
      </c>
      <c r="O192" s="96" t="n">
        <f aca="false">$O$3+N192</f>
        <v>5.006</v>
      </c>
    </row>
    <row r="193" customFormat="false" ht="12.75" hidden="false" customHeight="false" outlineLevel="0" collapsed="false">
      <c r="A193" s="60" t="n">
        <v>42675</v>
      </c>
      <c r="B193" s="92" t="n">
        <v>46.0888888888889</v>
      </c>
      <c r="C193" s="93" t="n">
        <v>51.0888888888889</v>
      </c>
      <c r="D193" s="94"/>
      <c r="E193" s="60" t="n">
        <v>42675</v>
      </c>
      <c r="F193" s="92" t="n">
        <v>39.7110429151279</v>
      </c>
      <c r="G193" s="93" t="n">
        <v>44.7110429151279</v>
      </c>
      <c r="I193" s="60" t="n">
        <v>42675</v>
      </c>
      <c r="J193" s="97" t="n">
        <v>4.966</v>
      </c>
      <c r="K193" s="96" t="n">
        <f aca="false">$K$3+J193</f>
        <v>5.466</v>
      </c>
      <c r="M193" s="60" t="n">
        <v>42675</v>
      </c>
      <c r="N193" s="97" t="n">
        <v>4.846</v>
      </c>
      <c r="O193" s="96" t="n">
        <f aca="false">$O$3+N193</f>
        <v>5.146</v>
      </c>
    </row>
    <row r="194" customFormat="false" ht="12.75" hidden="false" customHeight="false" outlineLevel="0" collapsed="false">
      <c r="A194" s="60" t="n">
        <v>42705</v>
      </c>
      <c r="B194" s="92" t="n">
        <v>45.3139784946237</v>
      </c>
      <c r="C194" s="93" t="n">
        <v>50.3139784946237</v>
      </c>
      <c r="D194" s="94"/>
      <c r="E194" s="60" t="n">
        <v>42705</v>
      </c>
      <c r="F194" s="92" t="n">
        <v>39.477208070552</v>
      </c>
      <c r="G194" s="93" t="n">
        <v>44.477208070552</v>
      </c>
      <c r="I194" s="60" t="n">
        <v>42705</v>
      </c>
      <c r="J194" s="97" t="n">
        <v>5.091</v>
      </c>
      <c r="K194" s="96" t="n">
        <f aca="false">$K$3+J194</f>
        <v>5.591</v>
      </c>
      <c r="M194" s="60" t="n">
        <v>42705</v>
      </c>
      <c r="N194" s="97" t="n">
        <v>4.971</v>
      </c>
      <c r="O194" s="96" t="n">
        <f aca="false">$O$3+N194</f>
        <v>5.271</v>
      </c>
    </row>
    <row r="195" customFormat="false" ht="12.75" hidden="false" customHeight="false" outlineLevel="0" collapsed="false">
      <c r="A195" s="60" t="n">
        <v>42736</v>
      </c>
      <c r="B195" s="92" t="n">
        <v>48.5118279569892</v>
      </c>
      <c r="C195" s="93" t="n">
        <v>53.5118279569893</v>
      </c>
      <c r="D195" s="94"/>
      <c r="E195" s="60" t="n">
        <v>42736</v>
      </c>
      <c r="F195" s="92" t="n">
        <v>40.6303049439417</v>
      </c>
      <c r="G195" s="93" t="n">
        <v>45.6303049439417</v>
      </c>
      <c r="I195" s="60" t="n">
        <v>42736</v>
      </c>
      <c r="J195" s="97" t="n">
        <v>5.255</v>
      </c>
      <c r="K195" s="96" t="n">
        <f aca="false">$K$3+J195</f>
        <v>5.755</v>
      </c>
      <c r="M195" s="60" t="n">
        <v>42736</v>
      </c>
      <c r="N195" s="97" t="n">
        <v>5.135</v>
      </c>
      <c r="O195" s="96" t="n">
        <f aca="false">$O$3+N195</f>
        <v>5.435</v>
      </c>
    </row>
    <row r="196" customFormat="false" ht="12.75" hidden="false" customHeight="false" outlineLevel="0" collapsed="false">
      <c r="A196" s="60" t="n">
        <v>42767</v>
      </c>
      <c r="B196" s="92" t="n">
        <v>47.5071428571429</v>
      </c>
      <c r="C196" s="93" t="n">
        <v>52.5071428571429</v>
      </c>
      <c r="D196" s="94"/>
      <c r="E196" s="60" t="n">
        <v>42767</v>
      </c>
      <c r="F196" s="92" t="n">
        <v>40.8915903539457</v>
      </c>
      <c r="G196" s="93" t="n">
        <v>45.8915903539457</v>
      </c>
      <c r="I196" s="60" t="n">
        <v>42767</v>
      </c>
      <c r="J196" s="97" t="n">
        <v>5.159</v>
      </c>
      <c r="K196" s="96" t="n">
        <f aca="false">$K$3+J196</f>
        <v>5.659</v>
      </c>
      <c r="M196" s="60" t="n">
        <v>42767</v>
      </c>
      <c r="N196" s="97" t="n">
        <v>5.039</v>
      </c>
      <c r="O196" s="96" t="n">
        <f aca="false">$O$3+N196</f>
        <v>5.339</v>
      </c>
    </row>
    <row r="197" customFormat="false" ht="12.75" hidden="false" customHeight="false" outlineLevel="0" collapsed="false">
      <c r="A197" s="60" t="n">
        <v>42795</v>
      </c>
      <c r="B197" s="92" t="n">
        <v>45.5564516129032</v>
      </c>
      <c r="C197" s="93" t="n">
        <v>50.5564516129032</v>
      </c>
      <c r="D197" s="94"/>
      <c r="E197" s="60" t="n">
        <v>42795</v>
      </c>
      <c r="F197" s="92" t="n">
        <v>40.5857276478066</v>
      </c>
      <c r="G197" s="93" t="n">
        <v>45.5857276478066</v>
      </c>
      <c r="I197" s="60" t="n">
        <v>42795</v>
      </c>
      <c r="J197" s="97" t="n">
        <v>5.009</v>
      </c>
      <c r="K197" s="96" t="n">
        <f aca="false">$K$3+J197</f>
        <v>5.509</v>
      </c>
      <c r="M197" s="60" t="n">
        <v>42795</v>
      </c>
      <c r="N197" s="97" t="n">
        <v>4.889</v>
      </c>
      <c r="O197" s="96" t="n">
        <f aca="false">$O$3+N197</f>
        <v>5.189</v>
      </c>
    </row>
    <row r="198" customFormat="false" ht="12.75" hidden="false" customHeight="false" outlineLevel="0" collapsed="false">
      <c r="A198" s="60" t="n">
        <v>42826</v>
      </c>
      <c r="B198" s="92" t="n">
        <v>43.3666666666667</v>
      </c>
      <c r="C198" s="93" t="n">
        <v>48.3666666666667</v>
      </c>
      <c r="D198" s="94"/>
      <c r="E198" s="60" t="n">
        <v>42826</v>
      </c>
      <c r="F198" s="92" t="n">
        <v>39.1588109711224</v>
      </c>
      <c r="G198" s="93" t="n">
        <v>44.1588109711224</v>
      </c>
      <c r="I198" s="60" t="n">
        <v>42826</v>
      </c>
      <c r="J198" s="97" t="n">
        <v>5.001</v>
      </c>
      <c r="K198" s="96" t="n">
        <f aca="false">$K$3+J198</f>
        <v>5.501</v>
      </c>
      <c r="M198" s="60" t="n">
        <v>42826</v>
      </c>
      <c r="N198" s="97" t="n">
        <v>4.706</v>
      </c>
      <c r="O198" s="96" t="n">
        <f aca="false">$O$3+N198</f>
        <v>5.006</v>
      </c>
    </row>
    <row r="199" customFormat="false" ht="12.75" hidden="false" customHeight="false" outlineLevel="0" collapsed="false">
      <c r="A199" s="60" t="n">
        <v>42856</v>
      </c>
      <c r="B199" s="92" t="n">
        <v>43.455376344086</v>
      </c>
      <c r="C199" s="93" t="n">
        <v>48.455376344086</v>
      </c>
      <c r="D199" s="94"/>
      <c r="E199" s="60" t="n">
        <v>42856</v>
      </c>
      <c r="F199" s="92" t="n">
        <v>38.9470849085775</v>
      </c>
      <c r="G199" s="93" t="n">
        <v>43.9470849085775</v>
      </c>
      <c r="I199" s="60" t="n">
        <v>42856</v>
      </c>
      <c r="J199" s="97" t="n">
        <v>4.976</v>
      </c>
      <c r="K199" s="96" t="n">
        <f aca="false">$K$3+J199</f>
        <v>5.476</v>
      </c>
      <c r="M199" s="60" t="n">
        <v>42856</v>
      </c>
      <c r="N199" s="97" t="n">
        <v>4.681</v>
      </c>
      <c r="O199" s="96" t="n">
        <f aca="false">$O$3+N199</f>
        <v>4.981</v>
      </c>
    </row>
    <row r="200" customFormat="false" ht="12.75" hidden="false" customHeight="false" outlineLevel="0" collapsed="false">
      <c r="A200" s="60" t="n">
        <v>42887</v>
      </c>
      <c r="B200" s="92" t="n">
        <v>48.8444444444445</v>
      </c>
      <c r="C200" s="93" t="n">
        <v>53.8444444444444</v>
      </c>
      <c r="D200" s="94"/>
      <c r="E200" s="60" t="n">
        <v>42887</v>
      </c>
      <c r="F200" s="92" t="n">
        <v>50.1486880271403</v>
      </c>
      <c r="G200" s="93" t="n">
        <v>55.1486880271403</v>
      </c>
      <c r="I200" s="60" t="n">
        <v>42887</v>
      </c>
      <c r="J200" s="97" t="n">
        <v>5.005</v>
      </c>
      <c r="K200" s="96" t="n">
        <f aca="false">$K$3+J200</f>
        <v>5.505</v>
      </c>
      <c r="M200" s="60" t="n">
        <v>42887</v>
      </c>
      <c r="N200" s="97" t="n">
        <v>4.71</v>
      </c>
      <c r="O200" s="96" t="n">
        <f aca="false">$O$3+N200</f>
        <v>5.01</v>
      </c>
    </row>
    <row r="201" customFormat="false" ht="12.75" hidden="false" customHeight="false" outlineLevel="0" collapsed="false">
      <c r="A201" s="60" t="n">
        <v>42917</v>
      </c>
      <c r="B201" s="92" t="n">
        <v>60.036559139785</v>
      </c>
      <c r="C201" s="93" t="n">
        <v>65.0365591397849</v>
      </c>
      <c r="D201" s="94"/>
      <c r="E201" s="60" t="n">
        <v>42917</v>
      </c>
      <c r="F201" s="92" t="n">
        <v>60.2259423159092</v>
      </c>
      <c r="G201" s="93" t="n">
        <v>65.2259423159092</v>
      </c>
      <c r="I201" s="60" t="n">
        <v>42917</v>
      </c>
      <c r="J201" s="97" t="n">
        <v>5.035</v>
      </c>
      <c r="K201" s="96" t="n">
        <f aca="false">$K$3+J201</f>
        <v>5.535</v>
      </c>
      <c r="M201" s="60" t="n">
        <v>42917</v>
      </c>
      <c r="N201" s="97" t="n">
        <v>4.74</v>
      </c>
      <c r="O201" s="96" t="n">
        <f aca="false">$O$3+N201</f>
        <v>5.04</v>
      </c>
    </row>
    <row r="202" customFormat="false" ht="12.75" hidden="false" customHeight="false" outlineLevel="0" collapsed="false">
      <c r="A202" s="60" t="n">
        <v>42948</v>
      </c>
      <c r="B202" s="92" t="n">
        <v>70.3177419354839</v>
      </c>
      <c r="C202" s="93" t="n">
        <v>75.3177419354839</v>
      </c>
      <c r="D202" s="94"/>
      <c r="E202" s="60" t="n">
        <v>42948</v>
      </c>
      <c r="F202" s="92" t="n">
        <v>64.4884310917183</v>
      </c>
      <c r="G202" s="93" t="n">
        <v>69.4884310917183</v>
      </c>
      <c r="I202" s="60" t="n">
        <v>42948</v>
      </c>
      <c r="J202" s="97" t="n">
        <v>5.055</v>
      </c>
      <c r="K202" s="96" t="n">
        <f aca="false">$K$3+J202</f>
        <v>5.555</v>
      </c>
      <c r="M202" s="60" t="n">
        <v>42948</v>
      </c>
      <c r="N202" s="97" t="n">
        <v>4.76</v>
      </c>
      <c r="O202" s="96" t="n">
        <f aca="false">$O$3+N202</f>
        <v>5.06</v>
      </c>
    </row>
    <row r="203" customFormat="false" ht="12.75" hidden="false" customHeight="false" outlineLevel="0" collapsed="false">
      <c r="A203" s="60" t="n">
        <v>42979</v>
      </c>
      <c r="B203" s="92" t="n">
        <v>61.4388888888889</v>
      </c>
      <c r="C203" s="93" t="n">
        <v>66.4388888888889</v>
      </c>
      <c r="D203" s="94"/>
      <c r="E203" s="60" t="n">
        <v>42979</v>
      </c>
      <c r="F203" s="92" t="n">
        <v>58.4084814346769</v>
      </c>
      <c r="G203" s="93" t="n">
        <v>63.4084814346769</v>
      </c>
      <c r="I203" s="60" t="n">
        <v>42979</v>
      </c>
      <c r="J203" s="97" t="n">
        <v>5.076</v>
      </c>
      <c r="K203" s="96" t="n">
        <f aca="false">$K$3+J203</f>
        <v>5.576</v>
      </c>
      <c r="M203" s="60" t="n">
        <v>42979</v>
      </c>
      <c r="N203" s="97" t="n">
        <v>4.781</v>
      </c>
      <c r="O203" s="96" t="n">
        <f aca="false">$O$3+N203</f>
        <v>5.081</v>
      </c>
    </row>
    <row r="204" customFormat="false" ht="12.75" hidden="false" customHeight="false" outlineLevel="0" collapsed="false">
      <c r="A204" s="60" t="n">
        <v>43009</v>
      </c>
      <c r="B204" s="92" t="n">
        <v>47.7021505376344</v>
      </c>
      <c r="C204" s="93" t="n">
        <v>52.7021505376344</v>
      </c>
      <c r="D204" s="94"/>
      <c r="E204" s="60" t="n">
        <v>43009</v>
      </c>
      <c r="F204" s="92" t="n">
        <v>47.3930809691735</v>
      </c>
      <c r="G204" s="93" t="n">
        <v>52.3930809691735</v>
      </c>
      <c r="I204" s="60" t="n">
        <v>43009</v>
      </c>
      <c r="J204" s="97" t="n">
        <v>5.106</v>
      </c>
      <c r="K204" s="96" t="n">
        <f aca="false">$K$3+J204</f>
        <v>5.606</v>
      </c>
      <c r="M204" s="60" t="n">
        <v>43009</v>
      </c>
      <c r="N204" s="97" t="n">
        <v>4.811</v>
      </c>
      <c r="O204" s="96" t="n">
        <f aca="false">$O$3+N204</f>
        <v>5.111</v>
      </c>
    </row>
    <row r="205" customFormat="false" ht="12.75" hidden="false" customHeight="false" outlineLevel="0" collapsed="false">
      <c r="A205" s="60" t="n">
        <v>43040</v>
      </c>
      <c r="B205" s="92" t="n">
        <v>46.1166666666667</v>
      </c>
      <c r="C205" s="93" t="n">
        <v>51.1166666666667</v>
      </c>
      <c r="D205" s="94"/>
      <c r="E205" s="60" t="n">
        <v>43040</v>
      </c>
      <c r="F205" s="92" t="n">
        <v>39.9459948062724</v>
      </c>
      <c r="G205" s="93" t="n">
        <v>44.9459948062724</v>
      </c>
      <c r="I205" s="60" t="n">
        <v>43040</v>
      </c>
      <c r="J205" s="97" t="n">
        <v>5.071</v>
      </c>
      <c r="K205" s="96" t="n">
        <f aca="false">$K$3+J205</f>
        <v>5.571</v>
      </c>
      <c r="M205" s="60" t="n">
        <v>43040</v>
      </c>
      <c r="N205" s="97" t="n">
        <v>4.951</v>
      </c>
      <c r="O205" s="96" t="n">
        <f aca="false">$O$3+N205</f>
        <v>5.251</v>
      </c>
    </row>
    <row r="206" customFormat="false" ht="12.75" hidden="false" customHeight="false" outlineLevel="0" collapsed="false">
      <c r="A206" s="60" t="n">
        <v>43070</v>
      </c>
      <c r="B206" s="92" t="n">
        <v>44.9903225806452</v>
      </c>
      <c r="C206" s="93" t="n">
        <v>49.9903225806452</v>
      </c>
      <c r="D206" s="94"/>
      <c r="E206" s="60" t="n">
        <v>43070</v>
      </c>
      <c r="F206" s="92" t="n">
        <v>39.4489877853513</v>
      </c>
      <c r="G206" s="93" t="n">
        <v>44.4489877853513</v>
      </c>
      <c r="I206" s="60" t="n">
        <v>43070</v>
      </c>
      <c r="J206" s="97" t="n">
        <v>5.196</v>
      </c>
      <c r="K206" s="96" t="n">
        <f aca="false">$K$3+J206</f>
        <v>5.696</v>
      </c>
      <c r="M206" s="60" t="n">
        <v>43070</v>
      </c>
      <c r="N206" s="97" t="n">
        <v>5.076</v>
      </c>
      <c r="O206" s="96" t="n">
        <f aca="false">$O$3+N206</f>
        <v>5.376</v>
      </c>
    </row>
    <row r="207" customFormat="false" ht="12.75" hidden="false" customHeight="false" outlineLevel="0" collapsed="false">
      <c r="A207" s="60" t="n">
        <v>43101</v>
      </c>
      <c r="B207" s="92" t="n">
        <v>48.8322580645161</v>
      </c>
      <c r="C207" s="93" t="n">
        <v>53.8322580645161</v>
      </c>
      <c r="D207" s="94"/>
      <c r="E207" s="60" t="n">
        <v>43101</v>
      </c>
      <c r="F207" s="92" t="n">
        <v>41.1533140163165</v>
      </c>
      <c r="G207" s="93" t="n">
        <v>46.1533140163165</v>
      </c>
      <c r="I207" s="60" t="n">
        <v>43101</v>
      </c>
      <c r="J207" s="97" t="n">
        <v>5.365</v>
      </c>
      <c r="K207" s="96" t="n">
        <f aca="false">$K$3+J207</f>
        <v>5.865</v>
      </c>
      <c r="M207" s="60" t="n">
        <v>43101</v>
      </c>
      <c r="N207" s="97" t="n">
        <v>5.245</v>
      </c>
      <c r="O207" s="96" t="n">
        <f aca="false">$O$3+N207</f>
        <v>5.545</v>
      </c>
    </row>
    <row r="208" customFormat="false" ht="12.75" hidden="false" customHeight="false" outlineLevel="0" collapsed="false">
      <c r="A208" s="60" t="n">
        <v>43132</v>
      </c>
      <c r="B208" s="92" t="n">
        <v>47.5357142857143</v>
      </c>
      <c r="C208" s="93" t="n">
        <v>52.5357142857143</v>
      </c>
      <c r="D208" s="94"/>
      <c r="E208" s="60" t="n">
        <v>43132</v>
      </c>
      <c r="F208" s="92" t="n">
        <v>41.128267147399</v>
      </c>
      <c r="G208" s="93" t="n">
        <v>46.128267147399</v>
      </c>
      <c r="I208" s="60" t="n">
        <v>43132</v>
      </c>
      <c r="J208" s="97" t="n">
        <v>5.269</v>
      </c>
      <c r="K208" s="96" t="n">
        <f aca="false">$K$3+J208</f>
        <v>5.769</v>
      </c>
      <c r="M208" s="60" t="n">
        <v>43132</v>
      </c>
      <c r="N208" s="97" t="n">
        <v>5.149</v>
      </c>
      <c r="O208" s="96" t="n">
        <f aca="false">$O$3+N208</f>
        <v>5.449</v>
      </c>
    </row>
    <row r="209" customFormat="false" ht="12.75" hidden="false" customHeight="false" outlineLevel="0" collapsed="false">
      <c r="A209" s="60" t="n">
        <v>43160</v>
      </c>
      <c r="B209" s="92" t="n">
        <v>45.5854838709678</v>
      </c>
      <c r="C209" s="93" t="n">
        <v>50.5854838709678</v>
      </c>
      <c r="D209" s="94"/>
      <c r="E209" s="60" t="n">
        <v>43160</v>
      </c>
      <c r="F209" s="92" t="n">
        <v>40.8221895508317</v>
      </c>
      <c r="G209" s="93" t="n">
        <v>45.8221895508317</v>
      </c>
      <c r="I209" s="60" t="n">
        <v>43160</v>
      </c>
      <c r="J209" s="97" t="n">
        <v>5.119</v>
      </c>
      <c r="K209" s="96" t="n">
        <f aca="false">$K$3+J209</f>
        <v>5.619</v>
      </c>
      <c r="M209" s="60" t="n">
        <v>43160</v>
      </c>
      <c r="N209" s="97" t="n">
        <v>4.999</v>
      </c>
      <c r="O209" s="96" t="n">
        <f aca="false">$O$3+N209</f>
        <v>5.299</v>
      </c>
    </row>
    <row r="210" customFormat="false" ht="12.75" hidden="false" customHeight="false" outlineLevel="0" collapsed="false">
      <c r="A210" s="60" t="n">
        <v>43191</v>
      </c>
      <c r="B210" s="92" t="n">
        <v>43.3944444444444</v>
      </c>
      <c r="C210" s="93" t="n">
        <v>48.3944444444444</v>
      </c>
      <c r="D210" s="94"/>
      <c r="E210" s="60" t="n">
        <v>43191</v>
      </c>
      <c r="F210" s="92" t="n">
        <v>39.4088109711224</v>
      </c>
      <c r="G210" s="93" t="n">
        <v>44.4088109711224</v>
      </c>
      <c r="I210" s="60" t="n">
        <v>43191</v>
      </c>
      <c r="J210" s="97" t="n">
        <v>5.111</v>
      </c>
      <c r="K210" s="96" t="n">
        <f aca="false">$K$3+J210</f>
        <v>5.611</v>
      </c>
      <c r="M210" s="60" t="n">
        <v>43191</v>
      </c>
      <c r="N210" s="97" t="n">
        <v>4.816</v>
      </c>
      <c r="O210" s="96" t="n">
        <f aca="false">$O$3+N210</f>
        <v>5.116</v>
      </c>
    </row>
    <row r="211" customFormat="false" ht="12.75" hidden="false" customHeight="false" outlineLevel="0" collapsed="false">
      <c r="A211" s="60" t="n">
        <v>43221</v>
      </c>
      <c r="B211" s="92" t="n">
        <v>43.4833333333333</v>
      </c>
      <c r="C211" s="93" t="n">
        <v>48.4833333333333</v>
      </c>
      <c r="D211" s="94"/>
      <c r="E211" s="60" t="n">
        <v>43221</v>
      </c>
      <c r="F211" s="92" t="n">
        <v>39.1841335786404</v>
      </c>
      <c r="G211" s="93" t="n">
        <v>44.1841335786404</v>
      </c>
      <c r="I211" s="60" t="n">
        <v>43221</v>
      </c>
      <c r="J211" s="97" t="n">
        <v>5.086</v>
      </c>
      <c r="K211" s="96" t="n">
        <f aca="false">$K$3+J211</f>
        <v>5.586</v>
      </c>
      <c r="M211" s="60" t="n">
        <v>43221</v>
      </c>
      <c r="N211" s="97" t="n">
        <v>4.791</v>
      </c>
      <c r="O211" s="96" t="n">
        <f aca="false">$O$3+N211</f>
        <v>5.091</v>
      </c>
    </row>
    <row r="212" customFormat="false" ht="12.75" hidden="false" customHeight="false" outlineLevel="0" collapsed="false">
      <c r="A212" s="60" t="n">
        <v>43252</v>
      </c>
      <c r="B212" s="92" t="n">
        <v>48.8733333333333</v>
      </c>
      <c r="C212" s="93" t="n">
        <v>53.8733333333333</v>
      </c>
      <c r="D212" s="94"/>
      <c r="E212" s="60" t="n">
        <v>43252</v>
      </c>
      <c r="F212" s="92" t="n">
        <v>50.3853049862054</v>
      </c>
      <c r="G212" s="93" t="n">
        <v>55.3853049862054</v>
      </c>
      <c r="I212" s="60" t="n">
        <v>43252</v>
      </c>
      <c r="J212" s="97" t="n">
        <v>5.115</v>
      </c>
      <c r="K212" s="96" t="n">
        <f aca="false">$K$3+J212</f>
        <v>5.615</v>
      </c>
      <c r="M212" s="60" t="n">
        <v>43252</v>
      </c>
      <c r="N212" s="97" t="n">
        <v>4.82</v>
      </c>
      <c r="O212" s="96" t="n">
        <f aca="false">$O$3+N212</f>
        <v>5.12</v>
      </c>
    </row>
    <row r="213" customFormat="false" ht="12.75" hidden="false" customHeight="false" outlineLevel="0" collapsed="false">
      <c r="A213" s="60" t="n">
        <v>43282</v>
      </c>
      <c r="B213" s="92" t="n">
        <v>60.0634408602151</v>
      </c>
      <c r="C213" s="93" t="n">
        <v>65.0634408602151</v>
      </c>
      <c r="D213" s="94"/>
      <c r="E213" s="60" t="n">
        <v>43282</v>
      </c>
      <c r="F213" s="92" t="n">
        <v>60.4759423159092</v>
      </c>
      <c r="G213" s="93" t="n">
        <v>65.4759423159092</v>
      </c>
      <c r="I213" s="60" t="n">
        <v>43282</v>
      </c>
      <c r="J213" s="97" t="n">
        <v>5.145</v>
      </c>
      <c r="K213" s="96" t="n">
        <f aca="false">$K$3+J213</f>
        <v>5.645</v>
      </c>
      <c r="M213" s="60" t="n">
        <v>43282</v>
      </c>
      <c r="N213" s="97" t="n">
        <v>4.85</v>
      </c>
      <c r="O213" s="96" t="n">
        <f aca="false">$O$3+N213</f>
        <v>5.15</v>
      </c>
    </row>
    <row r="214" customFormat="false" ht="12.75" hidden="false" customHeight="false" outlineLevel="0" collapsed="false">
      <c r="A214" s="60" t="n">
        <v>43313</v>
      </c>
      <c r="B214" s="92" t="n">
        <v>70.3467741935484</v>
      </c>
      <c r="C214" s="93" t="n">
        <v>75.3467741935484</v>
      </c>
      <c r="D214" s="94"/>
      <c r="E214" s="60" t="n">
        <v>43313</v>
      </c>
      <c r="F214" s="92" t="n">
        <v>64.7859505477436</v>
      </c>
      <c r="G214" s="93" t="n">
        <v>69.7859505477436</v>
      </c>
      <c r="I214" s="60" t="n">
        <v>43313</v>
      </c>
      <c r="J214" s="97" t="n">
        <v>5.165</v>
      </c>
      <c r="K214" s="96" t="n">
        <f aca="false">$K$3+J214</f>
        <v>5.665</v>
      </c>
      <c r="M214" s="60" t="n">
        <v>43313</v>
      </c>
      <c r="N214" s="97" t="n">
        <v>4.87</v>
      </c>
      <c r="O214" s="96" t="n">
        <f aca="false">$O$3+N214</f>
        <v>5.17</v>
      </c>
    </row>
    <row r="215" customFormat="false" ht="12.75" hidden="false" customHeight="false" outlineLevel="0" collapsed="false">
      <c r="A215" s="60" t="n">
        <v>43344</v>
      </c>
      <c r="B215" s="92" t="n">
        <v>60.68</v>
      </c>
      <c r="C215" s="93" t="n">
        <v>65.68</v>
      </c>
      <c r="D215" s="94"/>
      <c r="E215" s="60" t="n">
        <v>43344</v>
      </c>
      <c r="F215" s="92" t="n">
        <v>58.1741735245037</v>
      </c>
      <c r="G215" s="93" t="n">
        <v>63.1741735245037</v>
      </c>
      <c r="I215" s="60" t="n">
        <v>43344</v>
      </c>
      <c r="J215" s="97" t="n">
        <v>5.186</v>
      </c>
      <c r="K215" s="96" t="n">
        <f aca="false">$K$3+J215</f>
        <v>5.686</v>
      </c>
      <c r="M215" s="60" t="n">
        <v>43344</v>
      </c>
      <c r="N215" s="97" t="n">
        <v>4.891</v>
      </c>
      <c r="O215" s="96" t="n">
        <f aca="false">$O$3+N215</f>
        <v>5.191</v>
      </c>
    </row>
    <row r="216" customFormat="false" ht="12.75" hidden="false" customHeight="false" outlineLevel="0" collapsed="false">
      <c r="A216" s="60" t="n">
        <v>43374</v>
      </c>
      <c r="B216" s="92" t="n">
        <v>48.0774193548387</v>
      </c>
      <c r="C216" s="93" t="n">
        <v>53.0774193548387</v>
      </c>
      <c r="D216" s="94"/>
      <c r="E216" s="60" t="n">
        <v>43374</v>
      </c>
      <c r="F216" s="92" t="n">
        <v>48.0092721414089</v>
      </c>
      <c r="G216" s="93" t="n">
        <v>53.0092721414089</v>
      </c>
      <c r="I216" s="60" t="n">
        <v>43374</v>
      </c>
      <c r="J216" s="97" t="n">
        <v>5.216</v>
      </c>
      <c r="K216" s="96" t="n">
        <f aca="false">$K$3+J216</f>
        <v>5.716</v>
      </c>
      <c r="M216" s="60" t="n">
        <v>43374</v>
      </c>
      <c r="N216" s="97" t="n">
        <v>4.921</v>
      </c>
      <c r="O216" s="96" t="n">
        <f aca="false">$O$3+N216</f>
        <v>5.221</v>
      </c>
    </row>
    <row r="217" customFormat="false" ht="12.75" hidden="false" customHeight="false" outlineLevel="0" collapsed="false">
      <c r="A217" s="60" t="n">
        <v>43405</v>
      </c>
      <c r="B217" s="92" t="n">
        <v>46.1444444444444</v>
      </c>
      <c r="C217" s="93" t="n">
        <v>51.1444444444444</v>
      </c>
      <c r="D217" s="94"/>
      <c r="E217" s="60" t="n">
        <v>43405</v>
      </c>
      <c r="F217" s="92" t="n">
        <v>40.1809466974169</v>
      </c>
      <c r="G217" s="93" t="n">
        <v>45.1809466974169</v>
      </c>
      <c r="I217" s="60" t="n">
        <v>43405</v>
      </c>
      <c r="J217" s="97" t="n">
        <v>5.181</v>
      </c>
      <c r="K217" s="96" t="n">
        <f aca="false">$K$3+J217</f>
        <v>5.681</v>
      </c>
      <c r="M217" s="60" t="n">
        <v>43405</v>
      </c>
      <c r="N217" s="97" t="n">
        <v>5.061</v>
      </c>
      <c r="O217" s="96" t="n">
        <f aca="false">$O$3+N217</f>
        <v>5.361</v>
      </c>
    </row>
    <row r="218" customFormat="false" ht="12.75" hidden="false" customHeight="false" outlineLevel="0" collapsed="false">
      <c r="A218" s="60" t="n">
        <v>43435</v>
      </c>
      <c r="B218" s="92" t="n">
        <v>45.0172043010753</v>
      </c>
      <c r="C218" s="93" t="n">
        <v>50.0172043010753</v>
      </c>
      <c r="D218" s="94"/>
      <c r="E218" s="60" t="n">
        <v>43435</v>
      </c>
      <c r="F218" s="92" t="n">
        <v>39.6844250993621</v>
      </c>
      <c r="G218" s="93" t="n">
        <v>44.6844250993621</v>
      </c>
      <c r="I218" s="60" t="n">
        <v>43435</v>
      </c>
      <c r="J218" s="97" t="n">
        <v>5.306</v>
      </c>
      <c r="K218" s="96" t="n">
        <f aca="false">$K$3+J218</f>
        <v>5.806</v>
      </c>
      <c r="M218" s="60" t="n">
        <v>43435</v>
      </c>
      <c r="N218" s="97" t="n">
        <v>5.186</v>
      </c>
      <c r="O218" s="96" t="n">
        <f aca="false">$O$3+N218</f>
        <v>5.486</v>
      </c>
    </row>
    <row r="219" customFormat="false" ht="12.75" hidden="false" customHeight="false" outlineLevel="0" collapsed="false">
      <c r="A219" s="60" t="n">
        <v>43466</v>
      </c>
      <c r="B219" s="92" t="n">
        <v>48.8602150537634</v>
      </c>
      <c r="C219" s="93" t="n">
        <v>53.8602150537634</v>
      </c>
      <c r="D219" s="94"/>
      <c r="E219" s="60" t="n">
        <v>43466</v>
      </c>
      <c r="F219" s="92" t="n">
        <v>41.4033140163165</v>
      </c>
      <c r="G219" s="93" t="n">
        <v>46.4033140163165</v>
      </c>
      <c r="I219" s="60" t="n">
        <v>43466</v>
      </c>
      <c r="J219" s="97" t="n">
        <v>5.475</v>
      </c>
      <c r="K219" s="96" t="n">
        <f aca="false">$K$3+J219</f>
        <v>5.975</v>
      </c>
      <c r="M219" s="60" t="n">
        <v>43466</v>
      </c>
      <c r="N219" s="97" t="n">
        <v>5.355</v>
      </c>
      <c r="O219" s="96" t="n">
        <f aca="false">$O$3+N219</f>
        <v>5.655</v>
      </c>
    </row>
    <row r="220" customFormat="false" ht="12.75" hidden="false" customHeight="false" outlineLevel="0" collapsed="false">
      <c r="A220" s="60" t="n">
        <v>43497</v>
      </c>
      <c r="B220" s="92" t="n">
        <v>47.5642857142857</v>
      </c>
      <c r="C220" s="93" t="n">
        <v>52.5642857142857</v>
      </c>
      <c r="D220" s="94"/>
      <c r="E220" s="60" t="n">
        <v>43497</v>
      </c>
      <c r="F220" s="92" t="n">
        <v>41.3649439408523</v>
      </c>
      <c r="G220" s="93" t="n">
        <v>46.3649439408523</v>
      </c>
      <c r="I220" s="60" t="n">
        <v>43497</v>
      </c>
      <c r="J220" s="97" t="n">
        <v>5.569</v>
      </c>
      <c r="K220" s="96" t="n">
        <f aca="false">$K$3+J220</f>
        <v>6.069</v>
      </c>
      <c r="M220" s="60" t="n">
        <v>43497</v>
      </c>
      <c r="N220" s="97" t="n">
        <v>5.259</v>
      </c>
      <c r="O220" s="96" t="n">
        <f aca="false">$O$3+N220</f>
        <v>5.559</v>
      </c>
    </row>
    <row r="221" customFormat="false" ht="12.75" hidden="false" customHeight="false" outlineLevel="0" collapsed="false">
      <c r="A221" s="60" t="n">
        <v>43525</v>
      </c>
      <c r="B221" s="92" t="n">
        <v>45.3306451612903</v>
      </c>
      <c r="C221" s="93" t="n">
        <v>50.3306451612903</v>
      </c>
      <c r="D221" s="94"/>
      <c r="E221" s="60" t="n">
        <v>43525</v>
      </c>
      <c r="F221" s="92" t="n">
        <v>40.7733339235129</v>
      </c>
      <c r="G221" s="93" t="n">
        <v>45.7733339235129</v>
      </c>
      <c r="I221" s="60" t="n">
        <v>43525</v>
      </c>
      <c r="J221" s="97" t="n">
        <v>5.419</v>
      </c>
      <c r="K221" s="96" t="n">
        <f aca="false">$K$3+J221</f>
        <v>5.919</v>
      </c>
      <c r="M221" s="60" t="n">
        <v>43525</v>
      </c>
      <c r="N221" s="97" t="n">
        <v>5.109</v>
      </c>
      <c r="O221" s="96" t="n">
        <f aca="false">$O$3+N221</f>
        <v>5.409</v>
      </c>
    </row>
    <row r="222" customFormat="false" ht="12.75" hidden="false" customHeight="false" outlineLevel="0" collapsed="false">
      <c r="A222" s="60" t="n">
        <v>43556</v>
      </c>
      <c r="B222" s="92" t="n">
        <v>43.6911111111111</v>
      </c>
      <c r="C222" s="93" t="n">
        <v>48.6911111111111</v>
      </c>
      <c r="D222" s="94"/>
      <c r="E222" s="60" t="n">
        <v>43556</v>
      </c>
      <c r="F222" s="92" t="n">
        <v>39.8958704225663</v>
      </c>
      <c r="G222" s="93" t="n">
        <v>44.8958704225663</v>
      </c>
      <c r="I222" s="60" t="n">
        <v>43556</v>
      </c>
      <c r="J222" s="97" t="n">
        <v>5.3035</v>
      </c>
      <c r="K222" s="96" t="n">
        <f aca="false">$K$3+J222</f>
        <v>5.8035</v>
      </c>
      <c r="M222" s="60" t="n">
        <v>43556</v>
      </c>
      <c r="N222" s="97" t="n">
        <v>4.926</v>
      </c>
      <c r="O222" s="96" t="n">
        <f aca="false">$O$3+N222</f>
        <v>5.226</v>
      </c>
    </row>
    <row r="223" customFormat="false" ht="12.75" hidden="false" customHeight="false" outlineLevel="0" collapsed="false">
      <c r="A223" s="60" t="n">
        <v>43586</v>
      </c>
      <c r="B223" s="92" t="n">
        <v>43.5112903225806</v>
      </c>
      <c r="C223" s="93" t="n">
        <v>48.5112903225806</v>
      </c>
      <c r="D223" s="94"/>
      <c r="E223" s="60" t="n">
        <v>43586</v>
      </c>
      <c r="F223" s="92" t="n">
        <v>39.4211822487034</v>
      </c>
      <c r="G223" s="93" t="n">
        <v>44.4211822487034</v>
      </c>
      <c r="I223" s="60" t="n">
        <v>43586</v>
      </c>
      <c r="J223" s="97" t="n">
        <v>5.2785</v>
      </c>
      <c r="K223" s="96" t="n">
        <f aca="false">$K$3+J223</f>
        <v>5.7785</v>
      </c>
      <c r="M223" s="60" t="n">
        <v>43586</v>
      </c>
      <c r="N223" s="97" t="n">
        <v>4.901</v>
      </c>
      <c r="O223" s="96" t="n">
        <f aca="false">$O$3+N223</f>
        <v>5.201</v>
      </c>
    </row>
    <row r="224" customFormat="false" ht="12.75" hidden="false" customHeight="false" outlineLevel="0" collapsed="false">
      <c r="A224" s="60" t="n">
        <v>43617</v>
      </c>
      <c r="B224" s="92" t="n">
        <v>48.3944444444444</v>
      </c>
      <c r="C224" s="93" t="n">
        <v>53.3944444444444</v>
      </c>
      <c r="D224" s="94"/>
      <c r="E224" s="60" t="n">
        <v>43617</v>
      </c>
      <c r="F224" s="92" t="n">
        <v>49.9338605121841</v>
      </c>
      <c r="G224" s="93" t="n">
        <v>54.9338605121841</v>
      </c>
      <c r="I224" s="60" t="n">
        <v>43617</v>
      </c>
      <c r="J224" s="97" t="n">
        <v>5.3075</v>
      </c>
      <c r="K224" s="96" t="n">
        <f aca="false">$K$3+J224</f>
        <v>5.8075</v>
      </c>
      <c r="M224" s="60" t="n">
        <v>43617</v>
      </c>
      <c r="N224" s="97" t="n">
        <v>4.93</v>
      </c>
      <c r="O224" s="96" t="n">
        <f aca="false">$O$3+N224</f>
        <v>5.23</v>
      </c>
    </row>
    <row r="225" customFormat="false" ht="12.75" hidden="false" customHeight="false" outlineLevel="0" collapsed="false">
      <c r="A225" s="60" t="n">
        <v>43647</v>
      </c>
      <c r="B225" s="92" t="n">
        <v>60.841935483871</v>
      </c>
      <c r="C225" s="93" t="n">
        <v>65.841935483871</v>
      </c>
      <c r="D225" s="94"/>
      <c r="E225" s="60" t="n">
        <v>43647</v>
      </c>
      <c r="F225" s="92" t="n">
        <v>61.3665961616808</v>
      </c>
      <c r="G225" s="93" t="n">
        <v>66.3665961616809</v>
      </c>
      <c r="I225" s="60" t="n">
        <v>43647</v>
      </c>
      <c r="J225" s="97" t="n">
        <v>5.3375</v>
      </c>
      <c r="K225" s="96" t="n">
        <f aca="false">$K$3+J225</f>
        <v>5.8375</v>
      </c>
      <c r="M225" s="60" t="n">
        <v>43647</v>
      </c>
      <c r="N225" s="97" t="n">
        <v>4.96</v>
      </c>
      <c r="O225" s="96" t="n">
        <f aca="false">$O$3+N225</f>
        <v>5.26</v>
      </c>
    </row>
    <row r="226" customFormat="false" ht="12.75" hidden="false" customHeight="false" outlineLevel="0" collapsed="false">
      <c r="A226" s="60" t="n">
        <v>43678</v>
      </c>
      <c r="B226" s="92" t="n">
        <v>70.3758064516129</v>
      </c>
      <c r="C226" s="93" t="n">
        <v>75.3758064516129</v>
      </c>
      <c r="D226" s="94"/>
      <c r="E226" s="60" t="n">
        <v>43678</v>
      </c>
      <c r="F226" s="92" t="n">
        <v>65.083470003769</v>
      </c>
      <c r="G226" s="93" t="n">
        <v>70.083470003769</v>
      </c>
      <c r="I226" s="60" t="n">
        <v>43678</v>
      </c>
      <c r="J226" s="97" t="n">
        <v>5.3575</v>
      </c>
      <c r="K226" s="96" t="n">
        <f aca="false">$K$3+J226</f>
        <v>5.8575</v>
      </c>
      <c r="M226" s="60" t="n">
        <v>43678</v>
      </c>
      <c r="N226" s="97" t="n">
        <v>4.98</v>
      </c>
      <c r="O226" s="96" t="n">
        <f aca="false">$O$3+N226</f>
        <v>5.28</v>
      </c>
    </row>
    <row r="227" customFormat="false" ht="12.75" hidden="false" customHeight="false" outlineLevel="0" collapsed="false">
      <c r="A227" s="60" t="n">
        <v>43709</v>
      </c>
      <c r="B227" s="92" t="n">
        <v>60.7066666666667</v>
      </c>
      <c r="C227" s="93" t="n">
        <v>65.7066666666667</v>
      </c>
      <c r="D227" s="94"/>
      <c r="E227" s="60" t="n">
        <v>43709</v>
      </c>
      <c r="F227" s="92" t="n">
        <v>58.4678210248529</v>
      </c>
      <c r="G227" s="93" t="n">
        <v>63.4678210248529</v>
      </c>
      <c r="I227" s="60" t="n">
        <v>43709</v>
      </c>
      <c r="J227" s="97" t="n">
        <v>5.3785</v>
      </c>
      <c r="K227" s="96" t="n">
        <f aca="false">$K$3+J227</f>
        <v>5.8785</v>
      </c>
      <c r="M227" s="60" t="n">
        <v>43709</v>
      </c>
      <c r="N227" s="97" t="n">
        <v>5.001</v>
      </c>
      <c r="O227" s="96" t="n">
        <f aca="false">$O$3+N227</f>
        <v>5.301</v>
      </c>
    </row>
    <row r="228" customFormat="false" ht="12.75" hidden="false" customHeight="false" outlineLevel="0" collapsed="false">
      <c r="A228" s="60" t="n">
        <v>43739</v>
      </c>
      <c r="B228" s="92" t="n">
        <v>48.1064516129032</v>
      </c>
      <c r="C228" s="93" t="n">
        <v>53.1064516129032</v>
      </c>
      <c r="D228" s="94"/>
      <c r="E228" s="60" t="n">
        <v>43739</v>
      </c>
      <c r="F228" s="92" t="n">
        <v>48.2592721414089</v>
      </c>
      <c r="G228" s="93" t="n">
        <v>53.2592721414089</v>
      </c>
      <c r="I228" s="60" t="n">
        <v>43739</v>
      </c>
      <c r="J228" s="97" t="n">
        <v>5.4085</v>
      </c>
      <c r="K228" s="96" t="n">
        <f aca="false">$K$3+J228</f>
        <v>5.9085</v>
      </c>
      <c r="M228" s="60" t="n">
        <v>43739</v>
      </c>
      <c r="N228" s="97" t="n">
        <v>5.031</v>
      </c>
      <c r="O228" s="96" t="n">
        <f aca="false">$O$3+N228</f>
        <v>5.331</v>
      </c>
    </row>
    <row r="229" customFormat="false" ht="12.75" hidden="false" customHeight="false" outlineLevel="0" collapsed="false">
      <c r="A229" s="60" t="n">
        <v>43770</v>
      </c>
      <c r="B229" s="92" t="n">
        <v>46.1722222222222</v>
      </c>
      <c r="C229" s="93" t="n">
        <v>51.1722222222222</v>
      </c>
      <c r="D229" s="94"/>
      <c r="E229" s="60" t="n">
        <v>43770</v>
      </c>
      <c r="F229" s="92" t="n">
        <v>40.4158985885614</v>
      </c>
      <c r="G229" s="93" t="n">
        <v>45.4158985885614</v>
      </c>
      <c r="I229" s="60" t="n">
        <v>43770</v>
      </c>
      <c r="J229" s="97" t="n">
        <v>5.481</v>
      </c>
      <c r="K229" s="96" t="n">
        <f aca="false">$K$3+J229</f>
        <v>5.981</v>
      </c>
      <c r="M229" s="60" t="n">
        <v>43770</v>
      </c>
      <c r="N229" s="97" t="n">
        <v>5.171</v>
      </c>
      <c r="O229" s="96" t="n">
        <f aca="false">$O$3+N229</f>
        <v>5.471</v>
      </c>
    </row>
    <row r="230" customFormat="false" ht="12.75" hidden="false" customHeight="false" outlineLevel="0" collapsed="false">
      <c r="A230" s="60" t="n">
        <v>43800</v>
      </c>
      <c r="B230" s="92" t="n">
        <v>45.0440860215054</v>
      </c>
      <c r="C230" s="93" t="n">
        <v>50.0440860215054</v>
      </c>
      <c r="D230" s="94"/>
      <c r="E230" s="60" t="n">
        <v>43800</v>
      </c>
      <c r="F230" s="92" t="n">
        <v>39.9198624133729</v>
      </c>
      <c r="G230" s="93" t="n">
        <v>44.9198624133729</v>
      </c>
      <c r="I230" s="60" t="n">
        <v>43800</v>
      </c>
      <c r="J230" s="97" t="n">
        <v>5.606</v>
      </c>
      <c r="K230" s="96" t="n">
        <f aca="false">$K$3+J230</f>
        <v>6.106</v>
      </c>
      <c r="M230" s="60" t="n">
        <v>43800</v>
      </c>
      <c r="N230" s="97" t="n">
        <v>5.296</v>
      </c>
      <c r="O230" s="96" t="n">
        <f aca="false">$O$3+N230</f>
        <v>5.596</v>
      </c>
    </row>
    <row r="231" customFormat="false" ht="12.75" hidden="false" customHeight="false" outlineLevel="0" collapsed="false">
      <c r="A231" s="60" t="n">
        <v>43831</v>
      </c>
      <c r="B231" s="92" t="n">
        <v>48.8881720430108</v>
      </c>
      <c r="C231" s="93" t="n">
        <v>53.8881720430108</v>
      </c>
      <c r="D231" s="94"/>
      <c r="E231" s="60" t="n">
        <v>43831</v>
      </c>
      <c r="F231" s="92" t="n">
        <v>41.6533140163165</v>
      </c>
      <c r="G231" s="93" t="n">
        <v>46.6533140163165</v>
      </c>
      <c r="I231" s="60" t="n">
        <v>43831</v>
      </c>
      <c r="J231" s="97" t="n">
        <v>5.775</v>
      </c>
      <c r="K231" s="96" t="n">
        <f aca="false">$K$3+J231</f>
        <v>6.275</v>
      </c>
      <c r="M231" s="60" t="n">
        <v>43831</v>
      </c>
      <c r="N231" s="97" t="n">
        <v>5.465</v>
      </c>
      <c r="O231" s="96" t="n">
        <f aca="false">$O$3+N231</f>
        <v>5.765</v>
      </c>
    </row>
    <row r="232" customFormat="false" ht="12.75" hidden="false" customHeight="false" outlineLevel="0" collapsed="false">
      <c r="A232" s="60" t="n">
        <v>43862</v>
      </c>
      <c r="B232" s="92" t="n">
        <v>47.633908045977</v>
      </c>
      <c r="C232" s="93" t="n">
        <v>52.633908045977</v>
      </c>
      <c r="D232" s="94"/>
      <c r="E232" s="60" t="n">
        <v>43862</v>
      </c>
      <c r="F232" s="92" t="n">
        <v>41.6418307492466</v>
      </c>
      <c r="G232" s="93" t="n">
        <v>46.6418307492466</v>
      </c>
      <c r="I232" s="60" t="n">
        <v>43862</v>
      </c>
      <c r="J232" s="97" t="n">
        <v>5.679</v>
      </c>
      <c r="K232" s="96" t="n">
        <f aca="false">$K$3+J232</f>
        <v>6.179</v>
      </c>
      <c r="M232" s="60" t="n">
        <v>43862</v>
      </c>
      <c r="N232" s="97" t="n">
        <v>5.369</v>
      </c>
      <c r="O232" s="96" t="n">
        <f aca="false">$O$3+N232</f>
        <v>5.669</v>
      </c>
    </row>
    <row r="233" customFormat="false" ht="12.75" hidden="false" customHeight="false" outlineLevel="0" collapsed="false">
      <c r="A233" s="60" t="n">
        <v>43891</v>
      </c>
      <c r="B233" s="92" t="n">
        <v>45.3586021505376</v>
      </c>
      <c r="C233" s="93" t="n">
        <v>50.3586021505376</v>
      </c>
      <c r="D233" s="94"/>
      <c r="E233" s="60" t="n">
        <v>43891</v>
      </c>
      <c r="F233" s="92" t="n">
        <v>41.0102972375371</v>
      </c>
      <c r="G233" s="93" t="n">
        <v>46.0102972375371</v>
      </c>
      <c r="I233" s="60" t="n">
        <v>43891</v>
      </c>
      <c r="J233" s="97" t="n">
        <v>5.529</v>
      </c>
      <c r="K233" s="96" t="n">
        <f aca="false">$K$3+J233</f>
        <v>6.029</v>
      </c>
      <c r="M233" s="60" t="n">
        <v>43891</v>
      </c>
      <c r="N233" s="97" t="n">
        <v>5.219</v>
      </c>
      <c r="O233" s="96" t="n">
        <f aca="false">$O$3+N233</f>
        <v>5.519</v>
      </c>
    </row>
    <row r="234" customFormat="false" ht="12.75" hidden="false" customHeight="false" outlineLevel="0" collapsed="false">
      <c r="A234" s="60" t="n">
        <v>43922</v>
      </c>
      <c r="B234" s="92" t="n">
        <v>43.72</v>
      </c>
      <c r="C234" s="93" t="n">
        <v>48.72</v>
      </c>
      <c r="D234" s="94"/>
      <c r="E234" s="60" t="n">
        <v>43922</v>
      </c>
      <c r="F234" s="92" t="n">
        <v>40.1458704225663</v>
      </c>
      <c r="G234" s="93" t="n">
        <v>45.1458704225663</v>
      </c>
      <c r="I234" s="60" t="n">
        <v>43922</v>
      </c>
      <c r="J234" s="97" t="n">
        <v>5.4135</v>
      </c>
      <c r="K234" s="96" t="n">
        <f aca="false">$K$3+J234</f>
        <v>5.9135</v>
      </c>
      <c r="M234" s="60" t="n">
        <v>43922</v>
      </c>
      <c r="N234" s="97" t="n">
        <v>5.036</v>
      </c>
      <c r="O234" s="96" t="n">
        <f aca="false">$O$3+N234</f>
        <v>5.336</v>
      </c>
    </row>
    <row r="235" customFormat="false" ht="12.75" hidden="false" customHeight="false" outlineLevel="0" collapsed="false">
      <c r="A235" s="60" t="n">
        <v>43952</v>
      </c>
      <c r="B235" s="92" t="n">
        <v>43.1704301075269</v>
      </c>
      <c r="C235" s="93" t="n">
        <v>48.1704301075269</v>
      </c>
      <c r="D235" s="94"/>
      <c r="E235" s="60" t="n">
        <v>43952</v>
      </c>
      <c r="F235" s="92" t="n">
        <v>39.4014652943917</v>
      </c>
      <c r="G235" s="93" t="n">
        <v>44.4014652943917</v>
      </c>
      <c r="I235" s="60" t="n">
        <v>43952</v>
      </c>
      <c r="J235" s="97" t="n">
        <v>5.3885</v>
      </c>
      <c r="K235" s="96" t="n">
        <f aca="false">$K$3+J235</f>
        <v>5.8885</v>
      </c>
      <c r="M235" s="60" t="n">
        <v>43952</v>
      </c>
      <c r="N235" s="97" t="n">
        <v>5.011</v>
      </c>
      <c r="O235" s="96" t="n">
        <f aca="false">$O$3+N235</f>
        <v>5.311</v>
      </c>
    </row>
    <row r="236" customFormat="false" ht="12.75" hidden="false" customHeight="false" outlineLevel="0" collapsed="false">
      <c r="A236" s="60" t="n">
        <v>43983</v>
      </c>
      <c r="B236" s="92" t="n">
        <v>48.9311111111111</v>
      </c>
      <c r="C236" s="93" t="n">
        <v>53.9311111111111</v>
      </c>
      <c r="D236" s="94"/>
      <c r="E236" s="60" t="n">
        <v>43983</v>
      </c>
      <c r="F236" s="92" t="n">
        <v>50.8585389043355</v>
      </c>
      <c r="G236" s="93" t="n">
        <v>55.8585389043355</v>
      </c>
      <c r="I236" s="60" t="n">
        <v>43983</v>
      </c>
      <c r="J236" s="97" t="n">
        <v>5.4175</v>
      </c>
      <c r="K236" s="96" t="n">
        <f aca="false">$K$3+J236</f>
        <v>5.9175</v>
      </c>
      <c r="M236" s="60" t="n">
        <v>43983</v>
      </c>
      <c r="N236" s="97" t="n">
        <v>5.04</v>
      </c>
      <c r="O236" s="96" t="n">
        <f aca="false">$O$3+N236</f>
        <v>5.34</v>
      </c>
    </row>
    <row r="237" customFormat="false" ht="12.75" hidden="false" customHeight="false" outlineLevel="0" collapsed="false">
      <c r="A237" s="60" t="n">
        <v>44013</v>
      </c>
      <c r="B237" s="92" t="n">
        <v>60.8698924731183</v>
      </c>
      <c r="C237" s="93" t="n">
        <v>65.8698924731183</v>
      </c>
      <c r="D237" s="94"/>
      <c r="E237" s="60" t="n">
        <v>44013</v>
      </c>
      <c r="F237" s="92" t="n">
        <v>61.6165961616808</v>
      </c>
      <c r="G237" s="93" t="n">
        <v>66.6165961616809</v>
      </c>
      <c r="I237" s="60" t="n">
        <v>44013</v>
      </c>
      <c r="J237" s="97" t="n">
        <v>5.4475</v>
      </c>
      <c r="K237" s="96" t="n">
        <f aca="false">$K$3+J237</f>
        <v>5.9475</v>
      </c>
      <c r="M237" s="60" t="n">
        <v>44013</v>
      </c>
      <c r="N237" s="97" t="n">
        <v>5.07</v>
      </c>
      <c r="O237" s="96" t="n">
        <f aca="false">$O$3+N237</f>
        <v>5.37</v>
      </c>
    </row>
    <row r="238" customFormat="false" ht="12.75" hidden="false" customHeight="false" outlineLevel="0" collapsed="false">
      <c r="A238" s="60" t="n">
        <v>44044</v>
      </c>
      <c r="B238" s="92" t="n">
        <v>69.4102150537634</v>
      </c>
      <c r="C238" s="93" t="n">
        <v>74.4102150537634</v>
      </c>
      <c r="D238" s="94"/>
      <c r="E238" s="60" t="n">
        <v>44044</v>
      </c>
      <c r="F238" s="92" t="n">
        <v>64.7357526713433</v>
      </c>
      <c r="G238" s="93" t="n">
        <v>69.7357526713433</v>
      </c>
      <c r="I238" s="60" t="n">
        <v>44044</v>
      </c>
      <c r="J238" s="97" t="n">
        <v>5.4675</v>
      </c>
      <c r="K238" s="96" t="n">
        <f aca="false">$K$3+J238</f>
        <v>5.9675</v>
      </c>
      <c r="M238" s="60" t="n">
        <v>44044</v>
      </c>
      <c r="N238" s="97" t="n">
        <v>5.09</v>
      </c>
      <c r="O238" s="96" t="n">
        <f aca="false">$O$3+N238</f>
        <v>5.39</v>
      </c>
    </row>
    <row r="239" customFormat="false" ht="12.75" hidden="false" customHeight="false" outlineLevel="0" collapsed="false">
      <c r="A239" s="60" t="n">
        <v>44075</v>
      </c>
      <c r="B239" s="92" t="n">
        <v>61.5222222222222</v>
      </c>
      <c r="C239" s="93" t="n">
        <v>66.5222222222222</v>
      </c>
      <c r="D239" s="94"/>
      <c r="E239" s="60" t="n">
        <v>44075</v>
      </c>
      <c r="F239" s="92" t="n">
        <v>59.2948798732682</v>
      </c>
      <c r="G239" s="93" t="n">
        <v>64.2948798732682</v>
      </c>
      <c r="I239" s="60" t="n">
        <v>44075</v>
      </c>
      <c r="J239" s="97" t="n">
        <v>5.4885</v>
      </c>
      <c r="K239" s="96" t="n">
        <f aca="false">$K$3+J239</f>
        <v>5.9885</v>
      </c>
      <c r="M239" s="60" t="n">
        <v>44075</v>
      </c>
      <c r="N239" s="97" t="n">
        <v>5.111</v>
      </c>
      <c r="O239" s="96" t="n">
        <f aca="false">$O$3+N239</f>
        <v>5.411</v>
      </c>
    </row>
    <row r="240" customFormat="false" ht="12.75" hidden="false" customHeight="false" outlineLevel="0" collapsed="false">
      <c r="A240" s="60" t="n">
        <v>44105</v>
      </c>
      <c r="B240" s="92" t="n">
        <v>48.1354838709678</v>
      </c>
      <c r="C240" s="93" t="n">
        <v>53.1354838709678</v>
      </c>
      <c r="D240" s="94"/>
      <c r="E240" s="60" t="n">
        <v>44105</v>
      </c>
      <c r="F240" s="92" t="n">
        <v>48.5092721414089</v>
      </c>
      <c r="G240" s="93" t="n">
        <v>53.5092721414089</v>
      </c>
      <c r="I240" s="60" t="n">
        <v>44105</v>
      </c>
      <c r="J240" s="97" t="n">
        <v>5.5185</v>
      </c>
      <c r="K240" s="96" t="n">
        <f aca="false">$K$3+J240</f>
        <v>6.0185</v>
      </c>
      <c r="M240" s="60" t="n">
        <v>44105</v>
      </c>
      <c r="N240" s="97" t="n">
        <v>5.141</v>
      </c>
      <c r="O240" s="96" t="n">
        <f aca="false">$O$3+N240</f>
        <v>5.441</v>
      </c>
    </row>
    <row r="241" customFormat="false" ht="12.75" hidden="false" customHeight="false" outlineLevel="0" collapsed="false">
      <c r="A241" s="60" t="n">
        <v>44136</v>
      </c>
      <c r="B241" s="92" t="n">
        <v>45.8</v>
      </c>
      <c r="C241" s="93" t="n">
        <v>50.8</v>
      </c>
      <c r="D241" s="94"/>
      <c r="E241" s="60" t="n">
        <v>44136</v>
      </c>
      <c r="F241" s="92" t="n">
        <v>40.3697008801598</v>
      </c>
      <c r="G241" s="93" t="n">
        <v>45.3697008801598</v>
      </c>
      <c r="I241" s="60" t="n">
        <v>44136</v>
      </c>
      <c r="J241" s="97" t="n">
        <v>5.611</v>
      </c>
      <c r="K241" s="96" t="n">
        <f aca="false">$K$3+J241</f>
        <v>6.111</v>
      </c>
      <c r="M241" s="60" t="n">
        <v>44136</v>
      </c>
      <c r="N241" s="97" t="n">
        <v>5.281</v>
      </c>
      <c r="O241" s="96" t="n">
        <f aca="false">$O$3+N241</f>
        <v>5.581</v>
      </c>
    </row>
    <row r="242" customFormat="false" ht="12.75" hidden="false" customHeight="false" outlineLevel="0" collapsed="false">
      <c r="A242" s="60" t="n">
        <v>44166</v>
      </c>
      <c r="B242" s="92" t="n">
        <v>45.4258064516129</v>
      </c>
      <c r="C242" s="93" t="n">
        <v>50.4258064516129</v>
      </c>
      <c r="D242" s="94"/>
      <c r="E242" s="60" t="n">
        <v>44166</v>
      </c>
      <c r="F242" s="92" t="n">
        <v>40.416627296837</v>
      </c>
      <c r="G242" s="93" t="n">
        <v>45.416627296837</v>
      </c>
      <c r="I242" s="60" t="n">
        <v>44166</v>
      </c>
      <c r="J242" s="97" t="n">
        <v>5.736</v>
      </c>
      <c r="K242" s="96" t="n">
        <f aca="false">$K$3+J242</f>
        <v>6.236</v>
      </c>
      <c r="M242" s="60" t="n">
        <v>44166</v>
      </c>
      <c r="N242" s="97" t="n">
        <v>5.406</v>
      </c>
      <c r="O242" s="96" t="n">
        <f aca="false">$O$3+N242</f>
        <v>5.706</v>
      </c>
    </row>
    <row r="243" customFormat="false" ht="12.75" hidden="false" customHeight="false" outlineLevel="0" collapsed="false">
      <c r="A243" s="60" t="n">
        <v>44197</v>
      </c>
      <c r="B243" s="92" t="n">
        <v>48.6193548387097</v>
      </c>
      <c r="C243" s="93" t="n">
        <v>53.6193548387097</v>
      </c>
      <c r="D243" s="94"/>
      <c r="E243" s="60" t="n">
        <v>44197</v>
      </c>
      <c r="F243" s="92" t="n">
        <v>41.6303049439417</v>
      </c>
      <c r="G243" s="93" t="n">
        <v>46.6303049439417</v>
      </c>
      <c r="I243" s="60" t="n">
        <v>44197</v>
      </c>
      <c r="J243" s="97" t="n">
        <v>5.905</v>
      </c>
      <c r="K243" s="96" t="n">
        <f aca="false">$K$3+J243</f>
        <v>6.405</v>
      </c>
      <c r="M243" s="60" t="n">
        <v>44197</v>
      </c>
      <c r="N243" s="97" t="n">
        <v>5.575</v>
      </c>
      <c r="O243" s="96" t="n">
        <f aca="false">$O$3+N243</f>
        <v>5.875</v>
      </c>
    </row>
    <row r="244" customFormat="false" ht="12.75" hidden="false" customHeight="false" outlineLevel="0" collapsed="false">
      <c r="A244" s="60" t="n">
        <v>44228</v>
      </c>
      <c r="B244" s="92" t="n">
        <v>47.6214285714286</v>
      </c>
      <c r="C244" s="93" t="n">
        <v>52.6214285714286</v>
      </c>
      <c r="D244" s="94"/>
      <c r="E244" s="60" t="n">
        <v>44228</v>
      </c>
      <c r="F244" s="92" t="n">
        <v>41.8382975277588</v>
      </c>
      <c r="G244" s="93" t="n">
        <v>46.8382975277588</v>
      </c>
      <c r="I244" s="60" t="n">
        <v>44228</v>
      </c>
      <c r="J244" s="97" t="n">
        <v>5.809</v>
      </c>
      <c r="K244" s="96" t="n">
        <f aca="false">$K$3+J244</f>
        <v>6.309</v>
      </c>
      <c r="M244" s="60" t="n">
        <v>44228</v>
      </c>
      <c r="N244" s="97" t="n">
        <v>5.479</v>
      </c>
      <c r="O244" s="96" t="n">
        <f aca="false">$O$3+N244</f>
        <v>5.779</v>
      </c>
    </row>
    <row r="245" customFormat="false" ht="12.75" hidden="false" customHeight="false" outlineLevel="0" collapsed="false">
      <c r="A245" s="60" t="n">
        <v>44256</v>
      </c>
      <c r="B245" s="92" t="n">
        <v>45.6725806451613</v>
      </c>
      <c r="C245" s="93" t="n">
        <v>50.6725806451613</v>
      </c>
      <c r="D245" s="94"/>
      <c r="E245" s="60" t="n">
        <v>44256</v>
      </c>
      <c r="F245" s="92" t="n">
        <v>41.531575259907</v>
      </c>
      <c r="G245" s="93" t="n">
        <v>46.531575259907</v>
      </c>
      <c r="I245" s="60" t="n">
        <v>44256</v>
      </c>
      <c r="J245" s="97" t="n">
        <v>5.659</v>
      </c>
      <c r="K245" s="96" t="n">
        <f aca="false">$K$3+J245</f>
        <v>6.159</v>
      </c>
      <c r="M245" s="60" t="n">
        <v>44256</v>
      </c>
      <c r="N245" s="97" t="n">
        <v>5.329</v>
      </c>
      <c r="O245" s="96" t="n">
        <f aca="false">$O$3+N245</f>
        <v>5.629</v>
      </c>
    </row>
    <row r="246" customFormat="false" ht="12.75" hidden="false" customHeight="false" outlineLevel="0" collapsed="false">
      <c r="A246" s="60" t="n">
        <v>44287</v>
      </c>
      <c r="B246" s="92" t="n">
        <v>43.7488888888889</v>
      </c>
      <c r="C246" s="93" t="n">
        <v>48.7488888888889</v>
      </c>
      <c r="D246" s="94"/>
      <c r="E246" s="60" t="n">
        <v>44287</v>
      </c>
      <c r="F246" s="92" t="n">
        <v>40.3958704225663</v>
      </c>
      <c r="G246" s="93" t="n">
        <v>45.3958704225663</v>
      </c>
      <c r="I246" s="60" t="n">
        <v>44287</v>
      </c>
      <c r="J246" s="97" t="n">
        <v>5.476</v>
      </c>
      <c r="K246" s="96" t="n">
        <f aca="false">$K$3+J246</f>
        <v>5.976</v>
      </c>
      <c r="M246" s="60" t="n">
        <v>44287</v>
      </c>
      <c r="N246" s="97" t="n">
        <v>5.146</v>
      </c>
      <c r="O246" s="96" t="n">
        <f aca="false">$O$3+N246</f>
        <v>5.446</v>
      </c>
    </row>
    <row r="247" customFormat="false" ht="12.75" hidden="false" customHeight="false" outlineLevel="0" collapsed="false">
      <c r="A247" s="60" t="n">
        <v>44317</v>
      </c>
      <c r="B247" s="92" t="n">
        <v>43.197311827957</v>
      </c>
      <c r="C247" s="93" t="n">
        <v>48.197311827957</v>
      </c>
      <c r="D247" s="94"/>
      <c r="E247" s="60" t="n">
        <v>44317</v>
      </c>
      <c r="F247" s="92" t="n">
        <v>39.6390120925291</v>
      </c>
      <c r="G247" s="93" t="n">
        <v>44.6390120925291</v>
      </c>
      <c r="I247" s="60" t="n">
        <v>44317</v>
      </c>
      <c r="J247" s="97" t="n">
        <v>5.451</v>
      </c>
      <c r="K247" s="96" t="n">
        <f aca="false">$K$3+J247</f>
        <v>5.951</v>
      </c>
      <c r="M247" s="60" t="n">
        <v>44317</v>
      </c>
      <c r="N247" s="97" t="n">
        <v>5.121</v>
      </c>
      <c r="O247" s="96" t="n">
        <f aca="false">$O$3+N247</f>
        <v>5.421</v>
      </c>
    </row>
    <row r="248" customFormat="false" ht="12.75" hidden="false" customHeight="false" outlineLevel="0" collapsed="false">
      <c r="A248" s="60" t="n">
        <v>44348</v>
      </c>
      <c r="B248" s="92" t="n">
        <v>48.96</v>
      </c>
      <c r="C248" s="93" t="n">
        <v>53.96</v>
      </c>
      <c r="D248" s="94"/>
      <c r="E248" s="60" t="n">
        <v>44348</v>
      </c>
      <c r="F248" s="92" t="n">
        <v>51.0951558634005</v>
      </c>
      <c r="G248" s="93" t="n">
        <v>56.0951558634005</v>
      </c>
      <c r="I248" s="60" t="n">
        <v>44348</v>
      </c>
      <c r="J248" s="97" t="n">
        <v>5.48</v>
      </c>
      <c r="K248" s="96" t="n">
        <f aca="false">$K$3+J248</f>
        <v>5.98</v>
      </c>
      <c r="M248" s="60" t="n">
        <v>44348</v>
      </c>
      <c r="N248" s="97" t="n">
        <v>5.15</v>
      </c>
      <c r="O248" s="96" t="n">
        <f aca="false">$O$3+N248</f>
        <v>5.45</v>
      </c>
    </row>
    <row r="249" customFormat="false" ht="12.75" hidden="false" customHeight="false" outlineLevel="0" collapsed="false">
      <c r="A249" s="60" t="n">
        <v>44378</v>
      </c>
      <c r="B249" s="92" t="n">
        <v>60.8978494623656</v>
      </c>
      <c r="C249" s="93" t="n">
        <v>65.8978494623656</v>
      </c>
      <c r="D249" s="94"/>
      <c r="E249" s="60" t="n">
        <v>44378</v>
      </c>
      <c r="F249" s="92" t="n">
        <v>61.8665961616808</v>
      </c>
      <c r="G249" s="93" t="n">
        <v>66.8665961616809</v>
      </c>
      <c r="I249" s="60" t="n">
        <v>44378</v>
      </c>
      <c r="J249" s="97" t="n">
        <v>5.51</v>
      </c>
      <c r="K249" s="96" t="n">
        <f aca="false">$K$3+J249</f>
        <v>6.01</v>
      </c>
      <c r="M249" s="60" t="n">
        <v>44378</v>
      </c>
      <c r="N249" s="97" t="n">
        <v>5.18</v>
      </c>
      <c r="O249" s="96" t="n">
        <f aca="false">$O$3+N249</f>
        <v>5.48</v>
      </c>
    </row>
    <row r="250" customFormat="false" ht="12.75" hidden="false" customHeight="false" outlineLevel="0" collapsed="false">
      <c r="A250" s="60" t="n">
        <v>44409</v>
      </c>
      <c r="B250" s="92" t="n">
        <v>69.4381720430107</v>
      </c>
      <c r="C250" s="93" t="n">
        <v>74.4381720430107</v>
      </c>
      <c r="D250" s="94"/>
      <c r="E250" s="60" t="n">
        <v>44409</v>
      </c>
      <c r="F250" s="92" t="n">
        <v>65.0315121475159</v>
      </c>
      <c r="G250" s="93" t="n">
        <v>70.0315121475159</v>
      </c>
      <c r="I250" s="60" t="n">
        <v>44409</v>
      </c>
      <c r="J250" s="97" t="n">
        <v>5.53</v>
      </c>
      <c r="K250" s="96" t="n">
        <f aca="false">$K$3+J250</f>
        <v>6.03</v>
      </c>
      <c r="M250" s="60" t="n">
        <v>44409</v>
      </c>
      <c r="N250" s="97" t="n">
        <v>5.2</v>
      </c>
      <c r="O250" s="96" t="n">
        <f aca="false">$O$3+N250</f>
        <v>5.5</v>
      </c>
    </row>
    <row r="251" customFormat="false" ht="12.75" hidden="false" customHeight="false" outlineLevel="0" collapsed="false">
      <c r="A251" s="60" t="n">
        <v>44440</v>
      </c>
      <c r="B251" s="92" t="n">
        <v>61.55</v>
      </c>
      <c r="C251" s="93" t="n">
        <v>66.55</v>
      </c>
      <c r="D251" s="94"/>
      <c r="E251" s="60" t="n">
        <v>44440</v>
      </c>
      <c r="F251" s="92" t="n">
        <v>59.5903460194653</v>
      </c>
      <c r="G251" s="93" t="n">
        <v>64.5903460194653</v>
      </c>
      <c r="I251" s="60" t="n">
        <v>44440</v>
      </c>
      <c r="J251" s="97" t="n">
        <v>5.551</v>
      </c>
      <c r="K251" s="96" t="n">
        <f aca="false">$K$3+J251</f>
        <v>6.051</v>
      </c>
      <c r="M251" s="60" t="n">
        <v>44440</v>
      </c>
      <c r="N251" s="97" t="n">
        <v>5.221</v>
      </c>
      <c r="O251" s="96" t="n">
        <f aca="false">$O$3+N251</f>
        <v>5.521</v>
      </c>
    </row>
    <row r="252" customFormat="false" ht="12.75" hidden="false" customHeight="false" outlineLevel="0" collapsed="false">
      <c r="A252" s="60" t="n">
        <v>44470</v>
      </c>
      <c r="B252" s="92" t="n">
        <v>47.8139784946237</v>
      </c>
      <c r="C252" s="93" t="n">
        <v>52.8139784946237</v>
      </c>
      <c r="D252" s="94"/>
      <c r="E252" s="60" t="n">
        <v>44470</v>
      </c>
      <c r="F252" s="92" t="n">
        <v>48.3930809691735</v>
      </c>
      <c r="G252" s="93" t="n">
        <v>53.3930809691735</v>
      </c>
      <c r="I252" s="60" t="n">
        <v>44470</v>
      </c>
      <c r="J252" s="97" t="n">
        <v>5.581</v>
      </c>
      <c r="K252" s="96" t="n">
        <f aca="false">$K$3+J252</f>
        <v>6.081</v>
      </c>
      <c r="M252" s="60" t="n">
        <v>44470</v>
      </c>
      <c r="N252" s="97" t="n">
        <v>5.251</v>
      </c>
      <c r="O252" s="96" t="n">
        <f aca="false">$O$3+N252</f>
        <v>5.551</v>
      </c>
    </row>
    <row r="253" customFormat="false" ht="12.75" hidden="false" customHeight="false" outlineLevel="0" collapsed="false">
      <c r="A253" s="60" t="n">
        <v>44501</v>
      </c>
      <c r="B253" s="92" t="n">
        <v>46.2277777777778</v>
      </c>
      <c r="C253" s="93" t="n">
        <v>51.2277777777778</v>
      </c>
      <c r="D253" s="94"/>
      <c r="E253" s="60" t="n">
        <v>44501</v>
      </c>
      <c r="F253" s="92" t="n">
        <v>40.8858023708504</v>
      </c>
      <c r="G253" s="93" t="n">
        <v>45.8858023708504</v>
      </c>
      <c r="I253" s="60" t="n">
        <v>44501</v>
      </c>
      <c r="J253" s="97" t="n">
        <v>5.391</v>
      </c>
      <c r="K253" s="96" t="n">
        <f aca="false">$K$3+J253</f>
        <v>5.891</v>
      </c>
      <c r="M253" s="60" t="n">
        <v>44501</v>
      </c>
      <c r="N253" s="97" t="n">
        <v>5.391</v>
      </c>
      <c r="O253" s="96" t="n">
        <f aca="false">$O$3+N253</f>
        <v>5.691</v>
      </c>
    </row>
    <row r="254" customFormat="false" ht="12.75" hidden="false" customHeight="false" outlineLevel="0" collapsed="false">
      <c r="A254" s="60" t="n">
        <v>44531</v>
      </c>
      <c r="B254" s="92" t="n">
        <v>45.4537634408602</v>
      </c>
      <c r="C254" s="93" t="n">
        <v>50.4537634408602</v>
      </c>
      <c r="D254" s="94"/>
      <c r="E254" s="60" t="n">
        <v>44531</v>
      </c>
      <c r="F254" s="92" t="n">
        <v>40.6514821034083</v>
      </c>
      <c r="G254" s="93" t="n">
        <v>45.6514821034083</v>
      </c>
      <c r="I254" s="60" t="n">
        <v>44531</v>
      </c>
      <c r="J254" s="97" t="n">
        <v>5.516</v>
      </c>
      <c r="K254" s="96" t="n">
        <f aca="false">$K$3+J254</f>
        <v>6.016</v>
      </c>
      <c r="M254" s="60" t="n">
        <v>44531</v>
      </c>
      <c r="N254" s="97" t="n">
        <v>5.516</v>
      </c>
      <c r="O254" s="96" t="n">
        <f aca="false">$O$3+N254</f>
        <v>5.816</v>
      </c>
    </row>
    <row r="255" customFormat="false" ht="12.75" hidden="false" customHeight="false" outlineLevel="0" collapsed="false">
      <c r="A255" s="60" t="n">
        <v>44562</v>
      </c>
      <c r="B255" s="92" t="n">
        <v>48.6462365591398</v>
      </c>
      <c r="C255" s="93" t="n">
        <v>53.6462365591398</v>
      </c>
      <c r="D255" s="94"/>
      <c r="E255" s="60" t="n">
        <v>44562</v>
      </c>
      <c r="F255" s="92" t="n">
        <v>41.8803049439417</v>
      </c>
      <c r="G255" s="93" t="n">
        <v>46.8803049439417</v>
      </c>
      <c r="I255" s="60" t="n">
        <v>44562</v>
      </c>
      <c r="J255" s="97" t="n">
        <v>5.685</v>
      </c>
      <c r="K255" s="96" t="n">
        <f aca="false">$K$3+J255</f>
        <v>6.185</v>
      </c>
      <c r="M255" s="60" t="n">
        <v>44562</v>
      </c>
      <c r="N255" s="97" t="n">
        <v>5.685</v>
      </c>
      <c r="O255" s="96" t="n">
        <f aca="false">$O$3+N255</f>
        <v>5.985</v>
      </c>
    </row>
    <row r="256" customFormat="false" ht="12.75" hidden="false" customHeight="false" outlineLevel="0" collapsed="false">
      <c r="A256" s="60" t="n">
        <v>44593</v>
      </c>
      <c r="B256" s="92" t="n">
        <v>47.65</v>
      </c>
      <c r="C256" s="93" t="n">
        <v>52.65</v>
      </c>
      <c r="D256" s="94"/>
      <c r="E256" s="60" t="n">
        <v>44593</v>
      </c>
      <c r="F256" s="92" t="n">
        <v>42.0749743212121</v>
      </c>
      <c r="G256" s="93" t="n">
        <v>47.0749743212121</v>
      </c>
      <c r="I256" s="60" t="n">
        <v>44593</v>
      </c>
      <c r="J256" s="97" t="n">
        <v>5.589</v>
      </c>
      <c r="K256" s="96" t="n">
        <f aca="false">$K$3+J256</f>
        <v>6.089</v>
      </c>
      <c r="M256" s="60" t="n">
        <v>44593</v>
      </c>
      <c r="N256" s="97" t="n">
        <v>5.589</v>
      </c>
      <c r="O256" s="96" t="n">
        <f aca="false">$O$3+N256</f>
        <v>5.889</v>
      </c>
    </row>
    <row r="257" customFormat="false" ht="12.75" hidden="false" customHeight="false" outlineLevel="0" collapsed="false">
      <c r="A257" s="60" t="n">
        <v>44621</v>
      </c>
      <c r="B257" s="92" t="n">
        <v>45.7016129032258</v>
      </c>
      <c r="C257" s="93" t="n">
        <v>50.7016129032258</v>
      </c>
      <c r="D257" s="94"/>
      <c r="E257" s="60" t="n">
        <v>44621</v>
      </c>
      <c r="F257" s="92" t="n">
        <v>41.7680371629321</v>
      </c>
      <c r="G257" s="93" t="n">
        <v>46.7680371629321</v>
      </c>
      <c r="I257" s="60" t="n">
        <v>44621</v>
      </c>
      <c r="J257" s="97" t="n">
        <v>5.439</v>
      </c>
      <c r="K257" s="96" t="n">
        <f aca="false">$K$3+J257</f>
        <v>5.939</v>
      </c>
      <c r="M257" s="60" t="n">
        <v>44621</v>
      </c>
      <c r="N257" s="97" t="n">
        <v>5.439</v>
      </c>
      <c r="O257" s="96" t="n">
        <f aca="false">$O$3+N257</f>
        <v>5.739</v>
      </c>
    </row>
    <row r="258" customFormat="false" ht="12.75" hidden="false" customHeight="false" outlineLevel="0" collapsed="false">
      <c r="A258" s="60" t="n">
        <v>44652</v>
      </c>
      <c r="B258" s="92" t="n">
        <v>43.7777777777778</v>
      </c>
      <c r="C258" s="93" t="n">
        <v>48.7777777777778</v>
      </c>
      <c r="D258" s="94"/>
      <c r="E258" s="60" t="n">
        <v>44652</v>
      </c>
      <c r="F258" s="92" t="n">
        <v>40.6458704225663</v>
      </c>
      <c r="G258" s="93" t="n">
        <v>45.6458704225663</v>
      </c>
      <c r="I258" s="60" t="n">
        <v>44652</v>
      </c>
      <c r="J258" s="97" t="n">
        <v>5.256</v>
      </c>
      <c r="K258" s="96" t="n">
        <f aca="false">$K$3+J258</f>
        <v>5.756</v>
      </c>
      <c r="M258" s="60" t="n">
        <v>44652</v>
      </c>
      <c r="N258" s="97" t="n">
        <v>5.256</v>
      </c>
      <c r="O258" s="96" t="n">
        <f aca="false">$O$3+N258</f>
        <v>5.556</v>
      </c>
    </row>
    <row r="259" customFormat="false" ht="12.75" hidden="false" customHeight="false" outlineLevel="0" collapsed="false">
      <c r="A259" s="60" t="n">
        <v>44682</v>
      </c>
      <c r="B259" s="92" t="n">
        <v>43.2241935483871</v>
      </c>
      <c r="C259" s="93" t="n">
        <v>48.2241935483871</v>
      </c>
      <c r="D259" s="94"/>
      <c r="E259" s="60" t="n">
        <v>44682</v>
      </c>
      <c r="F259" s="92" t="n">
        <v>39.8765588906666</v>
      </c>
      <c r="G259" s="93" t="n">
        <v>44.8765588906666</v>
      </c>
      <c r="I259" s="60" t="n">
        <v>44682</v>
      </c>
      <c r="J259" s="97" t="n">
        <v>5.231</v>
      </c>
      <c r="K259" s="96" t="n">
        <f aca="false">$K$3+J259</f>
        <v>5.731</v>
      </c>
      <c r="M259" s="60" t="n">
        <v>44682</v>
      </c>
      <c r="N259" s="97" t="n">
        <v>5.231</v>
      </c>
      <c r="O259" s="96" t="n">
        <f aca="false">$O$3+N259</f>
        <v>5.531</v>
      </c>
    </row>
    <row r="260" customFormat="false" ht="12.75" hidden="false" customHeight="false" outlineLevel="0" collapsed="false">
      <c r="A260" s="60" t="n">
        <v>44713</v>
      </c>
      <c r="B260" s="92" t="n">
        <v>48.9888888888889</v>
      </c>
      <c r="C260" s="93" t="n">
        <v>53.9888888888889</v>
      </c>
      <c r="D260" s="94"/>
      <c r="E260" s="60" t="n">
        <v>44713</v>
      </c>
      <c r="F260" s="92" t="n">
        <v>51.3317728224655</v>
      </c>
      <c r="G260" s="93" t="n">
        <v>56.3317728224655</v>
      </c>
      <c r="I260" s="60" t="n">
        <v>44713</v>
      </c>
      <c r="J260" s="97" t="n">
        <v>5.26</v>
      </c>
      <c r="K260" s="96" t="n">
        <f aca="false">$K$3+J260</f>
        <v>5.76</v>
      </c>
      <c r="M260" s="60" t="n">
        <v>44713</v>
      </c>
      <c r="N260" s="97" t="n">
        <v>5.26</v>
      </c>
      <c r="O260" s="96" t="n">
        <f aca="false">$O$3+N260</f>
        <v>5.56</v>
      </c>
    </row>
    <row r="261" customFormat="false" ht="12.75" hidden="false" customHeight="false" outlineLevel="0" collapsed="false">
      <c r="A261" s="60" t="n">
        <v>44743</v>
      </c>
      <c r="B261" s="92" t="n">
        <v>60.1709677419355</v>
      </c>
      <c r="C261" s="93" t="n">
        <v>65.1709677419355</v>
      </c>
      <c r="D261" s="94"/>
      <c r="E261" s="60" t="n">
        <v>44743</v>
      </c>
      <c r="F261" s="92" t="n">
        <v>61.4759423159092</v>
      </c>
      <c r="G261" s="93" t="n">
        <v>66.4759423159092</v>
      </c>
      <c r="I261" s="60" t="n">
        <v>44743</v>
      </c>
      <c r="J261" s="97" t="n">
        <v>5.29</v>
      </c>
      <c r="K261" s="96" t="n">
        <f aca="false">$K$3+J261</f>
        <v>5.79</v>
      </c>
      <c r="M261" s="60" t="n">
        <v>44743</v>
      </c>
      <c r="N261" s="97" t="n">
        <v>5.29</v>
      </c>
      <c r="O261" s="96" t="n">
        <f aca="false">$O$3+N261</f>
        <v>5.59</v>
      </c>
    </row>
    <row r="262" customFormat="false" ht="12.75" hidden="false" customHeight="false" outlineLevel="0" collapsed="false">
      <c r="A262" s="60" t="n">
        <v>44774</v>
      </c>
      <c r="B262" s="92" t="n">
        <v>70.4629032258065</v>
      </c>
      <c r="C262" s="93" t="n">
        <v>75.4629032258065</v>
      </c>
      <c r="D262" s="94"/>
      <c r="E262" s="60" t="n">
        <v>44774</v>
      </c>
      <c r="F262" s="92" t="n">
        <v>65.976028371845</v>
      </c>
      <c r="G262" s="93" t="n">
        <v>70.9760283718451</v>
      </c>
      <c r="I262" s="60" t="n">
        <v>44774</v>
      </c>
      <c r="J262" s="97" t="n">
        <v>5.31</v>
      </c>
      <c r="K262" s="96" t="n">
        <f aca="false">$K$3+J262</f>
        <v>5.81</v>
      </c>
      <c r="M262" s="60" t="n">
        <v>44774</v>
      </c>
      <c r="N262" s="97" t="n">
        <v>5.31</v>
      </c>
      <c r="O262" s="96" t="n">
        <f aca="false">$O$3+N262</f>
        <v>5.61</v>
      </c>
    </row>
    <row r="263" customFormat="false" ht="12.75" hidden="false" customHeight="false" outlineLevel="0" collapsed="false">
      <c r="A263" s="60" t="n">
        <v>44805</v>
      </c>
      <c r="B263" s="92" t="n">
        <v>61.5777777777778</v>
      </c>
      <c r="C263" s="93" t="n">
        <v>66.5777777777778</v>
      </c>
      <c r="D263" s="94"/>
      <c r="E263" s="60" t="n">
        <v>44805</v>
      </c>
      <c r="F263" s="92" t="n">
        <v>59.8858121656624</v>
      </c>
      <c r="G263" s="93" t="n">
        <v>64.8858121656624</v>
      </c>
      <c r="I263" s="60" t="n">
        <v>44805</v>
      </c>
      <c r="J263" s="97" t="n">
        <v>5.331</v>
      </c>
      <c r="K263" s="96" t="n">
        <f aca="false">$K$3+J263</f>
        <v>5.831</v>
      </c>
      <c r="M263" s="60" t="n">
        <v>44805</v>
      </c>
      <c r="N263" s="97" t="n">
        <v>5.331</v>
      </c>
      <c r="O263" s="96" t="n">
        <f aca="false">$O$3+N263</f>
        <v>5.631</v>
      </c>
    </row>
    <row r="264" customFormat="false" ht="12.75" hidden="false" customHeight="false" outlineLevel="0" collapsed="false">
      <c r="A264" s="60" t="n">
        <v>44835</v>
      </c>
      <c r="B264" s="92" t="n">
        <v>47.841935483871</v>
      </c>
      <c r="C264" s="93" t="n">
        <v>52.841935483871</v>
      </c>
      <c r="D264" s="94"/>
      <c r="E264" s="60" t="n">
        <v>44835</v>
      </c>
      <c r="F264" s="92" t="n">
        <v>48.6430809691735</v>
      </c>
      <c r="G264" s="93" t="n">
        <v>53.6430809691735</v>
      </c>
      <c r="I264" s="60" t="n">
        <v>44835</v>
      </c>
      <c r="J264" s="97" t="n">
        <v>5.361</v>
      </c>
      <c r="K264" s="96" t="n">
        <f aca="false">$K$3+J264</f>
        <v>5.861</v>
      </c>
      <c r="M264" s="60" t="n">
        <v>44835</v>
      </c>
      <c r="N264" s="97" t="n">
        <v>5.361</v>
      </c>
      <c r="O264" s="96" t="n">
        <f aca="false">$O$3+N264</f>
        <v>5.661</v>
      </c>
    </row>
    <row r="265" customFormat="false" ht="12.75" hidden="false" customHeight="false" outlineLevel="0" collapsed="false">
      <c r="A265" s="60" t="n">
        <v>44866</v>
      </c>
      <c r="B265" s="92" t="n">
        <v>46.2555555555556</v>
      </c>
      <c r="C265" s="93" t="n">
        <v>51.2555555555556</v>
      </c>
      <c r="D265" s="94"/>
      <c r="E265" s="60" t="n">
        <v>44866</v>
      </c>
      <c r="F265" s="92" t="n">
        <v>41.1207542619949</v>
      </c>
      <c r="G265" s="93" t="n">
        <v>46.1207542619949</v>
      </c>
      <c r="I265" s="60" t="n">
        <v>44866</v>
      </c>
      <c r="J265" s="97" t="n">
        <v>5.501</v>
      </c>
      <c r="K265" s="96" t="n">
        <f aca="false">$K$3+J265</f>
        <v>6.001</v>
      </c>
      <c r="M265" s="60" t="n">
        <v>44866</v>
      </c>
      <c r="N265" s="97" t="n">
        <v>5.501</v>
      </c>
      <c r="O265" s="96" t="n">
        <f aca="false">$O$3+N265</f>
        <v>5.801</v>
      </c>
    </row>
    <row r="266" customFormat="false" ht="12.75" hidden="false" customHeight="false" outlineLevel="0" collapsed="false">
      <c r="A266" s="60" t="n">
        <v>44896</v>
      </c>
      <c r="B266" s="92" t="n">
        <v>45.4817204301075</v>
      </c>
      <c r="C266" s="93" t="n">
        <v>50.4817204301075</v>
      </c>
      <c r="D266" s="94"/>
      <c r="E266" s="60" t="n">
        <v>44896</v>
      </c>
      <c r="F266" s="92" t="n">
        <v>40.8863369099795</v>
      </c>
      <c r="G266" s="93" t="n">
        <v>45.8863369099795</v>
      </c>
      <c r="I266" s="60" t="n">
        <v>44896</v>
      </c>
      <c r="J266" s="97" t="n">
        <v>5.626</v>
      </c>
      <c r="K266" s="96" t="n">
        <f aca="false">$K$3+J266</f>
        <v>6.126</v>
      </c>
      <c r="M266" s="60" t="n">
        <v>44896</v>
      </c>
      <c r="N266" s="97" t="n">
        <v>5.626</v>
      </c>
      <c r="O266" s="96" t="n">
        <f aca="false">$O$3+N266</f>
        <v>5.926</v>
      </c>
    </row>
    <row r="267" customFormat="false" ht="12.75" hidden="false" customHeight="false" outlineLevel="0" collapsed="false">
      <c r="A267" s="60" t="n">
        <v>44927</v>
      </c>
      <c r="B267" s="92" t="n">
        <v>48.6731182795699</v>
      </c>
      <c r="C267" s="93" t="n">
        <v>53.6731182795699</v>
      </c>
      <c r="D267" s="94"/>
      <c r="E267" s="60" t="n">
        <v>44927</v>
      </c>
      <c r="F267" s="92" t="n">
        <v>42.1303049439417</v>
      </c>
      <c r="G267" s="93" t="n">
        <v>47.1303049439417</v>
      </c>
      <c r="I267" s="60" t="n">
        <v>44927</v>
      </c>
      <c r="J267" s="97" t="n">
        <v>5.795</v>
      </c>
      <c r="K267" s="96" t="n">
        <f aca="false">$K$3+J267</f>
        <v>6.295</v>
      </c>
      <c r="M267" s="60" t="n">
        <v>44927</v>
      </c>
      <c r="N267" s="97" t="n">
        <v>5.795</v>
      </c>
      <c r="O267" s="96" t="n">
        <f aca="false">$O$3+N267</f>
        <v>6.095</v>
      </c>
    </row>
    <row r="268" customFormat="false" ht="12.75" hidden="false" customHeight="false" outlineLevel="0" collapsed="false">
      <c r="A268" s="60" t="n">
        <v>44958</v>
      </c>
      <c r="B268" s="92" t="n">
        <v>47.6785714285714</v>
      </c>
      <c r="C268" s="93" t="n">
        <v>52.6785714285714</v>
      </c>
      <c r="D268" s="94"/>
      <c r="E268" s="60" t="n">
        <v>44958</v>
      </c>
      <c r="F268" s="92" t="n">
        <v>42.3116511146654</v>
      </c>
      <c r="G268" s="93" t="n">
        <v>47.3116511146654</v>
      </c>
      <c r="I268" s="60" t="n">
        <v>44958</v>
      </c>
      <c r="J268" s="97" t="n">
        <v>5.699</v>
      </c>
      <c r="K268" s="96" t="n">
        <f aca="false">$K$3+J268</f>
        <v>6.199</v>
      </c>
      <c r="M268" s="60" t="n">
        <v>44958</v>
      </c>
      <c r="N268" s="97" t="n">
        <v>5.699</v>
      </c>
      <c r="O268" s="96" t="n">
        <f aca="false">$O$3+N268</f>
        <v>5.999</v>
      </c>
    </row>
    <row r="269" customFormat="false" ht="12.75" hidden="false" customHeight="false" outlineLevel="0" collapsed="false">
      <c r="A269" s="60" t="n">
        <v>44986</v>
      </c>
      <c r="B269" s="92" t="n">
        <v>45.7306451612903</v>
      </c>
      <c r="C269" s="93" t="n">
        <v>50.7306451612903</v>
      </c>
      <c r="D269" s="94"/>
      <c r="E269" s="60" t="n">
        <v>44986</v>
      </c>
      <c r="F269" s="92" t="n">
        <v>42.0044990659572</v>
      </c>
      <c r="G269" s="93" t="n">
        <v>47.0044990659572</v>
      </c>
      <c r="I269" s="60" t="n">
        <v>44986</v>
      </c>
      <c r="J269" s="97" t="n">
        <v>5.549</v>
      </c>
      <c r="K269" s="96" t="n">
        <f aca="false">$K$3+J269</f>
        <v>6.049</v>
      </c>
      <c r="M269" s="60" t="n">
        <v>44986</v>
      </c>
      <c r="N269" s="97" t="n">
        <v>5.549</v>
      </c>
      <c r="O269" s="96" t="n">
        <f aca="false">$O$3+N269</f>
        <v>5.849</v>
      </c>
    </row>
    <row r="270" customFormat="false" ht="12.75" hidden="false" customHeight="false" outlineLevel="0" collapsed="false">
      <c r="A270" s="60" t="n">
        <v>45017</v>
      </c>
      <c r="B270" s="92" t="n">
        <v>43.5333333333333</v>
      </c>
      <c r="C270" s="93" t="n">
        <v>48.5333333333333</v>
      </c>
      <c r="D270" s="94"/>
      <c r="E270" s="60" t="n">
        <v>45017</v>
      </c>
      <c r="F270" s="92" t="n">
        <v>40.6588109711224</v>
      </c>
      <c r="G270" s="93" t="n">
        <v>45.6588109711224</v>
      </c>
      <c r="I270" s="60" t="n">
        <v>45017</v>
      </c>
      <c r="J270" s="97" t="n">
        <v>5.366</v>
      </c>
      <c r="K270" s="96" t="n">
        <f aca="false">$K$3+J270</f>
        <v>5.866</v>
      </c>
      <c r="M270" s="60" t="n">
        <v>45017</v>
      </c>
      <c r="N270" s="97" t="n">
        <v>5.366</v>
      </c>
      <c r="O270" s="96" t="n">
        <f aca="false">$O$3+N270</f>
        <v>5.666</v>
      </c>
    </row>
    <row r="271" customFormat="false" ht="12.75" hidden="false" customHeight="false" outlineLevel="0" collapsed="false">
      <c r="A271" s="60" t="n">
        <v>45047</v>
      </c>
      <c r="B271" s="92" t="n">
        <v>43.6231182795699</v>
      </c>
      <c r="C271" s="93" t="n">
        <v>48.6231182795699</v>
      </c>
      <c r="D271" s="94"/>
      <c r="E271" s="60" t="n">
        <v>45047</v>
      </c>
      <c r="F271" s="92" t="n">
        <v>40.3693769289552</v>
      </c>
      <c r="G271" s="93" t="n">
        <v>45.3693769289552</v>
      </c>
      <c r="I271" s="60" t="n">
        <v>45047</v>
      </c>
      <c r="J271" s="97" t="n">
        <v>5.341</v>
      </c>
      <c r="K271" s="96" t="n">
        <f aca="false">$K$3+J271</f>
        <v>5.841</v>
      </c>
      <c r="M271" s="60" t="n">
        <v>45047</v>
      </c>
      <c r="N271" s="97" t="n">
        <v>5.341</v>
      </c>
      <c r="O271" s="96" t="n">
        <f aca="false">$O$3+N271</f>
        <v>5.641</v>
      </c>
    </row>
    <row r="272" customFormat="false" ht="12.75" hidden="false" customHeight="false" outlineLevel="0" collapsed="false">
      <c r="A272" s="60" t="n">
        <v>45078</v>
      </c>
      <c r="B272" s="92" t="n">
        <v>49.0177777777778</v>
      </c>
      <c r="C272" s="93" t="n">
        <v>54.0177777777778</v>
      </c>
      <c r="D272" s="94"/>
      <c r="E272" s="60" t="n">
        <v>45078</v>
      </c>
      <c r="F272" s="92" t="n">
        <v>51.5683897815306</v>
      </c>
      <c r="G272" s="93" t="n">
        <v>56.5683897815306</v>
      </c>
      <c r="I272" s="60" t="n">
        <v>45078</v>
      </c>
      <c r="J272" s="97" t="n">
        <v>5.37</v>
      </c>
      <c r="K272" s="96" t="n">
        <f aca="false">$K$3+J272</f>
        <v>5.87</v>
      </c>
      <c r="M272" s="60" t="n">
        <v>45078</v>
      </c>
      <c r="N272" s="97" t="n">
        <v>5.37</v>
      </c>
      <c r="O272" s="96" t="n">
        <f aca="false">$O$3+N272</f>
        <v>5.67</v>
      </c>
    </row>
    <row r="273" customFormat="false" ht="12.75" hidden="false" customHeight="false" outlineLevel="0" collapsed="false">
      <c r="A273" s="60" t="n">
        <v>45108</v>
      </c>
      <c r="B273" s="92" t="n">
        <v>60.1978494623656</v>
      </c>
      <c r="C273" s="93" t="n">
        <v>65.1978494623656</v>
      </c>
      <c r="D273" s="94"/>
      <c r="E273" s="60" t="n">
        <v>45108</v>
      </c>
      <c r="F273" s="92" t="n">
        <v>61.7259423159092</v>
      </c>
      <c r="G273" s="93" t="n">
        <v>66.7259423159092</v>
      </c>
      <c r="I273" s="60" t="n">
        <v>45108</v>
      </c>
      <c r="J273" s="97" t="n">
        <v>5.4</v>
      </c>
      <c r="K273" s="96" t="n">
        <f aca="false">$K$3+J273</f>
        <v>5.9</v>
      </c>
      <c r="M273" s="60" t="n">
        <v>45108</v>
      </c>
      <c r="N273" s="97" t="n">
        <v>5.4</v>
      </c>
      <c r="O273" s="96" t="n">
        <f aca="false">$O$3+N273</f>
        <v>5.7</v>
      </c>
    </row>
    <row r="274" customFormat="false" ht="12.75" hidden="false" customHeight="false" outlineLevel="0" collapsed="false">
      <c r="A274" s="60" t="n">
        <v>45139</v>
      </c>
      <c r="B274" s="92" t="n">
        <v>70.491935483871</v>
      </c>
      <c r="C274" s="93" t="n">
        <v>75.491935483871</v>
      </c>
      <c r="D274" s="94"/>
      <c r="E274" s="60" t="n">
        <v>45139</v>
      </c>
      <c r="F274" s="92" t="n">
        <v>66.2735478278704</v>
      </c>
      <c r="G274" s="93" t="n">
        <v>71.2735478278704</v>
      </c>
      <c r="I274" s="60" t="n">
        <v>45139</v>
      </c>
      <c r="J274" s="97" t="n">
        <v>5.42</v>
      </c>
      <c r="K274" s="96" t="n">
        <f aca="false">$K$3+J274</f>
        <v>5.92</v>
      </c>
      <c r="M274" s="60" t="n">
        <v>45139</v>
      </c>
      <c r="N274" s="97" t="n">
        <v>5.42</v>
      </c>
      <c r="O274" s="96" t="n">
        <f aca="false">$O$3+N274</f>
        <v>5.72</v>
      </c>
    </row>
    <row r="275" customFormat="false" ht="12.75" hidden="false" customHeight="false" outlineLevel="0" collapsed="false">
      <c r="A275" s="60" t="n">
        <v>45170</v>
      </c>
      <c r="B275" s="92" t="n">
        <v>61.6055555555556</v>
      </c>
      <c r="C275" s="93" t="n">
        <v>66.6055555555556</v>
      </c>
      <c r="D275" s="94"/>
      <c r="E275" s="60" t="n">
        <v>45170</v>
      </c>
      <c r="F275" s="92" t="n">
        <v>60.1812783118595</v>
      </c>
      <c r="G275" s="93" t="n">
        <v>65.1812783118595</v>
      </c>
      <c r="I275" s="60" t="n">
        <v>45170</v>
      </c>
      <c r="J275" s="97" t="n">
        <v>5.441</v>
      </c>
      <c r="K275" s="96" t="n">
        <f aca="false">$K$3+J275</f>
        <v>5.941</v>
      </c>
      <c r="M275" s="60" t="n">
        <v>45170</v>
      </c>
      <c r="N275" s="97" t="n">
        <v>5.441</v>
      </c>
      <c r="O275" s="96" t="n">
        <f aca="false">$O$3+N275</f>
        <v>5.741</v>
      </c>
    </row>
    <row r="276" customFormat="false" ht="12.75" hidden="false" customHeight="false" outlineLevel="0" collapsed="false">
      <c r="A276" s="60" t="n">
        <v>45200</v>
      </c>
      <c r="B276" s="92" t="n">
        <v>47.8698924731183</v>
      </c>
      <c r="C276" s="93" t="n">
        <v>52.8698924731183</v>
      </c>
      <c r="D276" s="94"/>
      <c r="E276" s="60" t="n">
        <v>45200</v>
      </c>
      <c r="F276" s="92" t="n">
        <v>48.8930809691735</v>
      </c>
      <c r="G276" s="93" t="n">
        <v>53.8930809691735</v>
      </c>
      <c r="I276" s="60" t="n">
        <v>45200</v>
      </c>
      <c r="J276" s="97" t="n">
        <v>5.471</v>
      </c>
      <c r="K276" s="96" t="n">
        <f aca="false">$K$3+J276</f>
        <v>5.971</v>
      </c>
      <c r="M276" s="60" t="n">
        <v>45200</v>
      </c>
      <c r="N276" s="97" t="n">
        <v>5.471</v>
      </c>
      <c r="O276" s="96" t="n">
        <f aca="false">$O$3+N276</f>
        <v>5.771</v>
      </c>
    </row>
    <row r="277" customFormat="false" ht="12.75" hidden="false" customHeight="false" outlineLevel="0" collapsed="false">
      <c r="A277" s="60" t="n">
        <v>45231</v>
      </c>
      <c r="B277" s="92" t="n">
        <v>46.2833333333333</v>
      </c>
      <c r="C277" s="93" t="n">
        <v>51.2833333333333</v>
      </c>
      <c r="D277" s="94"/>
      <c r="E277" s="60" t="n">
        <v>45231</v>
      </c>
      <c r="F277" s="92" t="n">
        <v>41.3557061531394</v>
      </c>
      <c r="G277" s="93" t="n">
        <v>46.3557061531395</v>
      </c>
      <c r="I277" s="60" t="n">
        <v>45231</v>
      </c>
      <c r="J277" s="97" t="n">
        <v>5.611</v>
      </c>
      <c r="K277" s="96" t="n">
        <f aca="false">$K$3+J277</f>
        <v>6.111</v>
      </c>
      <c r="M277" s="60" t="n">
        <v>45231</v>
      </c>
      <c r="N277" s="97" t="n">
        <v>5.611</v>
      </c>
      <c r="O277" s="96" t="n">
        <f aca="false">$O$3+N277</f>
        <v>5.911</v>
      </c>
    </row>
    <row r="278" customFormat="false" ht="13.5" hidden="false" customHeight="false" outlineLevel="0" collapsed="false">
      <c r="A278" s="60" t="n">
        <v>45261</v>
      </c>
      <c r="B278" s="98" t="n">
        <v>45.1516129032258</v>
      </c>
      <c r="C278" s="99" t="n">
        <v>50.1516129032258</v>
      </c>
      <c r="D278" s="94"/>
      <c r="E278" s="60" t="n">
        <v>45261</v>
      </c>
      <c r="F278" s="98" t="n">
        <v>40.8616116694162</v>
      </c>
      <c r="G278" s="99" t="n">
        <v>45.8616116694162</v>
      </c>
      <c r="I278" s="60" t="n">
        <v>45261</v>
      </c>
      <c r="J278" s="100" t="n">
        <v>5.736</v>
      </c>
      <c r="K278" s="96" t="n">
        <f aca="false">$K$3+J278</f>
        <v>6.236</v>
      </c>
      <c r="M278" s="60" t="n">
        <v>45261</v>
      </c>
      <c r="N278" s="100" t="n">
        <v>5.736</v>
      </c>
      <c r="O278" s="96" t="n">
        <f aca="false">$O$3+N278</f>
        <v>6.036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AS60"/>
  <sheetViews>
    <sheetView showFormulas="false" showGridLines="true" showRowColHeaders="true" showZeros="true" rightToLeft="false" tabSelected="false" showOutlineSymbols="true" defaultGridColor="true" view="normal" topLeftCell="A2" colorId="64" zoomScale="75" zoomScaleNormal="75" zoomScalePageLayoutView="100" workbookViewId="0">
      <selection pane="topLeft" activeCell="O25" activeCellId="0" sqref="O25"/>
    </sheetView>
  </sheetViews>
  <sheetFormatPr defaultColWidth="9.0546875" defaultRowHeight="12.75" customHeight="true" zeroHeight="false" outlineLevelRow="0" outlineLevelCol="0"/>
  <cols>
    <col collapsed="false" customWidth="true" hidden="false" outlineLevel="0" max="1" min="1" style="0" width="18.28"/>
    <col collapsed="false" customWidth="true" hidden="false" outlineLevel="0" max="2" min="2" style="0" width="8.7"/>
    <col collapsed="false" customWidth="true" hidden="false" outlineLevel="0" max="3" min="3" style="0" width="7.42"/>
    <col collapsed="false" customWidth="true" hidden="false" outlineLevel="0" max="20" min="4" style="0" width="11.85"/>
  </cols>
  <sheetData>
    <row r="2" customFormat="false" ht="12.75" hidden="false" customHeight="false" outlineLevel="0" collapsed="false">
      <c r="A2" s="1" t="s">
        <v>75</v>
      </c>
      <c r="B2" s="1"/>
      <c r="L2" s="0" t="s">
        <v>76</v>
      </c>
    </row>
    <row r="3" customFormat="false" ht="12.75" hidden="false" customHeight="false" outlineLevel="0" collapsed="false">
      <c r="A3" s="101" t="s">
        <v>77</v>
      </c>
      <c r="B3" s="101"/>
      <c r="C3" s="102" t="s">
        <v>56</v>
      </c>
      <c r="D3" s="102" t="s">
        <v>78</v>
      </c>
      <c r="E3" s="102" t="s">
        <v>24</v>
      </c>
      <c r="F3" s="102" t="s">
        <v>35</v>
      </c>
      <c r="G3" s="102" t="s">
        <v>79</v>
      </c>
      <c r="H3" s="102" t="s">
        <v>61</v>
      </c>
      <c r="I3" s="102" t="s">
        <v>80</v>
      </c>
      <c r="J3" s="103" t="s">
        <v>81</v>
      </c>
      <c r="L3" s="65" t="s">
        <v>35</v>
      </c>
      <c r="M3" s="65" t="s">
        <v>82</v>
      </c>
    </row>
    <row r="4" customFormat="false" ht="12.75" hidden="false" customHeight="false" outlineLevel="0" collapsed="false">
      <c r="A4" s="0" t="s">
        <v>83</v>
      </c>
      <c r="C4" s="0" t="n">
        <v>1999</v>
      </c>
      <c r="D4" s="8" t="n">
        <v>3289574</v>
      </c>
      <c r="E4" s="8" t="n">
        <v>16640744</v>
      </c>
      <c r="F4" s="8" t="n">
        <v>12640817</v>
      </c>
      <c r="G4" s="8" t="n">
        <v>874038</v>
      </c>
      <c r="H4" s="8" t="n">
        <v>1642848</v>
      </c>
      <c r="I4" s="8" t="n">
        <v>-1253390</v>
      </c>
      <c r="J4" s="8" t="n">
        <v>33834631</v>
      </c>
      <c r="L4" s="8" t="n">
        <f aca="false">I29</f>
        <v>13391819</v>
      </c>
      <c r="M4" s="8" t="n">
        <f aca="false">J4-F4</f>
        <v>21193814</v>
      </c>
    </row>
    <row r="5" customFormat="false" ht="12.75" hidden="false" customHeight="false" outlineLevel="0" collapsed="false">
      <c r="A5" s="0" t="s">
        <v>84</v>
      </c>
      <c r="C5" s="0" t="n">
        <v>1999</v>
      </c>
      <c r="D5" s="8" t="n">
        <v>1702273</v>
      </c>
      <c r="E5" s="8" t="n">
        <v>3331248</v>
      </c>
      <c r="F5" s="8" t="n">
        <v>0</v>
      </c>
      <c r="G5" s="8" t="n">
        <v>0</v>
      </c>
      <c r="H5" s="8" t="n">
        <v>31584</v>
      </c>
      <c r="I5" s="8" t="n">
        <v>0</v>
      </c>
      <c r="J5" s="8" t="n">
        <v>5065105</v>
      </c>
      <c r="L5" s="0" t="n">
        <v>0</v>
      </c>
      <c r="M5" s="8" t="n">
        <f aca="false">J5</f>
        <v>5065105</v>
      </c>
    </row>
    <row r="6" customFormat="false" ht="12.75" hidden="false" customHeight="false" outlineLevel="0" collapsed="false">
      <c r="A6" s="0" t="s">
        <v>85</v>
      </c>
      <c r="C6" s="19" t="n">
        <v>1999</v>
      </c>
      <c r="D6" s="104" t="n">
        <v>10670686</v>
      </c>
      <c r="E6" s="104" t="n">
        <v>17300552</v>
      </c>
      <c r="F6" s="104" t="n">
        <v>4177638</v>
      </c>
      <c r="G6" s="104" t="n">
        <v>329000</v>
      </c>
      <c r="H6" s="104" t="n">
        <v>28765</v>
      </c>
      <c r="I6" s="104" t="n">
        <v>-123505</v>
      </c>
      <c r="J6" s="104" t="n">
        <v>32383136</v>
      </c>
      <c r="L6" s="8" t="n">
        <f aca="false">G59</f>
        <v>4576163</v>
      </c>
      <c r="M6" s="8" t="n">
        <f aca="false">I59-L6</f>
        <v>30768719.5</v>
      </c>
    </row>
    <row r="9" customFormat="false" ht="13.5" hidden="false" customHeight="false" outlineLevel="0" collapsed="false"/>
    <row r="10" customFormat="false" ht="12.75" hidden="false" customHeight="false" outlineLevel="0" collapsed="false">
      <c r="F10" s="105" t="s">
        <v>86</v>
      </c>
      <c r="G10" s="106"/>
      <c r="H10" s="106"/>
      <c r="I10" s="106"/>
      <c r="J10" s="106"/>
      <c r="K10" s="106"/>
      <c r="L10" s="107"/>
      <c r="O10" s="1"/>
    </row>
    <row r="11" customFormat="false" ht="12.75" hidden="false" customHeight="false" outlineLevel="0" collapsed="false">
      <c r="F11" s="108" t="s">
        <v>16</v>
      </c>
      <c r="G11" s="109"/>
      <c r="H11" s="109" t="s">
        <v>12</v>
      </c>
      <c r="I11" s="109"/>
      <c r="J11" s="109" t="s">
        <v>87</v>
      </c>
      <c r="K11" s="109"/>
      <c r="L11" s="110" t="s">
        <v>29</v>
      </c>
    </row>
    <row r="12" customFormat="false" ht="12.75" hidden="false" customHeight="false" outlineLevel="0" collapsed="false">
      <c r="D12" s="0" t="s">
        <v>88</v>
      </c>
      <c r="F12" s="111" t="s">
        <v>89</v>
      </c>
      <c r="G12" s="19" t="s">
        <v>35</v>
      </c>
      <c r="H12" s="19" t="s">
        <v>89</v>
      </c>
      <c r="I12" s="19" t="s">
        <v>35</v>
      </c>
      <c r="J12" s="19" t="s">
        <v>82</v>
      </c>
      <c r="K12" s="19" t="s">
        <v>35</v>
      </c>
      <c r="L12" s="112" t="s">
        <v>90</v>
      </c>
    </row>
    <row r="13" customFormat="false" ht="12.75" hidden="false" customHeight="false" outlineLevel="0" collapsed="false">
      <c r="C13" s="0" t="n">
        <v>1</v>
      </c>
      <c r="D13" s="0" t="n">
        <f aca="false">N47</f>
        <v>0.0839402497721753</v>
      </c>
      <c r="E13" s="8"/>
      <c r="F13" s="113" t="n">
        <f aca="false">$M$4*D13/B30+O30</f>
        <v>4836.51660589385</v>
      </c>
      <c r="G13" s="114" t="n">
        <f aca="false">J30</f>
        <v>765.820605438213</v>
      </c>
      <c r="H13" s="114" t="n">
        <f aca="false">L47+M47</f>
        <v>6516.28153340251</v>
      </c>
      <c r="I13" s="114" t="n">
        <f aca="false">K47</f>
        <v>142.852150537634</v>
      </c>
      <c r="J13" s="114" t="n">
        <f aca="false">$M$5*D13/B30</f>
        <v>571.4599177719</v>
      </c>
      <c r="K13" s="114" t="n">
        <v>0</v>
      </c>
      <c r="L13" s="115" t="n">
        <f aca="false">SUM(F13:K13)</f>
        <v>12832.9308130441</v>
      </c>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row>
    <row r="14" customFormat="false" ht="12.75" hidden="false" customHeight="false" outlineLevel="0" collapsed="false">
      <c r="C14" s="0" t="n">
        <v>2</v>
      </c>
      <c r="D14" s="0" t="n">
        <f aca="false">N48</f>
        <v>0.0814719312579778</v>
      </c>
      <c r="E14" s="8"/>
      <c r="F14" s="113" t="n">
        <f aca="false">$M$4*D14/B31+O31</f>
        <v>4731.04111652138</v>
      </c>
      <c r="G14" s="114" t="n">
        <f aca="false">J31</f>
        <v>1075.38011608834</v>
      </c>
      <c r="H14" s="114" t="n">
        <f aca="false">L48+M48</f>
        <v>6760.8498287217</v>
      </c>
      <c r="I14" s="114" t="n">
        <f aca="false">K48</f>
        <v>236.002873563218</v>
      </c>
      <c r="J14" s="114" t="n">
        <f aca="false">$M$5*D14/B31</f>
        <v>614.083164247678</v>
      </c>
      <c r="K14" s="114" t="n">
        <v>0</v>
      </c>
      <c r="L14" s="115" t="n">
        <f aca="false">SUM(F14:K14)</f>
        <v>13417.3570991423</v>
      </c>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row>
    <row r="15" customFormat="false" ht="12.75" hidden="false" customHeight="false" outlineLevel="0" collapsed="false">
      <c r="C15" s="0" t="n">
        <v>3</v>
      </c>
      <c r="D15" s="0" t="n">
        <f aca="false">N49</f>
        <v>0.0852397513650186</v>
      </c>
      <c r="E15" s="8"/>
      <c r="F15" s="113" t="n">
        <f aca="false">$M$4*D15/B32+O32</f>
        <v>4472.38818123179</v>
      </c>
      <c r="G15" s="114" t="n">
        <f aca="false">J32</f>
        <v>1347.87918472112</v>
      </c>
      <c r="H15" s="114" t="n">
        <f aca="false">L49+M49</f>
        <v>6617.16184118162</v>
      </c>
      <c r="I15" s="114" t="n">
        <f aca="false">K49</f>
        <v>620.646505376344</v>
      </c>
      <c r="J15" s="114" t="n">
        <f aca="false">$M$5*D15/B32</f>
        <v>580.306842523807</v>
      </c>
      <c r="K15" s="114" t="n">
        <v>0</v>
      </c>
      <c r="L15" s="115" t="n">
        <f aca="false">SUM(F15:K15)</f>
        <v>13638.3825550347</v>
      </c>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row>
    <row r="16" customFormat="false" ht="12.75" hidden="false" customHeight="false" outlineLevel="0" collapsed="false">
      <c r="C16" s="0" t="n">
        <v>4</v>
      </c>
      <c r="D16" s="0" t="n">
        <f aca="false">N50</f>
        <v>0.0819492829397727</v>
      </c>
      <c r="E16" s="8"/>
      <c r="F16" s="113" t="n">
        <f aca="false">$M$4*D16/B33+O33</f>
        <v>4565.24388676371</v>
      </c>
      <c r="G16" s="114" t="n">
        <f aca="false">J33</f>
        <v>1326.47869273451</v>
      </c>
      <c r="H16" s="114" t="n">
        <f aca="false">L50+M50</f>
        <v>6573.78020552581</v>
      </c>
      <c r="I16" s="114" t="n">
        <f aca="false">K50</f>
        <v>811.586111111111</v>
      </c>
      <c r="J16" s="114" t="n">
        <f aca="false">$M$5*D16/B33</f>
        <v>576.50239272869</v>
      </c>
      <c r="K16" s="114" t="n">
        <v>0</v>
      </c>
      <c r="L16" s="115" t="n">
        <f aca="false">SUM(F16:K16)</f>
        <v>13853.5912888638</v>
      </c>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row>
    <row r="17" customFormat="false" ht="12.75" hidden="false" customHeight="false" outlineLevel="0" collapsed="false">
      <c r="C17" s="0" t="n">
        <v>5</v>
      </c>
      <c r="D17" s="0" t="n">
        <f aca="false">N51</f>
        <v>0.0786588145145267</v>
      </c>
      <c r="E17" s="8"/>
      <c r="F17" s="113" t="n">
        <f aca="false">$M$4*D17/B34+O34</f>
        <v>4427.54113881906</v>
      </c>
      <c r="G17" s="114" t="n">
        <f aca="false">J34</f>
        <v>1744.08931864439</v>
      </c>
      <c r="H17" s="114" t="n">
        <f aca="false">L51+M51</f>
        <v>6106.2837179006</v>
      </c>
      <c r="I17" s="114" t="n">
        <f aca="false">K51</f>
        <v>950.165322580645</v>
      </c>
      <c r="J17" s="114" t="n">
        <f aca="false">$M$5*D17/B34</f>
        <v>535.504240176884</v>
      </c>
      <c r="K17" s="114" t="n">
        <v>0</v>
      </c>
      <c r="L17" s="115" t="n">
        <f aca="false">SUM(F17:K17)</f>
        <v>13763.5837381216</v>
      </c>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row>
    <row r="18" customFormat="false" ht="12.75" hidden="false" customHeight="false" outlineLevel="0" collapsed="false">
      <c r="C18" s="0" t="n">
        <v>6</v>
      </c>
      <c r="D18" s="0" t="n">
        <f aca="false">N52</f>
        <v>0.0855062232927828</v>
      </c>
      <c r="E18" s="8"/>
      <c r="F18" s="113" t="n">
        <f aca="false">$M$4*D18/B35+O35</f>
        <v>5270.99474152604</v>
      </c>
      <c r="G18" s="114" t="n">
        <f aca="false">J35</f>
        <v>2201.92738718254</v>
      </c>
      <c r="H18" s="114" t="n">
        <f aca="false">L52+M52</f>
        <v>6859.1096586467</v>
      </c>
      <c r="I18" s="114" t="n">
        <f aca="false">K52</f>
        <v>957.040277777778</v>
      </c>
      <c r="J18" s="114" t="n">
        <f aca="false">$M$5*D18/B35</f>
        <v>601.524998793598</v>
      </c>
      <c r="K18" s="114" t="n">
        <v>0</v>
      </c>
      <c r="L18" s="115" t="n">
        <f aca="false">SUM(F18:K18)</f>
        <v>15890.5970639267</v>
      </c>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row>
    <row r="19" customFormat="false" ht="12.75" hidden="false" customHeight="false" outlineLevel="0" collapsed="false">
      <c r="C19" s="0" t="n">
        <v>7</v>
      </c>
      <c r="D19" s="0" t="n">
        <f aca="false">N53</f>
        <v>0.0873061682011174</v>
      </c>
      <c r="E19" s="8"/>
      <c r="F19" s="113" t="n">
        <f aca="false">$M$4*D19/B36+O36</f>
        <v>5073.76235740215</v>
      </c>
      <c r="G19" s="114" t="n">
        <f aca="false">J36</f>
        <v>1966.55049263563</v>
      </c>
      <c r="H19" s="114" t="n">
        <f aca="false">L53+M53</f>
        <v>6777.57777877924</v>
      </c>
      <c r="I19" s="114" t="n">
        <f aca="false">K53</f>
        <v>653.551075268817</v>
      </c>
      <c r="J19" s="114" t="n">
        <f aca="false">$M$5*D19/B36</f>
        <v>594.374877804194</v>
      </c>
      <c r="K19" s="114" t="n">
        <v>0</v>
      </c>
      <c r="L19" s="115" t="n">
        <f aca="false">SUM(F19:K19)</f>
        <v>15065.81658189</v>
      </c>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row>
    <row r="20" customFormat="false" ht="12.75" hidden="false" customHeight="false" outlineLevel="0" collapsed="false">
      <c r="C20" s="0" t="n">
        <v>8</v>
      </c>
      <c r="D20" s="0" t="n">
        <f aca="false">N54</f>
        <v>0.086855515712963</v>
      </c>
      <c r="E20" s="8"/>
      <c r="F20" s="113" t="n">
        <f aca="false">$M$4*D20/B37+O37</f>
        <v>4682.48208722394</v>
      </c>
      <c r="G20" s="114" t="n">
        <f aca="false">J37</f>
        <v>2070.95002093926</v>
      </c>
      <c r="H20" s="114" t="n">
        <f aca="false">L54+M54</f>
        <v>6742.59362642667</v>
      </c>
      <c r="I20" s="114" t="n">
        <f aca="false">K54</f>
        <v>483.364247311828</v>
      </c>
      <c r="J20" s="114" t="n">
        <f aca="false">$M$5*D20/B37</f>
        <v>591.306864133478</v>
      </c>
      <c r="K20" s="114" t="n">
        <v>0</v>
      </c>
      <c r="L20" s="115" t="n">
        <f aca="false">SUM(F20:K20)</f>
        <v>14570.6968460352</v>
      </c>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row>
    <row r="21" customFormat="false" ht="12.75" hidden="false" customHeight="false" outlineLevel="0" collapsed="false">
      <c r="C21" s="0" t="n">
        <v>9</v>
      </c>
      <c r="D21" s="0" t="n">
        <f aca="false">N55</f>
        <v>0.0853596783577555</v>
      </c>
      <c r="E21" s="8"/>
      <c r="F21" s="113" t="n">
        <f aca="false">$M$4*D21/B38+O38</f>
        <v>4884.2118568042</v>
      </c>
      <c r="G21" s="114" t="n">
        <f aca="false">J38</f>
        <v>1877.63033247346</v>
      </c>
      <c r="H21" s="114" t="n">
        <f aca="false">L55+M55</f>
        <v>6847.35416599876</v>
      </c>
      <c r="I21" s="114" t="n">
        <f aca="false">K55</f>
        <v>542.602777777778</v>
      </c>
      <c r="J21" s="114" t="n">
        <f aca="false">$M$5*D21/B38</f>
        <v>600.494074511471</v>
      </c>
      <c r="K21" s="114" t="n">
        <v>0</v>
      </c>
      <c r="L21" s="115" t="n">
        <f aca="false">SUM(F21:K21)</f>
        <v>14752.2932075657</v>
      </c>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row>
    <row r="22" customFormat="false" ht="12.75" hidden="false" customHeight="false" outlineLevel="0" collapsed="false">
      <c r="C22" s="0" t="n">
        <v>10</v>
      </c>
      <c r="D22" s="0" t="n">
        <f aca="false">N56</f>
        <v>0.0797976009368866</v>
      </c>
      <c r="E22" s="8"/>
      <c r="F22" s="113" t="n">
        <f aca="false">$M$4*D22/B39+O39</f>
        <v>4532.85237890134</v>
      </c>
      <c r="G22" s="114" t="n">
        <f aca="false">J39</f>
        <v>1162.16168617347</v>
      </c>
      <c r="H22" s="114" t="n">
        <f aca="false">L56+M56</f>
        <v>6194.68770710309</v>
      </c>
      <c r="I22" s="114" t="n">
        <f aca="false">K56</f>
        <v>369.340053763441</v>
      </c>
      <c r="J22" s="114" t="n">
        <f aca="false">$M$5*D22/B39</f>
        <v>543.257026200845</v>
      </c>
      <c r="K22" s="114" t="n">
        <v>0</v>
      </c>
      <c r="L22" s="115" t="n">
        <f aca="false">SUM(F22:K22)</f>
        <v>12802.2988521422</v>
      </c>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row>
    <row r="23" customFormat="false" ht="12.75" hidden="false" customHeight="false" outlineLevel="0" collapsed="false">
      <c r="C23" s="0" t="n">
        <v>11</v>
      </c>
      <c r="D23" s="0" t="n">
        <f aca="false">N57</f>
        <v>0.0813001009028016</v>
      </c>
      <c r="E23" s="8"/>
      <c r="F23" s="113" t="n">
        <f aca="false">$M$4*D23/B40+O40</f>
        <v>4844.37544208924</v>
      </c>
      <c r="G23" s="114" t="n">
        <f aca="false">J40</f>
        <v>1193.33197430598</v>
      </c>
      <c r="H23" s="114" t="n">
        <f aca="false">L57+M57</f>
        <v>6521.7043377289</v>
      </c>
      <c r="I23" s="114" t="n">
        <f aca="false">K57</f>
        <v>241.311111111111</v>
      </c>
      <c r="J23" s="114" t="n">
        <f aca="false">$M$5*D23/B40</f>
        <v>571.935482754563</v>
      </c>
      <c r="K23" s="114" t="n">
        <v>0</v>
      </c>
      <c r="L23" s="115" t="n">
        <f aca="false">SUM(F23:K23)</f>
        <v>13372.6583479898</v>
      </c>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row>
    <row r="24" customFormat="false" ht="13.5" hidden="false" customHeight="false" outlineLevel="0" collapsed="false">
      <c r="C24" s="0" t="n">
        <v>12</v>
      </c>
      <c r="D24" s="0" t="n">
        <f aca="false">N58</f>
        <v>0.0826146827462222</v>
      </c>
      <c r="E24" s="8"/>
      <c r="F24" s="116" t="n">
        <f aca="false">$M$4*D24/B41+O41</f>
        <v>4377.63530348447</v>
      </c>
      <c r="G24" s="117" t="n">
        <f aca="false">J41</f>
        <v>1584.50880376937</v>
      </c>
      <c r="H24" s="117" t="n">
        <f aca="false">L58+M58</f>
        <v>6413.37776606861</v>
      </c>
      <c r="I24" s="117" t="n">
        <f aca="false">K58</f>
        <v>239.860215053763</v>
      </c>
      <c r="J24" s="117" t="n">
        <f aca="false">$M$5*D24/B41</f>
        <v>562.435541197989</v>
      </c>
      <c r="K24" s="117" t="n">
        <v>0</v>
      </c>
      <c r="L24" s="118" t="n">
        <f aca="false">SUM(F24:K24)</f>
        <v>13177.8176295742</v>
      </c>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row>
    <row r="25" customFormat="false" ht="12.75" hidden="false" customHeight="false" outlineLevel="0" collapsed="false">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row>
    <row r="26" customFormat="false" ht="12.75" hidden="false" customHeight="false" outlineLevel="0" collapsed="false">
      <c r="E26" s="8"/>
      <c r="F26" s="8"/>
      <c r="G26" s="8"/>
      <c r="H26" s="8"/>
      <c r="I26" s="8"/>
      <c r="J26" s="8"/>
      <c r="L26" s="119"/>
      <c r="M26" s="119"/>
      <c r="N26" s="119"/>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row>
    <row r="27" customFormat="false" ht="12.75" hidden="false" customHeight="false" outlineLevel="0" collapsed="false">
      <c r="M27" s="120"/>
      <c r="N27" s="120"/>
    </row>
    <row r="28" customFormat="false" ht="12.75" hidden="false" customHeight="false" outlineLevel="0" collapsed="false">
      <c r="A28" s="1" t="s">
        <v>91</v>
      </c>
      <c r="B28" s="1"/>
      <c r="I28" s="0" t="s">
        <v>92</v>
      </c>
      <c r="J28" s="121" t="s">
        <v>93</v>
      </c>
      <c r="M28" s="121"/>
      <c r="N28" s="120"/>
      <c r="O28" s="8"/>
    </row>
    <row r="29" customFormat="false" ht="12.75" hidden="false" customHeight="false" outlineLevel="0" collapsed="false">
      <c r="B29" s="0" t="s">
        <v>94</v>
      </c>
      <c r="E29" s="8"/>
      <c r="F29" s="8"/>
      <c r="G29" s="8" t="n">
        <f aca="false">SUM(G30:G41)</f>
        <v>2061878</v>
      </c>
      <c r="H29" s="8" t="s">
        <v>95</v>
      </c>
      <c r="I29" s="122" t="n">
        <v>13391819</v>
      </c>
      <c r="J29" s="123" t="s">
        <v>96</v>
      </c>
      <c r="M29" s="120"/>
      <c r="N29" s="120"/>
      <c r="O29" s="1" t="s">
        <v>97</v>
      </c>
      <c r="R29" s="1"/>
      <c r="S29" s="1"/>
    </row>
    <row r="30" customFormat="false" ht="12.75" hidden="false" customHeight="false" outlineLevel="0" collapsed="false">
      <c r="B30" s="0" t="n">
        <v>744</v>
      </c>
      <c r="C30" s="0" t="n">
        <v>1</v>
      </c>
      <c r="D30" s="0" t="n">
        <v>1999</v>
      </c>
      <c r="E30" s="8" t="n">
        <v>78043</v>
      </c>
      <c r="F30" s="8" t="n">
        <v>9682</v>
      </c>
      <c r="G30" s="8" t="n">
        <f aca="false">E30+F30</f>
        <v>87725</v>
      </c>
      <c r="H30" s="124" t="n">
        <f aca="false">G30/$G$29</f>
        <v>0.0425461642250414</v>
      </c>
      <c r="I30" s="8" t="n">
        <f aca="false">$I$29*H30</f>
        <v>569770.53044603</v>
      </c>
      <c r="J30" s="8" t="n">
        <f aca="false">I30/B30</f>
        <v>765.820605438213</v>
      </c>
      <c r="M30" s="8"/>
      <c r="N30" s="8"/>
      <c r="O30" s="8" t="n">
        <f aca="false">1819354314/1000/744</f>
        <v>2445.3687016129</v>
      </c>
      <c r="P30" s="8" t="n">
        <f aca="false">744</f>
        <v>744</v>
      </c>
      <c r="Q30" s="0" t="n">
        <f aca="false">O30*P30</f>
        <v>1819354.314</v>
      </c>
      <c r="R30" s="8"/>
      <c r="S30" s="8"/>
    </row>
    <row r="31" customFormat="false" ht="12.75" hidden="false" customHeight="false" outlineLevel="0" collapsed="false">
      <c r="B31" s="0" t="n">
        <v>672</v>
      </c>
      <c r="C31" s="0" t="n">
        <v>2</v>
      </c>
      <c r="D31" s="0" t="n">
        <v>1999</v>
      </c>
      <c r="E31" s="8" t="n">
        <v>77960</v>
      </c>
      <c r="F31" s="8" t="n">
        <v>33304</v>
      </c>
      <c r="G31" s="8" t="n">
        <f aca="false">E31+F31</f>
        <v>111264</v>
      </c>
      <c r="H31" s="124" t="n">
        <f aca="false">G31/$G$29</f>
        <v>0.053962455586606</v>
      </c>
      <c r="I31" s="8" t="n">
        <f aca="false">$I$29*H31</f>
        <v>722655.438011366</v>
      </c>
      <c r="J31" s="8" t="n">
        <f aca="false">I31/B31</f>
        <v>1075.38011608834</v>
      </c>
      <c r="M31" s="8"/>
      <c r="N31" s="8"/>
      <c r="O31" s="8" t="n">
        <f aca="false">1452558673/1000/672</f>
        <v>2161.54564434524</v>
      </c>
      <c r="P31" s="8" t="n">
        <v>672</v>
      </c>
      <c r="Q31" s="0" t="n">
        <f aca="false">O31*P31</f>
        <v>1452558.673</v>
      </c>
      <c r="R31" s="8"/>
      <c r="S31" s="8"/>
    </row>
    <row r="32" customFormat="false" ht="12.75" hidden="false" customHeight="false" outlineLevel="0" collapsed="false">
      <c r="B32" s="0" t="n">
        <v>744</v>
      </c>
      <c r="C32" s="0" t="n">
        <v>3</v>
      </c>
      <c r="D32" s="0" t="n">
        <v>1999</v>
      </c>
      <c r="E32" s="8" t="n">
        <v>97587</v>
      </c>
      <c r="F32" s="8" t="n">
        <v>56813</v>
      </c>
      <c r="G32" s="8" t="n">
        <f aca="false">E32+F32</f>
        <v>154400</v>
      </c>
      <c r="H32" s="124" t="n">
        <f aca="false">G32/$G$29</f>
        <v>0.074883189015063</v>
      </c>
      <c r="I32" s="8" t="n">
        <f aca="false">$I$29*H32</f>
        <v>1002822.11343251</v>
      </c>
      <c r="J32" s="8" t="n">
        <f aca="false">I32/B32</f>
        <v>1347.87918472112</v>
      </c>
      <c r="M32" s="8"/>
      <c r="N32" s="8"/>
      <c r="O32" s="8" t="n">
        <f aca="false">1520901371/1000/744</f>
        <v>2044.22227284946</v>
      </c>
      <c r="P32" s="8" t="n">
        <v>744</v>
      </c>
      <c r="Q32" s="0" t="n">
        <f aca="false">O32*P32</f>
        <v>1520901.371</v>
      </c>
      <c r="R32" s="8"/>
      <c r="S32" s="8"/>
    </row>
    <row r="33" customFormat="false" ht="12.75" hidden="false" customHeight="false" outlineLevel="0" collapsed="false">
      <c r="B33" s="0" t="n">
        <v>720</v>
      </c>
      <c r="C33" s="0" t="n">
        <v>4</v>
      </c>
      <c r="D33" s="0" t="n">
        <v>1999</v>
      </c>
      <c r="E33" s="8" t="n">
        <v>86417</v>
      </c>
      <c r="F33" s="8" t="n">
        <v>60630</v>
      </c>
      <c r="G33" s="8" t="n">
        <f aca="false">E33+F33</f>
        <v>147047</v>
      </c>
      <c r="H33" s="124" t="n">
        <f aca="false">G33/$G$29</f>
        <v>0.0713170226366448</v>
      </c>
      <c r="I33" s="8" t="n">
        <f aca="false">$I$29*H33</f>
        <v>955064.658768851</v>
      </c>
      <c r="J33" s="8" t="n">
        <f aca="false">I33/B33</f>
        <v>1326.47869273451</v>
      </c>
      <c r="M33" s="8"/>
      <c r="N33" s="8"/>
      <c r="O33" s="8" t="n">
        <f aca="false">1571687707/1000/730</f>
        <v>2152.99685890411</v>
      </c>
      <c r="P33" s="8" t="n">
        <v>730</v>
      </c>
      <c r="Q33" s="0" t="n">
        <f aca="false">O33*P33</f>
        <v>1571687.707</v>
      </c>
      <c r="R33" s="8"/>
      <c r="S33" s="8"/>
    </row>
    <row r="34" customFormat="false" ht="12.75" hidden="false" customHeight="false" outlineLevel="0" collapsed="false">
      <c r="B34" s="0" t="n">
        <v>744</v>
      </c>
      <c r="C34" s="0" t="n">
        <v>5</v>
      </c>
      <c r="D34" s="0" t="n">
        <v>1999</v>
      </c>
      <c r="E34" s="8" t="n">
        <v>97111</v>
      </c>
      <c r="F34" s="8" t="n">
        <v>102675</v>
      </c>
      <c r="G34" s="8" t="n">
        <f aca="false">E34+F34</f>
        <v>199786</v>
      </c>
      <c r="H34" s="124" t="n">
        <f aca="false">G34/$G$29</f>
        <v>0.0968951606254104</v>
      </c>
      <c r="I34" s="8" t="n">
        <f aca="false">$I$29*H34</f>
        <v>1297602.45307142</v>
      </c>
      <c r="J34" s="8" t="n">
        <f aca="false">I34/B34</f>
        <v>1744.08931864439</v>
      </c>
      <c r="M34" s="8"/>
      <c r="N34" s="8"/>
      <c r="O34" s="8" t="n">
        <f aca="false">1627010323/1000/744</f>
        <v>2186.84183198925</v>
      </c>
      <c r="P34" s="8" t="n">
        <v>744</v>
      </c>
      <c r="Q34" s="0" t="n">
        <f aca="false">O34*P34</f>
        <v>1627010.323</v>
      </c>
      <c r="R34" s="8"/>
      <c r="S34" s="8"/>
    </row>
    <row r="35" customFormat="false" ht="12.75" hidden="false" customHeight="false" outlineLevel="0" collapsed="false">
      <c r="B35" s="0" t="n">
        <v>720</v>
      </c>
      <c r="C35" s="0" t="n">
        <v>6</v>
      </c>
      <c r="D35" s="0" t="n">
        <v>1999</v>
      </c>
      <c r="E35" s="8" t="n">
        <v>94500</v>
      </c>
      <c r="F35" s="8" t="n">
        <v>149595</v>
      </c>
      <c r="G35" s="8" t="n">
        <f aca="false">E35+F35</f>
        <v>244095</v>
      </c>
      <c r="H35" s="124" t="n">
        <f aca="false">G35/$G$29</f>
        <v>0.118384792892693</v>
      </c>
      <c r="I35" s="8" t="n">
        <f aca="false">$I$29*H35</f>
        <v>1585387.71877143</v>
      </c>
      <c r="J35" s="8" t="n">
        <f aca="false">I35/B35</f>
        <v>2201.92738718254</v>
      </c>
      <c r="M35" s="8"/>
      <c r="N35" s="8"/>
      <c r="O35" s="8" t="n">
        <f aca="false">2010453683/1000/730</f>
        <v>2754.04614109589</v>
      </c>
      <c r="P35" s="8" t="n">
        <v>730</v>
      </c>
      <c r="Q35" s="0" t="n">
        <f aca="false">O35*P35</f>
        <v>2010453.683</v>
      </c>
      <c r="R35" s="8"/>
      <c r="S35" s="8"/>
    </row>
    <row r="36" customFormat="false" ht="12.75" hidden="false" customHeight="false" outlineLevel="0" collapsed="false">
      <c r="B36" s="0" t="n">
        <v>744</v>
      </c>
      <c r="C36" s="0" t="n">
        <v>7</v>
      </c>
      <c r="D36" s="0" t="n">
        <v>1999</v>
      </c>
      <c r="E36" s="8" t="n">
        <v>89852</v>
      </c>
      <c r="F36" s="8" t="n">
        <v>135417</v>
      </c>
      <c r="G36" s="8" t="n">
        <f aca="false">E36+F36</f>
        <v>225269</v>
      </c>
      <c r="H36" s="124" t="n">
        <f aca="false">G36/$G$29</f>
        <v>0.109254281776128</v>
      </c>
      <c r="I36" s="8" t="n">
        <f aca="false">$I$29*H36</f>
        <v>1463113.56652091</v>
      </c>
      <c r="J36" s="8" t="n">
        <f aca="false">I36/B36</f>
        <v>1966.55049263563</v>
      </c>
      <c r="M36" s="8"/>
      <c r="N36" s="8"/>
      <c r="O36" s="8" t="n">
        <f aca="false">1924528504/1000/744</f>
        <v>2586.73186021505</v>
      </c>
      <c r="P36" s="8" t="n">
        <v>744</v>
      </c>
      <c r="Q36" s="0" t="n">
        <f aca="false">O36*P36</f>
        <v>1924528.504</v>
      </c>
      <c r="R36" s="8"/>
      <c r="S36" s="8"/>
    </row>
    <row r="37" customFormat="false" ht="12.75" hidden="false" customHeight="false" outlineLevel="0" collapsed="false">
      <c r="B37" s="0" t="n">
        <v>744</v>
      </c>
      <c r="C37" s="0" t="n">
        <v>8</v>
      </c>
      <c r="D37" s="0" t="n">
        <v>1999</v>
      </c>
      <c r="E37" s="8" t="n">
        <v>91255</v>
      </c>
      <c r="F37" s="8" t="n">
        <v>145973</v>
      </c>
      <c r="G37" s="8" t="n">
        <f aca="false">E37+F37</f>
        <v>237228</v>
      </c>
      <c r="H37" s="124" t="n">
        <f aca="false">G37/$G$29</f>
        <v>0.115054333961563</v>
      </c>
      <c r="I37" s="8" t="n">
        <f aca="false">$I$29*H37</f>
        <v>1540786.81557881</v>
      </c>
      <c r="J37" s="8" t="n">
        <f aca="false">I37/B37</f>
        <v>2070.95002093926</v>
      </c>
      <c r="M37" s="8"/>
      <c r="N37" s="8"/>
      <c r="O37" s="8" t="n">
        <f aca="false">1642967028/1000/744</f>
        <v>2208.28901612903</v>
      </c>
      <c r="P37" s="8" t="n">
        <v>744</v>
      </c>
      <c r="Q37" s="0" t="n">
        <f aca="false">O37*P37</f>
        <v>1642967.028</v>
      </c>
      <c r="R37" s="8"/>
      <c r="S37" s="8"/>
    </row>
    <row r="38" customFormat="false" ht="12.75" hidden="false" customHeight="false" outlineLevel="0" collapsed="false">
      <c r="B38" s="0" t="n">
        <v>720</v>
      </c>
      <c r="C38" s="0" t="n">
        <v>9</v>
      </c>
      <c r="D38" s="0" t="n">
        <v>1999</v>
      </c>
      <c r="E38" s="8" t="n">
        <v>54780</v>
      </c>
      <c r="F38" s="8" t="n">
        <v>153365</v>
      </c>
      <c r="G38" s="8" t="n">
        <f aca="false">E38+F38</f>
        <v>208145</v>
      </c>
      <c r="H38" s="124" t="n">
        <f aca="false">G38/$G$29</f>
        <v>0.10094923171982</v>
      </c>
      <c r="I38" s="8" t="n">
        <f aca="false">$I$29*H38</f>
        <v>1351893.83938089</v>
      </c>
      <c r="J38" s="8" t="n">
        <f aca="false">I38/B38</f>
        <v>1877.63033247346</v>
      </c>
      <c r="M38" s="8"/>
      <c r="N38" s="8"/>
      <c r="O38" s="8" t="n">
        <f aca="false">1731251160/1000/730</f>
        <v>2371.57693150685</v>
      </c>
      <c r="P38" s="8" t="n">
        <v>730</v>
      </c>
      <c r="Q38" s="0" t="n">
        <f aca="false">O38*P38</f>
        <v>1731251.16</v>
      </c>
      <c r="R38" s="8"/>
      <c r="S38" s="8"/>
    </row>
    <row r="39" customFormat="false" ht="12.75" hidden="false" customHeight="false" outlineLevel="0" collapsed="false">
      <c r="B39" s="0" t="n">
        <v>744</v>
      </c>
      <c r="C39" s="0" t="n">
        <v>10</v>
      </c>
      <c r="D39" s="0" t="n">
        <v>1999</v>
      </c>
      <c r="E39" s="8" t="n">
        <v>54522</v>
      </c>
      <c r="F39" s="8" t="n">
        <v>78604</v>
      </c>
      <c r="G39" s="8" t="n">
        <f aca="false">E39+F39</f>
        <v>133126</v>
      </c>
      <c r="H39" s="124" t="n">
        <f aca="false">G39/$G$29</f>
        <v>0.0645654107566015</v>
      </c>
      <c r="I39" s="8" t="n">
        <f aca="false">$I$29*H39</f>
        <v>864648.294513061</v>
      </c>
      <c r="J39" s="8" t="n">
        <f aca="false">I39/B39</f>
        <v>1162.16168617347</v>
      </c>
      <c r="M39" s="8"/>
      <c r="N39" s="8"/>
      <c r="O39" s="8" t="n">
        <f aca="false">1681226658/1000/744</f>
        <v>2259.71325</v>
      </c>
      <c r="P39" s="8" t="n">
        <v>744</v>
      </c>
      <c r="Q39" s="0" t="n">
        <f aca="false">O39*P39</f>
        <v>1681226.658</v>
      </c>
      <c r="R39" s="8"/>
      <c r="S39" s="8"/>
    </row>
    <row r="40" customFormat="false" ht="12.75" hidden="false" customHeight="false" outlineLevel="0" collapsed="false">
      <c r="B40" s="0" t="n">
        <v>720</v>
      </c>
      <c r="C40" s="0" t="n">
        <v>11</v>
      </c>
      <c r="D40" s="0" t="n">
        <v>1998</v>
      </c>
      <c r="E40" s="8" t="n">
        <v>55921</v>
      </c>
      <c r="F40" s="8" t="n">
        <v>76366</v>
      </c>
      <c r="G40" s="8" t="n">
        <f aca="false">E40+F40</f>
        <v>132287</v>
      </c>
      <c r="H40" s="124" t="n">
        <f aca="false">G40/$G$29</f>
        <v>0.0641585001634432</v>
      </c>
      <c r="I40" s="8" t="n">
        <f aca="false">$I$29*H40</f>
        <v>859199.021500302</v>
      </c>
      <c r="J40" s="8" t="n">
        <f aca="false">I40/B40</f>
        <v>1193.33197430598</v>
      </c>
      <c r="M40" s="8"/>
      <c r="N40" s="8"/>
      <c r="O40" s="8" t="n">
        <f aca="false">1789403478/1000/730</f>
        <v>2451.23764109589</v>
      </c>
      <c r="P40" s="8" t="n">
        <v>730</v>
      </c>
      <c r="Q40" s="0" t="n">
        <f aca="false">O40*P40</f>
        <v>1789403.478</v>
      </c>
      <c r="R40" s="8"/>
      <c r="S40" s="8"/>
    </row>
    <row r="41" customFormat="false" ht="12.75" hidden="false" customHeight="false" outlineLevel="0" collapsed="false">
      <c r="B41" s="0" t="n">
        <v>744</v>
      </c>
      <c r="C41" s="0" t="n">
        <v>12</v>
      </c>
      <c r="D41" s="0" t="n">
        <v>1998</v>
      </c>
      <c r="E41" s="8" t="n">
        <v>82569</v>
      </c>
      <c r="F41" s="8" t="n">
        <v>98937</v>
      </c>
      <c r="G41" s="8" t="n">
        <f aca="false">E41+F41</f>
        <v>181506</v>
      </c>
      <c r="H41" s="124" t="n">
        <f aca="false">G41/$G$29</f>
        <v>0.0880294566409846</v>
      </c>
      <c r="I41" s="8" t="n">
        <f aca="false">$I$29*H41</f>
        <v>1178874.55000441</v>
      </c>
      <c r="J41" s="8" t="n">
        <f aca="false">I41/B41</f>
        <v>1584.50880376937</v>
      </c>
      <c r="M41" s="8"/>
      <c r="N41" s="8"/>
      <c r="O41" s="8" t="n">
        <f aca="false">1506040446/1000/744</f>
        <v>2024.24791129032</v>
      </c>
      <c r="P41" s="8" t="n">
        <v>744</v>
      </c>
      <c r="Q41" s="0" t="n">
        <f aca="false">O41*P41</f>
        <v>1506040.446</v>
      </c>
      <c r="R41" s="8"/>
      <c r="S41" s="8"/>
    </row>
    <row r="42" customFormat="false" ht="12.75" hidden="false" customHeight="false" outlineLevel="0" collapsed="false">
      <c r="Q42" s="0" t="n">
        <f aca="false">SUM(Q30:Q41)</f>
        <v>20277383.345</v>
      </c>
    </row>
    <row r="45" customFormat="false" ht="12.75" hidden="false" customHeight="false" outlineLevel="0" collapsed="false">
      <c r="A45" s="1" t="s">
        <v>98</v>
      </c>
      <c r="B45" s="1"/>
      <c r="K45" s="1" t="s">
        <v>99</v>
      </c>
      <c r="M45" s="125" t="n">
        <v>26988000</v>
      </c>
    </row>
    <row r="46" customFormat="false" ht="12.75" hidden="false" customHeight="false" outlineLevel="0" collapsed="false">
      <c r="E46" s="65" t="s">
        <v>30</v>
      </c>
      <c r="F46" s="65" t="s">
        <v>24</v>
      </c>
      <c r="G46" s="65" t="s">
        <v>35</v>
      </c>
      <c r="H46" s="65" t="s">
        <v>61</v>
      </c>
      <c r="I46" s="65" t="s">
        <v>55</v>
      </c>
      <c r="J46" s="65"/>
      <c r="K46" s="1" t="s">
        <v>35</v>
      </c>
      <c r="L46" s="1" t="s">
        <v>82</v>
      </c>
      <c r="M46" s="1" t="s">
        <v>100</v>
      </c>
      <c r="N46" s="1" t="s">
        <v>101</v>
      </c>
    </row>
    <row r="47" customFormat="false" ht="12.75" hidden="false" customHeight="false" outlineLevel="0" collapsed="false">
      <c r="B47" s="0" t="n">
        <v>744</v>
      </c>
      <c r="C47" s="0" t="n">
        <v>1</v>
      </c>
      <c r="D47" s="0" t="n">
        <v>2000</v>
      </c>
      <c r="E47" s="8" t="n">
        <v>954054</v>
      </c>
      <c r="F47" s="8" t="n">
        <v>1626323</v>
      </c>
      <c r="G47" s="8" t="n">
        <v>106282</v>
      </c>
      <c r="H47" s="8" t="n">
        <v>2357</v>
      </c>
      <c r="I47" s="8" t="n">
        <f aca="false">SUM(E47:H47)</f>
        <v>2689016</v>
      </c>
      <c r="J47" s="8"/>
      <c r="K47" s="8" t="n">
        <f aca="false">G47/B47</f>
        <v>142.852150537634</v>
      </c>
      <c r="L47" s="8" t="n">
        <f aca="false">(I47-G47)/B47</f>
        <v>3471.41666666667</v>
      </c>
      <c r="M47" s="8" t="n">
        <f aca="false">$M$45*N47/B47</f>
        <v>3044.86486673584</v>
      </c>
      <c r="N47" s="0" t="n">
        <f aca="false">(E47+F47+H47)/($E$59+$F$59+$H$59)</f>
        <v>0.0839402497721753</v>
      </c>
    </row>
    <row r="48" customFormat="false" ht="12.75" hidden="false" customHeight="false" outlineLevel="0" collapsed="false">
      <c r="B48" s="0" t="n">
        <v>696</v>
      </c>
      <c r="C48" s="0" t="n">
        <v>2</v>
      </c>
      <c r="D48" s="0" t="n">
        <v>2000</v>
      </c>
      <c r="E48" s="8" t="n">
        <v>929842</v>
      </c>
      <c r="F48" s="8" t="n">
        <v>1574266</v>
      </c>
      <c r="G48" s="8" t="n">
        <v>164258</v>
      </c>
      <c r="H48" s="8" t="n">
        <v>2679</v>
      </c>
      <c r="I48" s="8" t="n">
        <f aca="false">SUM(E48:H48)</f>
        <v>2671045</v>
      </c>
      <c r="J48" s="8"/>
      <c r="K48" s="8" t="n">
        <f aca="false">G48/B48</f>
        <v>236.002873563218</v>
      </c>
      <c r="L48" s="8" t="n">
        <f aca="false">(I48-G48)/B48</f>
        <v>3601.70545977012</v>
      </c>
      <c r="M48" s="8" t="n">
        <f aca="false">$M$45*N48/B48</f>
        <v>3159.14436895159</v>
      </c>
      <c r="N48" s="0" t="n">
        <f aca="false">(E48+F48+H48)/($E$59+$F$59+$H$59)</f>
        <v>0.0814719312579778</v>
      </c>
    </row>
    <row r="49" customFormat="false" ht="12.75" hidden="false" customHeight="false" outlineLevel="0" collapsed="false">
      <c r="B49" s="0" t="n">
        <v>744</v>
      </c>
      <c r="C49" s="0" t="n">
        <v>3</v>
      </c>
      <c r="D49" s="0" t="n">
        <v>2000</v>
      </c>
      <c r="E49" s="8" t="n">
        <v>936421</v>
      </c>
      <c r="F49" s="8" t="n">
        <v>1684376</v>
      </c>
      <c r="G49" s="8" t="n">
        <v>461761</v>
      </c>
      <c r="H49" s="8" t="n">
        <v>1921</v>
      </c>
      <c r="I49" s="8" t="n">
        <f aca="false">SUM(E49:H49)</f>
        <v>3084479</v>
      </c>
      <c r="J49" s="8"/>
      <c r="K49" s="8" t="n">
        <f aca="false">G49/B49</f>
        <v>620.646505376344</v>
      </c>
      <c r="L49" s="8" t="n">
        <f aca="false">(I49-G49)/B49</f>
        <v>3525.15860215054</v>
      </c>
      <c r="M49" s="8" t="n">
        <f aca="false">$M$45*N49/B49</f>
        <v>3092.00323903108</v>
      </c>
      <c r="N49" s="0" t="n">
        <f aca="false">(E49+F49+H49)/($E$59+$F$59+$H$59)</f>
        <v>0.0852397513650186</v>
      </c>
    </row>
    <row r="50" customFormat="false" ht="12.75" hidden="false" customHeight="false" outlineLevel="0" collapsed="false">
      <c r="B50" s="0" t="n">
        <v>720</v>
      </c>
      <c r="C50" s="0" t="n">
        <v>4</v>
      </c>
      <c r="D50" s="0" t="n">
        <v>2000</v>
      </c>
      <c r="E50" s="126" t="n">
        <f aca="false">(E49+E51)/2</f>
        <v>848999.5</v>
      </c>
      <c r="F50" s="126" t="n">
        <f aca="false">(F49+F51)/2</f>
        <v>1670285</v>
      </c>
      <c r="G50" s="126" t="n">
        <f aca="false">(G49+G51)/2</f>
        <v>584342</v>
      </c>
      <c r="H50" s="126" t="n">
        <f aca="false">(H49+H51)/2</f>
        <v>2190</v>
      </c>
      <c r="I50" s="126" t="n">
        <f aca="false">SUM(E50:H50)</f>
        <v>3105816.5</v>
      </c>
      <c r="J50" s="126"/>
      <c r="K50" s="8" t="n">
        <f aca="false">G50/B50</f>
        <v>811.586111111111</v>
      </c>
      <c r="L50" s="8" t="n">
        <f aca="false">(I50-G50)/B50</f>
        <v>3502.04791666667</v>
      </c>
      <c r="M50" s="8" t="n">
        <f aca="false">$M$45*N50/B50</f>
        <v>3071.73228885915</v>
      </c>
      <c r="N50" s="0" t="n">
        <f aca="false">(E50+F50+H50)/($E$59+$F$59+$H$59)</f>
        <v>0.0819492829397727</v>
      </c>
    </row>
    <row r="51" customFormat="false" ht="12.75" hidden="false" customHeight="false" outlineLevel="0" collapsed="false">
      <c r="B51" s="0" t="n">
        <v>744</v>
      </c>
      <c r="C51" s="0" t="n">
        <v>5</v>
      </c>
      <c r="D51" s="0" t="n">
        <v>2000</v>
      </c>
      <c r="E51" s="8" t="n">
        <v>761578</v>
      </c>
      <c r="F51" s="8" t="n">
        <v>1656194</v>
      </c>
      <c r="G51" s="8" t="n">
        <v>706923</v>
      </c>
      <c r="H51" s="8" t="n">
        <v>2459</v>
      </c>
      <c r="I51" s="8" t="n">
        <f aca="false">SUM(E51:H51)</f>
        <v>3127154</v>
      </c>
      <c r="J51" s="8"/>
      <c r="K51" s="8" t="n">
        <f aca="false">G51/B51</f>
        <v>950.165322580645</v>
      </c>
      <c r="L51" s="8" t="n">
        <f aca="false">(I51-G51)/B51</f>
        <v>3252.99865591398</v>
      </c>
      <c r="M51" s="8" t="n">
        <f aca="false">$M$45*N51/B51</f>
        <v>2853.28506198662</v>
      </c>
      <c r="N51" s="0" t="n">
        <f aca="false">(E51+F51+H51)/($E$59+$F$59+$H$59)</f>
        <v>0.0786588145145267</v>
      </c>
    </row>
    <row r="52" customFormat="false" ht="12.75" hidden="false" customHeight="false" outlineLevel="0" collapsed="false">
      <c r="B52" s="0" t="n">
        <v>720</v>
      </c>
      <c r="C52" s="0" t="n">
        <v>6</v>
      </c>
      <c r="D52" s="0" t="n">
        <v>2000</v>
      </c>
      <c r="E52" s="8" t="n">
        <v>1006842</v>
      </c>
      <c r="F52" s="8" t="n">
        <v>1621536</v>
      </c>
      <c r="G52" s="8" t="n">
        <v>689069</v>
      </c>
      <c r="H52" s="8" t="n">
        <v>2539</v>
      </c>
      <c r="I52" s="8" t="n">
        <f aca="false">SUM(E52:H52)</f>
        <v>3319986</v>
      </c>
      <c r="J52" s="8"/>
      <c r="K52" s="8" t="n">
        <f aca="false">G52/B52</f>
        <v>957.040277777778</v>
      </c>
      <c r="L52" s="8" t="n">
        <f aca="false">(I52-G52)/B52</f>
        <v>3654.05138888889</v>
      </c>
      <c r="M52" s="8" t="n">
        <f aca="false">$M$45*N52/B52</f>
        <v>3205.05826975781</v>
      </c>
      <c r="N52" s="0" t="n">
        <f aca="false">(E52+F52+H52)/($E$59+$F$59+$H$59)</f>
        <v>0.0855062232927828</v>
      </c>
    </row>
    <row r="53" customFormat="false" ht="12.75" hidden="false" customHeight="false" outlineLevel="0" collapsed="false">
      <c r="B53" s="0" t="n">
        <v>744</v>
      </c>
      <c r="C53" s="0" t="n">
        <v>7</v>
      </c>
      <c r="D53" s="0" t="n">
        <v>2000</v>
      </c>
      <c r="E53" s="8" t="n">
        <v>1010592</v>
      </c>
      <c r="F53" s="8" t="n">
        <v>1672852</v>
      </c>
      <c r="G53" s="8" t="n">
        <v>486242</v>
      </c>
      <c r="H53" s="8" t="n">
        <v>2855</v>
      </c>
      <c r="I53" s="8" t="n">
        <f aca="false">SUM(E53:H53)</f>
        <v>3172541</v>
      </c>
      <c r="J53" s="8"/>
      <c r="K53" s="8" t="n">
        <f aca="false">G53/B53</f>
        <v>653.551075268817</v>
      </c>
      <c r="L53" s="8" t="n">
        <f aca="false">(I53-G53)/B53</f>
        <v>3610.61693548387</v>
      </c>
      <c r="M53" s="8" t="n">
        <f aca="false">$M$45*N53/B53</f>
        <v>3166.96084329537</v>
      </c>
      <c r="N53" s="0" t="n">
        <f aca="false">(E53+F53+H53)/($E$59+$F$59+$H$59)</f>
        <v>0.0873061682011174</v>
      </c>
    </row>
    <row r="54" customFormat="false" ht="12.75" hidden="false" customHeight="false" outlineLevel="0" collapsed="false">
      <c r="B54" s="0" t="n">
        <v>744</v>
      </c>
      <c r="C54" s="0" t="n">
        <v>8</v>
      </c>
      <c r="D54" s="0" t="n">
        <v>2000</v>
      </c>
      <c r="E54" s="8" t="n">
        <v>1013320</v>
      </c>
      <c r="F54" s="8" t="n">
        <v>1656193</v>
      </c>
      <c r="G54" s="8" t="n">
        <v>359623</v>
      </c>
      <c r="H54" s="8" t="n">
        <v>2920</v>
      </c>
      <c r="I54" s="8" t="n">
        <f aca="false">SUM(E54:H54)</f>
        <v>3032056</v>
      </c>
      <c r="J54" s="8"/>
      <c r="K54" s="8" t="n">
        <f aca="false">G54/B54</f>
        <v>483.364247311828</v>
      </c>
      <c r="L54" s="8" t="n">
        <f aca="false">(I54-G54)/B54</f>
        <v>3591.97983870968</v>
      </c>
      <c r="M54" s="8" t="n">
        <f aca="false">$M$45*N54/B54</f>
        <v>3150.613787717</v>
      </c>
      <c r="N54" s="0" t="n">
        <f aca="false">(E54+F54+H54)/($E$59+$F$59+$H$59)</f>
        <v>0.086855515712963</v>
      </c>
    </row>
    <row r="55" customFormat="false" ht="12.75" hidden="false" customHeight="false" outlineLevel="0" collapsed="false">
      <c r="B55" s="0" t="n">
        <v>720</v>
      </c>
      <c r="C55" s="0" t="n">
        <v>9</v>
      </c>
      <c r="D55" s="0" t="n">
        <v>1999</v>
      </c>
      <c r="E55" s="8" t="n">
        <f aca="false">994130</f>
        <v>994130</v>
      </c>
      <c r="F55" s="8" t="n">
        <v>1629816</v>
      </c>
      <c r="G55" s="8" t="n">
        <v>390674</v>
      </c>
      <c r="H55" s="8" t="n">
        <v>2462</v>
      </c>
      <c r="I55" s="8" t="n">
        <f aca="false">SUM(E55:H55)</f>
        <v>3017082</v>
      </c>
      <c r="J55" s="8"/>
      <c r="K55" s="8" t="n">
        <f aca="false">G55/B55</f>
        <v>542.602777777778</v>
      </c>
      <c r="L55" s="8" t="n">
        <f aca="false">(I55-G55)/B55</f>
        <v>3647.78888888889</v>
      </c>
      <c r="M55" s="8" t="n">
        <f aca="false">$M$45*N55/B55</f>
        <v>3199.56527710987</v>
      </c>
      <c r="N55" s="0" t="n">
        <f aca="false">(E55+F55+H55)/($E$59+$F$59+$H$59)</f>
        <v>0.0853596783577555</v>
      </c>
    </row>
    <row r="56" customFormat="false" ht="12.75" hidden="false" customHeight="false" outlineLevel="0" collapsed="false">
      <c r="B56" s="0" t="n">
        <v>744</v>
      </c>
      <c r="C56" s="0" t="n">
        <v>10</v>
      </c>
      <c r="D56" s="0" t="n">
        <v>1999</v>
      </c>
      <c r="E56" s="8" t="n">
        <v>913278</v>
      </c>
      <c r="F56" s="8" t="n">
        <v>1539553</v>
      </c>
      <c r="G56" s="8" t="n">
        <v>274789</v>
      </c>
      <c r="H56" s="8" t="n">
        <v>2439</v>
      </c>
      <c r="I56" s="8" t="n">
        <f aca="false">SUM(E56:H56)</f>
        <v>2730059</v>
      </c>
      <c r="J56" s="8"/>
      <c r="K56" s="8" t="n">
        <f aca="false">G56/B56</f>
        <v>369.340053763441</v>
      </c>
      <c r="L56" s="8" t="n">
        <f aca="false">(I56-G56)/B56</f>
        <v>3300.09408602151</v>
      </c>
      <c r="M56" s="8" t="n">
        <f aca="false">$M$45*N56/B56</f>
        <v>2894.59362108158</v>
      </c>
      <c r="N56" s="0" t="n">
        <f aca="false">(E56+F56+H56)/($E$59+$F$59+$H$59)</f>
        <v>0.0797976009368866</v>
      </c>
    </row>
    <row r="57" customFormat="false" ht="12.75" hidden="false" customHeight="false" outlineLevel="0" collapsed="false">
      <c r="B57" s="0" t="n">
        <v>720</v>
      </c>
      <c r="C57" s="0" t="n">
        <v>11</v>
      </c>
      <c r="D57" s="0" t="n">
        <v>1999</v>
      </c>
      <c r="E57" s="8" t="n">
        <v>914420</v>
      </c>
      <c r="F57" s="8" t="n">
        <v>1584834</v>
      </c>
      <c r="G57" s="8" t="n">
        <v>173744</v>
      </c>
      <c r="H57" s="8" t="n">
        <v>2246</v>
      </c>
      <c r="I57" s="8" t="n">
        <f aca="false">SUM(E57:H57)</f>
        <v>2675244</v>
      </c>
      <c r="J57" s="8"/>
      <c r="K57" s="8" t="n">
        <f aca="false">G57/B57</f>
        <v>241.311111111111</v>
      </c>
      <c r="L57" s="8" t="n">
        <f aca="false">(I57-G57)/B57</f>
        <v>3474.30555555556</v>
      </c>
      <c r="M57" s="8" t="n">
        <f aca="false">$M$45*N57/B57</f>
        <v>3047.39878217335</v>
      </c>
      <c r="N57" s="0" t="n">
        <f aca="false">(E57+F57+H57)/($E$59+$F$59+$H$59)</f>
        <v>0.0813001009028016</v>
      </c>
    </row>
    <row r="58" customFormat="false" ht="12.75" hidden="false" customHeight="false" outlineLevel="0" collapsed="false">
      <c r="B58" s="0" t="n">
        <v>744</v>
      </c>
      <c r="C58" s="0" t="n">
        <v>12</v>
      </c>
      <c r="D58" s="0" t="n">
        <v>1999</v>
      </c>
      <c r="E58" s="104" t="n">
        <v>860968</v>
      </c>
      <c r="F58" s="104" t="n">
        <v>1678771</v>
      </c>
      <c r="G58" s="104" t="n">
        <v>178456</v>
      </c>
      <c r="H58" s="104" t="n">
        <v>2209</v>
      </c>
      <c r="I58" s="104" t="n">
        <f aca="false">SUM(E58:H58)</f>
        <v>2720404</v>
      </c>
      <c r="J58" s="114"/>
      <c r="K58" s="8" t="n">
        <f aca="false">G58/B58</f>
        <v>239.860215053763</v>
      </c>
      <c r="L58" s="8" t="n">
        <f aca="false">(I58-G58)/B58</f>
        <v>3416.59677419355</v>
      </c>
      <c r="M58" s="8" t="n">
        <f aca="false">$M$45*N58/B58</f>
        <v>2996.78099187506</v>
      </c>
      <c r="N58" s="0" t="n">
        <f aca="false">(E58+F58+H58)/($E$59+$F$59+$H$59)</f>
        <v>0.0826146827462222</v>
      </c>
    </row>
    <row r="59" customFormat="false" ht="12.75" hidden="false" customHeight="false" outlineLevel="0" collapsed="false">
      <c r="E59" s="8" t="n">
        <f aca="false">SUM(E47:E58)</f>
        <v>11144444.5</v>
      </c>
      <c r="F59" s="8" t="n">
        <f aca="false">SUM(F47:F58)</f>
        <v>19594999</v>
      </c>
      <c r="G59" s="8" t="n">
        <f aca="false">SUM(G47:G58)</f>
        <v>4576163</v>
      </c>
      <c r="H59" s="8" t="n">
        <f aca="false">SUM(H47:H58)</f>
        <v>29276</v>
      </c>
      <c r="I59" s="8" t="n">
        <f aca="false">SUM(I47:I58)</f>
        <v>35344882.5</v>
      </c>
      <c r="J59" s="114"/>
      <c r="L59" s="8"/>
    </row>
    <row r="60" customFormat="false" ht="12.75" hidden="false" customHeight="false" outlineLevel="0" collapsed="false">
      <c r="J60" s="10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12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33" activeCellId="0" sqref="F33"/>
    </sheetView>
  </sheetViews>
  <sheetFormatPr defaultColWidth="9.0546875" defaultRowHeight="12.75" customHeight="true" zeroHeight="false" outlineLevelRow="0" outlineLevelCol="0"/>
  <cols>
    <col collapsed="false" customWidth="true" hidden="false" outlineLevel="0" max="3" min="3" style="0" width="9.99"/>
  </cols>
  <sheetData>
    <row r="1" customFormat="false" ht="12.75" hidden="false" customHeight="false" outlineLevel="0" collapsed="false">
      <c r="B1" s="1" t="s">
        <v>16</v>
      </c>
      <c r="C1" s="127"/>
      <c r="E1" s="1" t="s">
        <v>12</v>
      </c>
    </row>
    <row r="2" customFormat="false" ht="12.75" hidden="false" customHeight="false" outlineLevel="0" collapsed="false">
      <c r="A2" s="128" t="n">
        <v>0.03</v>
      </c>
      <c r="B2" s="88" t="n">
        <v>36892</v>
      </c>
      <c r="C2" s="127" t="n">
        <v>4000</v>
      </c>
      <c r="E2" s="88" t="n">
        <v>36892</v>
      </c>
      <c r="F2" s="0" t="n">
        <v>6990</v>
      </c>
    </row>
    <row r="3" customFormat="false" ht="12.75" hidden="false" customHeight="false" outlineLevel="0" collapsed="false">
      <c r="B3" s="88" t="n">
        <v>36923</v>
      </c>
      <c r="C3" s="127" t="n">
        <v>2500</v>
      </c>
      <c r="E3" s="88" t="n">
        <v>36923</v>
      </c>
      <c r="F3" s="0" t="n">
        <v>6320</v>
      </c>
    </row>
    <row r="4" customFormat="false" ht="12.75" hidden="false" customHeight="false" outlineLevel="0" collapsed="false">
      <c r="B4" s="88" t="n">
        <v>36951</v>
      </c>
      <c r="C4" s="127" t="n">
        <v>3000</v>
      </c>
      <c r="E4" s="88" t="n">
        <v>36951</v>
      </c>
      <c r="F4" s="0" t="n">
        <v>6925</v>
      </c>
    </row>
    <row r="5" customFormat="false" ht="12.75" hidden="false" customHeight="false" outlineLevel="0" collapsed="false">
      <c r="B5" s="88" t="n">
        <v>36982</v>
      </c>
      <c r="C5" s="127" t="n">
        <v>3000</v>
      </c>
      <c r="E5" s="88" t="n">
        <v>36982</v>
      </c>
      <c r="F5" s="0" t="n">
        <v>8375</v>
      </c>
    </row>
    <row r="6" customFormat="false" ht="12.75" hidden="false" customHeight="false" outlineLevel="0" collapsed="false">
      <c r="B6" s="88" t="n">
        <v>37012</v>
      </c>
      <c r="C6" s="127" t="n">
        <v>4300</v>
      </c>
      <c r="E6" s="88" t="n">
        <v>37012</v>
      </c>
      <c r="F6" s="0" t="n">
        <v>8075</v>
      </c>
    </row>
    <row r="7" customFormat="false" ht="12.75" hidden="false" customHeight="false" outlineLevel="0" collapsed="false">
      <c r="B7" s="88" t="n">
        <v>37043</v>
      </c>
      <c r="C7" s="127" t="n">
        <v>3700</v>
      </c>
      <c r="E7" s="88" t="n">
        <v>37043</v>
      </c>
      <c r="F7" s="0" t="n">
        <v>10200</v>
      </c>
    </row>
    <row r="8" customFormat="false" ht="12.75" hidden="false" customHeight="false" outlineLevel="0" collapsed="false">
      <c r="B8" s="88" t="n">
        <v>37073</v>
      </c>
      <c r="C8" s="127" t="n">
        <v>3700</v>
      </c>
      <c r="E8" s="88" t="n">
        <v>37073</v>
      </c>
      <c r="F8" s="0" t="n">
        <v>11860</v>
      </c>
    </row>
    <row r="9" customFormat="false" ht="12.75" hidden="false" customHeight="false" outlineLevel="0" collapsed="false">
      <c r="B9" s="88" t="n">
        <v>37104</v>
      </c>
      <c r="C9" s="127" t="n">
        <v>3700</v>
      </c>
      <c r="E9" s="88" t="n">
        <v>37104</v>
      </c>
      <c r="F9" s="0" t="n">
        <v>12775</v>
      </c>
    </row>
    <row r="10" customFormat="false" ht="12.75" hidden="false" customHeight="false" outlineLevel="0" collapsed="false">
      <c r="B10" s="88" t="n">
        <v>37135</v>
      </c>
      <c r="C10" s="127" t="n">
        <v>4700</v>
      </c>
      <c r="E10" s="88" t="n">
        <v>37135</v>
      </c>
      <c r="F10" s="0" t="n">
        <v>13060</v>
      </c>
    </row>
    <row r="11" customFormat="false" ht="12.75" hidden="false" customHeight="false" outlineLevel="0" collapsed="false">
      <c r="B11" s="88" t="n">
        <v>37165</v>
      </c>
      <c r="C11" s="127" t="n">
        <v>4400</v>
      </c>
      <c r="E11" s="88" t="n">
        <v>37165</v>
      </c>
      <c r="F11" s="0" t="n">
        <v>11340</v>
      </c>
    </row>
    <row r="12" customFormat="false" ht="12.75" hidden="false" customHeight="false" outlineLevel="0" collapsed="false">
      <c r="B12" s="88" t="n">
        <v>37196</v>
      </c>
      <c r="C12" s="127" t="n">
        <v>4400</v>
      </c>
      <c r="E12" s="88" t="n">
        <v>37196</v>
      </c>
      <c r="F12" s="0" t="n">
        <v>8090</v>
      </c>
    </row>
    <row r="13" customFormat="false" ht="12.75" hidden="false" customHeight="false" outlineLevel="0" collapsed="false">
      <c r="B13" s="88" t="n">
        <v>37226</v>
      </c>
      <c r="C13" s="127" t="n">
        <v>4400</v>
      </c>
      <c r="D13" s="129" t="n">
        <f aca="false">AVERAGE(C2:C13)</f>
        <v>3816.66666666667</v>
      </c>
      <c r="E13" s="88" t="n">
        <v>37226</v>
      </c>
      <c r="F13" s="0" t="n">
        <v>6740</v>
      </c>
      <c r="G13" s="129" t="n">
        <f aca="false">AVERAGE(F2:F13)</f>
        <v>9229.16666666667</v>
      </c>
    </row>
    <row r="14" customFormat="false" ht="12.75" hidden="false" customHeight="false" outlineLevel="0" collapsed="false">
      <c r="B14" s="88" t="n">
        <v>37257</v>
      </c>
      <c r="C14" s="127" t="n">
        <f aca="false">C2*(1+$A$2)</f>
        <v>4120</v>
      </c>
      <c r="E14" s="88" t="n">
        <v>37257</v>
      </c>
      <c r="F14" s="127" t="n">
        <f aca="false">F2*(1+$A$2)</f>
        <v>7199.7</v>
      </c>
    </row>
    <row r="15" customFormat="false" ht="12.75" hidden="false" customHeight="false" outlineLevel="0" collapsed="false">
      <c r="B15" s="88" t="n">
        <v>37288</v>
      </c>
      <c r="C15" s="127" t="n">
        <f aca="false">C3*(1+$A$2)</f>
        <v>2575</v>
      </c>
      <c r="E15" s="88" t="n">
        <v>37288</v>
      </c>
      <c r="F15" s="127" t="n">
        <f aca="false">F3*(1+$A$2)</f>
        <v>6509.6</v>
      </c>
    </row>
    <row r="16" customFormat="false" ht="12.75" hidden="false" customHeight="false" outlineLevel="0" collapsed="false">
      <c r="B16" s="88" t="n">
        <v>37316</v>
      </c>
      <c r="C16" s="127" t="n">
        <f aca="false">C4*(1+$A$2)</f>
        <v>3090</v>
      </c>
      <c r="E16" s="88" t="n">
        <v>37316</v>
      </c>
      <c r="F16" s="127" t="n">
        <f aca="false">F4*(1+$A$2)</f>
        <v>7132.75</v>
      </c>
    </row>
    <row r="17" customFormat="false" ht="12.75" hidden="false" customHeight="false" outlineLevel="0" collapsed="false">
      <c r="B17" s="88" t="n">
        <v>37347</v>
      </c>
      <c r="C17" s="127" t="n">
        <f aca="false">C5*(1+$A$2)</f>
        <v>3090</v>
      </c>
      <c r="E17" s="88" t="n">
        <v>37347</v>
      </c>
      <c r="F17" s="127" t="n">
        <f aca="false">F5*(1+$A$2)</f>
        <v>8626.25</v>
      </c>
    </row>
    <row r="18" customFormat="false" ht="12.75" hidden="false" customHeight="false" outlineLevel="0" collapsed="false">
      <c r="B18" s="88" t="n">
        <v>37377</v>
      </c>
      <c r="C18" s="127" t="n">
        <f aca="false">C6*(1+$A$2)</f>
        <v>4429</v>
      </c>
      <c r="E18" s="88" t="n">
        <v>37377</v>
      </c>
      <c r="F18" s="127" t="n">
        <f aca="false">F6*(1+$A$2)</f>
        <v>8317.25</v>
      </c>
    </row>
    <row r="19" customFormat="false" ht="12.75" hidden="false" customHeight="false" outlineLevel="0" collapsed="false">
      <c r="B19" s="88" t="n">
        <v>37408</v>
      </c>
      <c r="C19" s="127" t="n">
        <f aca="false">C7*(1+$A$2)</f>
        <v>3811</v>
      </c>
      <c r="E19" s="88" t="n">
        <v>37408</v>
      </c>
      <c r="F19" s="127" t="n">
        <f aca="false">F7*(1+$A$2)</f>
        <v>10506</v>
      </c>
    </row>
    <row r="20" customFormat="false" ht="12.75" hidden="false" customHeight="false" outlineLevel="0" collapsed="false">
      <c r="B20" s="88" t="n">
        <v>37438</v>
      </c>
      <c r="C20" s="127" t="n">
        <f aca="false">C8*(1+$A$2)</f>
        <v>3811</v>
      </c>
      <c r="E20" s="88" t="n">
        <v>37438</v>
      </c>
      <c r="F20" s="127" t="n">
        <f aca="false">F8*(1+$A$2)</f>
        <v>12215.8</v>
      </c>
    </row>
    <row r="21" customFormat="false" ht="12.75" hidden="false" customHeight="false" outlineLevel="0" collapsed="false">
      <c r="B21" s="88" t="n">
        <v>37469</v>
      </c>
      <c r="C21" s="127" t="n">
        <f aca="false">C9*(1+$A$2)</f>
        <v>3811</v>
      </c>
      <c r="E21" s="88" t="n">
        <v>37469</v>
      </c>
      <c r="F21" s="127" t="n">
        <f aca="false">F9*(1+$A$2)</f>
        <v>13158.25</v>
      </c>
    </row>
    <row r="22" customFormat="false" ht="12.75" hidden="false" customHeight="false" outlineLevel="0" collapsed="false">
      <c r="B22" s="88" t="n">
        <v>37500</v>
      </c>
      <c r="C22" s="127" t="n">
        <f aca="false">C10*(1+$A$2)</f>
        <v>4841</v>
      </c>
      <c r="E22" s="88" t="n">
        <v>37500</v>
      </c>
      <c r="F22" s="127" t="n">
        <f aca="false">F10*(1+$A$2)</f>
        <v>13451.8</v>
      </c>
    </row>
    <row r="23" customFormat="false" ht="12.75" hidden="false" customHeight="false" outlineLevel="0" collapsed="false">
      <c r="B23" s="88" t="n">
        <v>37530</v>
      </c>
      <c r="C23" s="127" t="n">
        <f aca="false">C11*(1+$A$2)</f>
        <v>4532</v>
      </c>
      <c r="E23" s="88" t="n">
        <v>37530</v>
      </c>
      <c r="F23" s="127" t="n">
        <f aca="false">F11*(1+$A$2)</f>
        <v>11680.2</v>
      </c>
    </row>
    <row r="24" customFormat="false" ht="12.75" hidden="false" customHeight="false" outlineLevel="0" collapsed="false">
      <c r="B24" s="88" t="n">
        <v>37561</v>
      </c>
      <c r="C24" s="127" t="n">
        <f aca="false">C12*(1+$A$2)</f>
        <v>4532</v>
      </c>
      <c r="E24" s="88" t="n">
        <v>37561</v>
      </c>
      <c r="F24" s="127" t="n">
        <f aca="false">F12*(1+$A$2)</f>
        <v>8332.7</v>
      </c>
    </row>
    <row r="25" customFormat="false" ht="12.75" hidden="false" customHeight="false" outlineLevel="0" collapsed="false">
      <c r="B25" s="88" t="n">
        <v>37591</v>
      </c>
      <c r="C25" s="127" t="n">
        <f aca="false">C13*(1+$A$2)</f>
        <v>4532</v>
      </c>
      <c r="E25" s="88" t="n">
        <v>37591</v>
      </c>
      <c r="F25" s="127" t="n">
        <f aca="false">F13*(1+$A$2)</f>
        <v>6942.2</v>
      </c>
    </row>
    <row r="26" customFormat="false" ht="12.75" hidden="false" customHeight="false" outlineLevel="0" collapsed="false">
      <c r="B26" s="88" t="n">
        <v>37622</v>
      </c>
      <c r="C26" s="127" t="n">
        <f aca="false">C14*(1+$A$2)</f>
        <v>4243.6</v>
      </c>
      <c r="E26" s="88" t="n">
        <v>37622</v>
      </c>
      <c r="F26" s="127" t="n">
        <f aca="false">F14*(1+$A$2)</f>
        <v>7415.691</v>
      </c>
    </row>
    <row r="27" customFormat="false" ht="12.75" hidden="false" customHeight="false" outlineLevel="0" collapsed="false">
      <c r="B27" s="88" t="n">
        <v>37653</v>
      </c>
      <c r="C27" s="127" t="n">
        <f aca="false">C15*(1+$A$2)</f>
        <v>2652.25</v>
      </c>
      <c r="E27" s="88" t="n">
        <v>37653</v>
      </c>
      <c r="F27" s="127" t="n">
        <f aca="false">F15*(1+$A$2)</f>
        <v>6704.888</v>
      </c>
    </row>
    <row r="28" customFormat="false" ht="12.75" hidden="false" customHeight="false" outlineLevel="0" collapsed="false">
      <c r="B28" s="88" t="n">
        <v>37681</v>
      </c>
      <c r="C28" s="127" t="n">
        <f aca="false">C16*(1+$A$2)</f>
        <v>3182.7</v>
      </c>
      <c r="E28" s="88" t="n">
        <v>37681</v>
      </c>
      <c r="F28" s="127" t="n">
        <f aca="false">F16*(1+$A$2)</f>
        <v>7346.7325</v>
      </c>
    </row>
    <row r="29" customFormat="false" ht="12.75" hidden="false" customHeight="false" outlineLevel="0" collapsed="false">
      <c r="B29" s="88" t="n">
        <v>37712</v>
      </c>
      <c r="C29" s="127" t="n">
        <f aca="false">C17*(1+$A$2)</f>
        <v>3182.7</v>
      </c>
      <c r="E29" s="88" t="n">
        <v>37712</v>
      </c>
      <c r="F29" s="127" t="n">
        <f aca="false">F17*(1+$A$2)</f>
        <v>8885.0375</v>
      </c>
    </row>
    <row r="30" customFormat="false" ht="12.75" hidden="false" customHeight="false" outlineLevel="0" collapsed="false">
      <c r="B30" s="88" t="n">
        <v>37742</v>
      </c>
      <c r="C30" s="127" t="n">
        <f aca="false">C18*(1+$A$2)</f>
        <v>4561.87</v>
      </c>
      <c r="E30" s="88" t="n">
        <v>37742</v>
      </c>
      <c r="F30" s="127" t="n">
        <f aca="false">F18*(1+$A$2)</f>
        <v>8566.7675</v>
      </c>
    </row>
    <row r="31" customFormat="false" ht="12.75" hidden="false" customHeight="false" outlineLevel="0" collapsed="false">
      <c r="B31" s="88" t="n">
        <v>37773</v>
      </c>
      <c r="C31" s="127" t="n">
        <f aca="false">C19*(1+$A$2)</f>
        <v>3925.33</v>
      </c>
      <c r="E31" s="88" t="n">
        <v>37773</v>
      </c>
      <c r="F31" s="127" t="n">
        <f aca="false">F19*(1+$A$2)</f>
        <v>10821.18</v>
      </c>
    </row>
    <row r="32" customFormat="false" ht="12.75" hidden="false" customHeight="false" outlineLevel="0" collapsed="false">
      <c r="B32" s="88" t="n">
        <v>37803</v>
      </c>
      <c r="C32" s="127" t="n">
        <f aca="false">C20*(1+$A$2)</f>
        <v>3925.33</v>
      </c>
      <c r="E32" s="88" t="n">
        <v>37803</v>
      </c>
      <c r="F32" s="127" t="n">
        <f aca="false">F20*(1+$A$2)</f>
        <v>12582.274</v>
      </c>
    </row>
    <row r="33" customFormat="false" ht="12.75" hidden="false" customHeight="false" outlineLevel="0" collapsed="false">
      <c r="B33" s="88" t="n">
        <v>37834</v>
      </c>
      <c r="C33" s="127" t="n">
        <f aca="false">C21*(1+$A$2)</f>
        <v>3925.33</v>
      </c>
      <c r="E33" s="88" t="n">
        <v>37834</v>
      </c>
      <c r="F33" s="127" t="n">
        <f aca="false">F21*(1+$A$2)</f>
        <v>13552.9975</v>
      </c>
    </row>
    <row r="34" customFormat="false" ht="12.75" hidden="false" customHeight="false" outlineLevel="0" collapsed="false">
      <c r="B34" s="88" t="n">
        <v>37865</v>
      </c>
      <c r="C34" s="127" t="n">
        <f aca="false">C22*(1+$A$2)</f>
        <v>4986.23</v>
      </c>
      <c r="E34" s="88" t="n">
        <v>37865</v>
      </c>
      <c r="F34" s="127" t="n">
        <f aca="false">F22*(1+$A$2)</f>
        <v>13855.354</v>
      </c>
    </row>
    <row r="35" customFormat="false" ht="12.75" hidden="false" customHeight="false" outlineLevel="0" collapsed="false">
      <c r="B35" s="88" t="n">
        <v>37895</v>
      </c>
      <c r="C35" s="127" t="n">
        <f aca="false">C23*(1+$A$2)</f>
        <v>4667.96</v>
      </c>
      <c r="E35" s="88" t="n">
        <v>37895</v>
      </c>
      <c r="F35" s="127" t="n">
        <f aca="false">F23*(1+$A$2)</f>
        <v>12030.606</v>
      </c>
    </row>
    <row r="36" customFormat="false" ht="12.75" hidden="false" customHeight="false" outlineLevel="0" collapsed="false">
      <c r="B36" s="88" t="n">
        <v>37926</v>
      </c>
      <c r="C36" s="127" t="n">
        <f aca="false">C24*(1+$A$2)</f>
        <v>4667.96</v>
      </c>
      <c r="E36" s="88" t="n">
        <v>37926</v>
      </c>
      <c r="F36" s="127" t="n">
        <f aca="false">F24*(1+$A$2)</f>
        <v>8582.681</v>
      </c>
    </row>
    <row r="37" customFormat="false" ht="12.75" hidden="false" customHeight="false" outlineLevel="0" collapsed="false">
      <c r="B37" s="88" t="n">
        <v>37956</v>
      </c>
      <c r="C37" s="127" t="n">
        <f aca="false">C25*(1+$A$2)</f>
        <v>4667.96</v>
      </c>
      <c r="E37" s="88" t="n">
        <v>37956</v>
      </c>
      <c r="F37" s="127" t="n">
        <f aca="false">F25*(1+$A$2)</f>
        <v>7150.466</v>
      </c>
    </row>
    <row r="38" customFormat="false" ht="12.75" hidden="false" customHeight="false" outlineLevel="0" collapsed="false">
      <c r="B38" s="88" t="n">
        <v>37987</v>
      </c>
      <c r="C38" s="127" t="n">
        <f aca="false">C26*(1+$A$2)</f>
        <v>4370.908</v>
      </c>
      <c r="E38" s="88" t="n">
        <v>37987</v>
      </c>
      <c r="F38" s="127" t="n">
        <f aca="false">F26*(1+$A$2)</f>
        <v>7638.16173</v>
      </c>
    </row>
    <row r="39" customFormat="false" ht="12.75" hidden="false" customHeight="false" outlineLevel="0" collapsed="false">
      <c r="B39" s="88" t="n">
        <v>38018</v>
      </c>
      <c r="C39" s="127" t="n">
        <f aca="false">C27*(1+$A$2)</f>
        <v>2731.8175</v>
      </c>
      <c r="E39" s="88" t="n">
        <v>38018</v>
      </c>
      <c r="F39" s="127" t="n">
        <f aca="false">F27*(1+$A$2)</f>
        <v>6906.03464</v>
      </c>
    </row>
    <row r="40" customFormat="false" ht="12.75" hidden="false" customHeight="false" outlineLevel="0" collapsed="false">
      <c r="B40" s="88" t="n">
        <v>38047</v>
      </c>
      <c r="C40" s="127" t="n">
        <f aca="false">C28*(1+$A$2)</f>
        <v>3278.181</v>
      </c>
      <c r="E40" s="88" t="n">
        <v>38047</v>
      </c>
      <c r="F40" s="127" t="n">
        <f aca="false">F28*(1+$A$2)</f>
        <v>7567.134475</v>
      </c>
    </row>
    <row r="41" customFormat="false" ht="12.75" hidden="false" customHeight="false" outlineLevel="0" collapsed="false">
      <c r="B41" s="88" t="n">
        <v>38078</v>
      </c>
      <c r="C41" s="127" t="n">
        <f aca="false">C29*(1+$A$2)</f>
        <v>3278.181</v>
      </c>
      <c r="E41" s="88" t="n">
        <v>38078</v>
      </c>
      <c r="F41" s="127" t="n">
        <f aca="false">F29*(1+$A$2)</f>
        <v>9151.588625</v>
      </c>
    </row>
    <row r="42" customFormat="false" ht="12.75" hidden="false" customHeight="false" outlineLevel="0" collapsed="false">
      <c r="B42" s="88" t="n">
        <v>38108</v>
      </c>
      <c r="C42" s="127" t="n">
        <f aca="false">C30*(1+$A$2)</f>
        <v>4698.7261</v>
      </c>
      <c r="E42" s="88" t="n">
        <v>38108</v>
      </c>
      <c r="F42" s="127" t="n">
        <f aca="false">F30*(1+$A$2)</f>
        <v>8823.770525</v>
      </c>
    </row>
    <row r="43" customFormat="false" ht="12.75" hidden="false" customHeight="false" outlineLevel="0" collapsed="false">
      <c r="B43" s="88" t="n">
        <v>38139</v>
      </c>
      <c r="C43" s="127" t="n">
        <f aca="false">C31*(1+$A$2)</f>
        <v>4043.0899</v>
      </c>
      <c r="E43" s="88" t="n">
        <v>38139</v>
      </c>
      <c r="F43" s="127" t="n">
        <f aca="false">F31*(1+$A$2)</f>
        <v>11145.8154</v>
      </c>
    </row>
    <row r="44" customFormat="false" ht="12.75" hidden="false" customHeight="false" outlineLevel="0" collapsed="false">
      <c r="B44" s="88" t="n">
        <v>38169</v>
      </c>
      <c r="C44" s="127" t="n">
        <f aca="false">C32*(1+$A$2)</f>
        <v>4043.0899</v>
      </c>
      <c r="E44" s="88" t="n">
        <v>38169</v>
      </c>
      <c r="F44" s="127" t="n">
        <f aca="false">F32*(1+$A$2)</f>
        <v>12959.74222</v>
      </c>
    </row>
    <row r="45" customFormat="false" ht="12.75" hidden="false" customHeight="false" outlineLevel="0" collapsed="false">
      <c r="B45" s="88" t="n">
        <v>38200</v>
      </c>
      <c r="C45" s="127" t="n">
        <f aca="false">C33*(1+$A$2)</f>
        <v>4043.0899</v>
      </c>
      <c r="E45" s="88" t="n">
        <v>38200</v>
      </c>
      <c r="F45" s="127" t="n">
        <f aca="false">F33*(1+$A$2)</f>
        <v>13959.587425</v>
      </c>
    </row>
    <row r="46" customFormat="false" ht="12.75" hidden="false" customHeight="false" outlineLevel="0" collapsed="false">
      <c r="B46" s="88" t="n">
        <v>38231</v>
      </c>
      <c r="C46" s="127" t="n">
        <f aca="false">C34*(1+$A$2)</f>
        <v>5135.8169</v>
      </c>
      <c r="E46" s="88" t="n">
        <v>38231</v>
      </c>
      <c r="F46" s="127" t="n">
        <f aca="false">F34*(1+$A$2)</f>
        <v>14271.01462</v>
      </c>
    </row>
    <row r="47" customFormat="false" ht="12.75" hidden="false" customHeight="false" outlineLevel="0" collapsed="false">
      <c r="B47" s="88" t="n">
        <v>38261</v>
      </c>
      <c r="C47" s="127" t="n">
        <f aca="false">C35*(1+$A$2)</f>
        <v>4807.9988</v>
      </c>
      <c r="E47" s="88" t="n">
        <v>38261</v>
      </c>
      <c r="F47" s="127" t="n">
        <f aca="false">F35*(1+$A$2)</f>
        <v>12391.52418</v>
      </c>
    </row>
    <row r="48" customFormat="false" ht="12.75" hidden="false" customHeight="false" outlineLevel="0" collapsed="false">
      <c r="B48" s="88" t="n">
        <v>38292</v>
      </c>
      <c r="C48" s="127" t="n">
        <f aca="false">C36*(1+$A$2)</f>
        <v>4807.9988</v>
      </c>
      <c r="E48" s="88" t="n">
        <v>38292</v>
      </c>
      <c r="F48" s="127" t="n">
        <f aca="false">F36*(1+$A$2)</f>
        <v>8840.16143</v>
      </c>
    </row>
    <row r="49" customFormat="false" ht="12.75" hidden="false" customHeight="false" outlineLevel="0" collapsed="false">
      <c r="B49" s="88" t="n">
        <v>38322</v>
      </c>
      <c r="C49" s="127" t="n">
        <f aca="false">C37*(1+$A$2)</f>
        <v>4807.9988</v>
      </c>
      <c r="E49" s="88" t="n">
        <v>38322</v>
      </c>
      <c r="F49" s="127" t="n">
        <f aca="false">F37*(1+$A$2)</f>
        <v>7364.97998</v>
      </c>
    </row>
    <row r="50" customFormat="false" ht="12.75" hidden="false" customHeight="false" outlineLevel="0" collapsed="false">
      <c r="B50" s="88" t="n">
        <v>38353</v>
      </c>
      <c r="C50" s="127" t="n">
        <f aca="false">C38*(1+$A$2)</f>
        <v>4502.03524</v>
      </c>
      <c r="E50" s="88" t="n">
        <v>38353</v>
      </c>
      <c r="F50" s="127" t="n">
        <f aca="false">F38*(1+$A$2)</f>
        <v>7867.3065819</v>
      </c>
    </row>
    <row r="51" customFormat="false" ht="12.75" hidden="false" customHeight="false" outlineLevel="0" collapsed="false">
      <c r="B51" s="88" t="n">
        <v>38384</v>
      </c>
      <c r="C51" s="127" t="n">
        <f aca="false">C39*(1+$A$2)</f>
        <v>2813.772025</v>
      </c>
      <c r="E51" s="88" t="n">
        <v>38384</v>
      </c>
      <c r="F51" s="127" t="n">
        <f aca="false">F39*(1+$A$2)</f>
        <v>7113.2156792</v>
      </c>
    </row>
    <row r="52" customFormat="false" ht="12.75" hidden="false" customHeight="false" outlineLevel="0" collapsed="false">
      <c r="B52" s="88" t="n">
        <v>38412</v>
      </c>
      <c r="C52" s="127" t="n">
        <f aca="false">C40*(1+$A$2)</f>
        <v>3376.52643</v>
      </c>
      <c r="E52" s="88" t="n">
        <v>38412</v>
      </c>
      <c r="F52" s="127" t="n">
        <f aca="false">F40*(1+$A$2)</f>
        <v>7794.14850925</v>
      </c>
    </row>
    <row r="53" customFormat="false" ht="12.75" hidden="false" customHeight="false" outlineLevel="0" collapsed="false">
      <c r="B53" s="88" t="n">
        <v>38443</v>
      </c>
      <c r="C53" s="127" t="n">
        <f aca="false">C41*(1+$A$2)</f>
        <v>3376.52643</v>
      </c>
      <c r="E53" s="88" t="n">
        <v>38443</v>
      </c>
      <c r="F53" s="127" t="n">
        <f aca="false">F41*(1+$A$2)</f>
        <v>9426.13628375</v>
      </c>
    </row>
    <row r="54" customFormat="false" ht="12.75" hidden="false" customHeight="false" outlineLevel="0" collapsed="false">
      <c r="B54" s="88" t="n">
        <v>38473</v>
      </c>
      <c r="C54" s="127" t="n">
        <f aca="false">C42*(1+$A$2)</f>
        <v>4839.687883</v>
      </c>
      <c r="E54" s="88" t="n">
        <v>38473</v>
      </c>
      <c r="F54" s="127" t="n">
        <f aca="false">F42*(1+$A$2)</f>
        <v>9088.48364075</v>
      </c>
    </row>
    <row r="55" customFormat="false" ht="12.75" hidden="false" customHeight="false" outlineLevel="0" collapsed="false">
      <c r="B55" s="88" t="n">
        <v>38504</v>
      </c>
      <c r="C55" s="127" t="n">
        <f aca="false">C43*(1+$A$2)</f>
        <v>4164.382597</v>
      </c>
      <c r="E55" s="88" t="n">
        <v>38504</v>
      </c>
      <c r="F55" s="127" t="n">
        <f aca="false">F43*(1+$A$2)</f>
        <v>11480.189862</v>
      </c>
    </row>
    <row r="56" customFormat="false" ht="12.75" hidden="false" customHeight="false" outlineLevel="0" collapsed="false">
      <c r="B56" s="88" t="n">
        <v>38534</v>
      </c>
      <c r="C56" s="127" t="n">
        <f aca="false">C44*(1+$A$2)</f>
        <v>4164.382597</v>
      </c>
      <c r="E56" s="88" t="n">
        <v>38534</v>
      </c>
      <c r="F56" s="127" t="n">
        <f aca="false">F44*(1+$A$2)</f>
        <v>13348.5344866</v>
      </c>
    </row>
    <row r="57" customFormat="false" ht="12.75" hidden="false" customHeight="false" outlineLevel="0" collapsed="false">
      <c r="B57" s="88" t="n">
        <v>38565</v>
      </c>
      <c r="C57" s="127" t="n">
        <f aca="false">C45*(1+$A$2)</f>
        <v>4164.382597</v>
      </c>
      <c r="E57" s="88" t="n">
        <v>38565</v>
      </c>
      <c r="F57" s="127" t="n">
        <f aca="false">F45*(1+$A$2)</f>
        <v>14378.37504775</v>
      </c>
    </row>
    <row r="58" customFormat="false" ht="12.75" hidden="false" customHeight="false" outlineLevel="0" collapsed="false">
      <c r="B58" s="88" t="n">
        <v>38596</v>
      </c>
      <c r="C58" s="127" t="n">
        <f aca="false">C46*(1+$A$2)</f>
        <v>5289.891407</v>
      </c>
      <c r="E58" s="88" t="n">
        <v>38596</v>
      </c>
      <c r="F58" s="127" t="n">
        <f aca="false">F46*(1+$A$2)</f>
        <v>14699.1450586</v>
      </c>
    </row>
    <row r="59" customFormat="false" ht="12.75" hidden="false" customHeight="false" outlineLevel="0" collapsed="false">
      <c r="B59" s="88" t="n">
        <v>38626</v>
      </c>
      <c r="C59" s="127" t="n">
        <f aca="false">C47*(1+$A$2)</f>
        <v>4952.238764</v>
      </c>
      <c r="E59" s="88" t="n">
        <v>38626</v>
      </c>
      <c r="F59" s="127" t="n">
        <f aca="false">F47*(1+$A$2)</f>
        <v>12763.2699054</v>
      </c>
    </row>
    <row r="60" customFormat="false" ht="12.75" hidden="false" customHeight="false" outlineLevel="0" collapsed="false">
      <c r="B60" s="88" t="n">
        <v>38657</v>
      </c>
      <c r="C60" s="127" t="n">
        <f aca="false">C48*(1+$A$2)</f>
        <v>4952.238764</v>
      </c>
      <c r="E60" s="88" t="n">
        <v>38657</v>
      </c>
      <c r="F60" s="127" t="n">
        <f aca="false">F48*(1+$A$2)</f>
        <v>9105.3662729</v>
      </c>
    </row>
    <row r="61" customFormat="false" ht="12.75" hidden="false" customHeight="false" outlineLevel="0" collapsed="false">
      <c r="B61" s="88" t="n">
        <v>38687</v>
      </c>
      <c r="C61" s="127" t="n">
        <f aca="false">C49*(1+$A$2)</f>
        <v>4952.238764</v>
      </c>
      <c r="D61" s="129" t="n">
        <f aca="false">AVERAGE(C2:C61)</f>
        <v>4052.64033496667</v>
      </c>
      <c r="E61" s="88" t="n">
        <v>38687</v>
      </c>
      <c r="F61" s="127" t="n">
        <f aca="false">F49*(1+$A$2)</f>
        <v>7585.9293794</v>
      </c>
      <c r="G61" s="129" t="n">
        <f aca="false">AVERAGE(F2:F61)</f>
        <v>9799.77984929167</v>
      </c>
    </row>
    <row r="62" customFormat="false" ht="12.75" hidden="false" customHeight="false" outlineLevel="0" collapsed="false">
      <c r="B62" s="88" t="n">
        <v>38718</v>
      </c>
      <c r="C62" s="127" t="n">
        <f aca="false">C50*(1+$A$2)</f>
        <v>4637.0962972</v>
      </c>
      <c r="E62" s="88" t="n">
        <v>38718</v>
      </c>
      <c r="F62" s="127" t="n">
        <f aca="false">F50*(1+$A$2)</f>
        <v>8103.325779357</v>
      </c>
    </row>
    <row r="63" customFormat="false" ht="12.75" hidden="false" customHeight="false" outlineLevel="0" collapsed="false">
      <c r="B63" s="88" t="n">
        <v>38749</v>
      </c>
      <c r="C63" s="127" t="n">
        <f aca="false">C51*(1+$A$2)</f>
        <v>2898.18518575</v>
      </c>
      <c r="E63" s="88" t="n">
        <v>38749</v>
      </c>
      <c r="F63" s="127" t="n">
        <f aca="false">F51*(1+$A$2)</f>
        <v>7326.612149576</v>
      </c>
    </row>
    <row r="64" customFormat="false" ht="12.75" hidden="false" customHeight="false" outlineLevel="0" collapsed="false">
      <c r="B64" s="88" t="n">
        <v>38777</v>
      </c>
      <c r="C64" s="127" t="n">
        <f aca="false">C52*(1+$A$2)</f>
        <v>3477.8222229</v>
      </c>
      <c r="E64" s="88" t="n">
        <v>38777</v>
      </c>
      <c r="F64" s="127" t="n">
        <f aca="false">F52*(1+$A$2)</f>
        <v>8027.9729645275</v>
      </c>
    </row>
    <row r="65" customFormat="false" ht="12.75" hidden="false" customHeight="false" outlineLevel="0" collapsed="false">
      <c r="B65" s="88" t="n">
        <v>38808</v>
      </c>
      <c r="C65" s="127" t="n">
        <f aca="false">C53*(1+$A$2)</f>
        <v>3477.8222229</v>
      </c>
      <c r="E65" s="88" t="n">
        <v>38808</v>
      </c>
      <c r="F65" s="127" t="n">
        <f aca="false">F53*(1+$A$2)</f>
        <v>9708.9203722625</v>
      </c>
    </row>
    <row r="66" customFormat="false" ht="12.75" hidden="false" customHeight="false" outlineLevel="0" collapsed="false">
      <c r="B66" s="88" t="n">
        <v>38838</v>
      </c>
      <c r="C66" s="127" t="n">
        <f aca="false">C54*(1+$A$2)</f>
        <v>4984.87851949</v>
      </c>
      <c r="E66" s="88" t="n">
        <v>38838</v>
      </c>
      <c r="F66" s="127" t="n">
        <f aca="false">F54*(1+$A$2)</f>
        <v>9361.1381499725</v>
      </c>
    </row>
    <row r="67" customFormat="false" ht="12.75" hidden="false" customHeight="false" outlineLevel="0" collapsed="false">
      <c r="B67" s="88" t="n">
        <v>38869</v>
      </c>
      <c r="C67" s="127" t="n">
        <f aca="false">C55*(1+$A$2)</f>
        <v>4289.31407491</v>
      </c>
      <c r="E67" s="88" t="n">
        <v>38869</v>
      </c>
      <c r="F67" s="127" t="n">
        <f aca="false">F55*(1+$A$2)</f>
        <v>11824.59555786</v>
      </c>
    </row>
    <row r="68" customFormat="false" ht="12.75" hidden="false" customHeight="false" outlineLevel="0" collapsed="false">
      <c r="B68" s="88" t="n">
        <v>38899</v>
      </c>
      <c r="C68" s="127" t="n">
        <f aca="false">C56*(1+$A$2)</f>
        <v>4289.31407491</v>
      </c>
      <c r="E68" s="88" t="n">
        <v>38899</v>
      </c>
      <c r="F68" s="127" t="n">
        <f aca="false">F56*(1+$A$2)</f>
        <v>13748.990521198</v>
      </c>
    </row>
    <row r="69" customFormat="false" ht="12.75" hidden="false" customHeight="false" outlineLevel="0" collapsed="false">
      <c r="B69" s="88" t="n">
        <v>38930</v>
      </c>
      <c r="C69" s="127" t="n">
        <f aca="false">C57*(1+$A$2)</f>
        <v>4289.31407491</v>
      </c>
      <c r="E69" s="88" t="n">
        <v>38930</v>
      </c>
      <c r="F69" s="127" t="n">
        <f aca="false">F57*(1+$A$2)</f>
        <v>14809.7262991825</v>
      </c>
    </row>
    <row r="70" customFormat="false" ht="12.75" hidden="false" customHeight="false" outlineLevel="0" collapsed="false">
      <c r="B70" s="88" t="n">
        <v>38961</v>
      </c>
      <c r="C70" s="127" t="n">
        <f aca="false">C58*(1+$A$2)</f>
        <v>5448.58814921</v>
      </c>
      <c r="E70" s="88" t="n">
        <v>38961</v>
      </c>
      <c r="F70" s="127" t="n">
        <f aca="false">F58*(1+$A$2)</f>
        <v>15140.119410358</v>
      </c>
    </row>
    <row r="71" customFormat="false" ht="12.75" hidden="false" customHeight="false" outlineLevel="0" collapsed="false">
      <c r="B71" s="88" t="n">
        <v>38991</v>
      </c>
      <c r="C71" s="127" t="n">
        <f aca="false">C59*(1+$A$2)</f>
        <v>5100.80592692</v>
      </c>
      <c r="E71" s="88" t="n">
        <v>38991</v>
      </c>
      <c r="F71" s="127" t="n">
        <f aca="false">F59*(1+$A$2)</f>
        <v>13146.168002562</v>
      </c>
    </row>
    <row r="72" customFormat="false" ht="12.75" hidden="false" customHeight="false" outlineLevel="0" collapsed="false">
      <c r="B72" s="88" t="n">
        <v>39022</v>
      </c>
      <c r="C72" s="127" t="n">
        <f aca="false">C60*(1+$A$2)</f>
        <v>5100.80592692</v>
      </c>
      <c r="E72" s="88" t="n">
        <v>39022</v>
      </c>
      <c r="F72" s="127" t="n">
        <f aca="false">F60*(1+$A$2)</f>
        <v>9378.527261087</v>
      </c>
    </row>
    <row r="73" customFormat="false" ht="12.75" hidden="false" customHeight="false" outlineLevel="0" collapsed="false">
      <c r="B73" s="88" t="n">
        <v>39052</v>
      </c>
      <c r="C73" s="127" t="n">
        <f aca="false">C61*(1+$A$2)</f>
        <v>5100.80592692</v>
      </c>
      <c r="E73" s="88" t="n">
        <v>39052</v>
      </c>
      <c r="F73" s="127" t="n">
        <f aca="false">F61*(1+$A$2)</f>
        <v>7813.507260782</v>
      </c>
    </row>
    <row r="74" customFormat="false" ht="12.75" hidden="false" customHeight="false" outlineLevel="0" collapsed="false">
      <c r="B74" s="88" t="n">
        <v>39083</v>
      </c>
      <c r="C74" s="127" t="n">
        <f aca="false">C62*(1+$A$2)</f>
        <v>4776.209186116</v>
      </c>
      <c r="E74" s="88" t="n">
        <v>39083</v>
      </c>
      <c r="F74" s="127" t="n">
        <f aca="false">F62*(1+$A$2)</f>
        <v>8346.42555273771</v>
      </c>
    </row>
    <row r="75" customFormat="false" ht="12.75" hidden="false" customHeight="false" outlineLevel="0" collapsed="false">
      <c r="B75" s="88" t="n">
        <v>39114</v>
      </c>
      <c r="C75" s="127" t="n">
        <f aca="false">C63*(1+$A$2)</f>
        <v>2985.1307413225</v>
      </c>
      <c r="E75" s="88" t="n">
        <v>39114</v>
      </c>
      <c r="F75" s="127" t="n">
        <f aca="false">F63*(1+$A$2)</f>
        <v>7546.41051406328</v>
      </c>
    </row>
    <row r="76" customFormat="false" ht="12.75" hidden="false" customHeight="false" outlineLevel="0" collapsed="false">
      <c r="B76" s="88" t="n">
        <v>39142</v>
      </c>
      <c r="C76" s="127" t="n">
        <f aca="false">C64*(1+$A$2)</f>
        <v>3582.156889587</v>
      </c>
      <c r="E76" s="88" t="n">
        <v>39142</v>
      </c>
      <c r="F76" s="127" t="n">
        <f aca="false">F64*(1+$A$2)</f>
        <v>8268.81215346333</v>
      </c>
    </row>
    <row r="77" customFormat="false" ht="12.75" hidden="false" customHeight="false" outlineLevel="0" collapsed="false">
      <c r="B77" s="88" t="n">
        <v>39173</v>
      </c>
      <c r="C77" s="127" t="n">
        <f aca="false">C65*(1+$A$2)</f>
        <v>3582.156889587</v>
      </c>
      <c r="E77" s="88" t="n">
        <v>39173</v>
      </c>
      <c r="F77" s="127" t="n">
        <f aca="false">F65*(1+$A$2)</f>
        <v>10000.1879834304</v>
      </c>
    </row>
    <row r="78" customFormat="false" ht="12.75" hidden="false" customHeight="false" outlineLevel="0" collapsed="false">
      <c r="B78" s="88" t="n">
        <v>39203</v>
      </c>
      <c r="C78" s="127" t="n">
        <f aca="false">C66*(1+$A$2)</f>
        <v>5134.4248750747</v>
      </c>
      <c r="E78" s="88" t="n">
        <v>39203</v>
      </c>
      <c r="F78" s="127" t="n">
        <f aca="false">F66*(1+$A$2)</f>
        <v>9641.97229447168</v>
      </c>
    </row>
    <row r="79" customFormat="false" ht="12.75" hidden="false" customHeight="false" outlineLevel="0" collapsed="false">
      <c r="B79" s="88" t="n">
        <v>39234</v>
      </c>
      <c r="C79" s="127" t="n">
        <f aca="false">C67*(1+$A$2)</f>
        <v>4417.9934971573</v>
      </c>
      <c r="E79" s="88" t="n">
        <v>39234</v>
      </c>
      <c r="F79" s="127" t="n">
        <f aca="false">F67*(1+$A$2)</f>
        <v>12179.3334245958</v>
      </c>
    </row>
    <row r="80" customFormat="false" ht="12.75" hidden="false" customHeight="false" outlineLevel="0" collapsed="false">
      <c r="B80" s="88" t="n">
        <v>39264</v>
      </c>
      <c r="C80" s="127" t="n">
        <f aca="false">C68*(1+$A$2)</f>
        <v>4417.9934971573</v>
      </c>
      <c r="E80" s="88" t="n">
        <v>39264</v>
      </c>
      <c r="F80" s="127" t="n">
        <f aca="false">F68*(1+$A$2)</f>
        <v>14161.4602368339</v>
      </c>
    </row>
    <row r="81" customFormat="false" ht="12.75" hidden="false" customHeight="false" outlineLevel="0" collapsed="false">
      <c r="B81" s="88" t="n">
        <v>39295</v>
      </c>
      <c r="C81" s="127" t="n">
        <f aca="false">C69*(1+$A$2)</f>
        <v>4417.9934971573</v>
      </c>
      <c r="E81" s="88" t="n">
        <v>39295</v>
      </c>
      <c r="F81" s="127" t="n">
        <f aca="false">F69*(1+$A$2)</f>
        <v>15254.018088158</v>
      </c>
    </row>
    <row r="82" customFormat="false" ht="12.75" hidden="false" customHeight="false" outlineLevel="0" collapsed="false">
      <c r="B82" s="88" t="n">
        <v>39326</v>
      </c>
      <c r="C82" s="127" t="n">
        <f aca="false">C70*(1+$A$2)</f>
        <v>5612.0457936863</v>
      </c>
      <c r="E82" s="88" t="n">
        <v>39326</v>
      </c>
      <c r="F82" s="127" t="n">
        <f aca="false">F70*(1+$A$2)</f>
        <v>15594.3229926687</v>
      </c>
    </row>
    <row r="83" customFormat="false" ht="12.75" hidden="false" customHeight="false" outlineLevel="0" collapsed="false">
      <c r="B83" s="88" t="n">
        <v>39356</v>
      </c>
      <c r="C83" s="127" t="n">
        <f aca="false">C71*(1+$A$2)</f>
        <v>5253.8301047276</v>
      </c>
      <c r="E83" s="88" t="n">
        <v>39356</v>
      </c>
      <c r="F83" s="127" t="n">
        <f aca="false">F71*(1+$A$2)</f>
        <v>13540.5530426389</v>
      </c>
    </row>
    <row r="84" customFormat="false" ht="12.75" hidden="false" customHeight="false" outlineLevel="0" collapsed="false">
      <c r="B84" s="88" t="n">
        <v>39387</v>
      </c>
      <c r="C84" s="127" t="n">
        <f aca="false">C72*(1+$A$2)</f>
        <v>5253.8301047276</v>
      </c>
      <c r="E84" s="88" t="n">
        <v>39387</v>
      </c>
      <c r="F84" s="127" t="n">
        <f aca="false">F72*(1+$A$2)</f>
        <v>9659.88307891961</v>
      </c>
    </row>
    <row r="85" customFormat="false" ht="12.75" hidden="false" customHeight="false" outlineLevel="0" collapsed="false">
      <c r="B85" s="88" t="n">
        <v>39417</v>
      </c>
      <c r="C85" s="127" t="n">
        <f aca="false">C73*(1+$A$2)</f>
        <v>5253.8301047276</v>
      </c>
      <c r="D85" s="129" t="n">
        <f aca="false">AVERAGE(C2:C85)</f>
        <v>4177.86628430915</v>
      </c>
      <c r="E85" s="88" t="n">
        <v>39417</v>
      </c>
      <c r="F85" s="127" t="n">
        <f aca="false">F73*(1+$A$2)</f>
        <v>8047.91247860546</v>
      </c>
      <c r="G85" s="129" t="n">
        <f aca="false">AVERAGE(F2:F85)</f>
        <v>10102.5915062716</v>
      </c>
    </row>
    <row r="86" customFormat="false" ht="12.75" hidden="false" customHeight="false" outlineLevel="0" collapsed="false">
      <c r="B86" s="88" t="n">
        <v>39448</v>
      </c>
      <c r="C86" s="127" t="n">
        <f aca="false">C74*(1+$A$2)</f>
        <v>4919.49546169948</v>
      </c>
      <c r="E86" s="88" t="n">
        <v>39448</v>
      </c>
      <c r="F86" s="127" t="n">
        <f aca="false">F74*(1+$A$2)</f>
        <v>8596.81831931984</v>
      </c>
    </row>
    <row r="87" customFormat="false" ht="12.75" hidden="false" customHeight="false" outlineLevel="0" collapsed="false">
      <c r="B87" s="88" t="n">
        <v>39479</v>
      </c>
      <c r="C87" s="127" t="n">
        <f aca="false">C75*(1+$A$2)</f>
        <v>3074.68466356218</v>
      </c>
      <c r="E87" s="88" t="n">
        <v>39479</v>
      </c>
      <c r="F87" s="127" t="n">
        <f aca="false">F75*(1+$A$2)</f>
        <v>7772.80282948518</v>
      </c>
    </row>
    <row r="88" customFormat="false" ht="12.75" hidden="false" customHeight="false" outlineLevel="0" collapsed="false">
      <c r="B88" s="88" t="n">
        <v>39508</v>
      </c>
      <c r="C88" s="127" t="n">
        <f aca="false">C76*(1+$A$2)</f>
        <v>3689.62159627461</v>
      </c>
      <c r="E88" s="88" t="n">
        <v>39508</v>
      </c>
      <c r="F88" s="127" t="n">
        <f aca="false">F76*(1+$A$2)</f>
        <v>8516.87651806723</v>
      </c>
    </row>
    <row r="89" customFormat="false" ht="12.75" hidden="false" customHeight="false" outlineLevel="0" collapsed="false">
      <c r="B89" s="88" t="n">
        <v>39539</v>
      </c>
      <c r="C89" s="127" t="n">
        <f aca="false">C77*(1+$A$2)</f>
        <v>3689.62159627461</v>
      </c>
      <c r="E89" s="88" t="n">
        <v>39539</v>
      </c>
      <c r="F89" s="127" t="n">
        <f aca="false">F77*(1+$A$2)</f>
        <v>10300.1936229333</v>
      </c>
    </row>
    <row r="90" customFormat="false" ht="12.75" hidden="false" customHeight="false" outlineLevel="0" collapsed="false">
      <c r="B90" s="88" t="n">
        <v>39569</v>
      </c>
      <c r="C90" s="127" t="n">
        <f aca="false">C78*(1+$A$2)</f>
        <v>5288.45762132694</v>
      </c>
      <c r="E90" s="88" t="n">
        <v>39569</v>
      </c>
      <c r="F90" s="127" t="n">
        <f aca="false">F78*(1+$A$2)</f>
        <v>9931.23146330583</v>
      </c>
    </row>
    <row r="91" customFormat="false" ht="12.75" hidden="false" customHeight="false" outlineLevel="0" collapsed="false">
      <c r="B91" s="88" t="n">
        <v>39600</v>
      </c>
      <c r="C91" s="127" t="n">
        <f aca="false">C79*(1+$A$2)</f>
        <v>4550.53330207202</v>
      </c>
      <c r="E91" s="88" t="n">
        <v>39600</v>
      </c>
      <c r="F91" s="127" t="n">
        <f aca="false">F79*(1+$A$2)</f>
        <v>12544.7134273337</v>
      </c>
    </row>
    <row r="92" customFormat="false" ht="12.75" hidden="false" customHeight="false" outlineLevel="0" collapsed="false">
      <c r="B92" s="88" t="n">
        <v>39630</v>
      </c>
      <c r="C92" s="127" t="n">
        <f aca="false">C80*(1+$A$2)</f>
        <v>4550.53330207202</v>
      </c>
      <c r="E92" s="88" t="n">
        <v>39630</v>
      </c>
      <c r="F92" s="127" t="n">
        <f aca="false">F80*(1+$A$2)</f>
        <v>14586.304043939</v>
      </c>
    </row>
    <row r="93" customFormat="false" ht="12.75" hidden="false" customHeight="false" outlineLevel="0" collapsed="false">
      <c r="B93" s="88" t="n">
        <v>39661</v>
      </c>
      <c r="C93" s="127" t="n">
        <f aca="false">C81*(1+$A$2)</f>
        <v>4550.53330207202</v>
      </c>
      <c r="E93" s="88" t="n">
        <v>39661</v>
      </c>
      <c r="F93" s="127" t="n">
        <f aca="false">F81*(1+$A$2)</f>
        <v>15711.6386308027</v>
      </c>
    </row>
    <row r="94" customFormat="false" ht="12.75" hidden="false" customHeight="false" outlineLevel="0" collapsed="false">
      <c r="B94" s="88" t="n">
        <v>39692</v>
      </c>
      <c r="C94" s="127" t="n">
        <f aca="false">C82*(1+$A$2)</f>
        <v>5780.40716749689</v>
      </c>
      <c r="E94" s="88" t="n">
        <v>39692</v>
      </c>
      <c r="F94" s="127" t="n">
        <f aca="false">F82*(1+$A$2)</f>
        <v>16062.1526824488</v>
      </c>
    </row>
    <row r="95" customFormat="false" ht="12.75" hidden="false" customHeight="false" outlineLevel="0" collapsed="false">
      <c r="B95" s="88" t="n">
        <v>39722</v>
      </c>
      <c r="C95" s="127" t="n">
        <f aca="false">C83*(1+$A$2)</f>
        <v>5411.44500786943</v>
      </c>
      <c r="E95" s="88" t="n">
        <v>39722</v>
      </c>
      <c r="F95" s="127" t="n">
        <f aca="false">F83*(1+$A$2)</f>
        <v>13946.769633918</v>
      </c>
    </row>
    <row r="96" customFormat="false" ht="12.75" hidden="false" customHeight="false" outlineLevel="0" collapsed="false">
      <c r="B96" s="88" t="n">
        <v>39753</v>
      </c>
      <c r="C96" s="127" t="n">
        <f aca="false">C84*(1+$A$2)</f>
        <v>5411.44500786943</v>
      </c>
      <c r="E96" s="88" t="n">
        <v>39753</v>
      </c>
      <c r="F96" s="127" t="n">
        <f aca="false">F84*(1+$A$2)</f>
        <v>9949.6795712872</v>
      </c>
    </row>
    <row r="97" customFormat="false" ht="12.75" hidden="false" customHeight="false" outlineLevel="0" collapsed="false">
      <c r="B97" s="88" t="n">
        <v>39783</v>
      </c>
      <c r="C97" s="127" t="n">
        <f aca="false">C85*(1+$A$2)</f>
        <v>5411.44500786943</v>
      </c>
      <c r="E97" s="88" t="n">
        <v>39783</v>
      </c>
      <c r="F97" s="127" t="n">
        <f aca="false">F85*(1+$A$2)</f>
        <v>8289.34985296363</v>
      </c>
    </row>
    <row r="98" customFormat="false" ht="12.75" hidden="false" customHeight="false" outlineLevel="0" collapsed="false">
      <c r="B98" s="88" t="n">
        <v>39814</v>
      </c>
      <c r="C98" s="127" t="n">
        <f aca="false">C86*(1+$A$2)</f>
        <v>5067.08032555047</v>
      </c>
      <c r="E98" s="88" t="n">
        <v>39814</v>
      </c>
      <c r="F98" s="127" t="n">
        <f aca="false">F86*(1+$A$2)</f>
        <v>8854.72286889944</v>
      </c>
    </row>
    <row r="99" customFormat="false" ht="12.75" hidden="false" customHeight="false" outlineLevel="0" collapsed="false">
      <c r="B99" s="88" t="n">
        <v>39845</v>
      </c>
      <c r="C99" s="127" t="n">
        <f aca="false">C87*(1+$A$2)</f>
        <v>3166.92520346904</v>
      </c>
      <c r="E99" s="88" t="n">
        <v>39845</v>
      </c>
      <c r="F99" s="127" t="n">
        <f aca="false">F87*(1+$A$2)</f>
        <v>8005.98691436974</v>
      </c>
    </row>
    <row r="100" customFormat="false" ht="12.75" hidden="false" customHeight="false" outlineLevel="0" collapsed="false">
      <c r="B100" s="88" t="n">
        <v>39873</v>
      </c>
      <c r="C100" s="127" t="n">
        <f aca="false">C88*(1+$A$2)</f>
        <v>3800.31024416285</v>
      </c>
      <c r="E100" s="88" t="n">
        <v>39873</v>
      </c>
      <c r="F100" s="127" t="n">
        <f aca="false">F88*(1+$A$2)</f>
        <v>8772.38281360924</v>
      </c>
    </row>
    <row r="101" customFormat="false" ht="12.75" hidden="false" customHeight="false" outlineLevel="0" collapsed="false">
      <c r="B101" s="88" t="n">
        <v>39904</v>
      </c>
      <c r="C101" s="127" t="n">
        <f aca="false">C89*(1+$A$2)</f>
        <v>3800.31024416285</v>
      </c>
      <c r="E101" s="88" t="n">
        <v>39904</v>
      </c>
      <c r="F101" s="127" t="n">
        <f aca="false">F89*(1+$A$2)</f>
        <v>10609.1994316213</v>
      </c>
    </row>
    <row r="102" customFormat="false" ht="12.75" hidden="false" customHeight="false" outlineLevel="0" collapsed="false">
      <c r="B102" s="88" t="n">
        <v>39934</v>
      </c>
      <c r="C102" s="127" t="n">
        <f aca="false">C90*(1+$A$2)</f>
        <v>5447.11134996675</v>
      </c>
      <c r="E102" s="88" t="n">
        <v>39934</v>
      </c>
      <c r="F102" s="127" t="n">
        <f aca="false">F90*(1+$A$2)</f>
        <v>10229.168407205</v>
      </c>
    </row>
    <row r="103" customFormat="false" ht="12.75" hidden="false" customHeight="false" outlineLevel="0" collapsed="false">
      <c r="B103" s="88" t="n">
        <v>39965</v>
      </c>
      <c r="C103" s="127" t="n">
        <f aca="false">C91*(1+$A$2)</f>
        <v>4687.04930113418</v>
      </c>
      <c r="E103" s="88" t="n">
        <v>39965</v>
      </c>
      <c r="F103" s="127" t="n">
        <f aca="false">F91*(1+$A$2)</f>
        <v>12921.0548301537</v>
      </c>
    </row>
    <row r="104" customFormat="false" ht="12.75" hidden="false" customHeight="false" outlineLevel="0" collapsed="false">
      <c r="B104" s="88" t="n">
        <v>39995</v>
      </c>
      <c r="C104" s="127" t="n">
        <f aca="false">C92*(1+$A$2)</f>
        <v>4687.04930113418</v>
      </c>
      <c r="E104" s="88" t="n">
        <v>39995</v>
      </c>
      <c r="F104" s="127" t="n">
        <f aca="false">F92*(1+$A$2)</f>
        <v>15023.8931652571</v>
      </c>
    </row>
    <row r="105" customFormat="false" ht="12.75" hidden="false" customHeight="false" outlineLevel="0" collapsed="false">
      <c r="B105" s="88" t="n">
        <v>40026</v>
      </c>
      <c r="C105" s="127" t="n">
        <f aca="false">C93*(1+$A$2)</f>
        <v>4687.04930113418</v>
      </c>
      <c r="E105" s="88" t="n">
        <v>40026</v>
      </c>
      <c r="F105" s="127" t="n">
        <f aca="false">F93*(1+$A$2)</f>
        <v>16182.9877897268</v>
      </c>
    </row>
    <row r="106" customFormat="false" ht="12.75" hidden="false" customHeight="false" outlineLevel="0" collapsed="false">
      <c r="B106" s="88" t="n">
        <v>40057</v>
      </c>
      <c r="C106" s="127" t="n">
        <f aca="false">C94*(1+$A$2)</f>
        <v>5953.8193825218</v>
      </c>
      <c r="E106" s="88" t="n">
        <v>40057</v>
      </c>
      <c r="F106" s="127" t="n">
        <f aca="false">F94*(1+$A$2)</f>
        <v>16544.0172629223</v>
      </c>
    </row>
    <row r="107" customFormat="false" ht="12.75" hidden="false" customHeight="false" outlineLevel="0" collapsed="false">
      <c r="B107" s="88" t="n">
        <v>40087</v>
      </c>
      <c r="C107" s="127" t="n">
        <f aca="false">C95*(1+$A$2)</f>
        <v>5573.78835810551</v>
      </c>
      <c r="E107" s="88" t="n">
        <v>40087</v>
      </c>
      <c r="F107" s="127" t="n">
        <f aca="false">F95*(1+$A$2)</f>
        <v>14365.1727229356</v>
      </c>
    </row>
    <row r="108" customFormat="false" ht="12.75" hidden="false" customHeight="false" outlineLevel="0" collapsed="false">
      <c r="B108" s="88" t="n">
        <v>40118</v>
      </c>
      <c r="C108" s="127" t="n">
        <f aca="false">C96*(1+$A$2)</f>
        <v>5573.78835810551</v>
      </c>
      <c r="E108" s="88" t="n">
        <v>40118</v>
      </c>
      <c r="F108" s="127" t="n">
        <f aca="false">F96*(1+$A$2)</f>
        <v>10248.1699584258</v>
      </c>
    </row>
    <row r="109" customFormat="false" ht="12.75" hidden="false" customHeight="false" outlineLevel="0" collapsed="false">
      <c r="B109" s="88" t="n">
        <v>40148</v>
      </c>
      <c r="C109" s="127" t="n">
        <f aca="false">C97*(1+$A$2)</f>
        <v>5573.78835810551</v>
      </c>
      <c r="E109" s="88" t="n">
        <v>40148</v>
      </c>
      <c r="F109" s="127" t="n">
        <f aca="false">F97*(1+$A$2)</f>
        <v>8538.03034855254</v>
      </c>
    </row>
    <row r="110" customFormat="false" ht="12.75" hidden="false" customHeight="false" outlineLevel="0" collapsed="false">
      <c r="B110" s="88" t="n">
        <v>40179</v>
      </c>
      <c r="C110" s="127" t="n">
        <f aca="false">C98*(1+$A$2)</f>
        <v>5219.09273531698</v>
      </c>
      <c r="E110" s="88" t="n">
        <v>40179</v>
      </c>
      <c r="F110" s="127" t="n">
        <f aca="false">F98*(1+$A$2)</f>
        <v>9120.36455496642</v>
      </c>
    </row>
    <row r="111" customFormat="false" ht="12.75" hidden="false" customHeight="false" outlineLevel="0" collapsed="false">
      <c r="B111" s="88" t="n">
        <v>40210</v>
      </c>
      <c r="C111" s="127" t="n">
        <f aca="false">C99*(1+$A$2)</f>
        <v>3261.93295957311</v>
      </c>
      <c r="E111" s="88" t="n">
        <v>40210</v>
      </c>
      <c r="F111" s="127" t="n">
        <f aca="false">F99*(1+$A$2)</f>
        <v>8246.16652180083</v>
      </c>
    </row>
    <row r="112" customFormat="false" ht="12.75" hidden="false" customHeight="false" outlineLevel="0" collapsed="false">
      <c r="B112" s="88" t="n">
        <v>40238</v>
      </c>
      <c r="C112" s="127" t="n">
        <f aca="false">C100*(1+$A$2)</f>
        <v>3914.31955148773</v>
      </c>
      <c r="E112" s="88" t="n">
        <v>40238</v>
      </c>
      <c r="F112" s="127" t="n">
        <f aca="false">F100*(1+$A$2)</f>
        <v>9035.55429801752</v>
      </c>
    </row>
    <row r="113" customFormat="false" ht="12.75" hidden="false" customHeight="false" outlineLevel="0" collapsed="false">
      <c r="B113" s="88" t="n">
        <v>40269</v>
      </c>
      <c r="C113" s="127" t="n">
        <f aca="false">C101*(1+$A$2)</f>
        <v>3914.31955148773</v>
      </c>
      <c r="E113" s="88" t="n">
        <v>40269</v>
      </c>
      <c r="F113" s="127" t="n">
        <f aca="false">F101*(1+$A$2)</f>
        <v>10927.4754145699</v>
      </c>
    </row>
    <row r="114" customFormat="false" ht="12.75" hidden="false" customHeight="false" outlineLevel="0" collapsed="false">
      <c r="B114" s="88" t="n">
        <v>40299</v>
      </c>
      <c r="C114" s="127" t="n">
        <f aca="false">C102*(1+$A$2)</f>
        <v>5610.52469046575</v>
      </c>
      <c r="E114" s="88" t="n">
        <v>40299</v>
      </c>
      <c r="F114" s="127" t="n">
        <f aca="false">F102*(1+$A$2)</f>
        <v>10536.0434594212</v>
      </c>
    </row>
    <row r="115" customFormat="false" ht="12.75" hidden="false" customHeight="false" outlineLevel="0" collapsed="false">
      <c r="B115" s="88" t="n">
        <v>40330</v>
      </c>
      <c r="C115" s="127" t="n">
        <f aca="false">C103*(1+$A$2)</f>
        <v>4827.66078016821</v>
      </c>
      <c r="E115" s="88" t="n">
        <v>40330</v>
      </c>
      <c r="F115" s="127" t="n">
        <f aca="false">F103*(1+$A$2)</f>
        <v>13308.6864750583</v>
      </c>
    </row>
    <row r="116" customFormat="false" ht="12.75" hidden="false" customHeight="false" outlineLevel="0" collapsed="false">
      <c r="B116" s="88" t="n">
        <v>40360</v>
      </c>
      <c r="C116" s="127" t="n">
        <f aca="false">C104*(1+$A$2)</f>
        <v>4827.66078016821</v>
      </c>
      <c r="E116" s="88" t="n">
        <v>40360</v>
      </c>
      <c r="F116" s="127" t="n">
        <f aca="false">F104*(1+$A$2)</f>
        <v>15474.6099602148</v>
      </c>
    </row>
    <row r="117" customFormat="false" ht="12.75" hidden="false" customHeight="false" outlineLevel="0" collapsed="false">
      <c r="B117" s="88" t="n">
        <v>40391</v>
      </c>
      <c r="C117" s="127" t="n">
        <f aca="false">C105*(1+$A$2)</f>
        <v>4827.66078016821</v>
      </c>
      <c r="E117" s="88" t="n">
        <v>40391</v>
      </c>
      <c r="F117" s="127" t="n">
        <f aca="false">F105*(1+$A$2)</f>
        <v>16668.4774234186</v>
      </c>
    </row>
    <row r="118" customFormat="false" ht="12.75" hidden="false" customHeight="false" outlineLevel="0" collapsed="false">
      <c r="B118" s="88" t="n">
        <v>40422</v>
      </c>
      <c r="C118" s="127" t="n">
        <f aca="false">C106*(1+$A$2)</f>
        <v>6132.43396399745</v>
      </c>
      <c r="E118" s="88" t="n">
        <v>40422</v>
      </c>
      <c r="F118" s="127" t="n">
        <f aca="false">F106*(1+$A$2)</f>
        <v>17040.3377808099</v>
      </c>
    </row>
    <row r="119" customFormat="false" ht="12.75" hidden="false" customHeight="false" outlineLevel="0" collapsed="false">
      <c r="B119" s="88" t="n">
        <v>40452</v>
      </c>
      <c r="C119" s="127" t="n">
        <f aca="false">C107*(1+$A$2)</f>
        <v>5741.00200884868</v>
      </c>
      <c r="E119" s="88" t="n">
        <v>40452</v>
      </c>
      <c r="F119" s="127" t="n">
        <f aca="false">F107*(1+$A$2)</f>
        <v>14796.1279046236</v>
      </c>
    </row>
    <row r="120" customFormat="false" ht="12.75" hidden="false" customHeight="false" outlineLevel="0" collapsed="false">
      <c r="B120" s="88" t="n">
        <v>40483</v>
      </c>
      <c r="C120" s="127" t="n">
        <f aca="false">C108*(1+$A$2)</f>
        <v>5741.00200884868</v>
      </c>
      <c r="E120" s="88" t="n">
        <v>40483</v>
      </c>
      <c r="F120" s="127" t="n">
        <f aca="false">F108*(1+$A$2)</f>
        <v>10555.6150571786</v>
      </c>
    </row>
    <row r="121" customFormat="false" ht="12.75" hidden="false" customHeight="false" outlineLevel="0" collapsed="false">
      <c r="B121" s="88" t="n">
        <v>40513</v>
      </c>
      <c r="C121" s="127" t="n">
        <f aca="false">C109*(1+$A$2)</f>
        <v>5741.00200884868</v>
      </c>
      <c r="D121" s="129" t="n">
        <f aca="false">AVERAGE(C2:C121)</f>
        <v>4375.380603878</v>
      </c>
      <c r="E121" s="88" t="n">
        <v>40513</v>
      </c>
      <c r="F121" s="127" t="n">
        <f aca="false">F109*(1+$A$2)</f>
        <v>8794.17125900911</v>
      </c>
      <c r="G121" s="129" t="n">
        <f aca="false">AVERAGE(F2:F121)</f>
        <v>10580.2052812115</v>
      </c>
    </row>
    <row r="122" customFormat="false" ht="12.75" hidden="false" customHeight="false" outlineLevel="0" collapsed="false">
      <c r="B122" s="88"/>
      <c r="E122" s="88"/>
    </row>
    <row r="123" customFormat="false" ht="12.75" hidden="false" customHeight="false" outlineLevel="0" collapsed="false">
      <c r="B123" s="88"/>
      <c r="E123" s="88"/>
    </row>
    <row r="124" customFormat="false" ht="12.75" hidden="false" customHeight="false" outlineLevel="0" collapsed="false">
      <c r="B124" s="88"/>
      <c r="E124" s="8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2000-12-04T22:27:24Z</dcterms:created>
  <dc:creator>sswain</dc:creator>
  <dc:description/>
  <dc:language>en-US</dc:language>
  <cp:lastModifiedBy>jsteffe</cp:lastModifiedBy>
  <cp:lastPrinted>2001-01-12T01:24:49Z</cp:lastPrinted>
  <dcterms:modified xsi:type="dcterms:W3CDTF">2001-01-12T02:02:12Z</dcterms:modified>
  <cp:revision>0</cp:revision>
  <dc:subject/>
  <dc:title/>
</cp:coreProperties>
</file>