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14.xml" ContentType="application/vnd.openxmlformats-officedocument.spreadsheetml.comments+xml"/>
  <Override PartName="/xl/comments5.xml" ContentType="application/vnd.openxmlformats-officedocument.spreadsheetml.comments+xml"/>
  <Override PartName="/xl/comments25.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vmlDrawing4.vml" ContentType="application/vnd.openxmlformats-officedocument.vmlDrawing"/>
  <Override PartName="/xl/drawings/_rels/drawing1.xml.rels" ContentType="application/vnd.openxmlformats-package.relationships+xml"/>
  <Override PartName="/xl/drawings/vmlDrawing5.vml" ContentType="application/vnd.openxmlformats-officedocument.vmlDrawing"/>
  <Override PartName="/xl/sharedStrings.xml" ContentType="application/vnd.openxmlformats-officedocument.spreadsheetml.sharedString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9.xml" ContentType="application/vnd.openxmlformats-officedocument.spreadsheetml.comments+xml"/>
  <Override PartName="/xl/worksheets/_rels/sheet25.xml.rels" ContentType="application/vnd.openxmlformats-package.relationships+xml"/>
  <Override PartName="/xl/worksheets/_rels/sheet3.xml.rels" ContentType="application/vnd.openxmlformats-package.relationships+xml"/>
  <Override PartName="/xl/worksheets/_rels/sheet14.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5.xml" ContentType="application/vnd.openxmlformats-officedocument.spreadsheetml.worksheet+xml"/>
  <Override PartName="/xl/worksheets/sheet2.xml" ContentType="application/vnd.openxmlformats-officedocument.spreadsheetml.worksheet+xml"/>
  <Override PartName="/xl/worksheets/sheet24.xml" ContentType="application/vnd.openxmlformats-officedocument.spreadsheetml.worksheet+xml"/>
  <Override PartName="/xl/worksheets/sheet1.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comments3.xml" ContentType="application/vnd.openxmlformats-officedocument.spreadsheetml.comments+xml"/>
  <Override PartName="/xl/theme/theme1.xml" ContentType="application/vnd.openxmlformats-officedocument.theme+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fo for DPR" sheetId="1" state="visible" r:id="rId3"/>
    <sheet name="Report" sheetId="2" state="visible" r:id="rId4"/>
    <sheet name="AndyJeff" sheetId="3" state="visible" r:id="rId5"/>
    <sheet name="Input" sheetId="4" state="visible" r:id="rId6"/>
    <sheet name="JEDI MTM" sheetId="5" state="visible" r:id="rId7"/>
    <sheet name="MLCO 6-29 (2)" sheetId="6" state="visible" r:id="rId8"/>
    <sheet name="MLCO 6-29" sheetId="7" state="visible" r:id="rId9"/>
    <sheet name="MLCO 6-28" sheetId="8" state="visible" r:id="rId10"/>
    <sheet name="CFSB 6-27" sheetId="9" state="visible" r:id="rId11"/>
    <sheet name="Bear Stearns 5-24" sheetId="10" state="visible" r:id="rId12"/>
    <sheet name="Credit Suisse 4-17" sheetId="11" state="visible" r:id="rId13"/>
    <sheet name="Credit Suisse 4-6" sheetId="12" state="visible" r:id="rId14"/>
    <sheet name="Credit Suisse 4-5" sheetId="13" state="visible" r:id="rId15"/>
    <sheet name="DWR 1304771" sheetId="14" state="visible" r:id="rId16"/>
    <sheet name="DWR 1305741" sheetId="15" state="visible" r:id="rId17"/>
    <sheet name="DWR 1304563" sheetId="16" state="visible" r:id="rId18"/>
    <sheet name="Credit Suisse 5-8" sheetId="17" state="visible" r:id="rId19"/>
    <sheet name="JEDI Dilution" sheetId="18" state="visible" r:id="rId20"/>
    <sheet name="Outstanding" sheetId="19" state="visible" r:id="rId21"/>
    <sheet name="EOG Options" sheetId="20" state="visible" r:id="rId22"/>
    <sheet name="SBC Warburg" sheetId="21" state="visible" r:id="rId23"/>
    <sheet name="UBS Forward" sheetId="22" state="visible" r:id="rId24"/>
    <sheet name="Put Options" sheetId="23" state="visible" r:id="rId25"/>
    <sheet name="Premium" sheetId="24" state="visible" r:id="rId26"/>
    <sheet name="VaR" sheetId="25" state="visible" r:id="rId27"/>
  </sheets>
  <externalReferences>
    <externalReference r:id="rId28"/>
    <externalReference r:id="rId29"/>
    <externalReference r:id="rId30"/>
  </externalReferences>
  <definedNames>
    <definedName function="false" hidden="false" localSheetId="2" name="_xlnm.Print_Area" vbProcedure="false">AndyJeff!$A$7:$K$92</definedName>
    <definedName function="false" hidden="false" localSheetId="9" name="_xlnm.Print_Area" vbProcedure="false">'Bear Stearns 5-24'!$A$2:$AB$41</definedName>
    <definedName function="false" hidden="false" localSheetId="8" name="_xlnm.Print_Area" vbProcedure="false">'CFSB 6-27'!$A$2:$AB$41</definedName>
    <definedName function="false" hidden="false" localSheetId="10" name="_xlnm.Print_Area" vbProcedure="false">'Credit Suisse 4-17'!$A$2:$AB$41</definedName>
    <definedName function="false" hidden="false" localSheetId="12" name="_xlnm.Print_Area" vbProcedure="false">'Credit Suisse 4-5'!$A$2:$AB$40</definedName>
    <definedName function="false" hidden="false" localSheetId="11" name="_xlnm.Print_Area" vbProcedure="false">'Credit Suisse 4-6'!$A$2:$AB$40</definedName>
    <definedName function="false" hidden="false" localSheetId="16" name="_xlnm.Print_Area" vbProcedure="false">'Credit Suisse 5-8'!$A$2:$AB$41</definedName>
    <definedName function="false" hidden="false" localSheetId="13" name="_xlnm.Print_Area" vbProcedure="false">'DWR 1304771'!$A$2:$X$55</definedName>
    <definedName function="false" hidden="false" localSheetId="14" name="_xlnm.Print_Area" vbProcedure="false">'DWR 1305741'!$A$3:$K$31</definedName>
    <definedName function="false" hidden="false" localSheetId="19" name="_xlnm.Print_Area" vbProcedure="false">'EOG Options'!$A$3:$F$16</definedName>
    <definedName function="false" hidden="false" localSheetId="0" name="_xlnm.Print_Area" vbProcedure="false">'info for DPR'!$A$2:$G$8</definedName>
    <definedName function="false" hidden="false" localSheetId="4" name="_xlnm.Print_Area" vbProcedure="false">'JEDI MTM'!$A$21:$Z$111</definedName>
    <definedName function="false" hidden="false" localSheetId="4" name="_xlnm.Print_Titles" vbProcedure="false">'JEDI MTM'!$A:$B,'JEDI MTM'!$18:$20</definedName>
    <definedName function="false" hidden="false" localSheetId="7" name="_xlnm.Print_Area" vbProcedure="false">'MLCO 6-28'!$A$2:$AB$41</definedName>
    <definedName function="false" hidden="false" localSheetId="6" name="_xlnm.Print_Area" vbProcedure="false">'MLCO 6-29'!$A$2:$AB$41</definedName>
    <definedName function="false" hidden="false" localSheetId="5" name="_xlnm.Print_Area" vbProcedure="false">'MLCO 6-29 (2)'!$A$2:$AB$41</definedName>
    <definedName function="false" hidden="false" localSheetId="18" name="_xlnm.Print_Area" vbProcedure="false">Outstanding!$A$3:$J$38</definedName>
    <definedName function="false" hidden="false" localSheetId="23" name="_xlnm.Print_Area" vbProcedure="false">Premium!$A$1:$H$58</definedName>
    <definedName function="false" hidden="false" localSheetId="22" name="_xlnm.Print_Area" vbProcedure="false">'Put Options'!$A$53:$P$71</definedName>
    <definedName function="false" hidden="false" localSheetId="1" name="_xlnm.Print_Area" vbProcedure="false">Report!$A$3:$K$68</definedName>
    <definedName function="false" hidden="false" name="ECT_Swap_1" vbProcedure="false">'JEDI MTM'!$Z$68</definedName>
    <definedName function="false" hidden="false" name="ECT_Swap_2" vbProcedure="false">'JEDI MTM'!$Z$75</definedName>
    <definedName function="false" hidden="false" name="Expiry_date" vbProcedure="false">#REF!</definedName>
    <definedName function="false" hidden="false" name="LTD" vbProcedure="false">AndyJeff!$K$13:$K$43</definedName>
    <definedName function="false" hidden="false" name="LTDCopy" vbProcedure="false">AndyJeff!$M$13</definedName>
    <definedName function="false" hidden="false" name="mat" vbProcedure="false">#REF!</definedName>
    <definedName function="false" hidden="false" name="Nd1" vbProcedure="false">#REF!</definedName>
    <definedName function="false" hidden="false" name="Nd2" vbProcedure="false">#REF!</definedName>
    <definedName function="false" hidden="false" name="Premium" vbProcedure="false">'JEDI MTM'!$Z$65</definedName>
    <definedName function="false" hidden="false" name="price" vbProcedure="false">#REF!</definedName>
    <definedName function="false" hidden="false" name="Put" vbProcedure="false">'JEDI MTM'!$Z$97</definedName>
    <definedName function="false" hidden="false" name="Put_1" vbProcedure="false">'JEDI MTM'!$Z$95</definedName>
    <definedName function="false" hidden="false" name="Put_2" vbProcedure="false">'JEDI MTM'!$Z$97</definedName>
    <definedName function="false" hidden="false" name="rate" vbProcedure="false">#REF!</definedName>
    <definedName function="false" hidden="false" name="Stock" vbProcedure="false">'JEDI MTM'!$Z$32</definedName>
    <definedName function="false" hidden="false" name="Stock10" vbProcedure="false">'JEDI MTM'!$Z$45</definedName>
    <definedName function="false" hidden="false" name="Stock11" vbProcedure="false">'JEDI MTM'!$Z$51</definedName>
    <definedName function="false" hidden="false" name="strike" vbProcedure="false">#REF!</definedName>
    <definedName function="false" hidden="false" name="Summarys" vbProcedure="false">AndyJeff!$A$7:$K$92</definedName>
    <definedName function="false" hidden="false" name="Swap" vbProcedure="false">'JEDI MTM'!$Z$38</definedName>
    <definedName function="false" hidden="false" name="Swap11" vbProcedure="false">'JEDI MTM'!$Z$57</definedName>
    <definedName function="false" hidden="false" name="SX_1" vbProcedure="false">#REF!</definedName>
    <definedName function="false" hidden="false" name="value_date" vbProcedure="false">#REF!</definedName>
    <definedName function="false" hidden="false" name="vol" vbProcedure="false">#REF!</definedName>
    <definedName function="false" hidden="false" name="WDR1304771" vbProcedure="false">#REF!</definedName>
    <definedName function="false" hidden="false" name="yld" vbProcedure="false">#REF!</definedName>
    <definedName function="true" hidden="false" name="EURO" vbProcedure="true"/>
    <definedName function="true" hidden="false" name="AMER" vbProcedure="true"/>
  </definedNames>
  <calcPr iterateCount="100" refMode="A1" iterate="false" iterateDelta="0.001"/>
  <extLst>
    <ext xmlns:loext="http://schemas.libreoffice.org/" uri="{7626C862-2A13-11E5-B345-FEFF819CDC9F}">
      <loext:extCalcPr stringRefSyntax="CalcA1"/>
    </ext>
  </extLst>
</workbook>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8" authorId="0">
      <text>
        <r>
          <rPr>
            <b val="true"/>
            <sz val="8"/>
            <color rgb="FF000000"/>
            <rFont val="Tahoma"/>
            <family val="0"/>
          </rPr>
          <t xml:space="preserve">jerwin:
</t>
        </r>
        <r>
          <rPr>
            <sz val="8"/>
            <color rgb="FF000000"/>
            <rFont val="Tahoma"/>
            <family val="0"/>
          </rPr>
          <t xml:space="preserve">The quotient of (a) the product of (i) the Expected Quarterly Dividend, (ii) the Number of Shares, and (iii) the Annual Factor for the related Calculation Period and (b) the Equity Notional Amount.</t>
        </r>
      </text>
      <mc:AlternateContent>
        <mc:Choice Requires="v2">
          <commentPr autoFill="true" autoScale="false" colHidden="false" locked="false" rowHidden="false" textHAlign="justify" textVAlign="top">
            <anchor moveWithCells="false" sizeWithCells="false">
              <xdr:from>
                <xdr:col>1</xdr:col>
                <xdr:colOff>69</xdr:colOff>
                <xdr:row>46</xdr:row>
                <xdr:rowOff>2</xdr:rowOff>
              </xdr:from>
              <xdr:to>
                <xdr:col>4</xdr:col>
                <xdr:colOff>85</xdr:colOff>
                <xdr:row>51</xdr:row>
                <xdr:rowOff>3</xdr:rowOff>
              </xdr:to>
            </anchor>
          </commentPr>
        </mc:Choice>
        <mc:Fallback/>
      </mc:AlternateContent>
    </comment>
    <comment ref="A29" authorId="0">
      <text>
        <r>
          <rPr>
            <b val="true"/>
            <sz val="8"/>
            <color rgb="FF000000"/>
            <rFont val="Tahoma"/>
            <family val="0"/>
          </rPr>
          <t xml:space="preserve">jerwin:
</t>
        </r>
        <r>
          <rPr>
            <sz val="8"/>
            <color rgb="FF000000"/>
            <rFont val="Tahoma"/>
            <family val="0"/>
          </rPr>
          <t xml:space="preserve">Reset first day of each calculation period.</t>
        </r>
      </text>
      <mc:AlternateContent>
        <mc:Choice Requires="v2">
          <commentPr autoFill="true" autoScale="false" colHidden="false" locked="false" rowHidden="false" textHAlign="justify" textVAlign="top">
            <anchor moveWithCells="false" sizeWithCells="false">
              <xdr:from>
                <xdr:col>0</xdr:col>
                <xdr:colOff>21</xdr:colOff>
                <xdr:row>51</xdr:row>
                <xdr:rowOff>3</xdr:rowOff>
              </xdr:from>
              <xdr:to>
                <xdr:col>1</xdr:col>
                <xdr:colOff>56</xdr:colOff>
                <xdr:row>53</xdr:row>
                <xdr:rowOff>16</xdr:rowOff>
              </xdr:to>
            </anchor>
          </commentPr>
        </mc:Choice>
        <mc:Fallback/>
      </mc:AlternateContent>
    </comment>
    <comment ref="A37" authorId="0">
      <text>
        <r>
          <rPr>
            <b val="true"/>
            <sz val="8"/>
            <color rgb="FF000000"/>
            <rFont val="Tahoma"/>
            <family val="0"/>
          </rPr>
          <t xml:space="preserve">jerwin:
</t>
        </r>
        <r>
          <rPr>
            <sz val="8"/>
            <color rgb="FF000000"/>
            <rFont val="Tahoma"/>
            <family val="0"/>
          </rPr>
          <t xml:space="preserve">The quotient of (i) 360 and (ii) the number of calendar days in such Calculation Period.</t>
        </r>
      </text>
      <mc:AlternateContent>
        <mc:Choice Requires="v2">
          <commentPr autoFill="true" autoScale="false" colHidden="false" locked="false" rowHidden="false" textHAlign="justify" textVAlign="top">
            <anchor moveWithCells="false" sizeWithCells="false">
              <xdr:from>
                <xdr:col>0</xdr:col>
                <xdr:colOff>6</xdr:colOff>
                <xdr:row>46</xdr:row>
                <xdr:rowOff>6</xdr:rowOff>
              </xdr:from>
              <xdr:to>
                <xdr:col>1</xdr:col>
                <xdr:colOff>61</xdr:colOff>
                <xdr:row>50</xdr:row>
                <xdr:rowOff>10</xdr:rowOff>
              </xdr:to>
            </anchor>
          </commentPr>
        </mc:Choice>
        <mc:Fallback/>
      </mc:AlternateContent>
    </comment>
    <comment ref="A38" authorId="0">
      <text>
        <r>
          <rPr>
            <b val="true"/>
            <sz val="8"/>
            <color rgb="FF000000"/>
            <rFont val="Tahoma"/>
            <family val="0"/>
          </rPr>
          <t xml:space="preserve">jerwin:
</t>
        </r>
        <r>
          <rPr>
            <sz val="8"/>
            <color rgb="FF000000"/>
            <rFont val="Tahoma"/>
            <family val="0"/>
          </rPr>
          <t xml:space="preserve">Spread minus Dividend Rebate plus Interest Rate.</t>
        </r>
      </text>
      <mc:AlternateContent>
        <mc:Choice Requires="v2">
          <commentPr autoFill="true" autoScale="false" colHidden="false" locked="false" rowHidden="false" textHAlign="justify" textVAlign="top">
            <anchor moveWithCells="false" sizeWithCells="false">
              <xdr:from>
                <xdr:col>1</xdr:col>
                <xdr:colOff>75</xdr:colOff>
                <xdr:row>51</xdr:row>
                <xdr:rowOff>13</xdr:rowOff>
              </xdr:from>
              <xdr:to>
                <xdr:col>4</xdr:col>
                <xdr:colOff>85</xdr:colOff>
                <xdr:row>54</xdr:row>
                <xdr:rowOff>3</xdr:rowOff>
              </xdr:to>
            </anchor>
          </commentPr>
        </mc:Choice>
        <mc:Fallback/>
      </mc:AlternateContent>
    </comment>
  </commentList>
</comments>
</file>

<file path=xl/comments2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 authorId="0">
      <text>
        <r>
          <rPr>
            <b val="true"/>
            <sz val="8"/>
            <color rgb="FF000000"/>
            <rFont val="Tahoma"/>
            <family val="0"/>
          </rPr>
          <t xml:space="preserve">Samantha Davidson:
</t>
        </r>
        <r>
          <rPr>
            <sz val="8"/>
            <color rgb="FF000000"/>
            <rFont val="Tahoma"/>
            <family val="0"/>
          </rPr>
          <t xml:space="preserve">1.645 =&gt; 95% confidence interval
</t>
        </r>
      </text>
      <mc:AlternateContent>
        <mc:Choice Requires="v2">
          <commentPr autoFill="true" autoScale="false" colHidden="false" locked="false" rowHidden="false" textHAlign="justify" textVAlign="top">
            <anchor moveWithCells="false" sizeWithCells="false">
              <xdr:from>
                <xdr:col>1</xdr:col>
                <xdr:colOff>136</xdr:colOff>
                <xdr:row>0</xdr:row>
                <xdr:rowOff>2</xdr:rowOff>
              </xdr:from>
              <xdr:to>
                <xdr:col>3</xdr:col>
                <xdr:colOff>47</xdr:colOff>
                <xdr:row>2</xdr:row>
                <xdr:rowOff>16</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I52" authorId="0">
      <text>
        <r>
          <rPr>
            <b val="true"/>
            <sz val="8"/>
            <color rgb="FF000000"/>
            <rFont val="Tahoma"/>
            <family val="0"/>
          </rPr>
          <t xml:space="preserve">jerwin:
</t>
        </r>
        <r>
          <rPr>
            <sz val="8"/>
            <color rgb="FF000000"/>
            <rFont val="Tahoma"/>
            <family val="0"/>
          </rPr>
          <t xml:space="preserve">Delta x Current Price x Volatility / Square Root of # trading days in a year x 1.645
Delta is the # shares x Option Delta x # Instruments long or short</t>
        </r>
      </text>
      <mc:AlternateContent>
        <mc:Choice Requires="v2">
          <commentPr autoFill="true" autoScale="false" colHidden="false" locked="false" rowHidden="false" textHAlign="justify" textVAlign="top">
            <anchor moveWithCells="false" sizeWithCells="false">
              <xdr:from>
                <xdr:col>9</xdr:col>
                <xdr:colOff>114</xdr:colOff>
                <xdr:row>50</xdr:row>
                <xdr:rowOff>1</xdr:rowOff>
              </xdr:from>
              <xdr:to>
                <xdr:col>12</xdr:col>
                <xdr:colOff>78</xdr:colOff>
                <xdr:row>54</xdr:row>
                <xdr:rowOff>6</xdr:rowOff>
              </xdr:to>
            </anchor>
          </commentPr>
        </mc:Choice>
        <mc:Fallback/>
      </mc:AlternateContent>
    </comment>
    <comment ref="I54" authorId="0">
      <text>
        <r>
          <rPr>
            <b val="true"/>
            <sz val="8"/>
            <color rgb="FF000000"/>
            <rFont val="Tahoma"/>
            <family val="0"/>
          </rPr>
          <t xml:space="preserve">jerwin:
</t>
        </r>
        <r>
          <rPr>
            <sz val="8"/>
            <color rgb="FF000000"/>
            <rFont val="Tahoma"/>
            <family val="0"/>
          </rPr>
          <t xml:space="preserve">Basically this is the notional (open share positions x current price)</t>
        </r>
      </text>
      <mc:AlternateContent>
        <mc:Choice Requires="v2">
          <commentPr autoFill="true" autoScale="false" colHidden="false" locked="false" rowHidden="false" textHAlign="justify" textVAlign="top">
            <anchor moveWithCells="false" sizeWithCells="false">
              <xdr:from>
                <xdr:col>9</xdr:col>
                <xdr:colOff>114</xdr:colOff>
                <xdr:row>52</xdr:row>
                <xdr:rowOff>1</xdr:rowOff>
              </xdr:from>
              <xdr:to>
                <xdr:col>11</xdr:col>
                <xdr:colOff>16</xdr:colOff>
                <xdr:row>55</xdr:row>
                <xdr:rowOff>15</xdr:rowOff>
              </xdr:to>
            </anchor>
          </commentPr>
        </mc:Choice>
        <mc:Fallback/>
      </mc:AlternateContent>
    </comment>
    <comment ref="I83" authorId="0">
      <text>
        <r>
          <rPr>
            <b val="true"/>
            <sz val="8"/>
            <color rgb="FF000000"/>
            <rFont val="Tahoma"/>
            <family val="0"/>
          </rPr>
          <t xml:space="preserve">jerwin:
</t>
        </r>
        <r>
          <rPr>
            <sz val="8"/>
            <color rgb="FF000000"/>
            <rFont val="Tahoma"/>
            <family val="0"/>
          </rPr>
          <t xml:space="preserve">Delta x Current Price x Volatility / Square Root of # trading days in a year x 1.645
Delta is the # shares x Option Delta x # Instruments long or short</t>
        </r>
      </text>
      <mc:AlternateContent>
        <mc:Choice Requires="v2">
          <commentPr autoFill="true" autoScale="false" colHidden="false" locked="false" rowHidden="false" textHAlign="justify" textVAlign="top">
            <anchor moveWithCells="false" sizeWithCells="false">
              <xdr:from>
                <xdr:col>9</xdr:col>
                <xdr:colOff>114</xdr:colOff>
                <xdr:row>81</xdr:row>
                <xdr:rowOff>4</xdr:rowOff>
              </xdr:from>
              <xdr:to>
                <xdr:col>12</xdr:col>
                <xdr:colOff>78</xdr:colOff>
                <xdr:row>85</xdr:row>
                <xdr:rowOff>12</xdr:rowOff>
              </xdr:to>
            </anchor>
          </commentPr>
        </mc:Choice>
        <mc:Fallback/>
      </mc:AlternateContent>
    </comment>
    <comment ref="I85" authorId="0">
      <text>
        <r>
          <rPr>
            <b val="true"/>
            <sz val="8"/>
            <color rgb="FF000000"/>
            <rFont val="Tahoma"/>
            <family val="0"/>
          </rPr>
          <t xml:space="preserve">jerwin:
</t>
        </r>
        <r>
          <rPr>
            <sz val="8"/>
            <color rgb="FF000000"/>
            <rFont val="Tahoma"/>
            <family val="0"/>
          </rPr>
          <t xml:space="preserve">Basically this is the notional (open share positions x current price)</t>
        </r>
      </text>
      <mc:AlternateContent>
        <mc:Choice Requires="v2">
          <commentPr autoFill="true" autoScale="false" colHidden="false" locked="false" rowHidden="false" textHAlign="justify" textVAlign="top">
            <anchor moveWithCells="false" sizeWithCells="false">
              <xdr:from>
                <xdr:col>9</xdr:col>
                <xdr:colOff>114</xdr:colOff>
                <xdr:row>83</xdr:row>
                <xdr:rowOff>4</xdr:rowOff>
              </xdr:from>
              <xdr:to>
                <xdr:col>11</xdr:col>
                <xdr:colOff>16</xdr:colOff>
                <xdr:row>87</xdr:row>
                <xdr:rowOff>4</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78" authorId="0">
      <text>
        <r>
          <rPr>
            <sz val="8"/>
            <color rgb="FF000000"/>
            <rFont val="Tahoma"/>
            <family val="0"/>
          </rPr>
          <t xml:space="preserve">Anne Yeager gave value to Stephanie McGinnis.
</t>
        </r>
      </text>
      <mc:AlternateContent>
        <mc:Choice Requires="v2">
          <commentPr autoFill="true" autoScale="false" colHidden="false" locked="false" rowHidden="false" textHAlign="justify" textVAlign="top">
            <anchor moveWithCells="false" sizeWithCells="false">
              <xdr:from>
                <xdr:col>4</xdr:col>
                <xdr:colOff>16</xdr:colOff>
                <xdr:row>59</xdr:row>
                <xdr:rowOff>7</xdr:rowOff>
              </xdr:from>
              <xdr:to>
                <xdr:col>6</xdr:col>
                <xdr:colOff>50</xdr:colOff>
                <xdr:row>63</xdr:row>
                <xdr:rowOff>13</xdr:rowOff>
              </xdr:to>
            </anchor>
          </commentPr>
        </mc:Choice>
        <mc:Fallback/>
      </mc:AlternateContent>
    </comment>
    <comment ref="D79" authorId="0">
      <text>
        <r>
          <rPr>
            <sz val="8"/>
            <color rgb="FF000000"/>
            <rFont val="Tahoma"/>
            <family val="0"/>
          </rPr>
          <t xml:space="preserve">Anne Yeager gave value to Stephanie McGinnis.
</t>
        </r>
      </text>
      <mc:AlternateContent>
        <mc:Choice Requires="v2">
          <commentPr autoFill="true" autoScale="false" colHidden="false" locked="false" rowHidden="false" textHAlign="justify" textVAlign="top">
            <anchor moveWithCells="false" sizeWithCells="false">
              <xdr:from>
                <xdr:col>4</xdr:col>
                <xdr:colOff>4</xdr:colOff>
                <xdr:row>77</xdr:row>
                <xdr:rowOff>11</xdr:rowOff>
              </xdr:from>
              <xdr:to>
                <xdr:col>6</xdr:col>
                <xdr:colOff>38</xdr:colOff>
                <xdr:row>81</xdr:row>
                <xdr:rowOff>15</xdr:rowOff>
              </xdr:to>
            </anchor>
          </commentPr>
        </mc:Choice>
        <mc:Fallback/>
      </mc:AlternateContent>
    </comment>
    <comment ref="G79" authorId="0">
      <text>
        <r>
          <rPr>
            <sz val="8"/>
            <color rgb="FF000000"/>
            <rFont val="Tahoma"/>
            <family val="0"/>
          </rPr>
          <t xml:space="preserve">From Bloomberg's
</t>
        </r>
      </text>
      <mc:AlternateContent>
        <mc:Choice Requires="v2">
          <commentPr autoFill="true" autoScale="false" colHidden="false" locked="false" rowHidden="false" textHAlign="justify" textVAlign="top">
            <anchor moveWithCells="false" sizeWithCells="false">
              <xdr:from>
                <xdr:col>7</xdr:col>
                <xdr:colOff>100</xdr:colOff>
                <xdr:row>77</xdr:row>
                <xdr:rowOff>11</xdr:rowOff>
              </xdr:from>
              <xdr:to>
                <xdr:col>9</xdr:col>
                <xdr:colOff>37</xdr:colOff>
                <xdr:row>81</xdr:row>
                <xdr:rowOff>15</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0" authorId="0">
      <text>
        <r>
          <rPr>
            <b val="true"/>
            <sz val="8"/>
            <color rgb="FF000000"/>
            <rFont val="Tahoma"/>
            <family val="0"/>
          </rPr>
          <t xml:space="preserve">jerwin:
</t>
        </r>
        <r>
          <rPr>
            <sz val="8"/>
            <color rgb="FF000000"/>
            <rFont val="Tahoma"/>
            <family val="0"/>
          </rPr>
          <t xml:space="preserve">3 month libor</t>
        </r>
      </text>
      <mc:AlternateContent>
        <mc:Choice Requires="v2">
          <commentPr autoFill="true" autoScale="false" colHidden="false" locked="false" rowHidden="false" textHAlign="justify" textVAlign="top">
            <anchor moveWithCells="false" sizeWithCells="false">
              <xdr:from>
                <xdr:col>4</xdr:col>
                <xdr:colOff>16</xdr:colOff>
                <xdr:row>28</xdr:row>
                <xdr:rowOff>7</xdr:rowOff>
              </xdr:from>
              <xdr:to>
                <xdr:col>5</xdr:col>
                <xdr:colOff>-13</xdr:colOff>
                <xdr:row>30</xdr:row>
                <xdr:rowOff>11</xdr:rowOff>
              </xdr:to>
            </anchor>
          </commentPr>
        </mc:Choice>
        <mc:Fallback/>
      </mc:AlternateContent>
    </comment>
  </commentList>
</comments>
</file>

<file path=xl/sharedStrings.xml><?xml version="1.0" encoding="utf-8"?>
<sst xmlns="http://schemas.openxmlformats.org/spreadsheetml/2006/main" count="1459" uniqueCount="487">
  <si>
    <t xml:space="preserve">Links</t>
  </si>
  <si>
    <t xml:space="preserve">Values</t>
  </si>
  <si>
    <t xml:space="preserve">Date</t>
  </si>
  <si>
    <t xml:space="preserve">Var</t>
  </si>
  <si>
    <t xml:space="preserve">Notional </t>
  </si>
  <si>
    <t xml:space="preserve">Daily P&amp;L</t>
  </si>
  <si>
    <t xml:space="preserve">QTD</t>
  </si>
  <si>
    <t xml:space="preserve">YTD</t>
  </si>
  <si>
    <t xml:space="preserve">the ENE position.  This caused most of the $3.8mm gain.</t>
  </si>
  <si>
    <t xml:space="preserve">Quarter End</t>
  </si>
  <si>
    <t xml:space="preserve">Change dates yearly</t>
  </si>
  <si>
    <t xml:space="preserve">ENRON CORP - EGF P&amp;L</t>
  </si>
  <si>
    <t xml:space="preserve">STOCK BOOK</t>
  </si>
  <si>
    <t xml:space="preserve">Shares</t>
  </si>
  <si>
    <t xml:space="preserve">Current Open</t>
  </si>
  <si>
    <t xml:space="preserve">Available</t>
  </si>
  <si>
    <t xml:space="preserve">Prior Day</t>
  </si>
  <si>
    <t xml:space="preserve">ENE</t>
  </si>
  <si>
    <t xml:space="preserve">ENE Shares</t>
  </si>
  <si>
    <t xml:space="preserve">Capacity (shares)</t>
  </si>
  <si>
    <t xml:space="preserve">1st Qtr</t>
  </si>
  <si>
    <t xml:space="preserve">2nd Qtr</t>
  </si>
  <si>
    <t xml:space="preserve">3rd Qtr</t>
  </si>
  <si>
    <t xml:space="preserve">4th Qtr</t>
  </si>
  <si>
    <t xml:space="preserve">Daily</t>
  </si>
  <si>
    <t xml:space="preserve">Opening Price - BOQ</t>
  </si>
  <si>
    <t xml:space="preserve">Closing Price - EOQ</t>
  </si>
  <si>
    <t xml:space="preserve">Closing Price -</t>
  </si>
  <si>
    <t xml:space="preserve">OPEN MTM POSITIONS</t>
  </si>
  <si>
    <t xml:space="preserve">Merrill Lynch</t>
  </si>
  <si>
    <t xml:space="preserve">6-28-00 swap at $68.50</t>
  </si>
  <si>
    <t xml:space="preserve">6-29-00 swap at $68.50</t>
  </si>
  <si>
    <t xml:space="preserve">6-30-00 swap at $68.3358</t>
  </si>
  <si>
    <t xml:space="preserve">NON-MTM POSITIONS</t>
  </si>
  <si>
    <t xml:space="preserve">CSFB</t>
  </si>
  <si>
    <t xml:space="preserve">4-5-00 swap at $66.9165</t>
  </si>
  <si>
    <t xml:space="preserve">(converted to non-mtm at $76.125)</t>
  </si>
  <si>
    <t xml:space="preserve">4-6-00 swap at $67.6129</t>
  </si>
  <si>
    <t xml:space="preserve">4-17-00 swap at $64.7981</t>
  </si>
  <si>
    <t xml:space="preserve">6-27-00 swap at $68.4743</t>
  </si>
  <si>
    <t xml:space="preserve">No trades to date</t>
  </si>
  <si>
    <t xml:space="preserve">Bear Stearns</t>
  </si>
  <si>
    <t xml:space="preserve">5-24-00 swap at $66.8698</t>
  </si>
  <si>
    <t xml:space="preserve">(converted to non-mtm at $73.75</t>
  </si>
  <si>
    <t xml:space="preserve">Warburg</t>
  </si>
  <si>
    <t xml:space="preserve">1-21-00 swap at $55.9375</t>
  </si>
  <si>
    <t xml:space="preserve">(closed at $65.4375)</t>
  </si>
  <si>
    <t xml:space="preserve">JEDI</t>
  </si>
  <si>
    <t xml:space="preserve">NA</t>
  </si>
  <si>
    <t xml:space="preserve">1-20-00 swap at $61.00</t>
  </si>
  <si>
    <t xml:space="preserve">(closed 4-20-00 at $71.00)</t>
  </si>
  <si>
    <t xml:space="preserve">4-20-00 swap at $71.00</t>
  </si>
  <si>
    <t xml:space="preserve">EGF P&amp;L</t>
  </si>
  <si>
    <t xml:space="preserve">NOTES:</t>
  </si>
  <si>
    <t xml:space="preserve">EGF Equity Position Limits</t>
  </si>
  <si>
    <t xml:space="preserve">1.  Position limits exclude ENA position, which is reflected in ENA equity books position report.</t>
  </si>
  <si>
    <t xml:space="preserve">V@R</t>
  </si>
  <si>
    <t xml:space="preserve">Notional Open</t>
  </si>
  <si>
    <t xml:space="preserve">2.  Includes 60% of JEDI, if an open position.</t>
  </si>
  <si>
    <t xml:space="preserve">Limit ($MM)</t>
  </si>
  <si>
    <t xml:space="preserve">3.  P&amp;L includes cost of financing.</t>
  </si>
  <si>
    <t xml:space="preserve">Current Position ($MM)</t>
  </si>
  <si>
    <t xml:space="preserve">CONTACTS:</t>
  </si>
  <si>
    <t xml:space="preserve">CSFB </t>
  </si>
  <si>
    <t xml:space="preserve">Osmar Habib</t>
  </si>
  <si>
    <t xml:space="preserve">713-220-6704</t>
  </si>
  <si>
    <t xml:space="preserve">Jim Hunt</t>
  </si>
  <si>
    <t xml:space="preserve">214-969-4040</t>
  </si>
  <si>
    <t xml:space="preserve">Mark DeVito</t>
  </si>
  <si>
    <t xml:space="preserve">212-449-4908</t>
  </si>
  <si>
    <t xml:space="preserve">Tom Blair</t>
  </si>
  <si>
    <t xml:space="preserve">212-272-2833</t>
  </si>
  <si>
    <t xml:space="preserve">Lehman</t>
  </si>
  <si>
    <t xml:space="preserve">Greg Hall</t>
  </si>
  <si>
    <t xml:space="preserve">212-526-4502</t>
  </si>
  <si>
    <t xml:space="preserve">DISTRIBUTE TO:</t>
  </si>
  <si>
    <t xml:space="preserve">EMAIL TO:</t>
  </si>
  <si>
    <t xml:space="preserve">DO NOT USE THIS REPORT ANY MORE-5/31/00</t>
  </si>
  <si>
    <t xml:space="preserve">Andy Fastow - by hand</t>
  </si>
  <si>
    <t xml:space="preserve">Chris Abel</t>
  </si>
  <si>
    <t xml:space="preserve">Barry Schnapper</t>
  </si>
  <si>
    <t xml:space="preserve">Daniel Falcone</t>
  </si>
  <si>
    <t xml:space="preserve">Tim DeSpain</t>
  </si>
  <si>
    <t xml:space="preserve">cc: Todd Hall, Susie Ayala, David Maxwell</t>
  </si>
  <si>
    <t xml:space="preserve">Jeff Nogid</t>
  </si>
  <si>
    <t xml:space="preserve">Must change pink cells annually.</t>
  </si>
  <si>
    <t xml:space="preserve">ENE DETAIL</t>
  </si>
  <si>
    <t xml:space="preserve">REVISED</t>
  </si>
  <si>
    <t xml:space="preserve">Forwards/Puts/Swaps</t>
  </si>
  <si>
    <t xml:space="preserve">Share</t>
  </si>
  <si>
    <t xml:space="preserve">No. of Shares</t>
  </si>
  <si>
    <t xml:space="preserve">1st Qtr 00</t>
  </si>
  <si>
    <t xml:space="preserve">2nd Qtr 00</t>
  </si>
  <si>
    <t xml:space="preserve">3 rd Qtr 00</t>
  </si>
  <si>
    <t xml:space="preserve">4 th Qtr 00</t>
  </si>
  <si>
    <t xml:space="preserve">LTD</t>
  </si>
  <si>
    <t xml:space="preserve">Opening</t>
  </si>
  <si>
    <t xml:space="preserve">Closing</t>
  </si>
  <si>
    <t xml:space="preserve">JEDI/ENE Shares</t>
  </si>
  <si>
    <t xml:space="preserve">EGF                               60%</t>
  </si>
  <si>
    <t xml:space="preserve">EGF NPI                   36.12%</t>
  </si>
  <si>
    <t xml:space="preserve">    EGF P&amp;L</t>
  </si>
  <si>
    <t xml:space="preserve">LP                                3.88%</t>
  </si>
  <si>
    <t xml:space="preserve">JEDI                             100%</t>
  </si>
  <si>
    <t xml:space="preserve">JEDI Cap on Earnings</t>
  </si>
  <si>
    <t xml:space="preserve">JEDI/ENE Puts</t>
  </si>
  <si>
    <t xml:space="preserve">JEDI/ENE Swap</t>
  </si>
  <si>
    <t xml:space="preserve">*</t>
  </si>
  <si>
    <t xml:space="preserve">WARBURG</t>
  </si>
  <si>
    <t xml:space="preserve">CREDIT SUISSE</t>
  </si>
  <si>
    <t xml:space="preserve">ECM Equity Position Limits</t>
  </si>
  <si>
    <t xml:space="preserve">(Includes 60% of JEDI if an open position)</t>
  </si>
  <si>
    <t xml:space="preserve">Limit(MM)</t>
  </si>
  <si>
    <t xml:space="preserve">Position</t>
  </si>
  <si>
    <t xml:space="preserve">Open Position (Notional)</t>
  </si>
  <si>
    <t xml:space="preserve">Current Position</t>
  </si>
  <si>
    <t xml:space="preserve">ENE SUMMARY</t>
  </si>
  <si>
    <t xml:space="preserve">Closing Price</t>
  </si>
  <si>
    <t xml:space="preserve">Quarterly - put in price on "Report"</t>
  </si>
  <si>
    <t xml:space="preserve">INSTRUCTIONS</t>
  </si>
  <si>
    <t xml:space="preserve">Bloomberg Parameters</t>
  </si>
  <si>
    <t xml:space="preserve">Run Macro</t>
  </si>
  <si>
    <t xml:space="preserve">Print "Report" worksheet.</t>
  </si>
  <si>
    <t xml:space="preserve">for Put:</t>
  </si>
  <si>
    <t xml:space="preserve">Hand carry to Andy Fastow</t>
  </si>
  <si>
    <t xml:space="preserve">Price</t>
  </si>
  <si>
    <t xml:space="preserve">use daily price at close</t>
  </si>
  <si>
    <t xml:space="preserve">Run the macro by:</t>
  </si>
  <si>
    <t xml:space="preserve">Fax to:</t>
  </si>
  <si>
    <t xml:space="preserve">Strike</t>
  </si>
  <si>
    <t xml:space="preserve">  Tools</t>
  </si>
  <si>
    <t xml:space="preserve">Clint Freeland</t>
  </si>
  <si>
    <t xml:space="preserve">Rate:</t>
  </si>
  <si>
    <t xml:space="preserve">  Macro</t>
  </si>
  <si>
    <t xml:space="preserve">Continuous:</t>
  </si>
  <si>
    <t xml:space="preserve">C</t>
  </si>
  <si>
    <t xml:space="preserve">  Macros</t>
  </si>
  <si>
    <t xml:space="preserve">Exercise Type:</t>
  </si>
  <si>
    <t xml:space="preserve">A</t>
  </si>
  <si>
    <t xml:space="preserve">  Be sure "Daily" is highlighted</t>
  </si>
  <si>
    <t xml:space="preserve">Save the file with the "Report" worksheet open and E-mail to:</t>
  </si>
  <si>
    <t xml:space="preserve">Put or Call:</t>
  </si>
  <si>
    <t xml:space="preserve">Put</t>
  </si>
  <si>
    <t xml:space="preserve">  Run</t>
  </si>
  <si>
    <t xml:space="preserve">Jeff Kinneman</t>
  </si>
  <si>
    <t xml:space="preserve">Trade:</t>
  </si>
  <si>
    <t xml:space="preserve">current day</t>
  </si>
  <si>
    <t xml:space="preserve">Go to worksheet "Input"</t>
  </si>
  <si>
    <t xml:space="preserve">Expiration:</t>
  </si>
  <si>
    <t xml:space="preserve">Gary Hickerson</t>
  </si>
  <si>
    <t xml:space="preserve">Settle Date:</t>
  </si>
  <si>
    <t xml:space="preserve">current day plus 3</t>
  </si>
  <si>
    <t xml:space="preserve">David Vitrella</t>
  </si>
  <si>
    <t xml:space="preserve">Volatility:</t>
  </si>
  <si>
    <t xml:space="preserve">cc: Todd Hall, Susie Ayala, David Maxwell, Michael Benien</t>
  </si>
  <si>
    <t xml:space="preserve">Today's Date</t>
  </si>
  <si>
    <t xml:space="preserve">PUT CURSOR ONE ROW ABOVE THIS</t>
  </si>
  <si>
    <t xml:space="preserve">ROW SO FORMULAS WILL CHANGE</t>
  </si>
  <si>
    <t xml:space="preserve">WHEN YOU NEED TO ADD MORE DATES</t>
  </si>
  <si>
    <t xml:space="preserve">JEDI MTM</t>
  </si>
  <si>
    <t xml:space="preserve">Summary:</t>
  </si>
  <si>
    <t xml:space="preserve">This agreement hereby locks Enron Capital &amp; Trade's (ECT's) income/loss recognition on the 6,006,402 shares of Enron stock held by </t>
  </si>
  <si>
    <t xml:space="preserve">JEDi at $54.0625/share, effective June 30, 1998.  Enron Capital Management (ECM) will incur all income/loss effects for price fluctuations </t>
  </si>
  <si>
    <t xml:space="preserve">above or below Enron's $54.0625 stock price as well as income/loss for the value of the related puts.  This income sharing is for internal</t>
  </si>
  <si>
    <t xml:space="preserve">management reporting only and does not impact JEDI's audited financial statements.  ECT will make monthly accounting entries to allocate </t>
  </si>
  <si>
    <t xml:space="preserve">these income/loss effects to Ecm based on the fair value calculated from month end closing prices.</t>
  </si>
  <si>
    <t xml:space="preserve">In additon, ECM will reimburse ECT for the $22,824,327.00 purchase price of the puts in the form of 20 quarterly cash payments of $1,141,216.35</t>
  </si>
  <si>
    <t xml:space="preserve">commencing on September 30, 1998, due and payable the last business day of each fiscal quarter.</t>
  </si>
  <si>
    <t xml:space="preserve">The term of this agreement is 5 years, expiring June 30, 2003.</t>
  </si>
  <si>
    <t xml:space="preserve">ENE Stock Price</t>
  </si>
  <si>
    <t xml:space="preserve">Year 1998</t>
  </si>
  <si>
    <t xml:space="preserve">Year 1999</t>
  </si>
  <si>
    <t xml:space="preserve">Year 2000</t>
  </si>
  <si>
    <t xml:space="preserve">Year 2001</t>
  </si>
  <si>
    <t xml:space="preserve">Opening price</t>
  </si>
  <si>
    <t xml:space="preserve">Market Price</t>
  </si>
  <si>
    <t xml:space="preserve">Strike Price</t>
  </si>
  <si>
    <t xml:space="preserve">Pre-Split shares:</t>
  </si>
  <si>
    <t xml:space="preserve"> </t>
  </si>
  <si>
    <t xml:space="preserve">Post-split shares:</t>
  </si>
  <si>
    <t xml:space="preserve">Unwind Price</t>
  </si>
  <si>
    <r>
      <rPr>
        <b val="true"/>
        <sz val="10"/>
        <rFont val="Arial"/>
        <family val="2"/>
      </rPr>
      <t xml:space="preserve">MTM Gain/(loss) on Value of ENE </t>
    </r>
    <r>
      <rPr>
        <b val="true"/>
        <u val="single"/>
        <sz val="10"/>
        <rFont val="Arial"/>
        <family val="2"/>
      </rPr>
      <t xml:space="preserve">shares</t>
    </r>
    <r>
      <rPr>
        <b val="true"/>
        <sz val="10"/>
        <rFont val="Arial"/>
        <family val="2"/>
      </rPr>
      <t xml:space="preserve"> held:</t>
    </r>
  </si>
  <si>
    <t xml:space="preserve">Opening value</t>
  </si>
  <si>
    <t xml:space="preserve">Closing Value</t>
  </si>
  <si>
    <t xml:space="preserve">Stock</t>
  </si>
  <si>
    <t xml:space="preserve">     MTM</t>
  </si>
  <si>
    <t xml:space="preserve">  ECM's 60%</t>
  </si>
  <si>
    <t xml:space="preserve">ENE/JEDI Swap</t>
  </si>
  <si>
    <t xml:space="preserve">Opening Value</t>
  </si>
  <si>
    <t xml:space="preserve">Swap</t>
  </si>
  <si>
    <t xml:space="preserve">  NET Position</t>
  </si>
  <si>
    <t xml:space="preserve">Stock10</t>
  </si>
  <si>
    <t xml:space="preserve">Stock11</t>
  </si>
  <si>
    <t xml:space="preserve">Swap11</t>
  </si>
  <si>
    <t xml:space="preserve">Premium:</t>
  </si>
  <si>
    <t xml:space="preserve">Premium</t>
  </si>
  <si>
    <t xml:space="preserve">Total Premium</t>
  </si>
  <si>
    <t xml:space="preserve">ECT's differential $56 to $54.0625:</t>
  </si>
  <si>
    <t xml:space="preserve">ECT Swap 1</t>
  </si>
  <si>
    <t xml:space="preserve">ECT SWAP 3/99</t>
  </si>
  <si>
    <t xml:space="preserve">Stike Price</t>
  </si>
  <si>
    <t xml:space="preserve">This is the Swap between ECM and ECT</t>
  </si>
  <si>
    <t xml:space="preserve">ECT Swap 2</t>
  </si>
  <si>
    <t xml:space="preserve">Value of Puts:</t>
  </si>
  <si>
    <t xml:space="preserve">Pre-Split Price:</t>
  </si>
  <si>
    <t xml:space="preserve">Price on Sep 10 when sold</t>
  </si>
  <si>
    <t xml:space="preserve">Price Jan 20, 2000</t>
  </si>
  <si>
    <t xml:space="preserve">Pre-Split:</t>
  </si>
  <si>
    <t xml:space="preserve"># of Puts</t>
  </si>
  <si>
    <t xml:space="preserve">Post- Split </t>
  </si>
  <si>
    <t xml:space="preserve">Closing/Market Value</t>
  </si>
  <si>
    <t xml:space="preserve">ECM's 60%</t>
  </si>
  <si>
    <t xml:space="preserve">Carrying Value:</t>
  </si>
  <si>
    <t xml:space="preserve">     Opening value</t>
  </si>
  <si>
    <t xml:space="preserve">     Premiums:</t>
  </si>
  <si>
    <t xml:space="preserve">     Total Premium</t>
  </si>
  <si>
    <t xml:space="preserve">Put 1</t>
  </si>
  <si>
    <t xml:space="preserve">Closing carrying value</t>
  </si>
  <si>
    <t xml:space="preserve">Put 2</t>
  </si>
  <si>
    <t xml:space="preserve">Quarterly gain/(loss)</t>
  </si>
  <si>
    <t xml:space="preserve">Reported on DPR</t>
  </si>
  <si>
    <t xml:space="preserve">Current Date</t>
  </si>
  <si>
    <t xml:space="preserve">Termination Date</t>
  </si>
  <si>
    <t xml:space="preserve">Interest Payment Date</t>
  </si>
  <si>
    <t xml:space="preserve">Quarter End Date</t>
  </si>
  <si>
    <t xml:space="preserve">     Lowest Date</t>
  </si>
  <si>
    <t xml:space="preserve">Phantom Stock Hedge</t>
  </si>
  <si>
    <t xml:space="preserve">Effective Date</t>
  </si>
  <si>
    <t xml:space="preserve">MLCO</t>
  </si>
  <si>
    <t xml:space="preserve">Total</t>
  </si>
  <si>
    <t xml:space="preserve">Shares:</t>
  </si>
  <si>
    <t xml:space="preserve">Interest Payment Dates</t>
  </si>
  <si>
    <t xml:space="preserve">Equity Payment (CSFB pays if price goes up/Enron pays if price goes down)</t>
  </si>
  <si>
    <t xml:space="preserve">Dividend Payment (CSBI pays)</t>
  </si>
  <si>
    <t xml:space="preserve">Expected quarterly dividend</t>
  </si>
  <si>
    <t xml:space="preserve">Payment</t>
  </si>
  <si>
    <t xml:space="preserve">Interest Payment (Enron pays)</t>
  </si>
  <si>
    <t xml:space="preserve">Interest Rate</t>
  </si>
  <si>
    <t xml:space="preserve">(need rate)</t>
  </si>
  <si>
    <t xml:space="preserve">Spread</t>
  </si>
  <si>
    <t xml:space="preserve">All in Rate</t>
  </si>
  <si>
    <t xml:space="preserve">Annual Day Count</t>
  </si>
  <si>
    <t xml:space="preserve">Beginning of period</t>
  </si>
  <si>
    <t xml:space="preserve">End of period</t>
  </si>
  <si>
    <t xml:space="preserve">Day Count</t>
  </si>
  <si>
    <t xml:space="preserve">Net receipt/(payment)</t>
  </si>
  <si>
    <t xml:space="preserve">Stock Hedge</t>
  </si>
  <si>
    <t xml:space="preserve">Equity Payment (Dealer pays if price goes up/Enron pays if price goes down)</t>
  </si>
  <si>
    <t xml:space="preserve">Dividend Payment (Dealer pays)</t>
  </si>
  <si>
    <t xml:space="preserve">Credit Suisse</t>
  </si>
  <si>
    <t xml:space="preserve">&lt;&lt;&lt;--- (trade ticket says 4/10/00)</t>
  </si>
  <si>
    <t xml:space="preserve">EFFECTIVE JUNE 1 THIS WAS MOVED TO PHANTOM</t>
  </si>
  <si>
    <t xml:space="preserve">Warburg Dillon Read - Ref #</t>
  </si>
  <si>
    <t xml:space="preserve">Equity Payment (Warburg pays if price goes up/Enron pays if price goes down)</t>
  </si>
  <si>
    <t xml:space="preserve">Dividend rebate</t>
  </si>
  <si>
    <t xml:space="preserve">Beginning of period - Interest</t>
  </si>
  <si>
    <t xml:space="preserve">End of period - Interest</t>
  </si>
  <si>
    <t xml:space="preserve">Day Count - Interest</t>
  </si>
  <si>
    <t xml:space="preserve">Beginning of period - Annual Factor</t>
  </si>
  <si>
    <t xml:space="preserve">End of period - Annual Factor</t>
  </si>
  <si>
    <t xml:space="preserve">Day Count for Annual Factor</t>
  </si>
  <si>
    <t xml:space="preserve">Annual Factor</t>
  </si>
  <si>
    <t xml:space="preserve">Net receipt/(payment) on Interest Payment Date</t>
  </si>
  <si>
    <t xml:space="preserve">Amount per Bank</t>
  </si>
  <si>
    <t xml:space="preserve">     Difference</t>
  </si>
  <si>
    <r>
      <rPr>
        <b val="true"/>
        <sz val="10"/>
        <rFont val="Arial"/>
        <family val="2"/>
      </rPr>
      <t xml:space="preserve">Warburg Dillon Read - Ref #</t>
    </r>
    <r>
      <rPr>
        <b val="true"/>
        <sz val="10"/>
        <color rgb="FF0000FF"/>
        <rFont val="Arial"/>
        <family val="2"/>
      </rPr>
      <t xml:space="preserve">1305741</t>
    </r>
  </si>
  <si>
    <t xml:space="preserve">Terminates</t>
  </si>
  <si>
    <t xml:space="preserve">WDR1305741</t>
  </si>
  <si>
    <t xml:space="preserve">THIS IS AN EQUITY FORWARD-NOT ON P&amp;L</t>
  </si>
  <si>
    <r>
      <rPr>
        <b val="true"/>
        <sz val="10"/>
        <rFont val="Arial"/>
        <family val="2"/>
      </rPr>
      <t xml:space="preserve">Warburg Dillon Read - Ref # </t>
    </r>
    <r>
      <rPr>
        <b val="true"/>
        <sz val="10"/>
        <color rgb="FF0000FF"/>
        <rFont val="Arial"/>
        <family val="2"/>
      </rPr>
      <t xml:space="preserve">1304563</t>
    </r>
  </si>
  <si>
    <t xml:space="preserve">WDR1304771</t>
  </si>
  <si>
    <t xml:space="preserve">JEDI/ENRON Put</t>
  </si>
  <si>
    <t xml:space="preserve">JEDI bought a Put from Enron</t>
  </si>
  <si>
    <t xml:space="preserve">Number of Options</t>
  </si>
  <si>
    <t xml:space="preserve">Expires 7/14/2003</t>
  </si>
  <si>
    <t xml:space="preserve">Stock Split 8-16-99</t>
  </si>
  <si>
    <t xml:space="preserve">JEDI pays a premium of:</t>
  </si>
  <si>
    <t xml:space="preserve">7/13/98    At strike of $54.0625</t>
  </si>
  <si>
    <t xml:space="preserve">1/12/99    At strike of $65</t>
  </si>
  <si>
    <t xml:space="preserve">3/11/99    At strike of $71</t>
  </si>
  <si>
    <t xml:space="preserve">          Total premium</t>
  </si>
  <si>
    <t xml:space="preserve">Enron sold a Put to JEDI</t>
  </si>
  <si>
    <t xml:space="preserve">Enron received (or has a note to receive) the total premium.</t>
  </si>
  <si>
    <t xml:space="preserve">Enron booked this to their balance sheet, with</t>
  </si>
  <si>
    <t xml:space="preserve">no earnings impact.  It is booked to Equity.</t>
  </si>
  <si>
    <r>
      <rPr>
        <sz val="10"/>
        <rFont val="Arial"/>
        <family val="0"/>
      </rPr>
      <t xml:space="preserve">If the market price is </t>
    </r>
    <r>
      <rPr>
        <b val="true"/>
        <sz val="10"/>
        <rFont val="Arial"/>
        <family val="2"/>
      </rPr>
      <t xml:space="preserve">above</t>
    </r>
    <r>
      <rPr>
        <sz val="10"/>
        <rFont val="Arial"/>
        <family val="2"/>
      </rPr>
      <t xml:space="preserve"> the strike then</t>
    </r>
  </si>
  <si>
    <t xml:space="preserve">the put is antidilutive.</t>
  </si>
  <si>
    <r>
      <rPr>
        <sz val="10"/>
        <rFont val="Arial"/>
        <family val="0"/>
      </rPr>
      <t xml:space="preserve">If the market price is </t>
    </r>
    <r>
      <rPr>
        <b val="true"/>
        <sz val="10"/>
        <rFont val="Arial"/>
        <family val="2"/>
      </rPr>
      <t xml:space="preserve">below</t>
    </r>
    <r>
      <rPr>
        <sz val="10"/>
        <rFont val="Arial"/>
        <family val="2"/>
      </rPr>
      <t xml:space="preserve"> the strike then</t>
    </r>
  </si>
  <si>
    <t xml:space="preserve">the put is dilutive.</t>
  </si>
  <si>
    <t xml:space="preserve">Dilution</t>
  </si>
  <si>
    <t xml:space="preserve">Estimate</t>
  </si>
  <si>
    <t xml:space="preserve">Post Split</t>
  </si>
  <si>
    <t xml:space="preserve">Strike price is</t>
  </si>
  <si>
    <t xml:space="preserve">Market price is</t>
  </si>
  <si>
    <t xml:space="preserve">The closer the market is to strike, the less shares required to settle</t>
  </si>
  <si>
    <t xml:space="preserve">Average market price</t>
  </si>
  <si>
    <t xml:space="preserve">Dilution effect:</t>
  </si>
  <si>
    <t xml:space="preserve">     Cash settle</t>
  </si>
  <si>
    <t xml:space="preserve"># of options x (option price - market price)</t>
  </si>
  <si>
    <t xml:space="preserve">     Share settle</t>
  </si>
  <si>
    <t xml:space="preserve">Shares to be issued = # of options x (option price - market price)</t>
  </si>
  <si>
    <t xml:space="preserve">divided by the average price</t>
  </si>
  <si>
    <t xml:space="preserve">To calculate the number of shares, the agreement call for market price on the</t>
  </si>
  <si>
    <t xml:space="preserve">settlement date.  For disclosure purposes, Enron uses average market price.</t>
  </si>
  <si>
    <t xml:space="preserve">Enron's share settle for disclosure</t>
  </si>
  <si>
    <t xml:space="preserve">Shares to be issued = # of options x (option price - average market price)</t>
  </si>
  <si>
    <t xml:space="preserve">divided by the average market price</t>
  </si>
  <si>
    <t xml:space="preserve">Open Positions</t>
  </si>
  <si>
    <t xml:space="preserve">Trade</t>
  </si>
  <si>
    <t xml:space="preserve">Fixed/</t>
  </si>
  <si>
    <t xml:space="preserve">Expiration</t>
  </si>
  <si>
    <t xml:space="preserve">Counterparty</t>
  </si>
  <si>
    <t xml:space="preserve">MTM</t>
  </si>
  <si>
    <t xml:space="preserve"># Contracts</t>
  </si>
  <si>
    <t xml:space="preserve">Floating</t>
  </si>
  <si>
    <t xml:space="preserve">Value</t>
  </si>
  <si>
    <t xml:space="preserve">Notes</t>
  </si>
  <si>
    <t xml:space="preserve">UBS-Warburg Dillon Read</t>
  </si>
  <si>
    <t xml:space="preserve">No</t>
  </si>
  <si>
    <t xml:space="preserve">Forward</t>
  </si>
  <si>
    <t xml:space="preserve">Interest Rate Reset the 12th of each month.  Enron may settle any time.  Settlement in cash or stock.  Had 6,703,300.  Assigned 2,888,249 to LJM Cayman on 6/30/99.  Stock split took shares from 3,815,051 to 7,630,102.  Assigned 3,224,795 to Talon I LLC on April 24, 2000.</t>
  </si>
  <si>
    <t xml:space="preserve">Talon I LLC</t>
  </si>
  <si>
    <t xml:space="preserve">Fixed</t>
  </si>
  <si>
    <t xml:space="preserve">Reset every six months</t>
  </si>
  <si>
    <t xml:space="preserve">NBMS</t>
  </si>
  <si>
    <t xml:space="preserve">3/24/99-4/15/99</t>
  </si>
  <si>
    <t xml:space="preserve">EOG sold to third party.  Enron can purchase 6.4mm at $19.5938</t>
  </si>
  <si>
    <t xml:space="preserve">JEDI LP</t>
  </si>
  <si>
    <t xml:space="preserve">Yes</t>
  </si>
  <si>
    <t xml:space="preserve">????</t>
  </si>
  <si>
    <t xml:space="preserve">Early termination 5/8/00 - converted to forward</t>
  </si>
  <si>
    <t xml:space="preserve">Warburg Dillon Read</t>
  </si>
  <si>
    <t xml:space="preserve">Phantom Stock Plan</t>
  </si>
  <si>
    <t xml:space="preserve">6-23 split       Income goes to ENA</t>
  </si>
  <si>
    <t xml:space="preserve">Share settle only</t>
  </si>
  <si>
    <t xml:space="preserve">Average Strike</t>
  </si>
  <si>
    <t xml:space="preserve">Closed Positions - 2000</t>
  </si>
  <si>
    <t xml:space="preserve">Terminated</t>
  </si>
  <si>
    <t xml:space="preserve">Early termination</t>
  </si>
  <si>
    <t xml:space="preserve">Income goes to ENA</t>
  </si>
  <si>
    <t xml:space="preserve">6-23 split       from the orig 280,000</t>
  </si>
  <si>
    <t xml:space="preserve">Summary of Option Trades with NBMS</t>
  </si>
  <si>
    <t xml:space="preserve">EOG Options</t>
  </si>
  <si>
    <t xml:space="preserve"># Shares</t>
  </si>
  <si>
    <t xml:space="preserve">Option</t>
  </si>
  <si>
    <t xml:space="preserve">Net</t>
  </si>
  <si>
    <t xml:space="preserve">Pre-Split</t>
  </si>
  <si>
    <t xml:space="preserve">Net Price</t>
  </si>
  <si>
    <t xml:space="preserve">Proceeds</t>
  </si>
  <si>
    <t xml:space="preserve">SBC Warburg</t>
  </si>
  <si>
    <t xml:space="preserve">Settlement</t>
  </si>
  <si>
    <t xml:space="preserve">Trade Date</t>
  </si>
  <si>
    <t xml:space="preserve">Maturity Date</t>
  </si>
  <si>
    <t xml:space="preserve">Common Stock</t>
  </si>
  <si>
    <t xml:space="preserve">Intial Price</t>
  </si>
  <si>
    <t xml:space="preserve">Notional Price</t>
  </si>
  <si>
    <t xml:space="preserve">Physical </t>
  </si>
  <si>
    <t xml:space="preserve">Forward Contract</t>
  </si>
  <si>
    <t xml:space="preserve">New Forward</t>
  </si>
  <si>
    <t xml:space="preserve">Note:  Note MTM actiivty, will take the gain/loss at unwind date.</t>
  </si>
  <si>
    <t xml:space="preserve">ENRON CORP. FORWARD CONTRACT</t>
  </si>
  <si>
    <t xml:space="preserve">INITIAL PRICE DETERMINATION</t>
  </si>
  <si>
    <t xml:space="preserve">As of</t>
  </si>
  <si>
    <t xml:space="preserve">Reset Date</t>
  </si>
  <si>
    <t xml:space="preserve">Mkt Val</t>
  </si>
  <si>
    <t xml:space="preserve">TRADE</t>
  </si>
  <si>
    <t xml:space="preserve">PURCHASED</t>
  </si>
  <si>
    <t xml:space="preserve">COST PER</t>
  </si>
  <si>
    <t xml:space="preserve">DIV</t>
  </si>
  <si>
    <t xml:space="preserve">COST LESS</t>
  </si>
  <si>
    <t xml:space="preserve"># OF</t>
  </si>
  <si>
    <t xml:space="preserve">CARRYING</t>
  </si>
  <si>
    <t xml:space="preserve">CUM</t>
  </si>
  <si>
    <t xml:space="preserve">CUMULATIVE</t>
  </si>
  <si>
    <t xml:space="preserve">UNADJ FWD</t>
  </si>
  <si>
    <t xml:space="preserve">DATE</t>
  </si>
  <si>
    <t xml:space="preserve">SHARES</t>
  </si>
  <si>
    <t xml:space="preserve">SHARE COST</t>
  </si>
  <si>
    <t xml:space="preserve">SHARE</t>
  </si>
  <si>
    <t xml:space="preserve">REC</t>
  </si>
  <si>
    <t xml:space="preserve">DIVIDENDS</t>
  </si>
  <si>
    <t xml:space="preserve">DAYS</t>
  </si>
  <si>
    <t xml:space="preserve">LIBOR</t>
  </si>
  <si>
    <t xml:space="preserve">COST</t>
  </si>
  <si>
    <t xml:space="preserve">PRICE</t>
  </si>
  <si>
    <t xml:space="preserve">Bal Fwd</t>
  </si>
  <si>
    <t xml:space="preserve">Sub Purch</t>
  </si>
  <si>
    <t xml:space="preserve">Commission</t>
  </si>
  <si>
    <t xml:space="preserve">Total Purch for Month</t>
  </si>
  <si>
    <t xml:space="preserve">TOTAL</t>
  </si>
  <si>
    <t xml:space="preserve">ENRON CORP - PUT OPTIONS CALCULATIONS (Input worksheet)</t>
  </si>
  <si>
    <t xml:space="preserve">  Quarter</t>
  </si>
  <si>
    <t xml:space="preserve">  Fiscal</t>
  </si>
  <si>
    <t xml:space="preserve">PUT OPTION INFORMATION</t>
  </si>
  <si>
    <t xml:space="preserve">Quarter</t>
  </si>
  <si>
    <t xml:space="preserve">Fiscal</t>
  </si>
  <si>
    <t xml:space="preserve">Post-split</t>
  </si>
  <si>
    <t xml:space="preserve">Percent</t>
  </si>
  <si>
    <t xml:space="preserve">Put Options</t>
  </si>
  <si>
    <t xml:space="preserve">Exp Date</t>
  </si>
  <si>
    <t xml:space="preserve">File #</t>
  </si>
  <si>
    <t xml:space="preserve">Exercisable</t>
  </si>
  <si>
    <t xml:space="preserve">Outstanding</t>
  </si>
  <si>
    <t xml:space="preserve">Premium Received</t>
  </si>
  <si>
    <t xml:space="preserve">Pre 1996 JEDI</t>
  </si>
  <si>
    <t xml:space="preserve">UBS</t>
  </si>
  <si>
    <t xml:space="preserve">PHY with Cash Option</t>
  </si>
  <si>
    <t xml:space="preserve">PHY</t>
  </si>
  <si>
    <t xml:space="preserve">Value of Options "in the money" using  Quarter Mkt Price of</t>
  </si>
  <si>
    <t xml:space="preserve">Value of Options "in the money" using  YTD Mkt Price of</t>
  </si>
  <si>
    <t xml:space="preserve">Spread (between Exercise Value and Period Market Price)</t>
  </si>
  <si>
    <t xml:space="preserve">Divided by:</t>
  </si>
  <si>
    <t xml:space="preserve">Dilutive Effect (in shares) of Put Options</t>
  </si>
  <si>
    <t xml:space="preserve">Note: Contracts settle Physical.  Jill spoke with Jeremy Gagnon, he said should settle physical with a cash option.</t>
  </si>
  <si>
    <t xml:space="preserve">ORIGINAL JEDI POSITIONS</t>
  </si>
  <si>
    <t xml:space="preserve">Premium Paid</t>
  </si>
  <si>
    <t xml:space="preserve">SBC</t>
  </si>
  <si>
    <t xml:space="preserve">Premiums JEDI I owes and paid Enron on Puts</t>
  </si>
  <si>
    <t xml:space="preserve">Premium Owed:</t>
  </si>
  <si>
    <t xml:space="preserve">Total Owed</t>
  </si>
  <si>
    <t xml:space="preserve">Premium Paid:</t>
  </si>
  <si>
    <t xml:space="preserve">Coded to:</t>
  </si>
  <si>
    <t xml:space="preserve">011-2010-100-0000</t>
  </si>
  <si>
    <t xml:space="preserve">MSA</t>
  </si>
  <si>
    <t xml:space="preserve">0011-35000000</t>
  </si>
  <si>
    <t xml:space="preserve">SAP</t>
  </si>
  <si>
    <t xml:space="preserve">Balance Due:</t>
  </si>
  <si>
    <t xml:space="preserve">Repurchase Puts</t>
  </si>
  <si>
    <t xml:space="preserve">Shares bought</t>
  </si>
  <si>
    <t xml:space="preserve">Puts bought back on 12/14/99 for 9/10/99 price of $4.351632</t>
  </si>
  <si>
    <t xml:space="preserve">for value $52,275,302.00.</t>
  </si>
  <si>
    <t xml:space="preserve">Entries were:</t>
  </si>
  <si>
    <t xml:space="preserve">Entries should have been:</t>
  </si>
  <si>
    <t xml:space="preserve">Cash</t>
  </si>
  <si>
    <t xml:space="preserve">  Equity</t>
  </si>
  <si>
    <t xml:space="preserve">Accts Receivable</t>
  </si>
  <si>
    <t xml:space="preserve">  Accts Receivable</t>
  </si>
  <si>
    <t xml:space="preserve">Equity</t>
  </si>
  <si>
    <t xml:space="preserve">  Cash</t>
  </si>
  <si>
    <t xml:space="preserve">Total VaR</t>
  </si>
  <si>
    <t xml:space="preserve">Total Notional</t>
  </si>
  <si>
    <t xml:space="preserve">All Positions VAR</t>
  </si>
  <si>
    <t xml:space="preserve">Valuation Date</t>
  </si>
  <si>
    <t xml:space="preserve">Total Delta</t>
  </si>
  <si>
    <t xml:space="preserve">Total Gamma</t>
  </si>
  <si>
    <t xml:space="preserve">Notional (defined as Delta times Price)</t>
  </si>
  <si>
    <t xml:space="preserve">60% of Shares</t>
  </si>
  <si>
    <t xml:space="preserve">Risk free rate</t>
  </si>
  <si>
    <t xml:space="preserve">Number of Trading days/yr</t>
  </si>
  <si>
    <t xml:space="preserve">All</t>
  </si>
  <si>
    <t xml:space="preserve">Seller</t>
  </si>
  <si>
    <t xml:space="preserve">Current Price</t>
  </si>
  <si>
    <t xml:space="preserve">Dividend Yield</t>
  </si>
  <si>
    <t xml:space="preserve">Instrument type [Call=1; Put=0; Frwd=Frwd]</t>
  </si>
  <si>
    <t xml:space="preserve">Option Style</t>
  </si>
  <si>
    <t xml:space="preserve">Number of Instruments (Long=1, Short=-1, DoNotConsider=0)</t>
  </si>
  <si>
    <t xml:space="preserve">Post Split Share/Option</t>
  </si>
  <si>
    <t xml:space="preserve">Post Split Strike or Forward Price</t>
  </si>
  <si>
    <t xml:space="preserve">Volatility</t>
  </si>
  <si>
    <t xml:space="preserve">Option Delta</t>
  </si>
  <si>
    <t xml:space="preserve">Option Gamma</t>
  </si>
  <si>
    <t xml:space="preserve">VaR</t>
  </si>
  <si>
    <t xml:space="preserve">Shares held JEDI</t>
  </si>
  <si>
    <t xml:space="preserve">Spot</t>
  </si>
  <si>
    <t xml:space="preserve">Physical</t>
  </si>
  <si>
    <t xml:space="preserve">Frwd</t>
  </si>
  <si>
    <t xml:space="preserve">2,888,249 came available for early settlement on 7/12/99</t>
  </si>
  <si>
    <t xml:space="preserve">Call</t>
  </si>
  <si>
    <t xml:space="preserve">European</t>
  </si>
  <si>
    <t xml:space="preserve">Swap JEDI</t>
  </si>
  <si>
    <t xml:space="preserve">DWR Swap - 1304771</t>
  </si>
  <si>
    <t xml:space="preserve">BEST Swap 5/24/00</t>
  </si>
  <si>
    <t xml:space="preserve">CSFB Swap 4/5/00</t>
  </si>
  <si>
    <t xml:space="preserve">CSFB Swap 4/6/00</t>
  </si>
  <si>
    <t xml:space="preserve">FBCO</t>
  </si>
  <si>
    <t xml:space="preserve">CSFB Swap 6/27/00</t>
  </si>
  <si>
    <t xml:space="preserve">DWR Swap  6/28/00</t>
  </si>
  <si>
    <t xml:space="preserve">DWR Swap 6/29/00</t>
  </si>
  <si>
    <t xml:space="preserve">1.645 = 95% confidence interval</t>
  </si>
  <si>
    <t xml:space="preserve">ENE Equity HP</t>
  </si>
  <si>
    <t xml:space="preserve">ENE Equity DVD </t>
  </si>
  <si>
    <t xml:space="preserve">weighted avg</t>
  </si>
  <si>
    <t xml:space="preserve">ENE Equity HVT</t>
  </si>
  <si>
    <t xml:space="preserve">SBC Warburg and UBS Forwards were excluded due to separate board approval limits.</t>
  </si>
  <si>
    <t xml:space="preserve">NPI %</t>
  </si>
  <si>
    <t xml:space="preserve">Shares held</t>
  </si>
  <si>
    <t xml:space="preserve">American</t>
  </si>
</sst>
</file>

<file path=xl/styles.xml><?xml version="1.0" encoding="utf-8"?>
<styleSheet xmlns="http://schemas.openxmlformats.org/spreadsheetml/2006/main">
  <numFmts count="94">
    <numFmt numFmtId="164" formatCode="General"/>
    <numFmt numFmtId="165" formatCode="\\#,##0.00;[RED]&quot;\-&quot;#,##0.00"/>
    <numFmt numFmtId="166" formatCode="#,##0;[RED]\-#,##0"/>
    <numFmt numFmtId="167" formatCode="_ \\* #,##0_ ;_ \\* \-#,##0_ ;_ \\* \-_ ;_ @_ "/>
    <numFmt numFmtId="168" formatCode="_ * #,##0_ ;_ * \-#,##0_ ;_ * \-_ ;_ @_ "/>
    <numFmt numFmtId="169" formatCode="\$#,##0_);[RED]&quot;($&quot;#,##0\)"/>
    <numFmt numFmtId="170" formatCode="[$-409]#,##0_);[RED]\(#,##0\)"/>
    <numFmt numFmtId="171" formatCode="_ * #,##0.00_ ;_ * &quot;\\\\-&quot;#,##0.00_ ;_ * \-??_ ;_ @_ "/>
    <numFmt numFmtId="172" formatCode="\\#,##0;[RED]&quot;\\\\-&quot;#,##0"/>
    <numFmt numFmtId="173" formatCode="_ \\* #,##0_ ;_ \\* &quot;\\\\-&quot;#,##0_ ;_ \\* \-_ ;_ @_ "/>
    <numFmt numFmtId="174" formatCode="_ * #,##0_ ;_ * &quot;\\\\\\\\\-&quot;#,##0_ ;_ * \-_ ;_ @_ "/>
    <numFmt numFmtId="175" formatCode="\\#,##0;[RED]&quot;\-&quot;#,##0"/>
    <numFmt numFmtId="176" formatCode="#,##0.00;[RED]\-#,##0.00"/>
    <numFmt numFmtId="177" formatCode="_ \\* #,##0.00_ ;_ \\* \-#,##0.00_ ;_ \\* \-??_ ;_ @_ "/>
    <numFmt numFmtId="178" formatCode="_ * #,##0.00_ ;_ * \-#,##0.00_ ;_ * \-??_ ;_ @_ "/>
    <numFmt numFmtId="179" formatCode="\$#,##0.00_);[RED]&quot;($&quot;#,##0.00\)"/>
    <numFmt numFmtId="180" formatCode="[$-409]#,##0.00_);[RED]\(#,##0.00\)"/>
    <numFmt numFmtId="181" formatCode="\\#,##0;&quot;\\\\\\-&quot;#,##0"/>
    <numFmt numFmtId="182" formatCode="_ \\* #,##0.00_ ;_ \\* &quot;\\\\\\\\\-&quot;#,##0.00_ ;_ \\* \-??_ ;_ @_ "/>
    <numFmt numFmtId="183" formatCode="_-* #,##0_-;\-* #,##0_-;_-* \-_-;_-@_-"/>
    <numFmt numFmtId="184" formatCode="_(* #,##0_);_(* \(#,##0\);_(* \-_);_(@_)"/>
    <numFmt numFmtId="185" formatCode="\\#,##0;[RED]&quot;\\\\\\\\\-&quot;#,##0"/>
    <numFmt numFmtId="186" formatCode="\\#,##0;&quot;\\\\\\\\\\-&quot;#,##0"/>
    <numFmt numFmtId="187" formatCode="\\#,##0;[RED]&quot;\\\\\\\\\\\\-&quot;#,##0"/>
    <numFmt numFmtId="188" formatCode="\\#,##0.00;[RED]&quot;\\\\\\\\\\-&quot;#,##0.00"/>
    <numFmt numFmtId="189" formatCode="0.000"/>
    <numFmt numFmtId="190" formatCode="_-* #,##0.00_-;\-* #,##0.00_-;_-* \-??_-;_-@_-"/>
    <numFmt numFmtId="191" formatCode="#,##0.00"/>
    <numFmt numFmtId="192" formatCode="_(* #,##0.00_);_(* \(#,##0.00\);_(* \-??_);_(@_)"/>
    <numFmt numFmtId="193" formatCode="\\#,##0.00;[RED]&quot;\\\\\\\\\-&quot;#,##0.00"/>
    <numFmt numFmtId="194" formatCode="\\#,##0.00;&quot;\\\\\\\\\\-&quot;#,##0.00"/>
    <numFmt numFmtId="195" formatCode="\\#,##0;&quot;\\\\\\\\\\\\-&quot;#,##0"/>
    <numFmt numFmtId="196" formatCode="_ * #,##0_ ;_ * &quot;\\-&quot;#,##0_ ;_ * \-_ ;_ @_ "/>
    <numFmt numFmtId="197" formatCode="_(\$* #,##0_);_(\$* \(#,##0\);_(\$* \-_);_(@_)"/>
    <numFmt numFmtId="198" formatCode="\\#,##0.00;[RED]&quot;\\\\\\-&quot;#,##0.00"/>
    <numFmt numFmtId="199" formatCode="_ * #,##0_ ;_ * &quot;\\\\-&quot;#,##0_ ;_ * \-_ ;_ @_ "/>
    <numFmt numFmtId="200" formatCode="\\#,##0;&quot;\\\\\\\\\-&quot;#,##0"/>
    <numFmt numFmtId="201" formatCode="_-\\* #,##0_-;&quot;-\&quot;* #,##0_-;_-\\* \-_-;_-@_-"/>
    <numFmt numFmtId="202" formatCode="\\#,##0.00;&quot;\-&quot;#,##0.00"/>
    <numFmt numFmtId="203" formatCode="_ * #,##0.00_ ;_ * &quot;\\\\\\\\-&quot;#,##0.00_ ;_ * \-??_ ;_ @_ "/>
    <numFmt numFmtId="204" formatCode="_ \\* #,##0_ ;_ \\* &quot;\\\\\\\\\-&quot;#,##0_ ;_ \\* \-_ ;_ @_ "/>
    <numFmt numFmtId="205" formatCode="\\#,##0.00;&quot;\\\-&quot;#,##0.00"/>
    <numFmt numFmtId="206" formatCode="\\#,##0.00;[RED]&quot;\\\\\\\-&quot;#,##0.00"/>
    <numFmt numFmtId="207" formatCode="_ \\* #,##0.00_ ;_ \\* &quot;\\-&quot;#,##0.00_ ;_ \\* \-??_ ;_ @_ "/>
    <numFmt numFmtId="208" formatCode="_(\$* #,##0.00_);_(\$* \(#,##0.00\);_(\$* \-??_);_(@_)"/>
    <numFmt numFmtId="209" formatCode="_ \\* #,##0_ ;_ \\* &quot;\\\\\-&quot;#,##0_ ;_ \\* \-_ ;_ @_ "/>
    <numFmt numFmtId="210" formatCode="_ \\* #,##0.00_ ;_ \\* &quot;\\\\-&quot;#,##0.00_ ;_ \\* \-??_ ;_ @_ "/>
    <numFmt numFmtId="211" formatCode="\\#,##0.00;&quot;\\\\\\\\\-&quot;#,##0.00"/>
    <numFmt numFmtId="212" formatCode="_-\\* #,##0.00_-;&quot;-\&quot;* #,##0.00_-;_-\\* \-??_-;_-@_-"/>
    <numFmt numFmtId="213" formatCode="\\#,##0;[RED]&quot;\\\\\\\\\\-&quot;#,##0"/>
    <numFmt numFmtId="214" formatCode="_ \\* #,##0_ ;_ \\* &quot;\\-&quot;#,##0_ ;_ \\* \-_ ;_ @_ "/>
    <numFmt numFmtId="215" formatCode="0.00"/>
    <numFmt numFmtId="216" formatCode="_ \\* #,##0.00_ ;_ \\* &quot;\-&quot;#,##0.00_ ;_ \\* \-??_ ;_ @_ "/>
    <numFmt numFmtId="217" formatCode="_ \\* #,##0_ ;_ \\* &quot;\\\\\\\\\\-&quot;#,##0_ ;_ \\* \-_ ;_ @_ "/>
    <numFmt numFmtId="218" formatCode="_ \\* #,##0.00_ ;_ \\* &quot;\\\\\\\\-&quot;#,##0.00_ ;_ \\* \-??_ ;_ @_ "/>
    <numFmt numFmtId="219" formatCode="_ \\* #,##0_ ;_ \\* &quot;\\\\\\\\-&quot;#,##0_ ;_ \\* \-_ ;_ @_ "/>
    <numFmt numFmtId="220" formatCode="\\#,##0;&quot;\\\\\\\-&quot;#,##0"/>
    <numFmt numFmtId="221" formatCode="_ \\* #,##0.00_ ;_ \\* &quot;\\\\\-&quot;#,##0.00_ ;_ \\* \-??_ ;_ @_ "/>
    <numFmt numFmtId="222" formatCode="yy&quot;\\\-&quot;mm&quot;\\\-&quot;dd&quot;\\\\ &quot;h:mm"/>
    <numFmt numFmtId="223" formatCode="#&quot;\\\\ &quot;??/??"/>
    <numFmt numFmtId="224" formatCode="[$-409]#,##0_);\(#,##0\)"/>
    <numFmt numFmtId="225" formatCode="#,##0"/>
    <numFmt numFmtId="226" formatCode="_ \\* #,##0_ ;_ \\* &quot;\\\\\\-&quot;#,##0_ ;_ \\* \-_ ;_ @_ "/>
    <numFmt numFmtId="227" formatCode="General_)"/>
    <numFmt numFmtId="228" formatCode="[$-409]m/d/yyyy"/>
    <numFmt numFmtId="229" formatCode="_(* #,##0_);_(* \(#,##0\);_(* \-??_);_(@_)"/>
    <numFmt numFmtId="230" formatCode="mmmm\ d&quot;, &quot;yyyy"/>
    <numFmt numFmtId="231" formatCode="0.0000"/>
    <numFmt numFmtId="232" formatCode="\$#,##0.00_);&quot;($&quot;#,##0.00\)"/>
    <numFmt numFmtId="233" formatCode="#,##0.0000"/>
    <numFmt numFmtId="234" formatCode="0.00000"/>
    <numFmt numFmtId="235" formatCode="_(* #,##0.0000000_);_(* \(#,##0.0000000\);_(* \-??_);_(@_)"/>
    <numFmt numFmtId="236" formatCode="[$-409]d\-mmm"/>
    <numFmt numFmtId="237" formatCode="_(\$* #,##0_);_(\$* \(#,##0\);_(\$* \-??_);_(@_)"/>
    <numFmt numFmtId="238" formatCode="# ?/?"/>
    <numFmt numFmtId="239" formatCode="0.00%"/>
    <numFmt numFmtId="240" formatCode="0%"/>
    <numFmt numFmtId="241" formatCode="_(* #,##0.00000_);_(* \(#,##0.00000\);_(* \-??_);_(@_)"/>
    <numFmt numFmtId="242" formatCode="[$-409]mmm\-yy"/>
    <numFmt numFmtId="243" formatCode="_(* #,##0.0000_);_(* \(#,##0.0000\);_(* \-??_);_(@_)"/>
    <numFmt numFmtId="244" formatCode="0.000000"/>
    <numFmt numFmtId="245" formatCode="0.00000%"/>
    <numFmt numFmtId="246" formatCode="0"/>
    <numFmt numFmtId="247" formatCode="\$#,##0.000_);&quot;($&quot;#,##0.000\)"/>
    <numFmt numFmtId="248" formatCode="[$-409]h:mm:ss"/>
    <numFmt numFmtId="249" formatCode="0.0000%"/>
    <numFmt numFmtId="250" formatCode="[$-409]#,##0.00_);\(#,##0.00\)"/>
    <numFmt numFmtId="251" formatCode="dd\-mmm\-yy_)"/>
    <numFmt numFmtId="252" formatCode="hh:mm\ AM/PM_)"/>
    <numFmt numFmtId="253" formatCode="[$-409]d\-mmm\-yy"/>
    <numFmt numFmtId="254" formatCode="mm/dd/yy_)"/>
    <numFmt numFmtId="255" formatCode="#,##0.0000_);\(#,##0.0000\)"/>
    <numFmt numFmtId="256" formatCode="#,##0.000_);\(#,##0.000\)"/>
    <numFmt numFmtId="257" formatCode="0.0"/>
  </numFmts>
  <fonts count="90">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1"/>
      <name val="??"/>
      <family val="3"/>
      <charset val="129"/>
    </font>
    <font>
      <sz val="10"/>
      <name val="???"/>
      <family val="3"/>
      <charset val="129"/>
    </font>
    <font>
      <sz val="10"/>
      <name val="Arial"/>
      <family val="2"/>
    </font>
    <font>
      <sz val="11"/>
      <name val="???"/>
      <family val="1"/>
      <charset val="129"/>
    </font>
    <font>
      <sz val="11"/>
      <name val="???"/>
      <family val="3"/>
      <charset val="129"/>
    </font>
    <font>
      <b val="true"/>
      <u val="single"/>
      <sz val="11"/>
      <color rgb="FF800000"/>
      <name val="Arial"/>
      <family val="2"/>
    </font>
    <font>
      <sz val="10"/>
      <color rgb="FF0000FF"/>
      <name val="Arial"/>
      <family val="2"/>
    </font>
    <font>
      <sz val="12"/>
      <name val="Arial"/>
      <family val="2"/>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8"/>
      <name val="Arial"/>
      <family val="2"/>
    </font>
    <font>
      <sz val="12"/>
      <name val="Times New Roman"/>
      <family val="1"/>
    </font>
    <font>
      <sz val="10"/>
      <name val="Courier New"/>
      <family val="3"/>
    </font>
    <font>
      <sz val="10"/>
      <name val="Univers (W1)"/>
      <family val="2"/>
    </font>
    <font>
      <sz val="14"/>
      <name val="AngsanaUPC"/>
      <family val="1"/>
    </font>
    <font>
      <sz val="9"/>
      <name val="Arial Narrow"/>
      <family val="2"/>
    </font>
    <font>
      <sz val="12"/>
      <name val="EucrosiaUPC"/>
      <family val="1"/>
    </font>
    <font>
      <sz val="14"/>
      <name val="CordiaUPC"/>
      <family val="1"/>
    </font>
    <font>
      <sz val="10"/>
      <name val="Advisor SSi"/>
      <family val="1"/>
    </font>
    <font>
      <sz val="14"/>
      <name val="FreesiaUPC"/>
      <family val="1"/>
    </font>
    <font>
      <sz val="8.5"/>
      <name val="MS Sans Serif"/>
      <family val="2"/>
    </font>
    <font>
      <sz val="10"/>
      <name val="Arial Narrow"/>
      <family val="2"/>
    </font>
    <font>
      <sz val="11"/>
      <name val="Book Antiqua"/>
      <family val="1"/>
    </font>
    <font>
      <sz val="10"/>
      <name val="Courier New"/>
      <family val="0"/>
    </font>
    <font>
      <sz val="8"/>
      <name val="Times New Roman"/>
      <family val="0"/>
    </font>
    <font>
      <sz val="10"/>
      <name val="TimesNewRomanPS"/>
      <family val="1"/>
    </font>
    <font>
      <sz val="8"/>
      <color rgb="FF0000FF"/>
      <name val="Arial"/>
      <family val="2"/>
    </font>
    <font>
      <sz val="10"/>
      <color rgb="FFFF0000"/>
      <name val="Arial"/>
      <family val="2"/>
    </font>
    <font>
      <sz val="14"/>
      <name val="Arial"/>
      <family val="2"/>
    </font>
    <font>
      <sz val="10"/>
      <color rgb="FFFF00FF"/>
      <name val="Arial"/>
      <family val="2"/>
    </font>
    <font>
      <b val="true"/>
      <sz val="10"/>
      <name val="Arial"/>
      <family val="2"/>
    </font>
    <font>
      <b val="true"/>
      <sz val="12"/>
      <name val="Arial"/>
      <family val="2"/>
    </font>
    <font>
      <u val="single"/>
      <sz val="10"/>
      <name val="Arial"/>
      <family val="2"/>
    </font>
    <font>
      <b val="true"/>
      <sz val="10"/>
      <color rgb="FFFF0000"/>
      <name val="Arial"/>
      <family val="2"/>
    </font>
    <font>
      <b val="true"/>
      <sz val="8"/>
      <color rgb="FF000000"/>
      <name val="Tahoma"/>
      <family val="0"/>
    </font>
    <font>
      <sz val="8"/>
      <color rgb="FF000000"/>
      <name val="Tahoma"/>
      <family val="0"/>
    </font>
    <font>
      <b val="true"/>
      <sz val="5.5"/>
      <color rgb="FF000000"/>
      <name val="Arial"/>
      <family val="2"/>
    </font>
    <font>
      <sz val="4.5"/>
      <color rgb="FF000000"/>
      <name val="Arial"/>
      <family val="2"/>
    </font>
    <font>
      <b val="true"/>
      <sz val="5.75"/>
      <color rgb="FF000000"/>
      <name val="Arial"/>
      <family val="2"/>
    </font>
    <font>
      <sz val="4.75"/>
      <color rgb="FF000000"/>
      <name val="Arial"/>
      <family val="2"/>
    </font>
    <font>
      <b val="true"/>
      <sz val="6"/>
      <color rgb="FF000000"/>
      <name val="Arial"/>
      <family val="2"/>
    </font>
    <font>
      <b val="true"/>
      <sz val="16"/>
      <color rgb="FFFF0000"/>
      <name val="Arial"/>
      <family val="2"/>
    </font>
    <font>
      <b val="true"/>
      <u val="single"/>
      <sz val="10"/>
      <name val="Arial"/>
      <family val="2"/>
    </font>
    <font>
      <i val="true"/>
      <sz val="10"/>
      <name val="Arial"/>
      <family val="2"/>
    </font>
    <font>
      <b val="true"/>
      <sz val="10"/>
      <color rgb="FFFF00FF"/>
      <name val="Arial"/>
      <family val="2"/>
    </font>
    <font>
      <b val="true"/>
      <sz val="10"/>
      <color rgb="FF0000FF"/>
      <name val="Arial"/>
      <family val="2"/>
    </font>
    <font>
      <sz val="8"/>
      <color rgb="FF000000"/>
      <name val="Arial"/>
      <family val="2"/>
    </font>
    <font>
      <b val="true"/>
      <sz val="10"/>
      <color rgb="FF000000"/>
      <name val="Arial"/>
      <family val="2"/>
    </font>
    <font>
      <b val="true"/>
      <sz val="8"/>
      <color rgb="FF000000"/>
      <name val="Arial"/>
      <family val="2"/>
    </font>
    <font>
      <b val="true"/>
      <sz val="8"/>
      <name val="Arial"/>
      <family val="2"/>
    </font>
    <font>
      <b val="true"/>
      <sz val="8"/>
      <color rgb="FF0000FF"/>
      <name val="Arial"/>
      <family val="2"/>
    </font>
    <font>
      <b val="true"/>
      <sz val="8"/>
      <color rgb="FFFF0000"/>
      <name val="Arial"/>
      <family val="2"/>
    </font>
    <font>
      <sz val="8"/>
      <color rgb="FF000000"/>
      <name val="Arial"/>
      <family val="0"/>
    </font>
    <font>
      <sz val="8"/>
      <color rgb="FFFF00FF"/>
      <name val="Arial"/>
      <family val="2"/>
    </font>
    <font>
      <sz val="12"/>
      <name val="Arial"/>
      <family val="0"/>
    </font>
    <font>
      <sz val="12"/>
      <name val="Times New Roman"/>
      <family val="0"/>
    </font>
    <font>
      <b val="true"/>
      <sz val="12"/>
      <name val="Times New Roman"/>
      <family val="0"/>
    </font>
    <font>
      <b val="true"/>
      <sz val="12"/>
      <color rgb="FF0000FF"/>
      <name val="Times New Roman"/>
      <family val="1"/>
    </font>
    <font>
      <b val="true"/>
      <sz val="12"/>
      <color rgb="FF800000"/>
      <name val="Times New Roman"/>
      <family val="1"/>
    </font>
    <font>
      <sz val="12"/>
      <color rgb="FF800000"/>
      <name val="Times New Roman"/>
      <family val="1"/>
    </font>
    <font>
      <sz val="12"/>
      <color rgb="FF0000FF"/>
      <name val="Times New Roman"/>
      <family val="0"/>
    </font>
    <font>
      <sz val="12"/>
      <color rgb="FFFF00FF"/>
      <name val="Times New Roman"/>
      <family val="1"/>
    </font>
    <font>
      <u val="single"/>
      <sz val="12"/>
      <name val="Arial"/>
      <family val="0"/>
    </font>
    <font>
      <sz val="12"/>
      <color rgb="FF0000FF"/>
      <name val="Arial"/>
      <family val="0"/>
    </font>
    <font>
      <sz val="10"/>
      <color rgb="FF0000FF"/>
      <name val="Arial"/>
      <family val="0"/>
    </font>
    <font>
      <sz val="9"/>
      <name val="Arial"/>
      <family val="2"/>
    </font>
    <font>
      <b val="true"/>
      <sz val="12"/>
      <name val="Arial"/>
      <family val="0"/>
    </font>
    <font>
      <sz val="12"/>
      <color rgb="FF008000"/>
      <name val="Arial"/>
      <family val="0"/>
    </font>
    <font>
      <b val="true"/>
      <sz val="10"/>
      <color rgb="FF800000"/>
      <name val="Arial"/>
      <family val="2"/>
    </font>
    <font>
      <b val="true"/>
      <sz val="10"/>
      <color rgb="FF000080"/>
      <name val="Arial"/>
      <family val="2"/>
    </font>
    <font>
      <b val="true"/>
      <sz val="14"/>
      <name val="Arial"/>
      <family val="2"/>
    </font>
    <font>
      <b val="true"/>
      <sz val="10"/>
      <color rgb="FF993300"/>
      <name val="Arial"/>
      <family val="2"/>
    </font>
    <font>
      <b val="true"/>
      <sz val="8"/>
      <color rgb="FF993300"/>
      <name val="Arial"/>
      <family val="2"/>
    </font>
    <font>
      <b val="true"/>
      <sz val="8"/>
      <color rgb="FF800000"/>
      <name val="Arial"/>
      <family val="2"/>
    </font>
    <font>
      <sz val="8"/>
      <color rgb="FF000080"/>
      <name val="Arial"/>
      <family val="2"/>
    </font>
    <font>
      <sz val="10"/>
      <color rgb="FF000080"/>
      <name val="Arial"/>
      <family val="2"/>
    </font>
  </fonts>
  <fills count="5">
    <fill>
      <patternFill patternType="none"/>
    </fill>
    <fill>
      <patternFill patternType="gray125"/>
    </fill>
    <fill>
      <patternFill patternType="solid">
        <fgColor rgb="FFFFFF99"/>
        <bgColor rgb="FFFFFFCC"/>
      </patternFill>
    </fill>
    <fill>
      <patternFill patternType="solid">
        <fgColor rgb="FFFFFFFF"/>
        <bgColor rgb="FFFFFFCC"/>
      </patternFill>
    </fill>
    <fill>
      <patternFill patternType="solid">
        <fgColor rgb="FFFFFF00"/>
        <bgColor rgb="FFFFFF00"/>
      </patternFill>
    </fill>
  </fills>
  <borders count="25">
    <border diagonalUp="false" diagonalDown="false">
      <left/>
      <right/>
      <top/>
      <bottom/>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thin"/>
      <top style="medium"/>
      <bottom style="medium"/>
      <diagonal/>
    </border>
    <border diagonalUp="false" diagonalDown="false">
      <left style="thin"/>
      <right style="thin"/>
      <top style="thin"/>
      <bottom style="medium"/>
      <diagonal/>
    </border>
    <border diagonalUp="false" diagonalDown="false">
      <left/>
      <right style="medium"/>
      <top style="medium"/>
      <bottom style="medium"/>
      <diagonal/>
    </border>
    <border diagonalUp="false" diagonalDown="false">
      <left/>
      <right/>
      <top style="thin"/>
      <bottom style="thin"/>
      <diagonal/>
    </border>
    <border diagonalUp="false" diagonalDown="false">
      <left/>
      <right/>
      <top/>
      <bottom style="medium"/>
      <diagonal/>
    </border>
    <border diagonalUp="false" diagonalDown="false">
      <left/>
      <right/>
      <top/>
      <bottom style="double"/>
      <diagonal/>
    </border>
    <border diagonalUp="false" diagonalDown="false">
      <left style="thin"/>
      <right style="thin"/>
      <top style="thin"/>
      <bottom style="thin"/>
      <diagonal/>
    </border>
  </borders>
  <cellStyleXfs count="90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2" fontId="0" fillId="0" borderId="0" applyFont="true" applyBorder="false" applyAlignment="false" applyProtection="false"/>
    <xf numFmtId="41" fontId="1" fillId="0" borderId="0" applyFont="true" applyBorder="false" applyAlignment="false" applyProtection="false"/>
    <xf numFmtId="208" fontId="0" fillId="0" borderId="0" applyFont="true" applyBorder="false" applyAlignment="false" applyProtection="false"/>
    <xf numFmtId="42" fontId="1" fillId="0" borderId="0" applyFont="true" applyBorder="false" applyAlignment="false" applyProtection="false"/>
    <xf numFmtId="240"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80"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1"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6"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8" fontId="0" fillId="0" borderId="0" applyFont="true" applyBorder="false" applyAlignment="false" applyProtection="false"/>
    <xf numFmtId="183" fontId="0" fillId="0" borderId="0" applyFont="true" applyBorder="false" applyAlignment="false" applyProtection="false"/>
    <xf numFmtId="184"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85" fontId="0" fillId="0" borderId="0" applyFont="true" applyBorder="false" applyAlignment="false" applyProtection="false"/>
    <xf numFmtId="183"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84"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84"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86" fontId="0" fillId="0" borderId="0" applyFont="true" applyBorder="false" applyAlignment="false" applyProtection="false"/>
    <xf numFmtId="170"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86"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7" fontId="0" fillId="0" borderId="0" applyFont="true" applyBorder="false" applyAlignment="false" applyProtection="false"/>
    <xf numFmtId="183" fontId="0" fillId="0" borderId="0" applyFont="true" applyBorder="false" applyAlignment="false" applyProtection="false"/>
    <xf numFmtId="188"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68"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7" fontId="0" fillId="0" borderId="0" applyFont="true" applyBorder="false" applyAlignment="false" applyProtection="false"/>
    <xf numFmtId="186" fontId="0" fillId="0" borderId="0" applyFont="true" applyBorder="false" applyAlignment="false" applyProtection="false"/>
    <xf numFmtId="188"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87" fontId="0" fillId="0" borderId="0" applyFont="true" applyBorder="false" applyAlignment="false" applyProtection="false"/>
    <xf numFmtId="186" fontId="0" fillId="0" borderId="0" applyFont="true" applyBorder="false" applyAlignment="false" applyProtection="false"/>
    <xf numFmtId="188" fontId="0" fillId="0" borderId="0" applyFont="true" applyBorder="false" applyAlignment="false" applyProtection="false"/>
    <xf numFmtId="168"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68" fontId="0" fillId="0" borderId="0" applyFont="true" applyBorder="false" applyAlignment="false" applyProtection="false"/>
    <xf numFmtId="184" fontId="0" fillId="0" borderId="0" applyFont="true" applyBorder="false" applyAlignment="false" applyProtection="false"/>
    <xf numFmtId="189" fontId="7" fillId="0" borderId="0" applyFont="true" applyBorder="true" applyAlignment="true" applyProtection="true">
      <alignment horizontal="general" vertical="bottom" textRotation="0" wrapText="false" indent="0" shrinkToFit="false"/>
      <protection locked="true" hidden="false"/>
    </xf>
    <xf numFmtId="183" fontId="0" fillId="0" borderId="0" applyFont="true" applyBorder="false" applyAlignment="false" applyProtection="false"/>
    <xf numFmtId="185"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83" fontId="0" fillId="0" borderId="0" applyFont="true" applyBorder="false" applyAlignment="false" applyProtection="false"/>
    <xf numFmtId="185" fontId="0" fillId="0" borderId="0" applyFont="true" applyBorder="false" applyAlignment="false" applyProtection="false"/>
    <xf numFmtId="183" fontId="0" fillId="0" borderId="0" applyFont="true" applyBorder="false" applyAlignment="false" applyProtection="false"/>
    <xf numFmtId="168"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70" fontId="0" fillId="0" borderId="0" applyFont="true" applyBorder="false" applyAlignment="false" applyProtection="false"/>
    <xf numFmtId="183" fontId="0" fillId="0" borderId="0" applyFont="true" applyBorder="false" applyAlignment="false" applyProtection="false"/>
    <xf numFmtId="183"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7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7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7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92"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78" fontId="0" fillId="0" borderId="0" applyFont="true" applyBorder="false" applyAlignment="false" applyProtection="false"/>
    <xf numFmtId="178" fontId="0" fillId="0" borderId="0" applyFont="true" applyBorder="false" applyAlignment="false" applyProtection="false"/>
    <xf numFmtId="194" fontId="0" fillId="0" borderId="0" applyFont="true" applyBorder="false" applyAlignment="false" applyProtection="false"/>
    <xf numFmtId="180"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1" fontId="0" fillId="0" borderId="0" applyFont="true" applyBorder="false" applyAlignment="false" applyProtection="false"/>
    <xf numFmtId="194"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4"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90" fontId="0" fillId="0" borderId="0" applyFont="true" applyBorder="false" applyAlignment="false" applyProtection="false"/>
    <xf numFmtId="174"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76" fontId="0" fillId="0" borderId="0" applyFont="true" applyBorder="false" applyAlignment="false" applyProtection="false"/>
    <xf numFmtId="180" fontId="0" fillId="0" borderId="0" applyFont="true" applyBorder="false" applyAlignment="false" applyProtection="false"/>
    <xf numFmtId="180"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4" fontId="0" fillId="0" borderId="0" applyFont="true" applyBorder="false" applyAlignment="false" applyProtection="false"/>
    <xf numFmtId="191"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76"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8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3" fontId="0" fillId="0" borderId="0" applyFont="true" applyBorder="false" applyAlignment="false" applyProtection="false"/>
    <xf numFmtId="176" fontId="0" fillId="0" borderId="0" applyFont="true" applyBorder="false" applyAlignment="false" applyProtection="false"/>
    <xf numFmtId="178"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6"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80" fontId="0" fillId="0" borderId="0" applyFont="true" applyBorder="false" applyAlignment="false" applyProtection="false"/>
    <xf numFmtId="190" fontId="0" fillId="0" borderId="0" applyFont="true" applyBorder="false" applyAlignment="false" applyProtection="false"/>
    <xf numFmtId="190" fontId="0" fillId="0" borderId="0" applyFont="true" applyBorder="false" applyAlignment="false" applyProtection="false"/>
    <xf numFmtId="180" fontId="0" fillId="0" borderId="0" applyFont="true" applyBorder="false" applyAlignment="false" applyProtection="false"/>
    <xf numFmtId="196" fontId="0" fillId="0" borderId="0" applyFont="true" applyBorder="false" applyAlignment="false" applyProtection="false"/>
    <xf numFmtId="167"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8" fontId="0" fillId="0" borderId="0" applyFont="true" applyBorder="false" applyAlignment="false" applyProtection="false"/>
    <xf numFmtId="175" fontId="0" fillId="0" borderId="0" applyFont="true" applyBorder="false" applyAlignment="false" applyProtection="false"/>
    <xf numFmtId="169"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6"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67" fontId="0" fillId="0" borderId="0" applyFont="true" applyBorder="false" applyAlignment="false" applyProtection="false"/>
    <xf numFmtId="19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8"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199"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7"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6"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6"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6" fontId="0" fillId="0" borderId="0" applyFont="true" applyBorder="false" applyAlignment="false" applyProtection="false"/>
    <xf numFmtId="169"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7"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97" fontId="0" fillId="0" borderId="0" applyFont="true" applyBorder="false" applyAlignment="false" applyProtection="false"/>
    <xf numFmtId="164" fontId="0" fillId="0" borderId="0" applyFont="true" applyBorder="false" applyAlignment="false" applyProtection="false"/>
    <xf numFmtId="203" fontId="0" fillId="0" borderId="0" applyFont="true" applyBorder="false" applyAlignment="false" applyProtection="false"/>
    <xf numFmtId="175" fontId="0" fillId="0" borderId="0" applyFont="true" applyBorder="false" applyAlignment="false" applyProtection="false"/>
    <xf numFmtId="167" fontId="0" fillId="0" borderId="0" applyFont="true" applyBorder="false" applyAlignment="false" applyProtection="false"/>
    <xf numFmtId="175" fontId="0" fillId="0" borderId="0" applyFont="true" applyBorder="false" applyAlignment="false" applyProtection="false"/>
    <xf numFmtId="203" fontId="0" fillId="0" borderId="0" applyFont="true" applyBorder="false" applyAlignment="false" applyProtection="false"/>
    <xf numFmtId="175" fontId="0" fillId="0" borderId="0" applyFont="true" applyBorder="false" applyAlignment="false" applyProtection="false"/>
    <xf numFmtId="203" fontId="0" fillId="0" borderId="0" applyFont="true" applyBorder="false" applyAlignment="false" applyProtection="false"/>
    <xf numFmtId="203" fontId="0" fillId="0" borderId="0" applyFont="true" applyBorder="false" applyAlignment="false" applyProtection="false"/>
    <xf numFmtId="196"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204" fontId="0" fillId="0" borderId="0" applyFont="true" applyBorder="false" applyAlignment="false" applyProtection="false"/>
    <xf numFmtId="167" fontId="0" fillId="0" borderId="0" applyFont="true" applyBorder="false" applyAlignment="false" applyProtection="false"/>
    <xf numFmtId="203" fontId="0" fillId="0" borderId="0" applyFont="true" applyBorder="false" applyAlignment="false" applyProtection="false"/>
    <xf numFmtId="175"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5" fontId="0" fillId="0" borderId="0" applyFont="true" applyBorder="false" applyAlignment="false" applyProtection="false"/>
    <xf numFmtId="203" fontId="0" fillId="0" borderId="0" applyFont="true" applyBorder="false" applyAlignment="false" applyProtection="false"/>
    <xf numFmtId="167" fontId="0" fillId="0" borderId="0" applyFont="true" applyBorder="false" applyAlignment="false" applyProtection="false"/>
    <xf numFmtId="195" fontId="0" fillId="0" borderId="0" applyFont="true" applyBorder="false" applyAlignment="false" applyProtection="false"/>
    <xf numFmtId="205" fontId="0" fillId="0" borderId="0" applyFont="true" applyBorder="false" applyAlignment="false" applyProtection="false"/>
    <xf numFmtId="167" fontId="0" fillId="0" borderId="0" applyFont="true" applyBorder="false" applyAlignment="false" applyProtection="false"/>
    <xf numFmtId="194" fontId="0" fillId="0" borderId="0" applyFont="true" applyBorder="false" applyAlignment="false" applyProtection="false"/>
    <xf numFmtId="187" fontId="0" fillId="0" borderId="0" applyFont="true" applyBorder="false" applyAlignment="false" applyProtection="false"/>
    <xf numFmtId="188" fontId="0" fillId="0" borderId="0" applyFont="true" applyBorder="false" applyAlignment="false" applyProtection="false"/>
    <xf numFmtId="196" fontId="0" fillId="0" borderId="0" applyFont="true" applyBorder="false" applyAlignment="false" applyProtection="false"/>
    <xf numFmtId="203" fontId="0" fillId="0" borderId="0" applyFont="true" applyBorder="false" applyAlignment="false" applyProtection="false"/>
    <xf numFmtId="175" fontId="0" fillId="0" borderId="0" applyFont="true" applyBorder="false" applyAlignment="false" applyProtection="false"/>
    <xf numFmtId="167" fontId="0" fillId="0" borderId="0" applyFont="true" applyBorder="false" applyAlignment="false" applyProtection="false"/>
    <xf numFmtId="199" fontId="0" fillId="0" borderId="0" applyFont="true" applyBorder="false" applyAlignment="false" applyProtection="false"/>
    <xf numFmtId="167"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67" fontId="0" fillId="0" borderId="0" applyFont="true" applyBorder="false" applyAlignment="false" applyProtection="false"/>
    <xf numFmtId="175" fontId="0" fillId="0" borderId="0" applyFont="true" applyBorder="false" applyAlignment="false" applyProtection="false"/>
    <xf numFmtId="19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95" fontId="0" fillId="0" borderId="0" applyFont="true" applyBorder="false" applyAlignment="false" applyProtection="false"/>
    <xf numFmtId="203" fontId="0" fillId="0" borderId="0" applyFont="true" applyBorder="false" applyAlignment="false" applyProtection="false"/>
    <xf numFmtId="194" fontId="0" fillId="0" borderId="0" applyFont="true" applyBorder="false" applyAlignment="false" applyProtection="false"/>
    <xf numFmtId="175" fontId="0" fillId="0" borderId="0" applyFont="true" applyBorder="false" applyAlignment="false" applyProtection="false"/>
    <xf numFmtId="206" fontId="0" fillId="0" borderId="0" applyFont="true" applyBorder="false" applyAlignment="false" applyProtection="false"/>
    <xf numFmtId="199"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203"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67" fontId="0" fillId="0" borderId="0" applyFont="true" applyBorder="false" applyAlignment="false" applyProtection="false"/>
    <xf numFmtId="19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00" fontId="0" fillId="0" borderId="0" applyFont="true" applyBorder="false" applyAlignment="false" applyProtection="false"/>
    <xf numFmtId="175" fontId="0" fillId="0" borderId="0" applyFont="true" applyBorder="false" applyAlignment="false" applyProtection="false"/>
    <xf numFmtId="196" fontId="0" fillId="0" borderId="0" applyFont="true" applyBorder="false" applyAlignment="false" applyProtection="false"/>
    <xf numFmtId="16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5" fontId="0" fillId="0" borderId="0" applyFont="true" applyBorder="false" applyAlignment="false" applyProtection="false"/>
    <xf numFmtId="199" fontId="0" fillId="0" borderId="0" applyFont="true" applyBorder="false" applyAlignment="false" applyProtection="false"/>
    <xf numFmtId="167" fontId="0" fillId="0" borderId="0" applyFont="true" applyBorder="false" applyAlignment="false" applyProtection="false"/>
    <xf numFmtId="199" fontId="0" fillId="0" borderId="0" applyFont="true" applyBorder="false" applyAlignment="false" applyProtection="false"/>
    <xf numFmtId="167" fontId="0" fillId="0" borderId="0" applyFont="true" applyBorder="false" applyAlignment="false" applyProtection="false"/>
    <xf numFmtId="175" fontId="0" fillId="0" borderId="0" applyFont="true" applyBorder="false" applyAlignment="false" applyProtection="false"/>
    <xf numFmtId="207" fontId="0" fillId="0" borderId="0" applyFont="true" applyBorder="false" applyAlignment="false" applyProtection="false"/>
    <xf numFmtId="168" fontId="0" fillId="0" borderId="0" applyFont="true" applyBorder="false" applyAlignment="false" applyProtection="false"/>
    <xf numFmtId="179" fontId="0" fillId="0" borderId="0" applyFont="true" applyBorder="false" applyAlignment="false" applyProtection="false"/>
    <xf numFmtId="208" fontId="0" fillId="0" borderId="0" applyFont="true" applyBorder="false" applyAlignment="false" applyProtection="false"/>
    <xf numFmtId="207" fontId="0" fillId="0" borderId="0" applyFont="true" applyBorder="false" applyAlignment="false" applyProtection="false"/>
    <xf numFmtId="209" fontId="0" fillId="0" borderId="0" applyFont="true" applyBorder="false" applyAlignment="false" applyProtection="false"/>
    <xf numFmtId="165" fontId="0" fillId="0" borderId="0" applyFont="true" applyBorder="false" applyAlignment="false" applyProtection="false"/>
    <xf numFmtId="179" fontId="0" fillId="0" borderId="0" applyFont="true" applyBorder="false" applyAlignment="false" applyProtection="false"/>
    <xf numFmtId="210" fontId="0" fillId="0" borderId="0" applyFont="true" applyBorder="false" applyAlignment="false" applyProtection="false"/>
    <xf numFmtId="179" fontId="0" fillId="0" borderId="0" applyFont="true" applyBorder="false" applyAlignment="false" applyProtection="false"/>
    <xf numFmtId="208" fontId="0" fillId="0" borderId="0" applyFont="true" applyBorder="false" applyAlignment="false" applyProtection="false"/>
    <xf numFmtId="208" fontId="0" fillId="0" borderId="0" applyFont="true" applyBorder="false" applyAlignment="false" applyProtection="false"/>
    <xf numFmtId="208" fontId="0" fillId="0" borderId="0" applyFont="true" applyBorder="false" applyAlignment="false" applyProtection="false"/>
    <xf numFmtId="210" fontId="0" fillId="0" borderId="0" applyFont="true" applyBorder="false" applyAlignment="false" applyProtection="false"/>
    <xf numFmtId="210" fontId="0" fillId="0" borderId="0" applyFont="true" applyBorder="false" applyAlignment="false" applyProtection="false"/>
    <xf numFmtId="210"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209" fontId="0" fillId="0" borderId="0" applyFont="true" applyBorder="false" applyAlignment="false" applyProtection="false"/>
    <xf numFmtId="211" fontId="0" fillId="0" borderId="0" applyFont="true" applyBorder="false" applyAlignment="false" applyProtection="false"/>
    <xf numFmtId="207" fontId="0" fillId="0" borderId="0" applyFont="true" applyBorder="false" applyAlignment="false" applyProtection="false"/>
    <xf numFmtId="211" fontId="0" fillId="0" borderId="0" applyFont="true" applyBorder="false" applyAlignment="false" applyProtection="false"/>
    <xf numFmtId="179" fontId="0" fillId="0" borderId="0" applyFont="true" applyBorder="false" applyAlignment="false" applyProtection="false"/>
    <xf numFmtId="208" fontId="0" fillId="0" borderId="0" applyFont="true" applyBorder="false" applyAlignment="false" applyProtection="false"/>
    <xf numFmtId="209" fontId="0" fillId="0" borderId="0" applyFont="true" applyBorder="false" applyAlignment="false" applyProtection="false"/>
    <xf numFmtId="208" fontId="0" fillId="0" borderId="0" applyFont="true" applyBorder="false" applyAlignment="false" applyProtection="false"/>
    <xf numFmtId="212" fontId="0" fillId="0" borderId="0" applyFont="true" applyBorder="false" applyAlignment="false" applyProtection="false"/>
    <xf numFmtId="165" fontId="0" fillId="0" borderId="0" applyFont="true" applyBorder="false" applyAlignment="false" applyProtection="false"/>
    <xf numFmtId="210"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79" fontId="0" fillId="0" borderId="0" applyFont="true" applyBorder="false" applyAlignment="false" applyProtection="false"/>
    <xf numFmtId="208"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07"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07"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07" fontId="0" fillId="0" borderId="0" applyFont="true" applyBorder="false" applyAlignment="false" applyProtection="false"/>
    <xf numFmtId="179"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08"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08" fontId="0" fillId="0" borderId="0" applyFont="true" applyBorder="false" applyAlignment="false" applyProtection="false"/>
    <xf numFmtId="164" fontId="0" fillId="0" borderId="0" applyFont="true" applyBorder="false" applyAlignment="false" applyProtection="false"/>
    <xf numFmtId="213"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213" fontId="0" fillId="0" borderId="0" applyFont="true" applyBorder="false" applyAlignment="false" applyProtection="false"/>
    <xf numFmtId="165"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07"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74" fontId="0" fillId="0" borderId="0" applyFont="true" applyBorder="false" applyAlignment="false" applyProtection="false"/>
    <xf numFmtId="168" fontId="0" fillId="0" borderId="0" applyFont="true" applyBorder="false" applyAlignment="false" applyProtection="false"/>
    <xf numFmtId="213"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79" fontId="0" fillId="0" borderId="0" applyFont="true" applyBorder="false" applyAlignment="false" applyProtection="false"/>
    <xf numFmtId="165" fontId="0" fillId="0" borderId="0" applyFont="true" applyBorder="false" applyAlignment="false" applyProtection="false"/>
    <xf numFmtId="213" fontId="0" fillId="0" borderId="0" applyFont="true" applyBorder="false" applyAlignment="false" applyProtection="false"/>
    <xf numFmtId="168" fontId="0" fillId="0" borderId="0" applyFont="true" applyBorder="false" applyAlignment="false" applyProtection="false"/>
    <xf numFmtId="187" fontId="0" fillId="0" borderId="0" applyFont="true" applyBorder="false" applyAlignment="false" applyProtection="false"/>
    <xf numFmtId="214" fontId="0" fillId="0" borderId="0" applyFont="true" applyBorder="false" applyAlignment="false" applyProtection="false"/>
    <xf numFmtId="168" fontId="0" fillId="0" borderId="0" applyFont="true" applyBorder="false" applyAlignment="false" applyProtection="false"/>
    <xf numFmtId="204" fontId="0" fillId="0" borderId="0" applyFont="true" applyBorder="false" applyAlignment="false" applyProtection="false"/>
    <xf numFmtId="187" fontId="0" fillId="0" borderId="0" applyFont="true" applyBorder="false" applyAlignment="false" applyProtection="false"/>
    <xf numFmtId="204" fontId="0" fillId="0" borderId="0" applyFont="true" applyBorder="false" applyAlignment="false" applyProtection="false"/>
    <xf numFmtId="215" fontId="0" fillId="0" borderId="0" applyFont="true" applyBorder="false" applyAlignment="false" applyProtection="false"/>
    <xf numFmtId="207" fontId="0" fillId="0" borderId="0" applyFont="true" applyBorder="false" applyAlignment="false" applyProtection="false"/>
    <xf numFmtId="213"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210"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216" fontId="0" fillId="0" borderId="0" applyFont="true" applyBorder="false" applyAlignment="false" applyProtection="false"/>
    <xf numFmtId="210" fontId="0" fillId="0" borderId="0" applyFont="true" applyBorder="false" applyAlignment="false" applyProtection="false"/>
    <xf numFmtId="216" fontId="0" fillId="0" borderId="0" applyFont="true" applyBorder="false" applyAlignment="false" applyProtection="false"/>
    <xf numFmtId="187" fontId="0" fillId="0" borderId="0" applyFont="true" applyBorder="false" applyAlignment="false" applyProtection="false"/>
    <xf numFmtId="213" fontId="0" fillId="0" borderId="0" applyFont="true" applyBorder="false" applyAlignment="false" applyProtection="false"/>
    <xf numFmtId="204" fontId="0" fillId="0" borderId="0" applyFont="true" applyBorder="false" applyAlignment="false" applyProtection="false"/>
    <xf numFmtId="187" fontId="0" fillId="0" borderId="0" applyFont="true" applyBorder="false" applyAlignment="false" applyProtection="false"/>
    <xf numFmtId="217" fontId="0" fillId="0" borderId="0" applyFont="true" applyBorder="false" applyAlignment="false" applyProtection="false"/>
    <xf numFmtId="218" fontId="0" fillId="0" borderId="0" applyFont="true" applyBorder="false" applyAlignment="false" applyProtection="false"/>
    <xf numFmtId="182" fontId="0" fillId="0" borderId="0" applyFont="true" applyBorder="false" applyAlignment="false" applyProtection="false"/>
    <xf numFmtId="213" fontId="0" fillId="0" borderId="0" applyFont="true" applyBorder="false" applyAlignment="false" applyProtection="false"/>
    <xf numFmtId="219" fontId="0" fillId="0" borderId="0" applyFont="true" applyBorder="false" applyAlignment="false" applyProtection="false"/>
    <xf numFmtId="220"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68" fontId="0" fillId="0" borderId="0" applyFont="true" applyBorder="false" applyAlignment="false" applyProtection="false"/>
    <xf numFmtId="179"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11" fontId="0" fillId="0" borderId="0" applyFont="true" applyBorder="false" applyAlignment="false" applyProtection="false"/>
    <xf numFmtId="165" fontId="0" fillId="0" borderId="0" applyFont="true" applyBorder="false" applyAlignment="false" applyProtection="false"/>
    <xf numFmtId="207"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207" fontId="0" fillId="0" borderId="0" applyFont="true" applyBorder="false" applyAlignment="false" applyProtection="false"/>
    <xf numFmtId="208" fontId="0" fillId="0" borderId="0" applyFont="true" applyBorder="false" applyAlignment="false" applyProtection="false"/>
    <xf numFmtId="208" fontId="0" fillId="0" borderId="0" applyFont="true" applyBorder="false" applyAlignment="false" applyProtection="false"/>
    <xf numFmtId="211"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11"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65" fontId="0" fillId="0" borderId="0" applyFont="true" applyBorder="false" applyAlignment="false" applyProtection="false"/>
    <xf numFmtId="210" fontId="0" fillId="0" borderId="0" applyFont="true" applyBorder="false" applyAlignment="false" applyProtection="false"/>
    <xf numFmtId="168" fontId="0" fillId="0" borderId="0" applyFont="true" applyBorder="false" applyAlignment="false" applyProtection="false"/>
    <xf numFmtId="210"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9" fontId="7" fillId="0" borderId="0" applyFont="true" applyBorder="true" applyAlignment="true" applyProtection="true">
      <alignment horizontal="general" vertical="bottom" textRotation="0" wrapText="false" indent="0" shrinkToFit="false"/>
      <protection locked="false" hidden="false"/>
    </xf>
    <xf numFmtId="221" fontId="7" fillId="0" borderId="0" applyFont="true" applyBorder="true" applyAlignment="true" applyProtection="true">
      <alignment horizontal="general" vertical="bottom" textRotation="0" wrapText="false" indent="0" shrinkToFit="false"/>
      <protection locked="false" hidden="false"/>
    </xf>
    <xf numFmtId="164" fontId="12" fillId="0" borderId="0" applyFont="true" applyBorder="false" applyAlignment="false" applyProtection="false"/>
    <xf numFmtId="222" fontId="7" fillId="0" borderId="0" applyFont="true" applyBorder="true" applyAlignment="true" applyProtection="true">
      <alignment horizontal="general" vertical="bottom" textRotation="0" wrapText="false" indent="0" shrinkToFit="false"/>
      <protection locked="false" hidden="false"/>
    </xf>
    <xf numFmtId="222" fontId="7" fillId="0" borderId="0" applyFont="true" applyBorder="true" applyAlignment="true" applyProtection="true">
      <alignment horizontal="general" vertical="bottom" textRotation="0" wrapText="false" indent="0" shrinkToFit="false"/>
      <protection locked="false" hidden="false"/>
    </xf>
    <xf numFmtId="164" fontId="13" fillId="0" borderId="1" applyFont="true" applyBorder="true" applyAlignment="false" applyProtection="false"/>
    <xf numFmtId="223" fontId="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223" fontId="7" fillId="0" borderId="0" applyFont="true" applyBorder="true" applyAlignment="true" applyProtection="true">
      <alignment horizontal="general" vertical="bottom" textRotation="0" wrapText="false" indent="0" shrinkToFit="false"/>
      <protection locked="true" hidden="false"/>
    </xf>
    <xf numFmtId="223" fontId="7"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4" fontId="16" fillId="0" borderId="0" applyFont="true" applyBorder="true" applyAlignment="true" applyProtection="true">
      <alignment horizontal="general" vertical="bottom" textRotation="0" wrapText="false" indent="0" shrinkToFit="false"/>
      <protection locked="true" hidden="false"/>
    </xf>
    <xf numFmtId="224" fontId="1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24" fontId="19" fillId="0" borderId="0" applyFont="true" applyBorder="false" applyAlignment="false" applyProtection="false"/>
    <xf numFmtId="164" fontId="2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4" fontId="16"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2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24" fontId="1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225" fontId="0" fillId="0" borderId="0" applyFont="true" applyBorder="true" applyAlignment="false" applyProtection="tru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2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25" fontId="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225" fontId="0" fillId="0" borderId="0" applyFont="true" applyBorder="true" applyAlignment="false" applyProtection="tru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226" fontId="21" fillId="0" borderId="0" applyFont="true" applyBorder="true" applyAlignment="true" applyProtection="true">
      <alignment horizontal="general" vertical="center"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224" fontId="9"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7" fillId="0" borderId="2"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7" fillId="0" borderId="2"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8"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1" fillId="0" borderId="0"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33"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3" fontId="7"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224" fontId="9"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3" fontId="7" fillId="0" borderId="0" applyFont="true" applyBorder="true" applyAlignment="true" applyProtection="true">
      <alignment horizontal="general" vertical="bottom" textRotation="0" wrapText="false" indent="0" shrinkToFit="false"/>
      <protection locked="true" hidden="false"/>
    </xf>
    <xf numFmtId="225" fontId="9"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76" fontId="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2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4" fontId="1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25"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224" fontId="26"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227" fontId="37" fillId="0" borderId="0" applyFont="true" applyBorder="true" applyAlignment="true" applyProtection="true">
      <alignment horizontal="general" vertical="bottom" textRotation="0" wrapText="false" indent="0" shrinkToFit="false"/>
      <protection locked="true" hidden="false"/>
    </xf>
    <xf numFmtId="225" fontId="0" fillId="0" borderId="0" applyFont="true" applyBorder="true" applyAlignment="false" applyProtection="tru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227" fontId="37"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false" hidden="false"/>
    </xf>
    <xf numFmtId="164" fontId="24"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24" fontId="16"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6" fontId="7"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224" fontId="14"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222" fontId="7" fillId="0" borderId="3" applyFont="true" applyBorder="true" applyAlignment="true" applyProtection="true">
      <alignment horizontal="general" vertical="bottom" textRotation="0" wrapText="false" indent="0" shrinkToFit="false"/>
      <protection locked="false" hidden="false"/>
    </xf>
    <xf numFmtId="164" fontId="24" fillId="2" borderId="0" applyFont="true" applyBorder="false" applyAlignment="false" applyProtection="false"/>
    <xf numFmtId="224" fontId="19" fillId="0" borderId="0" applyFont="true" applyBorder="true" applyAlignment="true" applyProtection="true">
      <alignment horizontal="general" vertical="bottom" textRotation="0" wrapText="false" indent="0" shrinkToFit="false"/>
      <protection locked="true" hidden="false"/>
    </xf>
    <xf numFmtId="225" fontId="40" fillId="0" borderId="1" applyFont="true" applyBorder="true" applyAlignment="true" applyProtection="false">
      <alignment horizontal="general" vertical="bottom" textRotation="0" wrapText="false" indent="0" shrinkToFit="false"/>
    </xf>
  </cellStyleXfs>
  <cellXfs count="4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41" fillId="0" borderId="0" xfId="0" applyFont="true" applyBorder="false" applyAlignment="false" applyProtection="false">
      <alignment horizontal="general" vertical="bottom" textRotation="0" wrapText="false" indent="0" shrinkToFit="false"/>
      <protection locked="true" hidden="false"/>
    </xf>
    <xf numFmtId="164" fontId="42" fillId="0" borderId="4" xfId="0" applyFont="true" applyBorder="true" applyAlignment="false" applyProtection="false">
      <alignment horizontal="general" vertical="bottom" textRotation="0" wrapText="false" indent="0" shrinkToFit="false"/>
      <protection locked="true" hidden="false"/>
    </xf>
    <xf numFmtId="228" fontId="42" fillId="0" borderId="5" xfId="0" applyFont="true" applyBorder="true" applyAlignment="false" applyProtection="false">
      <alignment horizontal="general" vertical="bottom" textRotation="0" wrapText="false" indent="0" shrinkToFit="false"/>
      <protection locked="true" hidden="false"/>
    </xf>
    <xf numFmtId="164" fontId="42" fillId="0" borderId="6" xfId="0" applyFont="true" applyBorder="true" applyAlignment="false" applyProtection="false">
      <alignment horizontal="general" vertical="bottom" textRotation="0" wrapText="false" indent="0" shrinkToFit="false"/>
      <protection locked="true" hidden="false"/>
    </xf>
    <xf numFmtId="229" fontId="42" fillId="0" borderId="7" xfId="15" applyFont="true" applyBorder="true" applyAlignment="true" applyProtection="true">
      <alignment horizontal="general" vertical="bottom" textRotation="0" wrapText="false" indent="0" shrinkToFit="false"/>
      <protection locked="true" hidden="false"/>
    </xf>
    <xf numFmtId="164" fontId="42" fillId="0" borderId="8" xfId="0" applyFont="true" applyBorder="true" applyAlignment="false" applyProtection="false">
      <alignment horizontal="general" vertical="bottom" textRotation="0" wrapText="false" indent="0" shrinkToFit="false"/>
      <protection locked="true" hidden="false"/>
    </xf>
    <xf numFmtId="229" fontId="42" fillId="0" borderId="9" xfId="15" applyFont="true" applyBorder="true" applyAlignment="true" applyProtection="true">
      <alignment horizontal="general" vertical="bottom" textRotation="0" wrapText="false" indent="0" shrinkToFit="false"/>
      <protection locked="true" hidden="false"/>
    </xf>
    <xf numFmtId="229" fontId="0" fillId="0" borderId="0" xfId="15" applyFont="true" applyBorder="true" applyAlignment="true" applyProtection="true">
      <alignment horizontal="general" vertical="bottom" textRotation="0" wrapText="false" indent="0" shrinkToFit="false"/>
      <protection locked="true" hidden="false"/>
    </xf>
    <xf numFmtId="229" fontId="14" fillId="0" borderId="0" xfId="15" applyFont="true" applyBorder="true" applyAlignment="true" applyProtection="true">
      <alignment horizontal="left" vertical="bottom" textRotation="0" wrapText="false" indent="0" shrinkToFit="false"/>
      <protection locked="true" hidden="false"/>
    </xf>
    <xf numFmtId="229" fontId="14" fillId="0" borderId="0" xfId="15"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229" fontId="0" fillId="3" borderId="0" xfId="15" applyFont="true" applyBorder="true" applyAlignment="true" applyProtection="true">
      <alignment horizontal="general" vertical="bottom" textRotation="0" wrapText="false" indent="0" shrinkToFit="false"/>
      <protection locked="true" hidden="false"/>
    </xf>
    <xf numFmtId="229" fontId="14" fillId="0" borderId="0" xfId="15" applyFont="true" applyBorder="true" applyAlignment="true" applyProtection="true">
      <alignment horizontal="general" vertical="bottom" textRotation="0" wrapText="false" indent="0" shrinkToFit="false"/>
      <protection locked="true" hidden="false"/>
    </xf>
    <xf numFmtId="192" fontId="14"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28" fontId="43" fillId="0" borderId="0" xfId="0" applyFont="true" applyBorder="false" applyAlignment="false" applyProtection="false">
      <alignment horizontal="general" vertical="bottom" textRotation="0" wrapText="false" indent="0" shrinkToFit="false"/>
      <protection locked="true" hidden="false"/>
    </xf>
    <xf numFmtId="230" fontId="0" fillId="0" borderId="0" xfId="0" applyFont="false" applyBorder="false" applyAlignment="false" applyProtection="false">
      <alignment horizontal="general" vertical="bottom" textRotation="0" wrapText="false" indent="0" shrinkToFit="false"/>
      <protection locked="true" hidden="false"/>
    </xf>
    <xf numFmtId="230" fontId="44" fillId="0" borderId="0" xfId="0" applyFont="true" applyBorder="false" applyAlignment="true" applyProtection="false">
      <alignment horizontal="left" vertical="bottom"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6" fillId="0" borderId="0" xfId="0" applyFont="true" applyBorder="false" applyAlignment="true" applyProtection="false">
      <alignment horizontal="center" vertical="bottom" textRotation="0" wrapText="false" indent="0" shrinkToFit="false"/>
      <protection locked="true" hidden="false"/>
    </xf>
    <xf numFmtId="231" fontId="0" fillId="0" borderId="0" xfId="0" applyFont="false" applyBorder="false" applyAlignment="false" applyProtection="false">
      <alignment horizontal="general" vertical="bottom" textRotation="0" wrapText="false" indent="0" shrinkToFit="false"/>
      <protection locked="true" hidden="false"/>
    </xf>
    <xf numFmtId="230" fontId="0" fillId="0" borderId="0" xfId="0" applyFont="false" applyBorder="false" applyAlignment="true" applyProtection="false">
      <alignment horizontal="left" vertical="bottom" textRotation="0" wrapText="false" indent="0" shrinkToFit="false"/>
      <protection locked="true" hidden="false"/>
    </xf>
    <xf numFmtId="229" fontId="0" fillId="0" borderId="0" xfId="0" applyFont="false" applyBorder="false" applyAlignment="false" applyProtection="false">
      <alignment horizontal="general" vertical="bottom" textRotation="0" wrapText="false" indent="0" shrinkToFit="false"/>
      <protection locked="true" hidden="false"/>
    </xf>
    <xf numFmtId="229" fontId="13" fillId="0" borderId="0" xfId="15" applyFont="true" applyBorder="true" applyAlignment="true" applyProtection="true">
      <alignment horizontal="general" vertical="bottom" textRotation="0" wrapText="false" indent="0" shrinkToFit="false"/>
      <protection locked="true" hidden="false"/>
    </xf>
    <xf numFmtId="228" fontId="0" fillId="0" borderId="0" xfId="0" applyFont="false" applyBorder="false" applyAlignment="true" applyProtection="false">
      <alignment horizontal="left" vertical="bottom" textRotation="0" wrapText="false" indent="0" shrinkToFit="false"/>
      <protection locked="true" hidden="false"/>
    </xf>
    <xf numFmtId="164" fontId="13"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228" fontId="0" fillId="0" borderId="0" xfId="0" applyFont="true" applyBorder="false" applyAlignment="false" applyProtection="false">
      <alignment horizontal="general" vertical="bottom" textRotation="0" wrapText="false" indent="0" shrinkToFit="false"/>
      <protection locked="true" hidden="false"/>
    </xf>
    <xf numFmtId="164" fontId="44"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92" fontId="0" fillId="4" borderId="0" xfId="15" applyFont="true" applyBorder="true" applyAlignment="true" applyProtection="true">
      <alignment horizontal="general" vertical="bottom" textRotation="0" wrapText="false" indent="0" shrinkToFit="false"/>
      <protection locked="true" hidden="false"/>
    </xf>
    <xf numFmtId="229" fontId="0" fillId="4" borderId="0" xfId="15" applyFont="true" applyBorder="true" applyAlignment="true" applyProtection="true">
      <alignment horizontal="general" vertical="bottom" textRotation="0" wrapText="false" indent="0" shrinkToFit="false"/>
      <protection locked="true" hidden="false"/>
    </xf>
    <xf numFmtId="164" fontId="44"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46" fillId="0" borderId="0" xfId="0" applyFont="true" applyBorder="true" applyAlignment="true" applyProtection="false">
      <alignment horizontal="center" vertical="bottom" textRotation="0" wrapText="false" indent="0" shrinkToFit="false"/>
      <protection locked="true" hidden="false"/>
    </xf>
    <xf numFmtId="164" fontId="46" fillId="0" borderId="7" xfId="0" applyFont="true" applyBorder="true" applyAlignment="true" applyProtection="false">
      <alignment horizontal="center" vertical="bottom" textRotation="0" wrapText="false" indent="0" shrinkToFit="false"/>
      <protection locked="true" hidden="false"/>
    </xf>
    <xf numFmtId="232" fontId="0" fillId="0" borderId="0" xfId="17" applyFont="true" applyBorder="true" applyAlignment="true" applyProtection="true">
      <alignment horizontal="general" vertical="bottom" textRotation="0" wrapText="false" indent="0" shrinkToFit="false"/>
      <protection locked="true" hidden="false"/>
    </xf>
    <xf numFmtId="232" fontId="0" fillId="0" borderId="7" xfId="17"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7" fillId="0" borderId="13" xfId="0" applyFont="true" applyBorder="true" applyAlignment="true" applyProtection="false">
      <alignment horizontal="left" vertical="bottom" textRotation="0" wrapText="false" indent="0" shrinkToFit="false"/>
      <protection locked="true" hidden="false"/>
    </xf>
    <xf numFmtId="164" fontId="47" fillId="0" borderId="13" xfId="0" applyFont="true" applyBorder="true" applyAlignment="false" applyProtection="false">
      <alignment horizontal="general" vertical="bottom" textRotation="0" wrapText="false" indent="0" shrinkToFit="false"/>
      <protection locked="true" hidden="false"/>
    </xf>
    <xf numFmtId="192" fontId="47" fillId="0" borderId="0" xfId="15" applyFont="true" applyBorder="true" applyAlignment="true" applyProtection="true">
      <alignment horizontal="general" vertical="bottom" textRotation="0" wrapText="false" indent="0" shrinkToFit="false"/>
      <protection locked="true" hidden="false"/>
    </xf>
    <xf numFmtId="192" fontId="9"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14" xfId="0" applyFont="true" applyBorder="true" applyAlignment="true" applyProtection="false">
      <alignment horizontal="left" vertical="bottom" textRotation="0" wrapText="false" indent="0" shrinkToFit="false"/>
      <protection locked="true" hidden="false"/>
    </xf>
    <xf numFmtId="164" fontId="9" fillId="0" borderId="14" xfId="0" applyFont="true" applyBorder="true" applyAlignment="false" applyProtection="false">
      <alignment horizontal="general" vertical="bottom" textRotation="0" wrapText="false" indent="0" shrinkToFit="false"/>
      <protection locked="true" hidden="false"/>
    </xf>
    <xf numFmtId="164" fontId="9" fillId="0" borderId="15" xfId="0" applyFont="true" applyBorder="true" applyAlignment="true" applyProtection="false">
      <alignment horizontal="left" vertical="bottom" textRotation="0" wrapText="false" indent="0" shrinkToFit="false"/>
      <protection locked="true" hidden="false"/>
    </xf>
    <xf numFmtId="164" fontId="9" fillId="0" borderId="15"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44" fillId="0" borderId="0" xfId="0" applyFont="true" applyBorder="false" applyAlignment="true" applyProtection="false">
      <alignment horizontal="left" vertical="bottom" textRotation="0" wrapText="false" indent="0" shrinkToFit="false"/>
      <protection locked="true" hidden="false"/>
    </xf>
    <xf numFmtId="228" fontId="9" fillId="0" borderId="0" xfId="0" applyFont="true" applyBorder="false" applyAlignment="true" applyProtection="false">
      <alignment horizontal="left" vertical="bottom" textRotation="0" wrapText="false" indent="0" shrinkToFit="false"/>
      <protection locked="true" hidden="false"/>
    </xf>
    <xf numFmtId="233" fontId="9" fillId="0" borderId="0" xfId="0" applyFont="true" applyBorder="false" applyAlignment="true" applyProtection="false">
      <alignment horizontal="center" vertical="bottom" textRotation="0" wrapText="false" indent="0" shrinkToFit="false"/>
      <protection locked="true" hidden="false"/>
    </xf>
    <xf numFmtId="192" fontId="9" fillId="0" borderId="2" xfId="15"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92" fontId="9" fillId="0" borderId="0" xfId="15" applyFont="true" applyBorder="true" applyAlignment="true" applyProtection="true">
      <alignment horizontal="center" vertical="bottom" textRotation="0" wrapText="false" indent="0" shrinkToFit="false"/>
      <protection locked="true" hidden="false"/>
    </xf>
    <xf numFmtId="234" fontId="43"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29" fontId="9" fillId="0" borderId="0" xfId="15" applyFont="true" applyBorder="true" applyAlignment="true" applyProtection="true">
      <alignment horizontal="general" vertical="bottom" textRotation="0" wrapText="false" indent="0" shrinkToFit="false"/>
      <protection locked="true" hidden="false"/>
    </xf>
    <xf numFmtId="229" fontId="9" fillId="0" borderId="0" xfId="15" applyFont="true" applyBorder="true" applyAlignment="true" applyProtection="true">
      <alignment horizontal="center" vertical="bottom" textRotation="0" wrapText="false" indent="0" shrinkToFit="false"/>
      <protection locked="true" hidden="false"/>
    </xf>
    <xf numFmtId="229" fontId="43" fillId="0" borderId="0" xfId="15" applyFont="true" applyBorder="true" applyAlignment="true" applyProtection="true">
      <alignment horizontal="right" vertical="bottom" textRotation="0" wrapText="false" indent="0" shrinkToFit="false"/>
      <protection locked="true" hidden="false"/>
    </xf>
    <xf numFmtId="229" fontId="14" fillId="0" borderId="0" xfId="0" applyFont="true" applyBorder="false" applyAlignment="false" applyProtection="false">
      <alignment horizontal="general" vertical="bottom" textRotation="0" wrapText="false" indent="0" shrinkToFit="false"/>
      <protection locked="true" hidden="false"/>
    </xf>
    <xf numFmtId="229" fontId="9" fillId="0" borderId="0" xfId="15" applyFont="true" applyBorder="true" applyAlignment="true" applyProtection="true">
      <alignment horizontal="right" vertical="bottom" textRotation="0" wrapText="false" indent="0" shrinkToFit="false"/>
      <protection locked="true" hidden="false"/>
    </xf>
    <xf numFmtId="229" fontId="9" fillId="0" borderId="11" xfId="15" applyFont="true" applyBorder="true" applyAlignment="true" applyProtection="true">
      <alignment horizontal="center" vertical="bottom" textRotation="0" wrapText="false" indent="0" shrinkToFit="false"/>
      <protection locked="true" hidden="false"/>
    </xf>
    <xf numFmtId="229" fontId="43" fillId="0" borderId="11" xfId="15" applyFont="true" applyBorder="true" applyAlignment="true" applyProtection="true">
      <alignment horizontal="right" vertical="bottom" textRotation="0" wrapText="false" indent="0" shrinkToFit="false"/>
      <protection locked="true" hidden="false"/>
    </xf>
    <xf numFmtId="229" fontId="9" fillId="0" borderId="11" xfId="15" applyFont="true" applyBorder="true" applyAlignment="true" applyProtection="true">
      <alignment horizontal="general" vertical="bottom" textRotation="0" wrapText="false" indent="0" shrinkToFit="false"/>
      <protection locked="true" hidden="false"/>
    </xf>
    <xf numFmtId="229" fontId="13" fillId="0" borderId="0" xfId="15" applyFont="true" applyBorder="true" applyAlignment="true" applyProtection="true">
      <alignment horizontal="right" vertical="bottom" textRotation="0" wrapText="false" indent="0" shrinkToFit="false"/>
      <protection locked="true" hidden="false"/>
    </xf>
    <xf numFmtId="229" fontId="9" fillId="0" borderId="0" xfId="15" applyFont="true" applyBorder="true" applyAlignment="true" applyProtection="true">
      <alignment horizontal="left" vertical="bottom" textRotation="0" wrapText="false" indent="0" shrinkToFit="false"/>
      <protection locked="true" hidden="false"/>
    </xf>
    <xf numFmtId="229" fontId="41" fillId="0" borderId="0" xfId="15" applyFont="true" applyBorder="true" applyAlignment="true" applyProtection="true">
      <alignment horizontal="general" vertical="bottom" textRotation="0" wrapText="false" indent="0" shrinkToFit="false"/>
      <protection locked="true" hidden="false"/>
    </xf>
    <xf numFmtId="229" fontId="13" fillId="0" borderId="11" xfId="15" applyFont="true" applyBorder="true" applyAlignment="true" applyProtection="true">
      <alignment horizontal="center" vertical="bottom" textRotation="0" wrapText="false" indent="0" shrinkToFit="false"/>
      <protection locked="true" hidden="false"/>
    </xf>
    <xf numFmtId="229" fontId="9" fillId="0" borderId="3" xfId="15" applyFont="true" applyBorder="true" applyAlignment="true" applyProtection="true">
      <alignment horizontal="center" vertical="bottom" textRotation="0" wrapText="false" indent="0" shrinkToFit="false"/>
      <protection locked="true" hidden="false"/>
    </xf>
    <xf numFmtId="229" fontId="9" fillId="0" borderId="0" xfId="0" applyFont="true" applyBorder="false" applyAlignment="false" applyProtection="false">
      <alignment horizontal="general" vertical="bottom" textRotation="0" wrapText="false" indent="0" shrinkToFit="false"/>
      <protection locked="true" hidden="false"/>
    </xf>
    <xf numFmtId="235" fontId="14" fillId="0" borderId="0" xfId="15" applyFont="true" applyBorder="true" applyAlignment="true" applyProtection="true">
      <alignment horizontal="general" vertical="bottom" textRotation="0" wrapText="false" indent="0" shrinkToFit="false"/>
      <protection locked="true" hidden="false"/>
    </xf>
    <xf numFmtId="235" fontId="9"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10" xfId="0" applyFont="true" applyBorder="true" applyAlignment="true" applyProtection="false">
      <alignment horizontal="left" vertical="bottom" textRotation="0" wrapText="false" indent="0" shrinkToFit="false"/>
      <protection locked="true" hidden="false"/>
    </xf>
    <xf numFmtId="164" fontId="14" fillId="0" borderId="11" xfId="0" applyFont="true" applyBorder="true" applyAlignment="true" applyProtection="false">
      <alignment horizontal="center" vertical="bottom" textRotation="0" wrapText="false" indent="0" shrinkToFit="false"/>
      <protection locked="true" hidden="false"/>
    </xf>
    <xf numFmtId="164" fontId="9" fillId="0" borderId="12"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9" fillId="0" borderId="8"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center" vertical="bottom" textRotation="0" wrapText="false" indent="0" shrinkToFit="false"/>
      <protection locked="true" hidden="false"/>
    </xf>
    <xf numFmtId="164" fontId="9" fillId="0" borderId="9" xfId="0" applyFont="true" applyBorder="true" applyAlignment="false" applyProtection="false">
      <alignment horizontal="general" vertical="bottom" textRotation="0" wrapText="false" indent="0" shrinkToFit="false"/>
      <protection locked="true" hidden="false"/>
    </xf>
    <xf numFmtId="164" fontId="46" fillId="0" borderId="10" xfId="0" applyFont="true" applyBorder="true" applyAlignment="true" applyProtection="false">
      <alignment horizontal="left" vertical="bottom" textRotation="0" wrapText="false" indent="0" shrinkToFit="false"/>
      <protection locked="true" hidden="false"/>
    </xf>
    <xf numFmtId="164" fontId="46" fillId="0" borderId="6"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9" fontId="9" fillId="0" borderId="7" xfId="17" applyFont="true" applyBorder="true" applyAlignment="true" applyProtection="true">
      <alignment horizontal="center" vertical="bottom" textRotation="0" wrapText="false" indent="0" shrinkToFit="false"/>
      <protection locked="true" hidden="false"/>
    </xf>
    <xf numFmtId="236" fontId="9" fillId="0" borderId="0" xfId="0" applyFont="true" applyBorder="false" applyAlignment="false" applyProtection="false">
      <alignment horizontal="general" vertical="bottom" textRotation="0" wrapText="false" indent="0" shrinkToFit="false"/>
      <protection locked="true" hidden="false"/>
    </xf>
    <xf numFmtId="237" fontId="0" fillId="0" borderId="0" xfId="17" applyFont="true" applyBorder="true" applyAlignment="true" applyProtection="true">
      <alignment horizontal="general" vertical="bottom" textRotation="0" wrapText="false" indent="0" shrinkToFit="false"/>
      <protection locked="true" hidden="false"/>
    </xf>
    <xf numFmtId="164" fontId="14" fillId="0" borderId="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right" vertical="bottom" textRotation="0" wrapText="false" indent="0" shrinkToFit="false"/>
      <protection locked="true" hidden="false"/>
    </xf>
    <xf numFmtId="164" fontId="9" fillId="0" borderId="8" xfId="0" applyFont="true" applyBorder="true" applyAlignment="false" applyProtection="false">
      <alignment horizontal="general" vertical="bottom" textRotation="0" wrapText="false" indent="0" shrinkToFit="false"/>
      <protection locked="true" hidden="false"/>
    </xf>
    <xf numFmtId="234" fontId="9" fillId="0" borderId="0" xfId="0" applyFont="true" applyBorder="true" applyAlignment="true" applyProtection="false">
      <alignment horizontal="center"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28" fontId="13"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241" fontId="13" fillId="0" borderId="0" xfId="15" applyFont="true" applyBorder="true" applyAlignment="true" applyProtection="true">
      <alignment horizontal="general" vertical="bottom" textRotation="0" wrapText="false" indent="0" shrinkToFit="false"/>
      <protection locked="true" hidden="false"/>
    </xf>
    <xf numFmtId="235" fontId="13" fillId="0" borderId="0" xfId="15" applyFont="true" applyBorder="true" applyAlignment="true" applyProtection="true">
      <alignment horizontal="general" vertical="bottom" textRotation="0" wrapText="false" indent="0" shrinkToFit="false"/>
      <protection locked="true" hidden="false"/>
    </xf>
    <xf numFmtId="229" fontId="13" fillId="0" borderId="0" xfId="15" applyFont="true" applyBorder="true" applyAlignment="true" applyProtection="true">
      <alignment horizontal="center" vertical="bottom" textRotation="0" wrapText="false" indent="0" shrinkToFit="false"/>
      <protection locked="true" hidden="false"/>
    </xf>
    <xf numFmtId="241" fontId="0" fillId="0" borderId="0" xfId="15" applyFont="true" applyBorder="true" applyAlignment="true" applyProtection="true">
      <alignment horizontal="general" vertical="bottom" textRotation="0" wrapText="false" indent="0" shrinkToFit="false"/>
      <protection locked="true" hidden="false"/>
    </xf>
    <xf numFmtId="235" fontId="0" fillId="0" borderId="0" xfId="15" applyFont="true" applyBorder="true" applyAlignment="true" applyProtection="true">
      <alignment horizontal="general" vertical="bottom" textRotation="0" wrapText="false" indent="0" shrinkToFit="false"/>
      <protection locked="tru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228"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242" fontId="0" fillId="0" borderId="2" xfId="0" applyFont="false" applyBorder="true" applyAlignment="true" applyProtection="false">
      <alignment horizontal="center" vertical="bottom" textRotation="0" wrapText="false" indent="0" shrinkToFit="false"/>
      <protection locked="true" hidden="false"/>
    </xf>
    <xf numFmtId="242" fontId="0" fillId="0" borderId="0" xfId="0" applyFont="true" applyBorder="true" applyAlignment="true" applyProtection="false">
      <alignment horizontal="center" vertical="bottom" textRotation="0" wrapText="false" indent="0" shrinkToFit="false"/>
      <protection locked="true" hidden="false"/>
    </xf>
    <xf numFmtId="242" fontId="0" fillId="0" borderId="9" xfId="0" applyFont="false" applyBorder="true" applyAlignment="true" applyProtection="false">
      <alignment horizontal="center" vertical="bottom" textRotation="0" wrapText="false" indent="0" shrinkToFit="false"/>
      <protection locked="true" hidden="false"/>
    </xf>
    <xf numFmtId="228" fontId="9" fillId="0" borderId="2" xfId="0" applyFont="true" applyBorder="true" applyAlignment="true" applyProtection="false">
      <alignment horizontal="center" vertical="bottom" textRotation="0" wrapText="false" indent="0" shrinkToFit="false"/>
      <protection locked="true" hidden="false"/>
    </xf>
    <xf numFmtId="236" fontId="0" fillId="0" borderId="2" xfId="0" applyFont="true" applyBorder="true" applyAlignment="true" applyProtection="false">
      <alignment horizontal="center" vertical="bottom" textRotation="0" wrapText="false" indent="0" shrinkToFit="false"/>
      <protection locked="true" hidden="false"/>
    </xf>
    <xf numFmtId="236" fontId="0" fillId="0" borderId="9" xfId="0" applyFont="false" applyBorder="true" applyAlignment="true" applyProtection="false">
      <alignment horizontal="center" vertical="bottom" textRotation="0" wrapText="false" indent="0" shrinkToFit="false"/>
      <protection locked="true" hidden="false"/>
    </xf>
    <xf numFmtId="228" fontId="9" fillId="0" borderId="8" xfId="0" applyFont="true" applyBorder="true" applyAlignment="true" applyProtection="false">
      <alignment horizontal="center" vertical="bottom" textRotation="0" wrapText="false" indent="0" shrinkToFit="false"/>
      <protection locked="true" hidden="false"/>
    </xf>
    <xf numFmtId="231" fontId="13" fillId="0" borderId="0" xfId="0" applyFont="true" applyBorder="false" applyAlignment="true" applyProtection="false">
      <alignment horizontal="general" vertical="bottom" textRotation="0" wrapText="false" indent="0" shrinkToFit="false"/>
      <protection locked="true" hidden="false"/>
    </xf>
    <xf numFmtId="231" fontId="13" fillId="0" borderId="0" xfId="0" applyFont="true" applyBorder="true" applyAlignment="true" applyProtection="false">
      <alignment horizontal="general" vertical="bottom" textRotation="0" wrapText="false" indent="0" shrinkToFit="false"/>
      <protection locked="true" hidden="false"/>
    </xf>
    <xf numFmtId="231" fontId="13" fillId="0" borderId="7" xfId="0" applyFont="true" applyBorder="true" applyAlignment="true" applyProtection="false">
      <alignment horizontal="general" vertical="bottom" textRotation="0" wrapText="false" indent="0" shrinkToFit="false"/>
      <protection locked="true" hidden="false"/>
    </xf>
    <xf numFmtId="231" fontId="13" fillId="0" borderId="0" xfId="0" applyFont="true" applyBorder="false" applyAlignment="false" applyProtection="false">
      <alignment horizontal="general" vertical="bottom" textRotation="0" wrapText="false" indent="0" shrinkToFit="false"/>
      <protection locked="true" hidden="false"/>
    </xf>
    <xf numFmtId="231" fontId="9"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231"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34" fontId="0" fillId="0" borderId="0" xfId="0" applyFont="false" applyBorder="false" applyAlignment="true" applyProtection="false">
      <alignment horizontal="general" vertical="bottom" textRotation="0" wrapText="false" indent="0" shrinkToFit="false"/>
      <protection locked="true" hidden="false"/>
    </xf>
    <xf numFmtId="234" fontId="41" fillId="0" borderId="0" xfId="0" applyFont="true" applyBorder="false" applyAlignment="true" applyProtection="false">
      <alignment horizontal="general" vertical="bottom" textRotation="0" wrapText="false" indent="0" shrinkToFit="false"/>
      <protection locked="true" hidden="false"/>
    </xf>
    <xf numFmtId="236" fontId="0" fillId="0" borderId="0" xfId="0" applyFont="false" applyBorder="false" applyAlignment="true" applyProtection="false">
      <alignment horizontal="general" vertical="bottom" textRotation="0" wrapText="false" indent="0" shrinkToFit="false"/>
      <protection locked="true" hidden="false"/>
    </xf>
    <xf numFmtId="236" fontId="0" fillId="0" borderId="0" xfId="0" applyFont="true" applyBorder="false" applyAlignment="false" applyProtection="false">
      <alignment horizontal="general" vertical="bottom" textRotation="0" wrapText="false" indent="0" shrinkToFit="false"/>
      <protection locked="true" hidden="false"/>
    </xf>
    <xf numFmtId="240" fontId="13" fillId="0" borderId="0" xfId="0" applyFont="true" applyBorder="false" applyAlignment="false" applyProtection="false">
      <alignment horizontal="general" vertical="bottom" textRotation="0" wrapText="false" indent="0" shrinkToFit="false"/>
      <protection locked="true" hidden="false"/>
    </xf>
    <xf numFmtId="229" fontId="13" fillId="0" borderId="7" xfId="15" applyFont="true" applyBorder="true" applyAlignment="true" applyProtection="true">
      <alignment horizontal="general" vertical="bottom" textRotation="0" wrapText="false" indent="0" shrinkToFit="false"/>
      <protection locked="true" hidden="false"/>
    </xf>
    <xf numFmtId="229" fontId="43" fillId="0" borderId="0" xfId="15" applyFont="true" applyBorder="true" applyAlignment="true" applyProtection="true">
      <alignment horizontal="general" vertical="bottom" textRotation="0" wrapText="false" indent="0" shrinkToFit="false"/>
      <protection locked="true" hidden="false"/>
    </xf>
    <xf numFmtId="229" fontId="0" fillId="0" borderId="7" xfId="15" applyFont="true" applyBorder="true" applyAlignment="true" applyProtection="true">
      <alignment horizontal="general" vertical="bottom" textRotation="0" wrapText="false" indent="0" shrinkToFit="false"/>
      <protection locked="true" hidden="false"/>
    </xf>
    <xf numFmtId="243" fontId="13" fillId="0" borderId="0" xfId="15" applyFont="true" applyBorder="true" applyAlignment="true" applyProtection="true">
      <alignment horizontal="general" vertical="bottom" textRotation="0" wrapText="false" indent="0" shrinkToFit="false"/>
      <protection locked="true" hidden="false"/>
    </xf>
    <xf numFmtId="229" fontId="9" fillId="0" borderId="7"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229" fontId="9" fillId="0" borderId="12" xfId="15" applyFont="true" applyBorder="true" applyAlignment="true" applyProtection="tru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229" fontId="9" fillId="0" borderId="17" xfId="15" applyFont="true" applyBorder="true" applyAlignment="true" applyProtection="true">
      <alignment horizontal="general" vertical="bottom" textRotation="0" wrapText="false" indent="0" shrinkToFit="false"/>
      <protection locked="true" hidden="false"/>
    </xf>
    <xf numFmtId="229" fontId="9" fillId="0" borderId="18" xfId="15" applyFont="true" applyBorder="true" applyAlignment="true" applyProtection="true">
      <alignment horizontal="general" vertical="bottom" textRotation="0" wrapText="false" indent="0" shrinkToFit="false"/>
      <protection locked="true" hidden="false"/>
    </xf>
    <xf numFmtId="229" fontId="0" fillId="0" borderId="18" xfId="15" applyFont="true" applyBorder="true" applyAlignment="true" applyProtection="true">
      <alignment horizontal="general" vertical="bottom" textRotation="0" wrapText="false" indent="0" shrinkToFit="false"/>
      <protection locked="true" hidden="false"/>
    </xf>
    <xf numFmtId="229" fontId="0" fillId="0" borderId="11" xfId="15" applyFont="true" applyBorder="true" applyAlignment="true" applyProtection="true">
      <alignment horizontal="general" vertical="bottom" textRotation="0" wrapText="false" indent="0" shrinkToFit="false"/>
      <protection locked="true" hidden="false"/>
    </xf>
    <xf numFmtId="229" fontId="0" fillId="0" borderId="12" xfId="15" applyFont="true" applyBorder="true" applyAlignment="true" applyProtection="true">
      <alignment horizontal="general" vertical="bottom" textRotation="0" wrapText="false" indent="0" shrinkToFit="false"/>
      <protection locked="true" hidden="false"/>
    </xf>
    <xf numFmtId="229" fontId="0" fillId="0" borderId="19" xfId="0" applyFont="false" applyBorder="true" applyAlignment="false" applyProtection="false">
      <alignment horizontal="general" vertical="bottom" textRotation="0" wrapText="false" indent="0" shrinkToFit="false"/>
      <protection locked="true" hidden="false"/>
    </xf>
    <xf numFmtId="229" fontId="0" fillId="0" borderId="17" xfId="15" applyFont="true" applyBorder="true" applyAlignment="true" applyProtection="true">
      <alignment horizontal="general" vertical="bottom" textRotation="0" wrapText="false" indent="0" shrinkToFit="false"/>
      <protection locked="true" hidden="false"/>
    </xf>
    <xf numFmtId="229" fontId="43" fillId="0" borderId="17" xfId="15" applyFont="true" applyBorder="true" applyAlignment="true" applyProtection="true">
      <alignment horizontal="general" vertical="bottom" textRotation="0" wrapText="false" indent="0" shrinkToFit="false"/>
      <protection locked="true" hidden="false"/>
    </xf>
    <xf numFmtId="229" fontId="9" fillId="3" borderId="17" xfId="15" applyFont="true" applyBorder="true" applyAlignment="true" applyProtection="true">
      <alignment horizontal="general" vertical="bottom" textRotation="0" wrapText="false" indent="0" shrinkToFit="false"/>
      <protection locked="true" hidden="false"/>
    </xf>
    <xf numFmtId="229" fontId="0" fillId="0" borderId="20" xfId="0" applyFont="false" applyBorder="true" applyAlignment="false" applyProtection="false">
      <alignment horizontal="general" vertical="bottom" textRotation="0" wrapText="false" indent="0" shrinkToFit="false"/>
      <protection locked="true" hidden="false"/>
    </xf>
    <xf numFmtId="229" fontId="0" fillId="0" borderId="0" xfId="0" applyFont="false" applyBorder="true" applyAlignment="false" applyProtection="false">
      <alignment horizontal="general" vertical="bottom" textRotation="0" wrapText="false" indent="0" shrinkToFit="false"/>
      <protection locked="true" hidden="false"/>
    </xf>
    <xf numFmtId="192" fontId="13" fillId="0" borderId="0" xfId="15" applyFont="true" applyBorder="true" applyAlignment="true" applyProtection="true">
      <alignment horizontal="general" vertical="bottom" textRotation="0" wrapText="false" indent="0" shrinkToFit="false"/>
      <protection locked="true" hidden="false"/>
    </xf>
    <xf numFmtId="192" fontId="0" fillId="0" borderId="17" xfId="15" applyFont="true" applyBorder="true" applyAlignment="true" applyProtection="true">
      <alignment horizontal="general" vertical="bottom" textRotation="0" wrapText="false" indent="0" shrinkToFit="false"/>
      <protection locked="true" hidden="false"/>
    </xf>
    <xf numFmtId="229" fontId="0" fillId="3" borderId="17" xfId="15" applyFont="true" applyBorder="true" applyAlignment="true" applyProtection="true">
      <alignment horizontal="general" vertical="bottom" textRotation="0" wrapText="false" indent="0" shrinkToFit="false"/>
      <protection locked="true" hidden="false"/>
    </xf>
    <xf numFmtId="192"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92" fontId="44"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true" applyProtection="false">
      <alignment horizontal="center" vertical="bottom" textRotation="0" wrapText="false" indent="0" shrinkToFit="false"/>
      <protection locked="true" hidden="false"/>
    </xf>
    <xf numFmtId="229" fontId="0" fillId="0" borderId="0" xfId="0" applyFont="false" applyBorder="true" applyAlignment="true" applyProtection="false">
      <alignment horizontal="general" vertical="bottom" textRotation="0" wrapText="false" indent="0" shrinkToFit="false"/>
      <protection locked="true" hidden="false"/>
    </xf>
    <xf numFmtId="229" fontId="0" fillId="0" borderId="7" xfId="0" applyFont="false" applyBorder="true" applyAlignment="tru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229" fontId="0" fillId="0" borderId="21" xfId="15" applyFont="true" applyBorder="true" applyAlignment="true" applyProtection="true">
      <alignment horizontal="general" vertical="bottom" textRotation="0" wrapText="false" indent="0" shrinkToFit="false"/>
      <protection locked="true" hidden="false"/>
    </xf>
    <xf numFmtId="229" fontId="9" fillId="0" borderId="5" xfId="15" applyFont="true" applyBorder="true" applyAlignment="true" applyProtection="true">
      <alignment horizontal="general" vertical="bottom" textRotation="0" wrapText="false" indent="0" shrinkToFit="false"/>
      <protection locked="true" hidden="false"/>
    </xf>
    <xf numFmtId="229" fontId="0" fillId="3" borderId="21" xfId="15" applyFont="true" applyBorder="true" applyAlignment="true" applyProtection="true">
      <alignment horizontal="general" vertical="bottom" textRotation="0" wrapText="false" indent="0" shrinkToFit="false"/>
      <protection locked="true" hidden="false"/>
    </xf>
    <xf numFmtId="229" fontId="0" fillId="0" borderId="5" xfId="15" applyFont="true" applyBorder="true" applyAlignment="true" applyProtection="true">
      <alignment horizontal="general" vertical="bottom" textRotation="0" wrapText="false" indent="0" shrinkToFit="false"/>
      <protection locked="true" hidden="false"/>
    </xf>
    <xf numFmtId="229" fontId="0" fillId="0" borderId="0" xfId="0" applyFont="fals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225" fontId="13"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4" fontId="0" fillId="0" borderId="21" xfId="0" applyFont="fals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229" fontId="13" fillId="0" borderId="21" xfId="15" applyFont="true" applyBorder="true" applyAlignment="true" applyProtection="true">
      <alignment horizontal="general" vertical="bottom" textRotation="0" wrapText="false" indent="0" shrinkToFit="false"/>
      <protection locked="true" hidden="false"/>
    </xf>
    <xf numFmtId="229" fontId="0" fillId="0" borderId="21" xfId="0" applyFont="false" applyBorder="true" applyAlignment="true" applyProtection="false">
      <alignment horizontal="general" vertical="bottom" textRotation="0" wrapText="false" indent="0" shrinkToFit="false"/>
      <protection locked="true" hidden="false"/>
    </xf>
    <xf numFmtId="229" fontId="0" fillId="0" borderId="21" xfId="0" applyFont="false" applyBorder="true" applyAlignment="false" applyProtection="false">
      <alignment horizontal="general" vertical="bottom" textRotation="0" wrapText="false" indent="0" shrinkToFit="false"/>
      <protection locked="true" hidden="false"/>
    </xf>
    <xf numFmtId="192" fontId="44" fillId="0" borderId="22" xfId="15" applyFont="true" applyBorder="true" applyAlignment="true" applyProtection="true">
      <alignment horizontal="general" vertical="bottom" textRotation="0" wrapText="false" indent="0" shrinkToFit="false"/>
      <protection locked="true" hidden="false"/>
    </xf>
    <xf numFmtId="244" fontId="13" fillId="0" borderId="0" xfId="0" applyFont="true" applyBorder="false" applyAlignment="true" applyProtection="false">
      <alignment horizontal="general" vertical="bottom" textRotation="0" wrapText="false" indent="0" shrinkToFit="false"/>
      <protection locked="true" hidden="false"/>
    </xf>
    <xf numFmtId="244" fontId="13" fillId="0" borderId="7" xfId="0" applyFont="true" applyBorder="true" applyAlignment="true" applyProtection="false">
      <alignment horizontal="general" vertical="bottom" textRotation="0" wrapText="false" indent="0" shrinkToFit="false"/>
      <protection locked="true" hidden="false"/>
    </xf>
    <xf numFmtId="244" fontId="41" fillId="0" borderId="0" xfId="0" applyFont="true" applyBorder="false" applyAlignment="true" applyProtection="false">
      <alignment horizontal="general" vertical="bottom" textRotation="0" wrapText="false" indent="0" shrinkToFit="false"/>
      <protection locked="true" hidden="false"/>
    </xf>
    <xf numFmtId="244" fontId="9" fillId="0" borderId="0" xfId="0" applyFont="true" applyBorder="false" applyAlignment="true" applyProtection="false">
      <alignment horizontal="general" vertical="bottom" textRotation="0" wrapText="false" indent="0" shrinkToFit="false"/>
      <protection locked="true" hidden="false"/>
    </xf>
    <xf numFmtId="192"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29" fontId="13" fillId="0" borderId="0" xfId="0" applyFont="true" applyBorder="false" applyAlignment="true" applyProtection="false">
      <alignment horizontal="general" vertical="bottom" textRotation="0" wrapText="false" indent="0" shrinkToFit="false"/>
      <protection locked="true" hidden="false"/>
    </xf>
    <xf numFmtId="228" fontId="0" fillId="0" borderId="0" xfId="0" applyFont="false" applyBorder="false" applyAlignment="true" applyProtection="false">
      <alignment horizontal="general" vertical="bottom" textRotation="0" wrapText="false" indent="0" shrinkToFit="false"/>
      <protection locked="true" hidden="false"/>
    </xf>
    <xf numFmtId="229" fontId="13" fillId="3" borderId="0" xfId="15" applyFont="true" applyBorder="true" applyAlignment="true" applyProtection="true">
      <alignment horizontal="general" vertical="bottom" textRotation="0" wrapText="false" indent="0" shrinkToFit="false"/>
      <protection locked="true" hidden="false"/>
    </xf>
    <xf numFmtId="229" fontId="13" fillId="0" borderId="0" xfId="0" applyFont="true" applyBorder="true" applyAlignment="true" applyProtection="false">
      <alignment horizontal="general" vertical="bottom" textRotation="0" wrapText="false" indent="0" shrinkToFit="false"/>
      <protection locked="true" hidden="false"/>
    </xf>
    <xf numFmtId="192" fontId="0" fillId="0" borderId="21" xfId="15" applyFont="true" applyBorder="true" applyAlignment="true" applyProtection="true">
      <alignment horizontal="general" vertical="bottom" textRotation="0" wrapText="false" indent="0" shrinkToFit="false"/>
      <protection locked="true" hidden="false"/>
    </xf>
    <xf numFmtId="229" fontId="43" fillId="0" borderId="0" xfId="0" applyFont="true" applyBorder="false" applyAlignment="false" applyProtection="false">
      <alignment horizontal="general" vertical="bottom" textRotation="0" wrapText="false" indent="0" shrinkToFit="false"/>
      <protection locked="true" hidden="false"/>
    </xf>
    <xf numFmtId="164" fontId="44"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44" fillId="0" borderId="16" xfId="0" applyFont="true" applyBorder="true" applyAlignment="false" applyProtection="false">
      <alignment horizontal="general" vertical="bottom" textRotation="0" wrapText="false" indent="0" shrinkToFit="false"/>
      <protection locked="true" hidden="false"/>
    </xf>
    <xf numFmtId="164" fontId="44" fillId="0" borderId="17" xfId="0" applyFont="true" applyBorder="true" applyAlignment="false" applyProtection="false">
      <alignment horizontal="general" vertical="bottom" textRotation="0" wrapText="false" indent="0" shrinkToFit="false"/>
      <protection locked="true" hidden="false"/>
    </xf>
    <xf numFmtId="229" fontId="0" fillId="0" borderId="17" xfId="0" applyFont="false" applyBorder="true" applyAlignment="true" applyProtection="false">
      <alignment horizontal="general" vertical="bottom" textRotation="0" wrapText="false" indent="0" shrinkToFit="false"/>
      <protection locked="true" hidden="false"/>
    </xf>
    <xf numFmtId="229" fontId="0" fillId="0" borderId="0" xfId="0" applyFont="false" applyBorder="true" applyAlignment="false" applyProtection="false">
      <alignment horizontal="general" vertical="bottom" textRotation="0" wrapText="false" indent="0" shrinkToFit="false"/>
      <protection locked="true" hidden="false"/>
    </xf>
    <xf numFmtId="229" fontId="0" fillId="0" borderId="7" xfId="0" applyFont="false" applyBorder="true" applyAlignment="false" applyProtection="false">
      <alignment horizontal="general" vertical="bottom" textRotation="0" wrapText="false" indent="0" shrinkToFit="false"/>
      <protection locked="true" hidden="false"/>
    </xf>
    <xf numFmtId="240" fontId="44" fillId="0" borderId="0" xfId="0" applyFont="true" applyBorder="false" applyAlignment="false" applyProtection="false">
      <alignment horizontal="general" vertical="bottom" textRotation="0" wrapText="false" indent="0" shrinkToFit="false"/>
      <protection locked="true" hidden="false"/>
    </xf>
    <xf numFmtId="229" fontId="0" fillId="0" borderId="5" xfId="0" applyFont="false" applyBorder="true" applyAlignment="tru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228" fontId="0" fillId="0" borderId="21" xfId="0" applyFont="false" applyBorder="true" applyAlignment="false" applyProtection="false">
      <alignment horizontal="general" vertical="bottom" textRotation="0" wrapText="false" indent="0" shrinkToFit="false"/>
      <protection locked="true" hidden="false"/>
    </xf>
    <xf numFmtId="228" fontId="0" fillId="0" borderId="5" xfId="0" applyFont="false" applyBorder="true" applyAlignment="false" applyProtection="false">
      <alignment horizontal="general" vertical="bottom" textRotation="0" wrapText="false" indent="0" shrinkToFit="false"/>
      <protection locked="true" hidden="false"/>
    </xf>
    <xf numFmtId="228" fontId="13" fillId="0" borderId="0" xfId="0" applyFont="true" applyBorder="tru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28" fontId="44" fillId="0" borderId="0" xfId="0" applyFont="true" applyBorder="false" applyAlignment="true" applyProtection="false">
      <alignment horizontal="left" vertical="bottom" textRotation="0" wrapText="false" indent="0" shrinkToFit="false"/>
      <protection locked="true" hidden="false"/>
    </xf>
    <xf numFmtId="164" fontId="9" fillId="0" borderId="7"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228" fontId="0" fillId="0" borderId="2" xfId="0" applyFont="false" applyBorder="true" applyAlignment="true" applyProtection="false">
      <alignment horizontal="center" vertical="bottom" textRotation="0" wrapText="false" indent="0" shrinkToFit="false"/>
      <protection locked="true" hidden="false"/>
    </xf>
    <xf numFmtId="242" fontId="9" fillId="0" borderId="9" xfId="0" applyFont="true" applyBorder="true" applyAlignment="true" applyProtection="false">
      <alignment horizontal="center" vertical="bottom" textRotation="0" wrapText="false" indent="0" shrinkToFit="false"/>
      <protection locked="true" hidden="false"/>
    </xf>
    <xf numFmtId="242" fontId="9" fillId="0" borderId="14" xfId="0" applyFont="true" applyBorder="true" applyAlignment="true" applyProtection="false">
      <alignment horizontal="center" vertical="bottom" textRotation="0" wrapText="false" indent="0" shrinkToFit="false"/>
      <protection locked="true" hidden="false"/>
    </xf>
    <xf numFmtId="231" fontId="9" fillId="0" borderId="0" xfId="0" applyFont="true" applyBorder="true" applyAlignment="true" applyProtection="false">
      <alignment horizontal="general" vertical="bottom" textRotation="0" wrapText="false" indent="0" shrinkToFit="false"/>
      <protection locked="true" hidden="false"/>
    </xf>
    <xf numFmtId="231" fontId="13" fillId="0" borderId="14" xfId="0" applyFont="true" applyBorder="true" applyAlignment="tru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general" vertical="bottom" textRotation="0" wrapText="false" indent="0" shrinkToFit="false"/>
      <protection locked="true" hidden="false"/>
    </xf>
    <xf numFmtId="164" fontId="9" fillId="0" borderId="14" xfId="0" applyFont="true" applyBorder="true" applyAlignment="true" applyProtection="false">
      <alignment horizontal="general" vertical="bottom" textRotation="0" wrapText="false" indent="0" shrinkToFit="false"/>
      <protection locked="true" hidden="false"/>
    </xf>
    <xf numFmtId="234" fontId="43" fillId="0" borderId="0" xfId="0" applyFont="true" applyBorder="false" applyAlignment="false" applyProtection="false">
      <alignment horizontal="general" vertical="bottom" textRotation="0" wrapText="false" indent="0" shrinkToFit="false"/>
      <protection locked="true" hidden="false"/>
    </xf>
    <xf numFmtId="234" fontId="13" fillId="0" borderId="0" xfId="0" applyFont="true" applyBorder="fals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229" fontId="13" fillId="0" borderId="14" xfId="15" applyFont="true" applyBorder="true" applyAlignment="true" applyProtection="true">
      <alignment horizontal="general" vertical="bottom" textRotation="0" wrapText="false" indent="0" shrinkToFit="false"/>
      <protection locked="true" hidden="false"/>
    </xf>
    <xf numFmtId="192" fontId="9" fillId="0" borderId="7" xfId="15" applyFont="true" applyBorder="true" applyAlignment="true" applyProtection="true">
      <alignment horizontal="general" vertical="bottom" textRotation="0" wrapText="false" indent="0" shrinkToFit="false"/>
      <protection locked="true" hidden="false"/>
    </xf>
    <xf numFmtId="192" fontId="9" fillId="0" borderId="14" xfId="15" applyFont="true" applyBorder="true" applyAlignment="true" applyProtection="true">
      <alignment horizontal="general" vertical="bottom" textRotation="0" wrapText="false" indent="0" shrinkToFit="false"/>
      <protection locked="true" hidden="false"/>
    </xf>
    <xf numFmtId="192" fontId="9" fillId="0" borderId="11" xfId="15" applyFont="true" applyBorder="true" applyAlignment="true" applyProtection="true">
      <alignment horizontal="general" vertical="bottom" textRotation="0" wrapText="false" indent="0" shrinkToFit="false"/>
      <protection locked="true" hidden="false"/>
    </xf>
    <xf numFmtId="192" fontId="0" fillId="0" borderId="7" xfId="15" applyFont="true" applyBorder="true" applyAlignment="true" applyProtection="true">
      <alignment horizontal="general" vertical="bottom" textRotation="0" wrapText="false" indent="0" shrinkToFit="false"/>
      <protection locked="true" hidden="false"/>
    </xf>
    <xf numFmtId="192" fontId="0" fillId="0" borderId="14" xfId="15" applyFont="true" applyBorder="true" applyAlignment="true" applyProtection="true">
      <alignment horizontal="general" vertical="bottom" textRotation="0" wrapText="false" indent="0" shrinkToFit="false"/>
      <protection locked="true" hidden="false"/>
    </xf>
    <xf numFmtId="192" fontId="47" fillId="0" borderId="0" xfId="0" applyFont="true" applyBorder="false" applyAlignment="false" applyProtection="false">
      <alignment horizontal="general" vertical="bottom" textRotation="0" wrapText="false" indent="0" shrinkToFit="false"/>
      <protection locked="true" hidden="false"/>
    </xf>
    <xf numFmtId="229" fontId="9" fillId="0" borderId="14" xfId="15" applyFont="true" applyBorder="true" applyAlignment="true" applyProtection="true">
      <alignment horizontal="general" vertical="bottom" textRotation="0" wrapText="false" indent="0" shrinkToFit="false"/>
      <protection locked="true" hidden="false"/>
    </xf>
    <xf numFmtId="189" fontId="13" fillId="0" borderId="0" xfId="0" applyFont="true" applyBorder="false" applyAlignment="false" applyProtection="false">
      <alignment horizontal="general" vertical="bottom" textRotation="0" wrapText="false" indent="0" shrinkToFit="false"/>
      <protection locked="true" hidden="false"/>
    </xf>
    <xf numFmtId="192" fontId="0" fillId="0" borderId="11" xfId="15" applyFont="true" applyBorder="true" applyAlignment="true" applyProtection="true">
      <alignment horizontal="general" vertical="bottom" textRotation="0" wrapText="false" indent="0" shrinkToFit="false"/>
      <protection locked="true" hidden="false"/>
    </xf>
    <xf numFmtId="192" fontId="0" fillId="0" borderId="0" xfId="0" applyFont="false" applyBorder="false" applyAlignment="false" applyProtection="false">
      <alignment horizontal="general" vertical="bottom" textRotation="0" wrapText="false" indent="0" shrinkToFit="false"/>
      <protection locked="true" hidden="false"/>
    </xf>
    <xf numFmtId="245" fontId="13" fillId="0" borderId="0" xfId="19" applyFont="true" applyBorder="true" applyAlignment="true" applyProtection="true">
      <alignment horizontal="general" vertical="bottom" textRotation="0" wrapText="false" indent="0" shrinkToFit="false"/>
      <protection locked="true" hidden="false"/>
    </xf>
    <xf numFmtId="245" fontId="9" fillId="0" borderId="0" xfId="19" applyFont="true" applyBorder="true" applyAlignment="true" applyProtection="true">
      <alignment horizontal="general" vertical="bottom" textRotation="0" wrapText="false" indent="0" shrinkToFit="false"/>
      <protection locked="true" hidden="false"/>
    </xf>
    <xf numFmtId="239" fontId="13" fillId="0" borderId="0" xfId="19" applyFont="true" applyBorder="true" applyAlignment="true" applyProtection="true">
      <alignment horizontal="general" vertical="bottom" textRotation="0" wrapText="false" indent="0" shrinkToFit="false"/>
      <protection locked="true" hidden="false"/>
    </xf>
    <xf numFmtId="246" fontId="9" fillId="0" borderId="0" xfId="0" applyFont="true" applyBorder="false" applyAlignment="false" applyProtection="false">
      <alignment horizontal="general" vertical="bottom" textRotation="0" wrapText="false" indent="0" shrinkToFit="false"/>
      <protection locked="true" hidden="false"/>
    </xf>
    <xf numFmtId="228" fontId="9" fillId="0" borderId="0" xfId="0" applyFont="true" applyBorder="true" applyAlignment="false" applyProtection="false">
      <alignment horizontal="general" vertical="bottom" textRotation="0" wrapText="false" indent="0" shrinkToFit="false"/>
      <protection locked="true" hidden="false"/>
    </xf>
    <xf numFmtId="246" fontId="0" fillId="0" borderId="0" xfId="0" applyFont="false" applyBorder="false" applyAlignment="false" applyProtection="false">
      <alignment horizontal="general" vertical="bottom" textRotation="0" wrapText="false" indent="0" shrinkToFit="false"/>
      <protection locked="true" hidden="false"/>
    </xf>
    <xf numFmtId="192" fontId="0" fillId="0" borderId="3" xfId="0" applyFont="false" applyBorder="true" applyAlignment="false" applyProtection="false">
      <alignment horizontal="general" vertical="bottom" textRotation="0" wrapText="false" indent="0" shrinkToFit="false"/>
      <protection locked="true" hidden="false"/>
    </xf>
    <xf numFmtId="231" fontId="43" fillId="0" borderId="0" xfId="0" applyFont="true" applyBorder="true" applyAlignment="true" applyProtection="false">
      <alignment horizontal="general" vertical="bottom" textRotation="0" wrapText="false" indent="0" shrinkToFit="false"/>
      <protection locked="true" hidden="false"/>
    </xf>
    <xf numFmtId="239" fontId="9" fillId="0" borderId="0" xfId="19" applyFont="true" applyBorder="true" applyAlignment="true" applyProtection="true">
      <alignment horizontal="general" vertical="bottom" textRotation="0" wrapText="false" indent="0" shrinkToFit="false"/>
      <protection locked="true" hidden="false"/>
    </xf>
    <xf numFmtId="246" fontId="4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false" applyAlignment="true" applyProtection="false">
      <alignment horizontal="left" vertical="bottom" textRotation="0" wrapText="false" indent="0" shrinkToFit="false"/>
      <protection locked="true" hidden="false"/>
    </xf>
    <xf numFmtId="164" fontId="9" fillId="0" borderId="15" xfId="0" applyFont="true" applyBorder="true" applyAlignment="true" applyProtection="false">
      <alignment horizontal="general" vertical="bottom" textRotation="0" wrapText="false" indent="0" shrinkToFit="false"/>
      <protection locked="true" hidden="false"/>
    </xf>
    <xf numFmtId="192" fontId="9" fillId="0" borderId="13" xfId="15" applyFont="true" applyBorder="true" applyAlignment="true" applyProtection="true">
      <alignment horizontal="general" vertical="bottom" textRotation="0" wrapText="false" indent="0" shrinkToFit="false"/>
      <protection locked="true" hidden="false"/>
    </xf>
    <xf numFmtId="239" fontId="9" fillId="0" borderId="14" xfId="19" applyFont="true" applyBorder="true" applyAlignment="true" applyProtection="true">
      <alignment horizontal="general" vertical="bottom" textRotation="0" wrapText="false" indent="0" shrinkToFit="false"/>
      <protection locked="true" hidden="false"/>
    </xf>
    <xf numFmtId="239" fontId="9" fillId="0" borderId="7" xfId="19" applyFont="true" applyBorder="true" applyAlignment="true" applyProtection="true">
      <alignment horizontal="general" vertical="bottom" textRotation="0" wrapText="false" indent="0" shrinkToFit="false"/>
      <protection locked="true" hidden="false"/>
    </xf>
    <xf numFmtId="215" fontId="13" fillId="0" borderId="14" xfId="0" applyFont="true" applyBorder="true" applyAlignment="false" applyProtection="false">
      <alignment horizontal="general" vertical="bottom" textRotation="0" wrapText="false" indent="0" shrinkToFit="false"/>
      <protection locked="true" hidden="false"/>
    </xf>
    <xf numFmtId="215" fontId="13" fillId="0" borderId="7" xfId="0" applyFont="true" applyBorder="true" applyAlignment="false" applyProtection="false">
      <alignment horizontal="general" vertical="bottom" textRotation="0" wrapText="false" indent="0" shrinkToFit="false"/>
      <protection locked="true" hidden="false"/>
    </xf>
    <xf numFmtId="246" fontId="9" fillId="0" borderId="0" xfId="0" applyFont="true" applyBorder="true" applyAlignment="false" applyProtection="false">
      <alignment horizontal="general" vertical="bottom" textRotation="0" wrapText="false" indent="0" shrinkToFit="false"/>
      <protection locked="true" hidden="false"/>
    </xf>
    <xf numFmtId="246" fontId="9" fillId="0" borderId="14" xfId="0" applyFont="true" applyBorder="true" applyAlignment="false" applyProtection="false">
      <alignment horizontal="general" vertical="bottom" textRotation="0" wrapText="false" indent="0" shrinkToFit="false"/>
      <protection locked="true" hidden="false"/>
    </xf>
    <xf numFmtId="246" fontId="9" fillId="0" borderId="7" xfId="0" applyFont="true" applyBorder="true" applyAlignment="false" applyProtection="false">
      <alignment horizontal="general" vertical="bottom" textRotation="0" wrapText="false" indent="0" shrinkToFit="false"/>
      <protection locked="true" hidden="false"/>
    </xf>
    <xf numFmtId="228" fontId="13" fillId="0" borderId="14" xfId="0" applyFont="true" applyBorder="true" applyAlignment="false" applyProtection="false">
      <alignment horizontal="general" vertical="bottom" textRotation="0" wrapText="false" indent="0" shrinkToFit="false"/>
      <protection locked="true" hidden="false"/>
    </xf>
    <xf numFmtId="228" fontId="13" fillId="0" borderId="7" xfId="0" applyFont="true" applyBorder="true" applyAlignment="false" applyProtection="false">
      <alignment horizontal="general" vertical="bottom" textRotation="0" wrapText="false" indent="0" shrinkToFit="false"/>
      <protection locked="true" hidden="false"/>
    </xf>
    <xf numFmtId="246" fontId="0" fillId="0" borderId="0" xfId="0" applyFont="false" applyBorder="true" applyAlignment="false" applyProtection="false">
      <alignment horizontal="general" vertical="bottom" textRotation="0" wrapText="false" indent="0" shrinkToFit="false"/>
      <protection locked="true" hidden="false"/>
    </xf>
    <xf numFmtId="246" fontId="0" fillId="0" borderId="14" xfId="0" applyFont="false" applyBorder="true" applyAlignment="false" applyProtection="false">
      <alignment horizontal="general" vertical="bottom" textRotation="0" wrapText="false" indent="0" shrinkToFit="false"/>
      <protection locked="true" hidden="false"/>
    </xf>
    <xf numFmtId="246" fontId="0" fillId="0" borderId="7" xfId="0" applyFont="false" applyBorder="true" applyAlignment="false" applyProtection="false">
      <alignment horizontal="general" vertical="bottom" textRotation="0" wrapText="false" indent="0" shrinkToFit="false"/>
      <protection locked="true" hidden="false"/>
    </xf>
    <xf numFmtId="234" fontId="0" fillId="0" borderId="0" xfId="0" applyFont="false" applyBorder="true" applyAlignment="false" applyProtection="false">
      <alignment horizontal="general" vertical="bottom" textRotation="0" wrapText="false" indent="0" shrinkToFit="false"/>
      <protection locked="true" hidden="false"/>
    </xf>
    <xf numFmtId="245" fontId="0" fillId="0" borderId="0"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92" fontId="0" fillId="0" borderId="2" xfId="0" applyFont="false" applyBorder="true" applyAlignment="false" applyProtection="false">
      <alignment horizontal="general" vertical="bottom" textRotation="0" wrapText="false" indent="0" shrinkToFit="false"/>
      <protection locked="true" hidden="false"/>
    </xf>
    <xf numFmtId="192" fontId="13" fillId="0" borderId="2" xfId="0" applyFont="tru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92" fontId="0" fillId="0" borderId="23" xfId="0" applyFont="false" applyBorder="true" applyAlignment="false" applyProtection="false">
      <alignment horizontal="general" vertical="bottom" textRotation="0" wrapText="false" indent="0" shrinkToFit="false"/>
      <protection locked="true" hidden="false"/>
    </xf>
    <xf numFmtId="231" fontId="9" fillId="0" borderId="0" xfId="0" applyFont="true" applyBorder="true" applyAlignment="true" applyProtection="false">
      <alignment horizontal="general" vertical="bottom" textRotation="0" wrapText="false" indent="0" shrinkToFit="false"/>
      <protection locked="true" hidden="false"/>
    </xf>
    <xf numFmtId="215" fontId="13" fillId="0" borderId="0" xfId="0" applyFont="true" applyBorder="false" applyAlignment="false" applyProtection="false">
      <alignment horizontal="general" vertical="bottom" textRotation="0" wrapText="false" indent="0" shrinkToFit="false"/>
      <protection locked="true" hidden="false"/>
    </xf>
    <xf numFmtId="228" fontId="9" fillId="0" borderId="7" xfId="0" applyFont="true" applyBorder="true" applyAlignment="false" applyProtection="false">
      <alignment horizontal="general" vertical="bottom" textRotation="0" wrapText="false" indent="0" shrinkToFit="false"/>
      <protection locked="true" hidden="false"/>
    </xf>
    <xf numFmtId="228" fontId="9" fillId="0" borderId="0" xfId="0" applyFont="true" applyBorder="false" applyAlignment="true" applyProtection="false">
      <alignment horizontal="right" vertical="bottom" textRotation="0" wrapText="false" indent="0" shrinkToFit="false"/>
      <protection locked="true" hidden="false"/>
    </xf>
    <xf numFmtId="229" fontId="13" fillId="0" borderId="0" xfId="0" applyFont="true" applyBorder="false" applyAlignment="false" applyProtection="false">
      <alignment horizontal="general" vertical="bottom" textRotation="0" wrapText="false" indent="0" shrinkToFit="false"/>
      <protection locked="true" hidden="false"/>
    </xf>
    <xf numFmtId="229" fontId="9" fillId="0" borderId="3" xfId="15" applyFont="true" applyBorder="true" applyAlignment="true" applyProtection="true">
      <alignment horizontal="general" vertical="bottom" textRotation="0" wrapText="false" indent="0" shrinkToFit="false"/>
      <protection locked="true" hidden="false"/>
    </xf>
    <xf numFmtId="229" fontId="44" fillId="0" borderId="23"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true" applyProtection="false">
      <alignment horizontal="center" vertical="top" textRotation="0" wrapText="false" indent="0" shrinkToFit="false"/>
      <protection locked="true" hidden="false"/>
    </xf>
    <xf numFmtId="228" fontId="13" fillId="0" borderId="0" xfId="0" applyFont="true" applyBorder="false" applyAlignment="true" applyProtection="false">
      <alignment horizontal="general" vertical="top" textRotation="0" wrapText="false" indent="0" shrinkToFit="false"/>
      <protection locked="true" hidden="false"/>
    </xf>
    <xf numFmtId="229" fontId="13" fillId="0" borderId="0" xfId="15" applyFont="true" applyBorder="true" applyAlignment="true" applyProtection="true">
      <alignment horizontal="general" vertical="top" textRotation="0" wrapText="false" indent="0" shrinkToFit="false"/>
      <protection locked="true" hidden="false"/>
    </xf>
    <xf numFmtId="229" fontId="0" fillId="0" borderId="0" xfId="15" applyFont="true" applyBorder="true" applyAlignment="true" applyProtection="true">
      <alignment horizontal="general" vertical="top" textRotation="0" wrapText="fals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242" fontId="13" fillId="0" borderId="0" xfId="0" applyFont="true" applyBorder="false" applyAlignment="true" applyProtection="false">
      <alignment horizontal="general" vertical="top" textRotation="0" wrapText="false" indent="0" shrinkToFit="false"/>
      <protection locked="true" hidden="false"/>
    </xf>
    <xf numFmtId="231" fontId="13" fillId="0" borderId="0" xfId="0" applyFont="true" applyBorder="false" applyAlignment="true" applyProtection="false">
      <alignment horizontal="general" vertical="top" textRotation="0" wrapText="false" indent="0" shrinkToFit="false"/>
      <protection locked="true" hidden="false"/>
    </xf>
    <xf numFmtId="229" fontId="0" fillId="0" borderId="3" xfId="0" applyFont="false" applyBorder="true" applyAlignment="false" applyProtection="false">
      <alignment horizontal="general" vertical="bottom" textRotation="0" wrapText="false" indent="0" shrinkToFit="false"/>
      <protection locked="true" hidden="false"/>
    </xf>
    <xf numFmtId="243" fontId="0" fillId="0" borderId="23" xfId="0" applyFont="fals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229" fontId="0" fillId="0" borderId="3" xfId="15"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208" fontId="0" fillId="0" borderId="0" xfId="17" applyFont="true" applyBorder="true" applyAlignment="true" applyProtection="true">
      <alignment horizontal="general" vertical="bottom" textRotation="0" wrapText="false" indent="0" shrinkToFit="false"/>
      <protection locked="true" hidden="false"/>
    </xf>
    <xf numFmtId="189" fontId="43"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true" applyAlignment="false" applyProtection="false">
      <alignment horizontal="general" vertical="bottom" textRotation="0" wrapText="false" indent="0" shrinkToFit="false"/>
      <protection locked="true" hidden="false"/>
    </xf>
    <xf numFmtId="164" fontId="61" fillId="0" borderId="0" xfId="0" applyFont="true" applyBorder="true" applyAlignment="true" applyProtection="false">
      <alignment horizontal="left" vertical="bottom" textRotation="0" wrapText="false" indent="0" shrinkToFit="false"/>
      <protection locked="true" hidden="false"/>
    </xf>
    <xf numFmtId="164" fontId="62" fillId="0" borderId="0" xfId="0" applyFont="true" applyBorder="true" applyAlignment="true" applyProtection="false">
      <alignment horizontal="left" vertical="bottom" textRotation="0" wrapText="false" indent="0" shrinkToFit="false"/>
      <protection locked="true" hidden="false"/>
    </xf>
    <xf numFmtId="164" fontId="62" fillId="0" borderId="0" xfId="0" applyFont="true" applyBorder="true" applyAlignment="false" applyProtection="false">
      <alignment horizontal="general" vertical="bottom" textRotation="0" wrapText="false" indent="0" shrinkToFit="false"/>
      <protection locked="true" hidden="false"/>
    </xf>
    <xf numFmtId="232" fontId="60" fillId="0" borderId="0" xfId="0" applyFont="true" applyBorder="true" applyAlignment="false" applyProtection="false">
      <alignment horizontal="general" vertical="bottom" textRotation="0" wrapText="false" indent="0" shrinkToFit="false"/>
      <protection locked="true" hidden="false"/>
    </xf>
    <xf numFmtId="247" fontId="60"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left" vertical="bottom" textRotation="0" wrapText="false" indent="0" shrinkToFit="false"/>
      <protection locked="true" hidden="false"/>
    </xf>
    <xf numFmtId="164" fontId="60" fillId="0" borderId="0" xfId="0" applyFont="true" applyBorder="true" applyAlignment="false" applyProtection="false">
      <alignment horizontal="general" vertical="bottom" textRotation="0" wrapText="false" indent="0" shrinkToFit="false"/>
      <protection locked="true" hidden="false"/>
    </xf>
    <xf numFmtId="228" fontId="24" fillId="0" borderId="0" xfId="0" applyFont="true" applyBorder="false" applyAlignment="false" applyProtection="false">
      <alignment horizontal="general" vertical="bottom" textRotation="0" wrapText="false" indent="0" shrinkToFit="false"/>
      <protection locked="true" hidden="false"/>
    </xf>
    <xf numFmtId="248" fontId="60" fillId="0" borderId="0" xfId="0" applyFont="true" applyBorder="true" applyAlignment="fals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center" vertical="bottom" textRotation="0" wrapText="false" indent="0" shrinkToFit="false"/>
      <protection locked="true" hidden="false"/>
    </xf>
    <xf numFmtId="164" fontId="63" fillId="0" borderId="0" xfId="0" applyFont="true" applyBorder="true" applyAlignment="true" applyProtection="false">
      <alignment horizontal="left" vertical="bottom" textRotation="0" wrapText="false" indent="0" shrinkToFit="false"/>
      <protection locked="true" hidden="false"/>
    </xf>
    <xf numFmtId="246" fontId="63" fillId="0" borderId="0" xfId="0" applyFont="true" applyBorder="true" applyAlignment="false" applyProtection="false">
      <alignment horizontal="general" vertical="bottom" textRotation="0" wrapText="false" indent="0" shrinkToFit="false"/>
      <protection locked="true" hidden="false"/>
    </xf>
    <xf numFmtId="164" fontId="63" fillId="0" borderId="0" xfId="0" applyFont="true" applyBorder="false" applyAlignment="false" applyProtection="false">
      <alignment horizontal="general" vertical="bottom" textRotation="0" wrapText="false" indent="0" shrinkToFit="false"/>
      <protection locked="true" hidden="false"/>
    </xf>
    <xf numFmtId="228" fontId="64"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246" fontId="60" fillId="0" borderId="0" xfId="0" applyFont="true" applyBorder="true" applyAlignment="false" applyProtection="false">
      <alignment horizontal="general" vertical="bottom" textRotation="0" wrapText="false" indent="0" shrinkToFit="false"/>
      <protection locked="true" hidden="false"/>
    </xf>
    <xf numFmtId="249" fontId="40" fillId="0" borderId="0" xfId="0" applyFont="true" applyBorder="true" applyAlignment="false" applyProtection="false">
      <alignment horizontal="general" vertical="bottom" textRotation="0" wrapText="false" indent="0" shrinkToFit="false"/>
      <protection locked="true" hidden="false"/>
    </xf>
    <xf numFmtId="232" fontId="62" fillId="0" borderId="0" xfId="0" applyFont="true" applyBorder="true" applyAlignment="false" applyProtection="false">
      <alignment horizontal="general" vertical="bottom" textRotation="0" wrapText="false" indent="0" shrinkToFit="false"/>
      <protection locked="true" hidden="false"/>
    </xf>
    <xf numFmtId="249" fontId="60" fillId="0" borderId="0" xfId="19" applyFont="true" applyBorder="true" applyAlignment="true" applyProtection="true">
      <alignment horizontal="general" vertical="bottom" textRotation="0" wrapText="false" indent="0" shrinkToFit="false"/>
      <protection locked="true" hidden="false"/>
    </xf>
    <xf numFmtId="164" fontId="62" fillId="0" borderId="0" xfId="0" applyFont="true" applyBorder="true" applyAlignment="true" applyProtection="false">
      <alignment horizontal="left" vertical="bottom" textRotation="0" wrapText="false" indent="0" shrinkToFit="false"/>
      <protection locked="true" hidden="false"/>
    </xf>
    <xf numFmtId="164" fontId="62" fillId="0" borderId="0" xfId="0" applyFont="true" applyBorder="true" applyAlignment="true" applyProtection="false">
      <alignment horizontal="center" vertical="bottom" textRotation="0" wrapText="false" indent="0" shrinkToFit="false"/>
      <protection locked="true" hidden="false"/>
    </xf>
    <xf numFmtId="232" fontId="62" fillId="0" borderId="0" xfId="0" applyFont="true" applyBorder="true" applyAlignment="true" applyProtection="false">
      <alignment horizontal="center" vertical="bottom" textRotation="0" wrapText="false" indent="0" shrinkToFit="false"/>
      <protection locked="true" hidden="false"/>
    </xf>
    <xf numFmtId="247" fontId="62" fillId="0" borderId="0" xfId="0" applyFont="true" applyBorder="true" applyAlignment="true" applyProtection="false">
      <alignment horizontal="center" vertical="bottom" textRotation="0" wrapText="false" indent="0" shrinkToFit="false"/>
      <protection locked="true" hidden="false"/>
    </xf>
    <xf numFmtId="246" fontId="62" fillId="0" borderId="0" xfId="0" applyFont="true" applyBorder="true" applyAlignment="true" applyProtection="false">
      <alignment horizontal="center" vertical="bottom" textRotation="0" wrapText="false" indent="0" shrinkToFit="false"/>
      <protection locked="true" hidden="false"/>
    </xf>
    <xf numFmtId="249" fontId="62" fillId="0" borderId="0" xfId="19" applyFont="true" applyBorder="true" applyAlignment="true" applyProtection="true">
      <alignment horizontal="center" vertical="bottom" textRotation="0" wrapText="false" indent="0" shrinkToFit="false"/>
      <protection locked="true" hidden="false"/>
    </xf>
    <xf numFmtId="164" fontId="62" fillId="0" borderId="0" xfId="0" applyFont="true" applyBorder="true" applyAlignment="true" applyProtection="false">
      <alignment horizontal="center" vertical="bottom" textRotation="0" wrapText="false" indent="0" shrinkToFit="false"/>
      <protection locked="true" hidden="false"/>
    </xf>
    <xf numFmtId="164" fontId="62" fillId="0" borderId="2" xfId="0" applyFont="true" applyBorder="true" applyAlignment="true" applyProtection="false">
      <alignment horizontal="center" vertical="bottom" textRotation="0" wrapText="false" indent="0" shrinkToFit="false"/>
      <protection locked="true" hidden="false"/>
    </xf>
    <xf numFmtId="232" fontId="62" fillId="0" borderId="2" xfId="0" applyFont="true" applyBorder="true" applyAlignment="true" applyProtection="false">
      <alignment horizontal="center" vertical="bottom" textRotation="0" wrapText="false" indent="0" shrinkToFit="false"/>
      <protection locked="true" hidden="false"/>
    </xf>
    <xf numFmtId="247" fontId="62" fillId="0" borderId="2" xfId="0" applyFont="true" applyBorder="true" applyAlignment="true" applyProtection="false">
      <alignment horizontal="center" vertical="bottom" textRotation="0" wrapText="false" indent="0" shrinkToFit="false"/>
      <protection locked="true" hidden="false"/>
    </xf>
    <xf numFmtId="246" fontId="62" fillId="0" borderId="2" xfId="0" applyFont="true" applyBorder="true" applyAlignment="true" applyProtection="false">
      <alignment horizontal="center" vertical="bottom" textRotation="0" wrapText="false" indent="0" shrinkToFit="false"/>
      <protection locked="true" hidden="false"/>
    </xf>
    <xf numFmtId="249" fontId="62" fillId="0" borderId="2" xfId="19" applyFont="true" applyBorder="true" applyAlignment="true" applyProtection="true">
      <alignment horizontal="center" vertical="bottom" textRotation="0" wrapText="false" indent="0" shrinkToFit="false"/>
      <protection locked="true" hidden="false"/>
    </xf>
    <xf numFmtId="164" fontId="62" fillId="0" borderId="2" xfId="0" applyFont="true" applyBorder="true" applyAlignment="true" applyProtection="false">
      <alignment horizontal="center" vertical="bottom" textRotation="0" wrapText="false" indent="0" shrinkToFit="false"/>
      <protection locked="true" hidden="false"/>
    </xf>
    <xf numFmtId="228" fontId="64" fillId="0" borderId="0" xfId="0" applyFont="true" applyBorder="true" applyAlignment="true" applyProtection="false">
      <alignment horizontal="center" vertical="bottom" textRotation="0" wrapText="false" indent="0" shrinkToFit="false"/>
      <protection locked="true" hidden="false"/>
    </xf>
    <xf numFmtId="225" fontId="64" fillId="0" borderId="0" xfId="0" applyFont="true" applyBorder="true" applyAlignment="true" applyProtection="false">
      <alignment horizontal="center" vertical="bottom" textRotation="0" wrapText="false" indent="0" shrinkToFit="false"/>
      <protection locked="true" hidden="false"/>
    </xf>
    <xf numFmtId="164" fontId="65" fillId="0" borderId="0" xfId="0" applyFont="true" applyBorder="true" applyAlignment="true" applyProtection="false">
      <alignment horizontal="center" vertical="bottom" textRotation="0" wrapText="false" indent="0" shrinkToFit="false"/>
      <protection locked="true" hidden="false"/>
    </xf>
    <xf numFmtId="232" fontId="65" fillId="0" borderId="0" xfId="0" applyFont="true" applyBorder="true" applyAlignment="true" applyProtection="false">
      <alignment horizontal="center" vertical="bottom" textRotation="0" wrapText="false" indent="0" shrinkToFit="false"/>
      <protection locked="true" hidden="false"/>
    </xf>
    <xf numFmtId="247" fontId="64" fillId="0" borderId="0" xfId="0" applyFont="true" applyBorder="true" applyAlignment="true" applyProtection="false">
      <alignment horizontal="center" vertical="bottom" textRotation="0" wrapText="false" indent="0" shrinkToFit="false"/>
      <protection locked="true" hidden="false"/>
    </xf>
    <xf numFmtId="208" fontId="63" fillId="0" borderId="0" xfId="0" applyFont="true" applyBorder="true" applyAlignment="true" applyProtection="false">
      <alignment horizontal="center" vertical="bottom" textRotation="0" wrapText="false" indent="0" shrinkToFit="false"/>
      <protection locked="true" hidden="false"/>
    </xf>
    <xf numFmtId="246" fontId="60" fillId="0" borderId="0" xfId="0" applyFont="true" applyBorder="true" applyAlignment="true" applyProtection="false">
      <alignment horizontal="center" vertical="bottom" textRotation="0" wrapText="false" indent="0" shrinkToFit="false"/>
      <protection locked="true" hidden="false"/>
    </xf>
    <xf numFmtId="245" fontId="64" fillId="0" borderId="0" xfId="19" applyFont="true" applyBorder="true" applyAlignment="true" applyProtection="true">
      <alignment horizontal="center" vertical="bottom" textRotation="0" wrapText="false" indent="0" shrinkToFit="false"/>
      <protection locked="true" hidden="false"/>
    </xf>
    <xf numFmtId="192" fontId="60" fillId="0" borderId="0" xfId="15" applyFont="true" applyBorder="true" applyAlignment="true" applyProtection="true">
      <alignment horizontal="general" vertical="bottom" textRotation="0" wrapText="false" indent="0" shrinkToFit="false"/>
      <protection locked="true" hidden="false"/>
    </xf>
    <xf numFmtId="225" fontId="66" fillId="0" borderId="0" xfId="0" applyFont="true" applyBorder="true" applyAlignment="true" applyProtection="false">
      <alignment horizontal="center" vertical="bottom" textRotation="0" wrapText="false" indent="0" shrinkToFit="false"/>
      <protection locked="true" hidden="false"/>
    </xf>
    <xf numFmtId="250" fontId="60" fillId="0" borderId="0" xfId="17" applyFont="true" applyBorder="true" applyAlignment="true" applyProtection="true">
      <alignment horizontal="general" vertical="bottom" textRotation="0" wrapText="false" indent="0" shrinkToFit="false"/>
      <protection locked="true" hidden="false"/>
    </xf>
    <xf numFmtId="249" fontId="60" fillId="0" borderId="0" xfId="19" applyFont="true" applyBorder="true" applyAlignment="true" applyProtection="true">
      <alignment horizontal="center" vertical="bottom" textRotation="0" wrapText="false" indent="0" shrinkToFit="false"/>
      <protection locked="true" hidden="false"/>
    </xf>
    <xf numFmtId="192" fontId="62" fillId="0" borderId="0" xfId="15" applyFont="true" applyBorder="true" applyAlignment="true" applyProtection="true">
      <alignment horizontal="center" vertical="bottom" textRotation="0" wrapText="false" indent="0" shrinkToFit="false"/>
      <protection locked="true" hidden="false"/>
    </xf>
    <xf numFmtId="250" fontId="62" fillId="0" borderId="0" xfId="17" applyFont="true" applyBorder="true" applyAlignment="true" applyProtection="true">
      <alignment horizontal="center" vertical="bottom" textRotation="0" wrapText="false" indent="0" shrinkToFit="false"/>
      <protection locked="true" hidden="false"/>
    </xf>
    <xf numFmtId="228" fontId="60" fillId="0" borderId="0" xfId="0" applyFont="true" applyBorder="true" applyAlignment="true" applyProtection="false">
      <alignment horizontal="center" vertical="bottom" textRotation="0" wrapText="false" indent="0" shrinkToFit="false"/>
      <protection locked="true" hidden="false"/>
    </xf>
    <xf numFmtId="229" fontId="40" fillId="0" borderId="0" xfId="15" applyFont="true" applyBorder="true" applyAlignment="true" applyProtection="true">
      <alignment horizontal="right" vertical="bottom" textRotation="0" wrapText="false" indent="0" shrinkToFit="false"/>
      <protection locked="true" hidden="false"/>
    </xf>
    <xf numFmtId="192" fontId="60" fillId="0" borderId="0" xfId="15" applyFont="true" applyBorder="true" applyAlignment="true" applyProtection="true">
      <alignment horizontal="right" vertical="bottom" textRotation="0" wrapText="false" indent="0" shrinkToFit="false"/>
      <protection locked="true" hidden="false"/>
    </xf>
    <xf numFmtId="243" fontId="40" fillId="0" borderId="0" xfId="15" applyFont="true" applyBorder="true" applyAlignment="true" applyProtection="true">
      <alignment horizontal="right" vertical="bottom" textRotation="0" wrapText="false" indent="0" shrinkToFit="false"/>
      <protection locked="true" hidden="false"/>
    </xf>
    <xf numFmtId="243" fontId="60" fillId="0" borderId="0" xfId="15" applyFont="true" applyBorder="true" applyAlignment="true" applyProtection="true">
      <alignment horizontal="right" vertical="bottom" textRotation="0" wrapText="false" indent="0" shrinkToFit="false"/>
      <protection locked="true" hidden="false"/>
    </xf>
    <xf numFmtId="192" fontId="40" fillId="0" borderId="0" xfId="15" applyFont="true" applyBorder="true" applyAlignment="true" applyProtection="true">
      <alignment horizontal="right" vertical="bottom" textRotation="0" wrapText="false" indent="0" shrinkToFit="false"/>
      <protection locked="true" hidden="false"/>
    </xf>
    <xf numFmtId="245" fontId="60" fillId="0" borderId="0" xfId="19" applyFont="true" applyBorder="true" applyAlignment="true" applyProtection="true">
      <alignment horizontal="center" vertical="bottom" textRotation="0" wrapText="false" indent="0" shrinkToFit="false"/>
      <protection locked="true" hidden="false"/>
    </xf>
    <xf numFmtId="225" fontId="60" fillId="0" borderId="0" xfId="0" applyFont="true" applyBorder="true" applyAlignment="false" applyProtection="false">
      <alignment horizontal="general" vertical="bottom" textRotation="0" wrapText="false" indent="0" shrinkToFit="false"/>
      <protection locked="true" hidden="false"/>
    </xf>
    <xf numFmtId="229" fontId="64" fillId="0" borderId="0" xfId="15" applyFont="true" applyBorder="true" applyAlignment="true" applyProtection="true">
      <alignment horizontal="right" vertical="bottom" textRotation="0" wrapText="false" indent="0" shrinkToFit="false"/>
      <protection locked="true" hidden="false"/>
    </xf>
    <xf numFmtId="243" fontId="64" fillId="0" borderId="0" xfId="15" applyFont="true" applyBorder="true" applyAlignment="true" applyProtection="true">
      <alignment horizontal="right" vertical="bottom" textRotation="0" wrapText="false" indent="0" shrinkToFit="false"/>
      <protection locked="true" hidden="false"/>
    </xf>
    <xf numFmtId="243" fontId="40" fillId="0" borderId="2" xfId="15" applyFont="true" applyBorder="true" applyAlignment="true" applyProtection="true">
      <alignment horizontal="right" vertical="bottom" textRotation="0" wrapText="false" indent="0" shrinkToFit="false"/>
      <protection locked="true" hidden="false"/>
    </xf>
    <xf numFmtId="192" fontId="40" fillId="0" borderId="2" xfId="15" applyFont="true" applyBorder="true" applyAlignment="true" applyProtection="true">
      <alignment horizontal="right" vertical="bottom" textRotation="0" wrapText="false" indent="0" shrinkToFit="false"/>
      <protection locked="true" hidden="false"/>
    </xf>
    <xf numFmtId="192" fontId="60" fillId="0" borderId="2" xfId="15" applyFont="true" applyBorder="true" applyAlignment="true" applyProtection="true">
      <alignment horizontal="general" vertical="bottom" textRotation="0" wrapText="false" indent="0" shrinkToFit="false"/>
      <protection locked="true" hidden="false"/>
    </xf>
    <xf numFmtId="225" fontId="66" fillId="0" borderId="0" xfId="0" applyFont="true" applyBorder="true" applyAlignment="true" applyProtection="false">
      <alignment horizontal="right" vertical="bottom" textRotation="0" wrapText="false" indent="0" shrinkToFit="false"/>
      <protection locked="true" hidden="false"/>
    </xf>
    <xf numFmtId="228" fontId="60" fillId="0" borderId="0" xfId="0" applyFont="true" applyBorder="true" applyAlignment="true" applyProtection="false">
      <alignment horizontal="general" vertical="bottom" textRotation="0" wrapText="false" indent="0" shrinkToFit="false"/>
      <protection locked="true" hidden="false"/>
    </xf>
    <xf numFmtId="229" fontId="60" fillId="0" borderId="0" xfId="15" applyFont="true" applyBorder="true" applyAlignment="true" applyProtection="true">
      <alignment horizontal="right" vertical="bottom" textRotation="0" wrapText="false" indent="0" shrinkToFit="false"/>
      <protection locked="true" hidden="false"/>
    </xf>
    <xf numFmtId="192" fontId="24" fillId="0" borderId="0" xfId="15" applyFont="true" applyBorder="true" applyAlignment="true" applyProtection="true">
      <alignment horizontal="right" vertical="bottom" textRotation="0" wrapText="false" indent="0" shrinkToFit="false"/>
      <protection locked="true" hidden="false"/>
    </xf>
    <xf numFmtId="192" fontId="24" fillId="0" borderId="0" xfId="15" applyFont="true" applyBorder="true" applyAlignment="true" applyProtection="true">
      <alignment horizontal="general" vertical="bottom" textRotation="0" wrapText="false" indent="0" shrinkToFit="false"/>
      <protection locked="true" hidden="false"/>
    </xf>
    <xf numFmtId="250" fontId="24" fillId="0" borderId="0" xfId="17" applyFont="true" applyBorder="true" applyAlignment="true" applyProtection="tru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92" fontId="0" fillId="0" borderId="0" xfId="15" applyFont="true" applyBorder="true" applyAlignment="true" applyProtection="true">
      <alignment horizontal="right" vertical="bottom" textRotation="0" wrapText="false" indent="0" shrinkToFit="false"/>
      <protection locked="true" hidden="false"/>
    </xf>
    <xf numFmtId="243" fontId="0" fillId="0" borderId="0" xfId="15" applyFont="true" applyBorder="true" applyAlignment="true" applyProtection="true">
      <alignment horizontal="right" vertical="bottom" textRotation="0" wrapText="false" indent="0" shrinkToFit="false"/>
      <protection locked="true" hidden="false"/>
    </xf>
    <xf numFmtId="192" fontId="24" fillId="0" borderId="23" xfId="15" applyFont="true" applyBorder="true" applyAlignment="true" applyProtection="true">
      <alignment horizontal="right" vertical="bottom" textRotation="0" wrapText="false" indent="0" shrinkToFit="false"/>
      <protection locked="true" hidden="false"/>
    </xf>
    <xf numFmtId="192" fontId="60" fillId="0" borderId="23" xfId="15" applyFont="true" applyBorder="true" applyAlignment="true" applyProtection="true">
      <alignment horizontal="right" vertical="bottom" textRotation="0" wrapText="false" indent="0" shrinkToFit="false"/>
      <protection locked="true" hidden="false"/>
    </xf>
    <xf numFmtId="192" fontId="60" fillId="0" borderId="23" xfId="15" applyFont="true" applyBorder="true" applyAlignment="true" applyProtection="tru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92" fontId="67" fillId="0" borderId="2" xfId="15" applyFont="true" applyBorder="true" applyAlignment="true" applyProtection="true">
      <alignment horizontal="right" vertical="bottom" textRotation="0" wrapText="false" indent="0" shrinkToFit="false"/>
      <protection locked="true" hidden="false"/>
    </xf>
    <xf numFmtId="243" fontId="24" fillId="0" borderId="0" xfId="15" applyFont="true" applyBorder="true" applyAlignment="true" applyProtection="true">
      <alignment horizontal="right" vertical="bottom" textRotation="0" wrapText="false" indent="0" shrinkToFit="false"/>
      <protection locked="true" hidden="false"/>
    </xf>
    <xf numFmtId="249" fontId="24" fillId="0" borderId="0" xfId="19" applyFont="true" applyBorder="true" applyAlignment="true" applyProtection="true">
      <alignment horizontal="general" vertical="bottom" textRotation="0" wrapText="false" indent="0" shrinkToFit="false"/>
      <protection locked="true" hidden="false"/>
    </xf>
    <xf numFmtId="250" fontId="60" fillId="0" borderId="2" xfId="17" applyFont="true" applyBorder="true" applyAlignment="true" applyProtection="true">
      <alignment horizontal="general" vertical="bottom" textRotation="0" wrapText="false" indent="0" shrinkToFit="false"/>
      <protection locked="true" hidden="false"/>
    </xf>
    <xf numFmtId="208" fontId="60" fillId="0" borderId="0" xfId="0" applyFont="true" applyBorder="true" applyAlignment="false" applyProtection="false">
      <alignment horizontal="general" vertical="bottom" textRotation="0" wrapText="false" indent="0" shrinkToFit="false"/>
      <protection locked="true" hidden="false"/>
    </xf>
    <xf numFmtId="228" fontId="60" fillId="0" borderId="0" xfId="0" applyFont="true" applyBorder="true" applyAlignment="false" applyProtection="false">
      <alignment horizontal="general" vertical="bottom" textRotation="0" wrapText="false" indent="0" shrinkToFit="false"/>
      <protection locked="true" hidden="false"/>
    </xf>
    <xf numFmtId="225" fontId="44" fillId="0" borderId="23" xfId="0" applyFont="true" applyBorder="true" applyAlignment="false" applyProtection="false">
      <alignment horizontal="general" vertical="bottom" textRotation="0" wrapText="false" indent="0" shrinkToFit="false"/>
      <protection locked="true" hidden="false"/>
    </xf>
    <xf numFmtId="164" fontId="61" fillId="0" borderId="0" xfId="0" applyFont="true" applyBorder="true" applyAlignment="false" applyProtection="false">
      <alignment horizontal="general" vertical="bottom" textRotation="0" wrapText="false" indent="0" shrinkToFit="false"/>
      <protection locked="true" hidden="false"/>
    </xf>
    <xf numFmtId="208" fontId="44" fillId="0" borderId="23" xfId="0" applyFont="true" applyBorder="true" applyAlignment="false" applyProtection="false">
      <alignment horizontal="general" vertical="bottom" textRotation="0" wrapText="false" indent="0" shrinkToFit="false"/>
      <protection locked="true" hidden="false"/>
    </xf>
    <xf numFmtId="232" fontId="61" fillId="0" borderId="0" xfId="0" applyFont="true" applyBorder="true" applyAlignment="false" applyProtection="false">
      <alignment horizontal="general" vertical="bottom" textRotation="0" wrapText="false" indent="0" shrinkToFit="false"/>
      <protection locked="true" hidden="false"/>
    </xf>
    <xf numFmtId="164" fontId="44" fillId="0" borderId="23"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70" fontId="68" fillId="0" borderId="0" xfId="15" applyFont="true" applyBorder="true" applyAlignment="true" applyProtection="true">
      <alignment horizontal="general" vertical="bottom" textRotation="0" wrapText="false" indent="0" shrinkToFit="false"/>
      <protection locked="true" hidden="false"/>
    </xf>
    <xf numFmtId="164" fontId="69"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true" applyProtection="false">
      <alignment horizontal="left" vertical="bottom" textRotation="0" wrapText="false" indent="0" shrinkToFit="false"/>
      <protection locked="true" hidden="false"/>
    </xf>
    <xf numFmtId="164" fontId="71" fillId="0" borderId="0" xfId="0" applyFont="true" applyBorder="false" applyAlignment="true" applyProtection="false">
      <alignment horizontal="left" vertical="bottom" textRotation="0" wrapText="false" indent="0" shrinkToFit="false"/>
      <protection locked="true" hidden="false"/>
    </xf>
    <xf numFmtId="170" fontId="69" fillId="0" borderId="0" xfId="15" applyFont="true" applyBorder="true" applyAlignment="true" applyProtection="true">
      <alignment horizontal="general" vertical="bottom" textRotation="0" wrapText="false" indent="0" shrinkToFit="false"/>
      <protection locked="true" hidden="false"/>
    </xf>
    <xf numFmtId="229" fontId="69" fillId="0" borderId="0" xfId="15" applyFont="true" applyBorder="true" applyAlignment="true" applyProtection="true">
      <alignment horizontal="general" vertical="bottom" textRotation="0" wrapText="false" indent="0" shrinkToFit="false"/>
      <protection locked="true" hidden="false"/>
    </xf>
    <xf numFmtId="251" fontId="69" fillId="0" borderId="0" xfId="0" applyFont="true" applyBorder="false" applyAlignment="false" applyProtection="true">
      <alignment horizontal="general" vertical="bottom" textRotation="0" wrapText="false" indent="0" shrinkToFit="false"/>
      <protection locked="true" hidden="false"/>
    </xf>
    <xf numFmtId="252" fontId="69" fillId="0" borderId="0" xfId="0" applyFont="true" applyBorder="false" applyAlignment="false" applyProtection="true">
      <alignment horizontal="general" vertical="bottom" textRotation="0" wrapText="false" indent="0" shrinkToFit="false"/>
      <protection locked="true" hidden="false"/>
    </xf>
    <xf numFmtId="164" fontId="72" fillId="0" borderId="0" xfId="0" applyFont="true" applyBorder="false" applyAlignment="true" applyProtection="false">
      <alignment horizontal="left"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70" fontId="73" fillId="0" borderId="0" xfId="15" applyFont="true" applyBorder="true" applyAlignment="true" applyProtection="true">
      <alignment horizontal="general" vertical="bottom" textRotation="0" wrapText="false" indent="0" shrinkToFit="false"/>
      <protection locked="true" hidden="false"/>
    </xf>
    <xf numFmtId="228" fontId="72" fillId="0" borderId="0" xfId="0" applyFont="true" applyBorder="false" applyAlignment="true" applyProtection="false">
      <alignment horizontal="left" vertical="bottom" textRotation="0" wrapText="false" indent="0" shrinkToFit="false"/>
      <protection locked="true" hidden="false"/>
    </xf>
    <xf numFmtId="253" fontId="73" fillId="0" borderId="0" xfId="0" applyFont="true" applyBorder="false" applyAlignment="true" applyProtection="true">
      <alignment horizontal="left" vertical="bottom" textRotation="0" wrapText="false" indent="0" shrinkToFit="false"/>
      <protection locked="false" hidden="false"/>
    </xf>
    <xf numFmtId="170" fontId="73" fillId="0" borderId="0" xfId="15" applyFont="true" applyBorder="true" applyAlignment="true" applyProtection="true">
      <alignment horizontal="left" vertical="bottom" textRotation="0" wrapText="false" indent="0" shrinkToFit="false"/>
      <protection locked="false" hidden="false"/>
    </xf>
    <xf numFmtId="254" fontId="73" fillId="0" borderId="0" xfId="0" applyFont="true" applyBorder="false" applyAlignment="false" applyProtection="true">
      <alignment horizontal="general" vertical="bottom" textRotation="0" wrapText="false" indent="0" shrinkToFit="false"/>
      <protection locked="false" hidden="false"/>
    </xf>
    <xf numFmtId="164" fontId="74" fillId="0" borderId="0" xfId="0" applyFont="true" applyBorder="false" applyAlignment="true" applyProtection="true">
      <alignment horizontal="left" vertical="bottom" textRotation="0" wrapText="false" indent="0" shrinkToFit="false"/>
      <protection locked="false" hidden="false"/>
    </xf>
    <xf numFmtId="164" fontId="69" fillId="0" borderId="0" xfId="0" applyFont="true" applyBorder="false" applyAlignment="true" applyProtection="false">
      <alignment horizontal="left" vertical="bottom" textRotation="0" wrapText="false" indent="0" shrinkToFit="false"/>
      <protection locked="true" hidden="false"/>
    </xf>
    <xf numFmtId="255" fontId="75" fillId="0" borderId="0" xfId="0" applyFont="true" applyBorder="false" applyAlignment="false" applyProtection="true">
      <alignment horizontal="general" vertical="bottom" textRotation="0" wrapText="false" indent="0" shrinkToFit="false"/>
      <protection locked="false" hidden="false"/>
    </xf>
    <xf numFmtId="256" fontId="74" fillId="0" borderId="0" xfId="0" applyFont="true" applyBorder="false" applyAlignment="false" applyProtection="true">
      <alignment horizontal="general" vertical="bottom" textRotation="0" wrapText="false" indent="0" shrinkToFit="false"/>
      <protection locked="false" hidden="false"/>
    </xf>
    <xf numFmtId="170" fontId="74" fillId="0" borderId="0" xfId="15" applyFont="true" applyBorder="true" applyAlignment="true" applyProtection="true">
      <alignment horizontal="general" vertical="bottom" textRotation="0" wrapText="false" indent="0" shrinkToFit="false"/>
      <protection locked="false" hidden="false"/>
    </xf>
    <xf numFmtId="255" fontId="73" fillId="0" borderId="0" xfId="0" applyFont="true" applyBorder="false" applyAlignment="false" applyProtection="true">
      <alignment horizontal="general" vertical="bottom" textRotation="0" wrapText="false" indent="0" shrinkToFit="false"/>
      <protection locked="false" hidden="false"/>
    </xf>
    <xf numFmtId="164" fontId="76" fillId="0" borderId="0" xfId="0" applyFont="true" applyBorder="false" applyAlignment="true" applyProtection="false">
      <alignment horizontal="left" vertical="bottom" textRotation="0" wrapText="false" indent="0" shrinkToFit="false"/>
      <protection locked="true" hidden="false"/>
    </xf>
    <xf numFmtId="229" fontId="0" fillId="0" borderId="0" xfId="15" applyFont="true" applyBorder="true" applyAlignment="true" applyProtection="true">
      <alignment horizontal="center" vertical="bottom" textRotation="0" wrapText="false" indent="0" shrinkToFit="false"/>
      <protection locked="true" hidden="false"/>
    </xf>
    <xf numFmtId="170" fontId="68" fillId="0" borderId="0" xfId="15" applyFont="true" applyBorder="true" applyAlignment="true" applyProtection="true">
      <alignment horizontal="center" vertical="bottom" textRotation="0" wrapText="false" indent="0" shrinkToFit="false"/>
      <protection locked="true" hidden="false"/>
    </xf>
    <xf numFmtId="170" fontId="68" fillId="0" borderId="2" xfId="15" applyFont="true" applyBorder="true" applyAlignment="true" applyProtection="true">
      <alignment horizontal="center" vertical="bottom" textRotation="0" wrapText="false" indent="0" shrinkToFit="false"/>
      <protection locked="true" hidden="false"/>
    </xf>
    <xf numFmtId="229" fontId="0" fillId="0" borderId="2" xfId="15" applyFont="true" applyBorder="true" applyAlignment="true" applyProtection="true">
      <alignment horizontal="center" vertical="bottom" textRotation="0" wrapText="false" indent="0" shrinkToFit="false"/>
      <protection locked="true" hidden="false"/>
    </xf>
    <xf numFmtId="192" fontId="0" fillId="0" borderId="2"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70" fontId="68" fillId="0" borderId="0" xfId="15" applyFont="true" applyBorder="true" applyAlignment="true" applyProtection="true">
      <alignment horizontal="fill" vertical="bottom" textRotation="0" wrapText="false" indent="0" shrinkToFit="false"/>
      <protection locked="true" hidden="false"/>
    </xf>
    <xf numFmtId="229" fontId="0" fillId="0" borderId="0" xfId="15" applyFont="true" applyBorder="true" applyAlignment="true" applyProtection="true">
      <alignment horizontal="fill" vertical="bottom" textRotation="0" wrapText="false" indent="0" shrinkToFit="false"/>
      <protection locked="true" hidden="false"/>
    </xf>
    <xf numFmtId="254" fontId="13" fillId="0" borderId="0" xfId="0" applyFont="true" applyBorder="false" applyAlignment="true" applyProtection="false">
      <alignment horizontal="right" vertical="bottom" textRotation="0" wrapText="false" indent="0" shrinkToFit="false"/>
      <protection locked="true" hidden="false"/>
    </xf>
    <xf numFmtId="254" fontId="0" fillId="0" borderId="0" xfId="0" applyFont="false" applyBorder="false" applyAlignment="true" applyProtection="false">
      <alignment horizontal="right" vertical="bottom" textRotation="0" wrapText="false" indent="0" shrinkToFit="false"/>
      <protection locked="true" hidden="false"/>
    </xf>
    <xf numFmtId="170" fontId="77" fillId="0" borderId="0" xfId="15" applyFont="true" applyBorder="true" applyAlignment="true" applyProtection="true">
      <alignment horizontal="right" vertical="bottom" textRotation="0" wrapText="false" indent="0" shrinkToFit="false"/>
      <protection locked="true" hidden="false"/>
    </xf>
    <xf numFmtId="164" fontId="78"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229" fontId="77" fillId="0" borderId="0" xfId="15" applyFont="true" applyBorder="true" applyAlignment="true" applyProtection="true">
      <alignment horizontal="general" vertical="bottom" textRotation="0" wrapText="false" indent="0" shrinkToFit="false"/>
      <protection locked="false" hidden="false"/>
    </xf>
    <xf numFmtId="224" fontId="0" fillId="0" borderId="0" xfId="0" applyFont="false" applyBorder="false" applyAlignment="false" applyProtection="true">
      <alignment horizontal="general" vertical="bottom" textRotation="0" wrapText="false" indent="0" shrinkToFit="false"/>
      <protection locked="true" hidden="false"/>
    </xf>
    <xf numFmtId="164" fontId="77" fillId="0" borderId="0" xfId="0" applyFont="true" applyBorder="false" applyAlignment="false" applyProtection="true">
      <alignment horizontal="general" vertical="bottom" textRotation="0" wrapText="false" indent="0" shrinkToFit="false"/>
      <protection locked="false" hidden="false"/>
    </xf>
    <xf numFmtId="250" fontId="0" fillId="0" borderId="0" xfId="0" applyFont="false" applyBorder="false" applyAlignment="false" applyProtection="true">
      <alignment horizontal="general" vertical="bottom" textRotation="0" wrapText="false" indent="0" shrinkToFit="false"/>
      <protection locked="true" hidden="false"/>
    </xf>
    <xf numFmtId="231" fontId="13" fillId="0" borderId="0" xfId="0" applyFont="true" applyBorder="false" applyAlignment="false" applyProtection="true">
      <alignment horizontal="general" vertical="bottom" textRotation="0" wrapText="false" indent="0" shrinkToFit="false"/>
      <protection locked="true" hidden="false"/>
    </xf>
    <xf numFmtId="192" fontId="43"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229" fontId="77" fillId="0" borderId="2" xfId="15" applyFont="true" applyBorder="true" applyAlignment="true" applyProtection="true">
      <alignment horizontal="general" vertical="bottom" textRotation="0" wrapText="false" indent="0" shrinkToFit="false"/>
      <protection locked="false" hidden="false"/>
    </xf>
    <xf numFmtId="224" fontId="0" fillId="0" borderId="2" xfId="0" applyFont="false" applyBorder="true" applyAlignment="false" applyProtection="true">
      <alignment horizontal="general" vertical="bottom" textRotation="0" wrapText="false" indent="0" shrinkToFit="false"/>
      <protection locked="true" hidden="false"/>
    </xf>
    <xf numFmtId="250" fontId="0" fillId="0" borderId="2" xfId="0" applyFont="false" applyBorder="true" applyAlignment="false" applyProtection="true">
      <alignment horizontal="general" vertical="bottom" textRotation="0" wrapText="false" indent="0" shrinkToFit="false"/>
      <protection locked="true" hidden="false"/>
    </xf>
    <xf numFmtId="242" fontId="0" fillId="0" borderId="0" xfId="0" applyFont="false" applyBorder="false" applyAlignment="false" applyProtection="false">
      <alignment horizontal="general" vertical="bottom" textRotation="0" wrapText="false" indent="0" shrinkToFit="false"/>
      <protection locked="true" hidden="false"/>
    </xf>
    <xf numFmtId="256" fontId="0" fillId="0" borderId="0" xfId="0" applyFont="false" applyBorder="false" applyAlignment="false" applyProtection="true">
      <alignment horizontal="general" vertical="bottom" textRotation="0" wrapText="false" indent="0" shrinkToFit="false"/>
      <protection locked="true" hidden="false"/>
    </xf>
    <xf numFmtId="229" fontId="0" fillId="0" borderId="23" xfId="15" applyFont="true" applyBorder="true" applyAlignment="true" applyProtection="true">
      <alignment horizontal="general" vertical="bottom" textRotation="0" wrapText="false" indent="0" shrinkToFit="false"/>
      <protection locked="true" hidden="false"/>
    </xf>
    <xf numFmtId="224" fontId="0" fillId="0" borderId="23" xfId="0" applyFont="false" applyBorder="true" applyAlignment="false" applyProtection="true">
      <alignment horizontal="general" vertical="bottom" textRotation="0" wrapText="false" indent="0" shrinkToFit="false"/>
      <protection locked="true" hidden="false"/>
    </xf>
    <xf numFmtId="250" fontId="0" fillId="0" borderId="23" xfId="0" applyFont="false" applyBorder="true" applyAlignment="false" applyProtection="true">
      <alignment horizontal="general" vertical="bottom" textRotation="0" wrapText="false" indent="0" shrinkToFit="false"/>
      <protection locked="true" hidden="false"/>
    </xf>
    <xf numFmtId="256" fontId="0" fillId="0" borderId="2" xfId="0" applyFont="false" applyBorder="true" applyAlignment="false" applyProtection="false">
      <alignment horizontal="general" vertical="bottom" textRotation="0" wrapText="false" indent="0" shrinkToFit="false"/>
      <protection locked="true" hidden="false"/>
    </xf>
    <xf numFmtId="192" fontId="0" fillId="0" borderId="3" xfId="15" applyFont="true" applyBorder="true" applyAlignment="true" applyProtection="true">
      <alignment horizontal="general" vertical="bottom" textRotation="0" wrapText="false" indent="0" shrinkToFit="false"/>
      <protection locked="true" hidden="false"/>
    </xf>
    <xf numFmtId="164" fontId="79" fillId="0" borderId="0" xfId="0" applyFont="true" applyBorder="false" applyAlignment="true" applyProtection="false">
      <alignment horizontal="right" vertical="bottom" textRotation="0" wrapText="false" indent="0" shrinkToFit="false"/>
      <protection locked="true" hidden="false"/>
    </xf>
    <xf numFmtId="243" fontId="68" fillId="0" borderId="0" xfId="15" applyFont="true" applyBorder="true" applyAlignment="true" applyProtection="true">
      <alignment horizontal="general" vertical="bottom" textRotation="0" wrapText="false" indent="0" shrinkToFit="false"/>
      <protection locked="true" hidden="false"/>
    </xf>
    <xf numFmtId="250" fontId="0" fillId="0" borderId="0" xfId="0" applyFont="false" applyBorder="false" applyAlignment="false" applyProtection="false">
      <alignment horizontal="general" vertical="bottom" textRotation="0" wrapText="false" indent="0" shrinkToFit="false"/>
      <protection locked="true" hidden="false"/>
    </xf>
    <xf numFmtId="229" fontId="0" fillId="0" borderId="2" xfId="15" applyFont="true" applyBorder="true" applyAlignment="true" applyProtection="true">
      <alignment horizontal="general" vertical="bottom" textRotation="0" wrapText="false" indent="0" shrinkToFit="false"/>
      <protection locked="true" hidden="false"/>
    </xf>
    <xf numFmtId="255" fontId="0" fillId="0" borderId="0" xfId="0" applyFont="false" applyBorder="false" applyAlignment="false" applyProtection="false">
      <alignment horizontal="general" vertical="bottom" textRotation="0" wrapText="false" indent="0" shrinkToFit="false"/>
      <protection locked="true" hidden="false"/>
    </xf>
    <xf numFmtId="164" fontId="80" fillId="0" borderId="0" xfId="0" applyFont="true" applyBorder="false" applyAlignment="true" applyProtection="false">
      <alignment horizontal="right" vertical="bottom" textRotation="0" wrapText="false" indent="0" shrinkToFit="false"/>
      <protection locked="true" hidden="false"/>
    </xf>
    <xf numFmtId="192" fontId="81" fillId="0" borderId="3" xfId="15" applyFont="true" applyBorder="true" applyAlignment="true" applyProtection="true">
      <alignment horizontal="general" vertical="bottom" textRotation="0" wrapText="false" indent="0" shrinkToFit="false"/>
      <protection locked="true" hidden="false"/>
    </xf>
    <xf numFmtId="192" fontId="0" fillId="0" borderId="21" xfId="0" applyFont="false" applyBorder="true" applyAlignment="false" applyProtection="false">
      <alignment horizontal="general" vertical="bottom" textRotation="0" wrapText="false" indent="0" shrinkToFit="false"/>
      <protection locked="true" hidden="false"/>
    </xf>
    <xf numFmtId="164" fontId="82" fillId="3" borderId="0" xfId="0" applyFont="true" applyBorder="false" applyAlignment="true" applyProtection="false">
      <alignment horizontal="center" vertical="bottom" textRotation="0" wrapText="false" indent="0" shrinkToFit="false"/>
      <protection locked="true" hidden="false"/>
    </xf>
    <xf numFmtId="237" fontId="82" fillId="3" borderId="0" xfId="17" applyFont="true" applyBorder="true" applyAlignment="true" applyProtection="true">
      <alignment horizontal="center" vertical="bottom" textRotation="0" wrapText="false" indent="0" shrinkToFit="false"/>
      <protection locked="true" hidden="false"/>
    </xf>
    <xf numFmtId="164" fontId="57" fillId="3" borderId="0" xfId="0" applyFont="true" applyBorder="false" applyAlignment="true" applyProtection="false">
      <alignment horizontal="left" vertical="bottom" textRotation="0" wrapText="false" indent="0" shrinkToFit="false"/>
      <protection locked="true" hidden="false"/>
    </xf>
    <xf numFmtId="164" fontId="44" fillId="3" borderId="0" xfId="0" applyFont="true" applyBorder="false" applyAlignment="false" applyProtection="false">
      <alignment horizontal="general" vertical="bottom" textRotation="0" wrapText="false" indent="0" shrinkToFit="false"/>
      <protection locked="true" hidden="false"/>
    </xf>
    <xf numFmtId="237" fontId="44" fillId="3" borderId="0" xfId="17" applyFont="true" applyBorder="true" applyAlignment="true" applyProtection="true">
      <alignment horizontal="general" vertical="bottom" textRotation="0" wrapText="false" indent="0" shrinkToFit="false"/>
      <protection locked="true" hidden="false"/>
    </xf>
    <xf numFmtId="229" fontId="0" fillId="3" borderId="0" xfId="0" applyFont="false" applyBorder="false" applyAlignment="false" applyProtection="false">
      <alignment horizontal="general" vertical="bottom" textRotation="0" wrapText="false" indent="0" shrinkToFit="false"/>
      <protection locked="true" hidden="false"/>
    </xf>
    <xf numFmtId="164" fontId="83" fillId="3" borderId="0" xfId="0" applyFont="true" applyBorder="false" applyAlignment="true" applyProtection="false">
      <alignment horizontal="right" vertical="bottom" textRotation="0" wrapText="false" indent="0" shrinkToFit="false"/>
      <protection locked="true" hidden="false"/>
    </xf>
    <xf numFmtId="228" fontId="83" fillId="3" borderId="0" xfId="0" applyFont="true" applyBorder="false" applyAlignment="true" applyProtection="false">
      <alignment horizontal="center" vertical="bottom" textRotation="0" wrapText="false" indent="0" shrinkToFit="false"/>
      <protection locked="true" hidden="false"/>
    </xf>
    <xf numFmtId="164" fontId="44" fillId="3" borderId="0" xfId="0" applyFont="true" applyBorder="false" applyAlignment="true" applyProtection="false">
      <alignment horizontal="center" vertical="bottom" textRotation="0" wrapText="false" indent="0" shrinkToFit="false"/>
      <protection locked="true" hidden="false"/>
    </xf>
    <xf numFmtId="164" fontId="84" fillId="3" borderId="0" xfId="0" applyFont="true" applyBorder="false" applyAlignment="true" applyProtection="false">
      <alignment horizontal="center" vertical="bottom" textRotation="0" wrapText="false" indent="0" shrinkToFit="false"/>
      <protection locked="true" hidden="false"/>
    </xf>
    <xf numFmtId="239" fontId="83" fillId="3" borderId="0" xfId="19" applyFont="true" applyBorder="true" applyAlignment="true" applyProtection="true">
      <alignment horizontal="center" vertical="bottom" textRotation="0" wrapText="false" indent="0" shrinkToFit="false"/>
      <protection locked="true" hidden="false"/>
    </xf>
    <xf numFmtId="237" fontId="0" fillId="3" borderId="0" xfId="17" applyFont="true" applyBorder="true" applyAlignment="true" applyProtection="true">
      <alignment horizontal="general" vertical="bottom" textRotation="0" wrapText="false" indent="0" shrinkToFit="false"/>
      <protection locked="true" hidden="false"/>
    </xf>
    <xf numFmtId="237" fontId="44" fillId="3" borderId="0" xfId="17" applyFont="true" applyBorder="true" applyAlignment="true" applyProtection="true">
      <alignment horizontal="center" vertical="bottom" textRotation="0" wrapText="false" indent="0" shrinkToFit="false"/>
      <protection locked="true" hidden="false"/>
    </xf>
    <xf numFmtId="229" fontId="0" fillId="3" borderId="0" xfId="15" applyFont="true" applyBorder="true" applyAlignment="true" applyProtection="true">
      <alignment horizontal="center" vertical="bottom" textRotation="0" wrapText="false" indent="0" shrinkToFit="false"/>
      <protection locked="true" hidden="false"/>
    </xf>
    <xf numFmtId="164" fontId="83" fillId="3" borderId="0" xfId="0" applyFont="true" applyBorder="false" applyAlignment="true" applyProtection="false">
      <alignment horizontal="center" vertical="bottom" textRotation="0" wrapText="false" indent="0" shrinkToFit="false"/>
      <protection locked="true" hidden="false"/>
    </xf>
    <xf numFmtId="164" fontId="85" fillId="3" borderId="0" xfId="0" applyFont="true" applyBorder="false" applyAlignment="true" applyProtection="false">
      <alignment horizontal="center" vertical="bottom" textRotation="0" wrapText="false" indent="0" shrinkToFit="false"/>
      <protection locked="true" hidden="false"/>
    </xf>
    <xf numFmtId="164" fontId="83" fillId="3" borderId="0" xfId="0" applyFont="true" applyBorder="false" applyAlignment="false" applyProtection="false">
      <alignment horizontal="general" vertical="bottom" textRotation="0" wrapText="false" indent="0" shrinkToFit="false"/>
      <protection locked="true" hidden="false"/>
    </xf>
    <xf numFmtId="164" fontId="86" fillId="3" borderId="0" xfId="0" applyFont="true" applyBorder="false" applyAlignment="true" applyProtection="false">
      <alignment horizontal="center" vertical="bottom" textRotation="0" wrapText="true" indent="0" shrinkToFit="false"/>
      <protection locked="true" hidden="false"/>
    </xf>
    <xf numFmtId="164" fontId="86" fillId="3" borderId="0" xfId="0" applyFont="true" applyBorder="false" applyAlignment="true" applyProtection="false">
      <alignment horizontal="general" vertical="bottom" textRotation="0" wrapText="true" indent="0" shrinkToFit="false"/>
      <protection locked="true" hidden="false"/>
    </xf>
    <xf numFmtId="164" fontId="87" fillId="3" borderId="0" xfId="0" applyFont="true" applyBorder="false" applyAlignment="true" applyProtection="false">
      <alignment horizontal="center" vertical="bottom" textRotation="0" wrapText="false" indent="0" shrinkToFit="false"/>
      <protection locked="true" hidden="false"/>
    </xf>
    <xf numFmtId="164" fontId="88" fillId="3" borderId="0" xfId="0" applyFont="true" applyBorder="true" applyAlignment="true" applyProtection="false">
      <alignment horizontal="left" vertical="bottom" textRotation="0" wrapText="true" indent="0" shrinkToFit="false"/>
      <protection locked="true" hidden="false"/>
    </xf>
    <xf numFmtId="164" fontId="88" fillId="3" borderId="0" xfId="0" applyFont="true" applyBorder="true" applyAlignment="true" applyProtection="false">
      <alignment horizontal="left" vertical="bottom" textRotation="0" wrapText="false" indent="0" shrinkToFit="false"/>
      <protection locked="true" hidden="false"/>
    </xf>
    <xf numFmtId="164" fontId="24" fillId="3" borderId="0" xfId="0" applyFont="true" applyBorder="true" applyAlignment="false" applyProtection="false">
      <alignment horizontal="general" vertical="bottom" textRotation="0" wrapText="false" indent="0" shrinkToFit="false"/>
      <protection locked="true" hidden="false"/>
    </xf>
    <xf numFmtId="164" fontId="24" fillId="3" borderId="0" xfId="0" applyFont="true" applyBorder="false" applyAlignment="false" applyProtection="false">
      <alignment horizontal="general" vertical="bottom" textRotation="0" wrapText="false" indent="0" shrinkToFit="false"/>
      <protection locked="true" hidden="false"/>
    </xf>
    <xf numFmtId="164" fontId="89" fillId="3" borderId="24" xfId="0" applyFont="true" applyBorder="true" applyAlignment="true" applyProtection="false">
      <alignment horizontal="left" vertical="bottom" textRotation="0" wrapText="true" indent="0" shrinkToFit="false"/>
      <protection locked="true" hidden="false"/>
    </xf>
    <xf numFmtId="164" fontId="89" fillId="3" borderId="24" xfId="0" applyFont="true" applyBorder="true" applyAlignment="true" applyProtection="false">
      <alignment horizontal="center" vertical="bottom" textRotation="0" wrapText="false" indent="0" shrinkToFit="false"/>
      <protection locked="true" hidden="false"/>
    </xf>
    <xf numFmtId="228" fontId="89" fillId="3" borderId="24" xfId="0" applyFont="true" applyBorder="true" applyAlignment="true" applyProtection="false">
      <alignment horizontal="center" vertical="bottom" textRotation="0" wrapText="false" indent="0" shrinkToFit="false"/>
      <protection locked="true" hidden="false"/>
    </xf>
    <xf numFmtId="257" fontId="9" fillId="3" borderId="24" xfId="0" applyFont="true" applyBorder="true" applyAlignment="true" applyProtection="false">
      <alignment horizontal="center" vertical="bottom" textRotation="0" wrapText="false" indent="0" shrinkToFit="false"/>
      <protection locked="true" hidden="false"/>
    </xf>
    <xf numFmtId="239" fontId="89" fillId="3" borderId="24" xfId="19" applyFont="true" applyBorder="true" applyAlignment="true" applyProtection="true">
      <alignment horizontal="center" vertical="bottom" textRotation="0" wrapText="false" indent="0" shrinkToFit="false"/>
      <protection locked="true" hidden="false"/>
    </xf>
    <xf numFmtId="239" fontId="89" fillId="3" borderId="24" xfId="19" applyFont="true" applyBorder="true" applyAlignment="true" applyProtection="true">
      <alignment horizontal="general" vertical="bottom" textRotation="0" wrapText="false" indent="0" shrinkToFit="false"/>
      <protection locked="true" hidden="false"/>
    </xf>
    <xf numFmtId="192" fontId="89" fillId="3" borderId="24" xfId="0" applyFont="true" applyBorder="true" applyAlignment="false" applyProtection="false">
      <alignment horizontal="general" vertical="bottom" textRotation="0" wrapText="false" indent="0" shrinkToFit="false"/>
      <protection locked="true" hidden="false"/>
    </xf>
    <xf numFmtId="229" fontId="89" fillId="3" borderId="24" xfId="0" applyFont="true" applyBorder="true" applyAlignment="false" applyProtection="false">
      <alignment horizontal="general" vertical="bottom" textRotation="0" wrapText="false" indent="0" shrinkToFit="false"/>
      <protection locked="true" hidden="false"/>
    </xf>
    <xf numFmtId="164" fontId="89" fillId="3" borderId="24" xfId="0" applyFont="true" applyBorder="true" applyAlignment="true" applyProtection="false">
      <alignment horizontal="left" vertical="bottom" textRotation="0" wrapText="false" indent="0" shrinkToFit="false"/>
      <protection locked="true" hidden="false"/>
    </xf>
    <xf numFmtId="229" fontId="89" fillId="3" borderId="24" xfId="15" applyFont="true" applyBorder="true" applyAlignment="true" applyProtection="true">
      <alignment horizontal="center" vertical="bottom" textRotation="0" wrapText="false" indent="0" shrinkToFit="false"/>
      <protection locked="true" hidden="false"/>
    </xf>
    <xf numFmtId="228" fontId="41" fillId="3" borderId="24" xfId="0" applyFont="true" applyBorder="true" applyAlignment="true" applyProtection="false">
      <alignment horizontal="left" vertical="bottom" textRotation="0" wrapText="true" indent="0" shrinkToFit="false"/>
      <protection locked="true" hidden="false"/>
    </xf>
    <xf numFmtId="229" fontId="9" fillId="3" borderId="24" xfId="15" applyFont="true" applyBorder="true" applyAlignment="true" applyProtection="true">
      <alignment horizontal="center" vertical="bottom" textRotation="0" wrapText="false" indent="0" shrinkToFit="false"/>
      <protection locked="true" hidden="false"/>
    </xf>
    <xf numFmtId="164" fontId="9" fillId="3" borderId="24" xfId="0" applyFont="true" applyBorder="true" applyAlignment="true" applyProtection="false">
      <alignment horizontal="center" vertical="bottom" textRotation="0" wrapText="false" indent="0" shrinkToFit="false"/>
      <protection locked="true" hidden="false"/>
    </xf>
    <xf numFmtId="164" fontId="0" fillId="3" borderId="0" xfId="0" applyFont="true" applyBorder="false" applyAlignment="true" applyProtection="false">
      <alignment horizontal="left" vertical="bottom" textRotation="0" wrapText="false" indent="0" shrinkToFit="false"/>
      <protection locked="true" hidden="false"/>
    </xf>
    <xf numFmtId="164" fontId="24" fillId="3" borderId="0" xfId="0" applyFont="true" applyBorder="false" applyAlignment="true" applyProtection="false">
      <alignment horizontal="center" vertical="bottom" textRotation="0" wrapText="false" indent="0" shrinkToFit="false"/>
      <protection locked="true" hidden="false"/>
    </xf>
    <xf numFmtId="192" fontId="89" fillId="3" borderId="0"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229" fontId="89" fillId="3" borderId="0" xfId="15" applyFont="true" applyBorder="true" applyAlignment="true" applyProtection="true">
      <alignment horizontal="center" vertical="bottom" textRotation="0" wrapText="false" indent="0" shrinkToFit="false"/>
      <protection locked="true" hidden="false"/>
    </xf>
    <xf numFmtId="257" fontId="89" fillId="3" borderId="24" xfId="0" applyFont="true" applyBorder="true" applyAlignment="true" applyProtection="false">
      <alignment horizontal="center" vertical="bottom" textRotation="0" wrapText="false" indent="0" shrinkToFit="false"/>
      <protection locked="true" hidden="false"/>
    </xf>
  </cellXfs>
  <cellStyles count="889">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proforma818" xfId="21"/>
    <cellStyle name="?? [0]_??" xfId="22"/>
    <cellStyle name="?? [0]_???" xfId="23"/>
    <cellStyle name="?? [0]_?????" xfId="24"/>
    <cellStyle name="?? [0]_?????_???" xfId="25"/>
    <cellStyle name="?? [0]_?????_???_proforma818" xfId="26"/>
    <cellStyle name="?? [0]_?????_proforma818" xfId="27"/>
    <cellStyle name="?? [0]_???_proforma818" xfId="28"/>
    <cellStyle name="?? [0]_??_proforma818" xfId="29"/>
    <cellStyle name="?? [0]_dimon" xfId="30"/>
    <cellStyle name="?? [0]_form" xfId="31"/>
    <cellStyle name="?? [0]_form_proforma818" xfId="32"/>
    <cellStyle name="?? [0]_laroux" xfId="33"/>
    <cellStyle name="?? [0]_laroux_1" xfId="34"/>
    <cellStyle name="?? [0]_laroux_1_proforma818" xfId="35"/>
    <cellStyle name="?? [0]_laroux_2" xfId="36"/>
    <cellStyle name="?? [0]_laroux_proforma818" xfId="37"/>
    <cellStyle name="?? [0]_PERSONAL" xfId="38"/>
    <cellStyle name="?? [0]_PERSONAL_1" xfId="39"/>
    <cellStyle name="?? [0]_PERSONAL_1_proforma818" xfId="40"/>
    <cellStyle name="?? [0]_PERSONAL_2" xfId="41"/>
    <cellStyle name="?? [0]_PERSONAL_2_proforma818" xfId="42"/>
    <cellStyle name="?? [0]_PERSONAL_3" xfId="43"/>
    <cellStyle name="?? [0]_PERSONAL_proforma818" xfId="44"/>
    <cellStyle name="?? [0]_Sheet2" xfId="45"/>
    <cellStyle name="??_94???" xfId="46"/>
    <cellStyle name="??_94???_proforma818" xfId="47"/>
    <cellStyle name="??_970120" xfId="48"/>
    <cellStyle name="??_97???" xfId="49"/>
    <cellStyle name="??_?.????" xfId="50"/>
    <cellStyle name="??_??" xfId="51"/>
    <cellStyle name="??_???" xfId="52"/>
    <cellStyle name="??_????" xfId="53"/>
    <cellStyle name="??_?????" xfId="54"/>
    <cellStyle name="??_?????_1" xfId="55"/>
    <cellStyle name="??_?????_2" xfId="56"/>
    <cellStyle name="??_?????_???" xfId="57"/>
    <cellStyle name="??_?????_???_proforma818" xfId="58"/>
    <cellStyle name="??_?????_???_proforma818_1" xfId="59"/>
    <cellStyle name="??_?????_proforma818" xfId="60"/>
    <cellStyle name="??_?????_proforma818_1" xfId="61"/>
    <cellStyle name="??_????_1" xfId="62"/>
    <cellStyle name="??_???_proforma818" xfId="63"/>
    <cellStyle name="??_???_proforma818_1" xfId="64"/>
    <cellStyle name="??_??_1" xfId="65"/>
    <cellStyle name="??_??_????" xfId="66"/>
    <cellStyle name="??_??_????_proforma818" xfId="67"/>
    <cellStyle name="??_??_proforma818" xfId="68"/>
    <cellStyle name="??_??_proforma818_1" xfId="69"/>
    <cellStyle name="??_??_proforma818_2" xfId="70"/>
    <cellStyle name="??_BEBU_GI" xfId="71"/>
    <cellStyle name="??_dimon" xfId="72"/>
    <cellStyle name="??_dimon_proforma818" xfId="73"/>
    <cellStyle name="??_form" xfId="74"/>
    <cellStyle name="??_form_proforma818" xfId="75"/>
    <cellStyle name="??_form_proforma818_1" xfId="76"/>
    <cellStyle name="??_ga_PB" xfId="77"/>
    <cellStyle name="??_laroux" xfId="78"/>
    <cellStyle name="??_laroux_1" xfId="79"/>
    <cellStyle name="??_laroux_1_proforma818" xfId="80"/>
    <cellStyle name="??_laroux_1_proforma818_1" xfId="81"/>
    <cellStyle name="??_laroux_2" xfId="82"/>
    <cellStyle name="??_laroux_2_proforma818" xfId="83"/>
    <cellStyle name="??_laroux_3" xfId="84"/>
    <cellStyle name="??_laroux_4" xfId="85"/>
    <cellStyle name="??_laroux_5" xfId="86"/>
    <cellStyle name="??_laroux_6" xfId="87"/>
    <cellStyle name="??_laroux_7" xfId="88"/>
    <cellStyle name="??_laroux_8" xfId="89"/>
    <cellStyle name="??_laroux_proforma818" xfId="90"/>
    <cellStyle name="??_laroux_proforma818_1" xfId="91"/>
    <cellStyle name="??_PERSONAL" xfId="92"/>
    <cellStyle name="??_PERSONAL_1" xfId="93"/>
    <cellStyle name="??_PERSONAL_1_proforma818" xfId="94"/>
    <cellStyle name="??_PERSONAL_1_proforma818_1" xfId="95"/>
    <cellStyle name="??_PERSONAL_2" xfId="96"/>
    <cellStyle name="??_PERSONAL_2_proforma818" xfId="97"/>
    <cellStyle name="??_PERSONAL_2_proforma818_1" xfId="98"/>
    <cellStyle name="??_PERSONAL_3" xfId="99"/>
    <cellStyle name="??_PERSONAL_3_proforma818" xfId="100"/>
    <cellStyle name="??_PERSONAL_4" xfId="101"/>
    <cellStyle name="??_PERSONAL_proforma818" xfId="102"/>
    <cellStyle name="??_PERSONAL_proforma818_1" xfId="103"/>
    <cellStyle name="??_Query11" xfId="104"/>
    <cellStyle name="??_Sheet1" xfId="105"/>
    <cellStyle name="??_Sheet1 (2)" xfId="106"/>
    <cellStyle name="??_Sheet2" xfId="107"/>
    <cellStyle name="??_Sheet2_proforma818" xfId="108"/>
    <cellStyle name="Comma [0]_A" xfId="109"/>
    <cellStyle name="Comma [0]_A_dimon" xfId="110"/>
    <cellStyle name="Comma [0]_algasdefault" xfId="111"/>
    <cellStyle name="Comma [0]_Alternative1" xfId="112"/>
    <cellStyle name="Comma [0]_Alternative1_1" xfId="113"/>
    <cellStyle name="Comma [0]_App E" xfId="114"/>
    <cellStyle name="Comma [0]_Arapahoe" xfId="115"/>
    <cellStyle name="Comma [0]_Assumptions" xfId="116"/>
    <cellStyle name="Comma [0]_bahiadefault" xfId="117"/>
    <cellStyle name="Comma [0]_Book3" xfId="118"/>
    <cellStyle name="Comma [0]_Calculations" xfId="119"/>
    <cellStyle name="Comma [0]_Calculations (2)" xfId="120"/>
    <cellStyle name="Comma [0]_Calculations II" xfId="121"/>
    <cellStyle name="Comma [0]_Calculations III" xfId="122"/>
    <cellStyle name="Comma [0]_Calculations_1" xfId="123"/>
    <cellStyle name="Comma [0]_CAPEX" xfId="124"/>
    <cellStyle name="Comma [0]_CAPEX94" xfId="125"/>
    <cellStyle name="Comma [0]_CCA" xfId="126"/>
    <cellStyle name="Comma [0]_Charts" xfId="127"/>
    <cellStyle name="Comma [0]_Comm File" xfId="128"/>
    <cellStyle name="Comma [0]_coperdefault" xfId="129"/>
    <cellStyle name="Comma [0]_DEFAULT" xfId="130"/>
    <cellStyle name="Comma [0]_dimon" xfId="131"/>
    <cellStyle name="Comma [0]_Dowell C1b" xfId="132"/>
    <cellStyle name="Comma [0]_Dowell-C1a" xfId="133"/>
    <cellStyle name="Comma [0]_emserdefault" xfId="134"/>
    <cellStyle name="Comma [0]_FP 20 A (1)" xfId="135"/>
    <cellStyle name="Comma [0]_FP 20 A (2)" xfId="136"/>
    <cellStyle name="Comma [0]_FP-20 (App. E)" xfId="137"/>
    <cellStyle name="Comma [0]_FP-20 (App.A) " xfId="138"/>
    <cellStyle name="Comma [0]_FP-20 (App.D)" xfId="139"/>
    <cellStyle name="Comma [0]_FP-20(App.B)" xfId="140"/>
    <cellStyle name="Comma [0]_FP-20(C1) (a)" xfId="141"/>
    <cellStyle name="Comma [0]_FP-20(C1) (a) (2)" xfId="142"/>
    <cellStyle name="Comma [0]_FP-20(C1) (b)" xfId="143"/>
    <cellStyle name="Comma [0]_FP-20(C1) (b) " xfId="144"/>
    <cellStyle name="Comma [0]_FP-20(C1) (b) (2)" xfId="145"/>
    <cellStyle name="Comma [0]_GenAssum" xfId="146"/>
    <cellStyle name="Comma [0]_GP C1a" xfId="147"/>
    <cellStyle name="Comma [0]_GP C1b" xfId="148"/>
    <cellStyle name="Comma [0]_GP_EI_3" xfId="149"/>
    <cellStyle name="Comma [0]_GQ C1A" xfId="150"/>
    <cellStyle name="Comma [0]_GQ C1B" xfId="151"/>
    <cellStyle name="Comma [0]_IPM C1b" xfId="152"/>
    <cellStyle name="Comma [0]_IPMC1a" xfId="153"/>
    <cellStyle name="Comma [0]_IS-Hold" xfId="154"/>
    <cellStyle name="Comma [0]_laroux" xfId="155"/>
    <cellStyle name="Comma [0]_laroux_1" xfId="156"/>
    <cellStyle name="Comma [0]_laroux_1_dimon" xfId="157"/>
    <cellStyle name="Comma [0]_laroux_1_dimon_1" xfId="158"/>
    <cellStyle name="Comma [0]_laroux_1_laroux" xfId="159"/>
    <cellStyle name="Comma [0]_laroux_1_PLDT" xfId="160"/>
    <cellStyle name="Comma [0]_laroux_1_VERA" xfId="161"/>
    <cellStyle name="Comma [0]_laroux_1_VIRUS-EDY" xfId="162"/>
    <cellStyle name="Comma [0]_laroux_2" xfId="163"/>
    <cellStyle name="Comma [0]_laroux_2_dimon" xfId="164"/>
    <cellStyle name="Comma [0]_laroux_2_dimon_1" xfId="165"/>
    <cellStyle name="Comma [0]_laroux_2_laroux" xfId="166"/>
    <cellStyle name="Comma [0]_laroux_2_laroux_dimon" xfId="167"/>
    <cellStyle name="Comma [0]_laroux_2_PLDT" xfId="168"/>
    <cellStyle name="Comma [0]_laroux_2_VERA" xfId="169"/>
    <cellStyle name="Comma [0]_laroux_3" xfId="170"/>
    <cellStyle name="Comma [0]_laroux_3_dimon" xfId="171"/>
    <cellStyle name="Comma [0]_laroux_3_Hedge Strategy Comparison" xfId="172"/>
    <cellStyle name="Comma [0]_laroux_dimon" xfId="173"/>
    <cellStyle name="Comma [0]_laroux_dimon_1" xfId="174"/>
    <cellStyle name="Comma [0]_laroux_laroux" xfId="175"/>
    <cellStyle name="Comma [0]_laroux_laroux_1" xfId="176"/>
    <cellStyle name="Comma [0]_laroux_laroux_dimon" xfId="177"/>
    <cellStyle name="Comma [0]_laroux_MATERAL2" xfId="178"/>
    <cellStyle name="Comma [0]_laroux_MATERAL2_dimon" xfId="179"/>
    <cellStyle name="Comma [0]_laroux_MATERAL2_laroux" xfId="180"/>
    <cellStyle name="Comma [0]_laroux_MATERAL2_laroux_dimon" xfId="181"/>
    <cellStyle name="Comma [0]_laroux_MATERAL2_VERA" xfId="182"/>
    <cellStyle name="Comma [0]_laroux_MATERAL2_VIRUS-EDY" xfId="183"/>
    <cellStyle name="Comma [0]_laroux_mud plant bolted" xfId="184"/>
    <cellStyle name="Comma [0]_laroux_mud plant bolted_dimon" xfId="185"/>
    <cellStyle name="Comma [0]_laroux_mud plant bolted_Hedge Strategy Comparison" xfId="186"/>
    <cellStyle name="Comma [0]_laroux_PLDT" xfId="187"/>
    <cellStyle name="Comma [0]_laroux_VERA" xfId="188"/>
    <cellStyle name="Comma [0]_laroux_VERA_1" xfId="189"/>
    <cellStyle name="Comma [0]_laroux_VIRUS-EDY" xfId="190"/>
    <cellStyle name="Comma [0]_MATERAL2" xfId="191"/>
    <cellStyle name="Comma [0]_MATERAL2_dimon" xfId="192"/>
    <cellStyle name="Comma [0]_MATERAL2_Hedge Strategy Comparison" xfId="193"/>
    <cellStyle name="Comma [0]_mud plant bolted" xfId="194"/>
    <cellStyle name="Comma [0]_mud plant bolted_dimon" xfId="195"/>
    <cellStyle name="Comma [0]_mud plant bolted_laroux" xfId="196"/>
    <cellStyle name="Comma [0]_mud plant bolted_laroux_dimon" xfId="197"/>
    <cellStyle name="Comma [0]_mud plant bolted_VERA" xfId="198"/>
    <cellStyle name="Comma [0]_mud plant bolted_VIRUS-EDY" xfId="199"/>
    <cellStyle name="Comma [0]_Odner" xfId="200"/>
    <cellStyle name="Comma [0]_Odner (2)" xfId="201"/>
    <cellStyle name="Comma [0]_Odner (3)" xfId="202"/>
    <cellStyle name="Comma [0]_Other Months" xfId="203"/>
    <cellStyle name="Comma [0]_pbdefault" xfId="204"/>
    <cellStyle name="Comma [0]_PERSONAL" xfId="205"/>
    <cellStyle name="Comma [0]_Pink" xfId="206"/>
    <cellStyle name="Comma [0]_Plan" xfId="207"/>
    <cellStyle name="Comma [0]_PLDT" xfId="208"/>
    <cellStyle name="Comma [0]_PLDT_1" xfId="209"/>
    <cellStyle name="Comma [0]_pldt_Calculations" xfId="210"/>
    <cellStyle name="Comma [0]_pldt_dimon" xfId="211"/>
    <cellStyle name="Comma [0]_priccurv" xfId="212"/>
    <cellStyle name="Comma [0]_PROFILE4" xfId="213"/>
    <cellStyle name="Comma [0]_Projects" xfId="214"/>
    <cellStyle name="Comma [0]_Quarter End Months" xfId="215"/>
    <cellStyle name="Comma [0]_r1" xfId="216"/>
    <cellStyle name="Comma [0]_RFI" xfId="217"/>
    <cellStyle name="Comma [0]_RFI_1" xfId="218"/>
    <cellStyle name="Comma [0]_Sales Order" xfId="219"/>
    <cellStyle name="Comma [0]_Sheet1" xfId="220"/>
    <cellStyle name="Comma [0]_Snr. CO" xfId="221"/>
    <cellStyle name="Comma [0]_Subcont File" xfId="222"/>
    <cellStyle name="Comma [0]_Summary Info" xfId="223"/>
    <cellStyle name="Comma [0]_SUMPAGE" xfId="224"/>
    <cellStyle name="Comma [0]_VIRUS-EDY" xfId="225"/>
    <cellStyle name="Comma [0]_White" xfId="226"/>
    <cellStyle name="Comma [0]_WSP" xfId="227"/>
    <cellStyle name="Comma_A" xfId="228"/>
    <cellStyle name="Comma_A_dimon" xfId="229"/>
    <cellStyle name="Comma_algasdefault" xfId="230"/>
    <cellStyle name="Comma_algasdefault_1" xfId="231"/>
    <cellStyle name="Comma_Alternative1" xfId="232"/>
    <cellStyle name="Comma_Alternative1_1" xfId="233"/>
    <cellStyle name="Comma_App E" xfId="234"/>
    <cellStyle name="Comma_Arapahoe" xfId="235"/>
    <cellStyle name="Comma_Assumptions" xfId="236"/>
    <cellStyle name="Comma_bahiadefault" xfId="237"/>
    <cellStyle name="Comma_bahiadefault_1" xfId="238"/>
    <cellStyle name="Comma_Book3" xfId="239"/>
    <cellStyle name="Comma_Calculations" xfId="240"/>
    <cellStyle name="Comma_Calculations (2)" xfId="241"/>
    <cellStyle name="Comma_Calculations II" xfId="242"/>
    <cellStyle name="Comma_Calculations III" xfId="243"/>
    <cellStyle name="Comma_Calculations_1" xfId="244"/>
    <cellStyle name="Comma_CAPEX" xfId="245"/>
    <cellStyle name="Comma_CAPEX94" xfId="246"/>
    <cellStyle name="Comma_CCA" xfId="247"/>
    <cellStyle name="Comma_Charts" xfId="248"/>
    <cellStyle name="Comma_Comm File" xfId="249"/>
    <cellStyle name="Comma_coperdefault" xfId="250"/>
    <cellStyle name="Comma_coperdefault_1" xfId="251"/>
    <cellStyle name="Comma_DEFAULT" xfId="252"/>
    <cellStyle name="Comma_dimon" xfId="253"/>
    <cellStyle name="Comma_Dowell C1b" xfId="254"/>
    <cellStyle name="Comma_Dowell-C1a" xfId="255"/>
    <cellStyle name="Comma_emserdefault" xfId="256"/>
    <cellStyle name="Comma_emserdefault_1" xfId="257"/>
    <cellStyle name="Comma_FP 20 A (1)" xfId="258"/>
    <cellStyle name="Comma_FP 20 A (2)" xfId="259"/>
    <cellStyle name="Comma_FP-20 (App. E)" xfId="260"/>
    <cellStyle name="Comma_FP-20 (App.A) " xfId="261"/>
    <cellStyle name="Comma_FP-20 (App.D)" xfId="262"/>
    <cellStyle name="Comma_FP-20(App.B)" xfId="263"/>
    <cellStyle name="Comma_FP-20(C1) (a)" xfId="264"/>
    <cellStyle name="Comma_FP-20(C1) (a) (2)" xfId="265"/>
    <cellStyle name="Comma_FP-20(C1) (b)" xfId="266"/>
    <cellStyle name="Comma_FP-20(C1) (b) " xfId="267"/>
    <cellStyle name="Comma_FP-20(C1) (b) (2)" xfId="268"/>
    <cellStyle name="Comma_GenAssum" xfId="269"/>
    <cellStyle name="Comma_GP C1a" xfId="270"/>
    <cellStyle name="Comma_GP C1b" xfId="271"/>
    <cellStyle name="Comma_GP_EI_3" xfId="272"/>
    <cellStyle name="Comma_GQ C1A" xfId="273"/>
    <cellStyle name="Comma_GQ C1B" xfId="274"/>
    <cellStyle name="Comma_IPM C1b" xfId="275"/>
    <cellStyle name="Comma_IPMC1a" xfId="276"/>
    <cellStyle name="Comma_IS-Hold" xfId="277"/>
    <cellStyle name="Comma_laroux" xfId="278"/>
    <cellStyle name="Comma_laroux_1" xfId="279"/>
    <cellStyle name="Comma_laroux_1_dimon" xfId="280"/>
    <cellStyle name="Comma_laroux_1_dimon_1" xfId="281"/>
    <cellStyle name="Comma_laroux_1_laroux" xfId="282"/>
    <cellStyle name="Comma_laroux_1_PLDT" xfId="283"/>
    <cellStyle name="Comma_laroux_1_VERA" xfId="284"/>
    <cellStyle name="Comma_laroux_1_VERA_1" xfId="285"/>
    <cellStyle name="Comma_laroux_1_VIRUS-EDY" xfId="286"/>
    <cellStyle name="Comma_laroux_2" xfId="287"/>
    <cellStyle name="Comma_laroux_2_dimon" xfId="288"/>
    <cellStyle name="Comma_laroux_2_dimon_1" xfId="289"/>
    <cellStyle name="Comma_laroux_2_laroux" xfId="290"/>
    <cellStyle name="Comma_laroux_2_laroux_dimon" xfId="291"/>
    <cellStyle name="Comma_laroux_2_PLDT" xfId="292"/>
    <cellStyle name="Comma_laroux_2_VERA" xfId="293"/>
    <cellStyle name="Comma_laroux_2_VERA_1" xfId="294"/>
    <cellStyle name="Comma_laroux_3" xfId="295"/>
    <cellStyle name="Comma_laroux_3_dimon" xfId="296"/>
    <cellStyle name="Comma_laroux_3_dimon_1" xfId="297"/>
    <cellStyle name="Comma_laroux_3_Hedge Strategy Comparison" xfId="298"/>
    <cellStyle name="Comma_laroux_dimon" xfId="299"/>
    <cellStyle name="Comma_laroux_dimon_1" xfId="300"/>
    <cellStyle name="Comma_laroux_laroux" xfId="301"/>
    <cellStyle name="Comma_laroux_laroux_1" xfId="302"/>
    <cellStyle name="Comma_laroux_laroux_dimon" xfId="303"/>
    <cellStyle name="Comma_laroux_PLDT" xfId="304"/>
    <cellStyle name="Comma_laroux_VERA" xfId="305"/>
    <cellStyle name="Comma_laroux_VERA_1" xfId="306"/>
    <cellStyle name="Comma_laroux_VIRUS-EDY" xfId="307"/>
    <cellStyle name="Comma_MATERAL2" xfId="308"/>
    <cellStyle name="Comma_MATERAL2_dimon" xfId="309"/>
    <cellStyle name="Comma_MATERAL2_Hedge Strategy Comparison" xfId="310"/>
    <cellStyle name="Comma_mud plant bolted" xfId="311"/>
    <cellStyle name="Comma_Odner" xfId="312"/>
    <cellStyle name="Comma_Odner (2)" xfId="313"/>
    <cellStyle name="Comma_Odner (3)" xfId="314"/>
    <cellStyle name="Comma_Other Months" xfId="315"/>
    <cellStyle name="Comma_pbdefault" xfId="316"/>
    <cellStyle name="Comma_pbdefault_1" xfId="317"/>
    <cellStyle name="Comma_PERSONAL" xfId="318"/>
    <cellStyle name="Comma_Pink" xfId="319"/>
    <cellStyle name="Comma_Plan" xfId="320"/>
    <cellStyle name="Comma_PLDT" xfId="321"/>
    <cellStyle name="Comma_PLDT_1" xfId="322"/>
    <cellStyle name="Comma_pldt_Calculations" xfId="323"/>
    <cellStyle name="Comma_pldt_dimon" xfId="324"/>
    <cellStyle name="Comma_priccurv" xfId="325"/>
    <cellStyle name="Comma_PROFILE4" xfId="326"/>
    <cellStyle name="Comma_Projects" xfId="327"/>
    <cellStyle name="Comma_Quarter End Months" xfId="328"/>
    <cellStyle name="Comma_r1" xfId="329"/>
    <cellStyle name="Comma_RFI" xfId="330"/>
    <cellStyle name="Comma_RFI_1" xfId="331"/>
    <cellStyle name="Comma_Sales Order" xfId="332"/>
    <cellStyle name="Comma_Sheet1" xfId="333"/>
    <cellStyle name="Comma_Snr. CO" xfId="334"/>
    <cellStyle name="Comma_Subcont File" xfId="335"/>
    <cellStyle name="Comma_Summary Info" xfId="336"/>
    <cellStyle name="Comma_SUMPAGE" xfId="337"/>
    <cellStyle name="Comma_VIRUS-EDY" xfId="338"/>
    <cellStyle name="Comma_White" xfId="339"/>
    <cellStyle name="Comma_WSP" xfId="340"/>
    <cellStyle name="Currency [0]_A" xfId="341"/>
    <cellStyle name="Currency [0]_A_dimon" xfId="342"/>
    <cellStyle name="Currency [0]_algasdefault" xfId="343"/>
    <cellStyle name="Currency [0]_Alternative1" xfId="344"/>
    <cellStyle name="Currency [0]_Alternative1_1" xfId="345"/>
    <cellStyle name="Currency [0]_App E" xfId="346"/>
    <cellStyle name="Currency [0]_Arapahoe" xfId="347"/>
    <cellStyle name="Currency [0]_Assumptions" xfId="348"/>
    <cellStyle name="Currency [0]_bahiadefault" xfId="349"/>
    <cellStyle name="Currency [0]_Book3" xfId="350"/>
    <cellStyle name="Currency [0]_Calculations" xfId="351"/>
    <cellStyle name="Currency [0]_Calculations (2)" xfId="352"/>
    <cellStyle name="Currency [0]_Calculations II" xfId="353"/>
    <cellStyle name="Currency [0]_Calculations III" xfId="354"/>
    <cellStyle name="Currency [0]_Calculations_1" xfId="355"/>
    <cellStyle name="Currency [0]_CAPEX" xfId="356"/>
    <cellStyle name="Currency [0]_CAPEX94" xfId="357"/>
    <cellStyle name="Currency [0]_Cardig GHS" xfId="358"/>
    <cellStyle name="Currency [0]_Cash Flows" xfId="359"/>
    <cellStyle name="Currency [0]_CCA" xfId="360"/>
    <cellStyle name="Currency [0]_Charts" xfId="361"/>
    <cellStyle name="Currency [0]_Comm File" xfId="362"/>
    <cellStyle name="Currency [0]_coperdefault" xfId="363"/>
    <cellStyle name="Currency [0]_Cost Code" xfId="364"/>
    <cellStyle name="Currency [0]_DEFAULT" xfId="365"/>
    <cellStyle name="Currency [0]_dimon" xfId="366"/>
    <cellStyle name="Currency [0]_dimon_1" xfId="367"/>
    <cellStyle name="Currency [0]_dimon_2" xfId="368"/>
    <cellStyle name="Currency [0]_Dowell C1b" xfId="369"/>
    <cellStyle name="Currency [0]_Dowell-C1a" xfId="370"/>
    <cellStyle name="Currency [0]_emserdefault" xfId="371"/>
    <cellStyle name="Currency [0]_FP 20 A (1)" xfId="372"/>
    <cellStyle name="Currency [0]_FP 20 A (2)" xfId="373"/>
    <cellStyle name="Currency [0]_FP-20 (App. E)" xfId="374"/>
    <cellStyle name="Currency [0]_FP-20 (App.A) " xfId="375"/>
    <cellStyle name="Currency [0]_FP-20 (App.D)" xfId="376"/>
    <cellStyle name="Currency [0]_FP-20(App.B)" xfId="377"/>
    <cellStyle name="Currency [0]_FP-20(C1) (a)" xfId="378"/>
    <cellStyle name="Currency [0]_FP-20(C1) (a) (2)" xfId="379"/>
    <cellStyle name="Currency [0]_FP-20(C1) (b)" xfId="380"/>
    <cellStyle name="Currency [0]_FP-20(C1) (b) " xfId="381"/>
    <cellStyle name="Currency [0]_FP-20(C1) (b) (2)" xfId="382"/>
    <cellStyle name="Currency [0]_GenAssum" xfId="383"/>
    <cellStyle name="Currency [0]_GP C1a" xfId="384"/>
    <cellStyle name="Currency [0]_GP C1b" xfId="385"/>
    <cellStyle name="Currency [0]_GP_EI_3" xfId="386"/>
    <cellStyle name="Currency [0]_GQ C1A" xfId="387"/>
    <cellStyle name="Currency [0]_GQ C1B" xfId="388"/>
    <cellStyle name="Currency [0]_IPM C1b" xfId="389"/>
    <cellStyle name="Currency [0]_IPMC1a" xfId="390"/>
    <cellStyle name="Currency [0]_IS-Hold" xfId="391"/>
    <cellStyle name="Currency [0]_laroux" xfId="392"/>
    <cellStyle name="Currency [0]_laroux_1" xfId="393"/>
    <cellStyle name="Currency [0]_laroux_1_dimon" xfId="394"/>
    <cellStyle name="Currency [0]_laroux_1_dimon_1" xfId="395"/>
    <cellStyle name="Currency [0]_laroux_1_dimon_2" xfId="396"/>
    <cellStyle name="Currency [0]_laroux_1_laroux" xfId="397"/>
    <cellStyle name="Currency [0]_laroux_1_laroux_1" xfId="398"/>
    <cellStyle name="Currency [0]_laroux_1_laroux_dimon" xfId="399"/>
    <cellStyle name="Currency [0]_laroux_1_Locas" xfId="400"/>
    <cellStyle name="Currency [0]_laroux_1_PLDT" xfId="401"/>
    <cellStyle name="Currency [0]_laroux_1_VERA" xfId="402"/>
    <cellStyle name="Currency [0]_laroux_1_VERA_1" xfId="403"/>
    <cellStyle name="Currency [0]_laroux_1_VIRUS-EDY" xfId="404"/>
    <cellStyle name="Currency [0]_laroux_2" xfId="405"/>
    <cellStyle name="Currency [0]_laroux_2_dimon" xfId="406"/>
    <cellStyle name="Currency [0]_laroux_2_dimon_1" xfId="407"/>
    <cellStyle name="Currency [0]_laroux_2_dimon_2" xfId="408"/>
    <cellStyle name="Currency [0]_laroux_2_laroux" xfId="409"/>
    <cellStyle name="Currency [0]_laroux_2_laroux_dimon" xfId="410"/>
    <cellStyle name="Currency [0]_laroux_2_Locas" xfId="411"/>
    <cellStyle name="Currency [0]_laroux_2_PLDT" xfId="412"/>
    <cellStyle name="Currency [0]_laroux_2_VIRUS-EDY" xfId="413"/>
    <cellStyle name="Currency [0]_laroux_3" xfId="414"/>
    <cellStyle name="Currency [0]_laroux_3_dimon" xfId="415"/>
    <cellStyle name="Currency [0]_laroux_3_dimon_1" xfId="416"/>
    <cellStyle name="Currency [0]_laroux_3_dimon_2" xfId="417"/>
    <cellStyle name="Currency [0]_laroux_4" xfId="418"/>
    <cellStyle name="Currency [0]_laroux_4_dimon" xfId="419"/>
    <cellStyle name="Currency [0]_laroux_4_dimon_1" xfId="420"/>
    <cellStyle name="Currency [0]_laroux_4_Hedge Strategy Comparison" xfId="421"/>
    <cellStyle name="Currency [0]_laroux_5" xfId="422"/>
    <cellStyle name="Currency [0]_laroux_5_Hedge Strategy Comparison" xfId="423"/>
    <cellStyle name="Currency [0]_laroux_6" xfId="424"/>
    <cellStyle name="Currency [0]_laroux_7" xfId="425"/>
    <cellStyle name="Currency [0]_laroux_dimon" xfId="426"/>
    <cellStyle name="Currency [0]_laroux_dimon_1" xfId="427"/>
    <cellStyle name="Currency [0]_laroux_dimon_2" xfId="428"/>
    <cellStyle name="Currency [0]_laroux_laroux" xfId="429"/>
    <cellStyle name="Currency [0]_laroux_laroux_1" xfId="430"/>
    <cellStyle name="Currency [0]_laroux_laroux_1_dimon" xfId="431"/>
    <cellStyle name="Currency [0]_laroux_laroux_dimon" xfId="432"/>
    <cellStyle name="Currency [0]_laroux_Locas" xfId="433"/>
    <cellStyle name="Currency [0]_laroux_MATERAL2" xfId="434"/>
    <cellStyle name="Currency [0]_laroux_MATERAL2_dimon" xfId="435"/>
    <cellStyle name="Currency [0]_laroux_MATERAL2_laroux" xfId="436"/>
    <cellStyle name="Currency [0]_laroux_MATERAL2_laroux_dimon" xfId="437"/>
    <cellStyle name="Currency [0]_laroux_MATERAL2_VERA" xfId="438"/>
    <cellStyle name="Currency [0]_laroux_MATERAL2_VIRUS-EDY" xfId="439"/>
    <cellStyle name="Currency [0]_laroux_mud plant bolted" xfId="440"/>
    <cellStyle name="Currency [0]_laroux_mud plant bolted_dimon" xfId="441"/>
    <cellStyle name="Currency [0]_laroux_mud plant bolted_Hedge Strategy Comparison" xfId="442"/>
    <cellStyle name="Currency [0]_laroux_VERA" xfId="443"/>
    <cellStyle name="Currency [0]_laroux_VERA_1" xfId="444"/>
    <cellStyle name="Currency [0]_laroux_VIRUS-EDY" xfId="445"/>
    <cellStyle name="Currency [0]_List" xfId="446"/>
    <cellStyle name="Currency [0]_MATERAL2" xfId="447"/>
    <cellStyle name="Currency [0]_MATERAL2_dimon" xfId="448"/>
    <cellStyle name="Currency [0]_MATERAL2_Hedge Strategy Comparison" xfId="449"/>
    <cellStyle name="Currency [0]_mud plant bolted" xfId="450"/>
    <cellStyle name="Currency [0]_mud plant bolted_dimon" xfId="451"/>
    <cellStyle name="Currency [0]_mud plant bolted_laroux" xfId="452"/>
    <cellStyle name="Currency [0]_mud plant bolted_laroux_dimon" xfId="453"/>
    <cellStyle name="Currency [0]_mud plant bolted_VERA" xfId="454"/>
    <cellStyle name="Currency [0]_mud plant bolted_VIRUS-EDY" xfId="455"/>
    <cellStyle name="Currency [0]_Odner" xfId="456"/>
    <cellStyle name="Currency [0]_Odner (2)" xfId="457"/>
    <cellStyle name="Currency [0]_Odner (3)" xfId="458"/>
    <cellStyle name="Currency [0]_Other Months" xfId="459"/>
    <cellStyle name="Currency [0]_pbdefault" xfId="460"/>
    <cellStyle name="Currency [0]_PERSONAL" xfId="461"/>
    <cellStyle name="Currency [0]_Pink" xfId="462"/>
    <cellStyle name="Currency [0]_Plan" xfId="463"/>
    <cellStyle name="Currency [0]_PLDT" xfId="464"/>
    <cellStyle name="Currency [0]_PLDT_1" xfId="465"/>
    <cellStyle name="Currency [0]_pldt_1_dimon" xfId="466"/>
    <cellStyle name="Currency [0]_pldt_Calculations" xfId="467"/>
    <cellStyle name="Currency [0]_pldt_dimon" xfId="468"/>
    <cellStyle name="Currency [0]_priccurv" xfId="469"/>
    <cellStyle name="Currency [0]_PROFILE4" xfId="470"/>
    <cellStyle name="Currency [0]_Projects" xfId="471"/>
    <cellStyle name="Currency [0]_Quarter End Months" xfId="472"/>
    <cellStyle name="Currency [0]_r1" xfId="473"/>
    <cellStyle name="Currency [0]_RFI" xfId="474"/>
    <cellStyle name="Currency [0]_RFI_1" xfId="475"/>
    <cellStyle name="Currency [0]_Sales Order" xfId="476"/>
    <cellStyle name="Currency [0]_Sheet1" xfId="477"/>
    <cellStyle name="Currency [0]_Sheet1 (2)" xfId="478"/>
    <cellStyle name="Currency [0]_Snr. CO" xfId="479"/>
    <cellStyle name="Currency [0]_Subcont File" xfId="480"/>
    <cellStyle name="Currency [0]_Summary Info" xfId="481"/>
    <cellStyle name="Currency [0]_SUMPAGE" xfId="482"/>
    <cellStyle name="Currency [0]_VERA" xfId="483"/>
    <cellStyle name="Currency [0]_VIRUS-EDY" xfId="484"/>
    <cellStyle name="Currency [0]_VIRUS-EDY_1" xfId="485"/>
    <cellStyle name="Currency [0]_White" xfId="486"/>
    <cellStyle name="Currency [0]_WSP" xfId="487"/>
    <cellStyle name="Currency_A" xfId="488"/>
    <cellStyle name="Currency_A_dimon" xfId="489"/>
    <cellStyle name="Currency_algasdefault" xfId="490"/>
    <cellStyle name="Currency_algasdefault_1" xfId="491"/>
    <cellStyle name="Currency_Alternative1" xfId="492"/>
    <cellStyle name="Currency_Alternative1_1" xfId="493"/>
    <cellStyle name="Currency_App E" xfId="494"/>
    <cellStyle name="Currency_Arapahoe" xfId="495"/>
    <cellStyle name="Currency_Assumptions" xfId="496"/>
    <cellStyle name="Currency_bahiadefault" xfId="497"/>
    <cellStyle name="Currency_bahiadefault_1" xfId="498"/>
    <cellStyle name="Currency_BIGOUT" xfId="499"/>
    <cellStyle name="Currency_Book3" xfId="500"/>
    <cellStyle name="Currency_Calculations" xfId="501"/>
    <cellStyle name="Currency_Calculations (2)" xfId="502"/>
    <cellStyle name="Currency_Calculations II" xfId="503"/>
    <cellStyle name="Currency_Calculations III" xfId="504"/>
    <cellStyle name="Currency_Calculations_1" xfId="505"/>
    <cellStyle name="Currency_CAPEX" xfId="506"/>
    <cellStyle name="Currency_CAPEX94" xfId="507"/>
    <cellStyle name="Currency_Cardig GHS" xfId="508"/>
    <cellStyle name="Currency_Cash Flows" xfId="509"/>
    <cellStyle name="Currency_CCA" xfId="510"/>
    <cellStyle name="Currency_Charts" xfId="511"/>
    <cellStyle name="Currency_Comm File" xfId="512"/>
    <cellStyle name="Currency_coperdefault" xfId="513"/>
    <cellStyle name="Currency_coperdefault_1" xfId="514"/>
    <cellStyle name="Currency_Cost Code" xfId="515"/>
    <cellStyle name="Currency_DEFAULT" xfId="516"/>
    <cellStyle name="Currency_dimon" xfId="517"/>
    <cellStyle name="Currency_dimon_1" xfId="518"/>
    <cellStyle name="Currency_dimon_2" xfId="519"/>
    <cellStyle name="Currency_Dowell C1b" xfId="520"/>
    <cellStyle name="Currency_Dowell-C1a" xfId="521"/>
    <cellStyle name="Currency_emserdefault" xfId="522"/>
    <cellStyle name="Currency_emserdefault_1" xfId="523"/>
    <cellStyle name="Currency_FP 20 A (1)" xfId="524"/>
    <cellStyle name="Currency_FP 20 A (2)" xfId="525"/>
    <cellStyle name="Currency_FP-20 (App. E)" xfId="526"/>
    <cellStyle name="Currency_FP-20 (App.A) " xfId="527"/>
    <cellStyle name="Currency_FP-20 (App.D)" xfId="528"/>
    <cellStyle name="Currency_FP-20(App.B)" xfId="529"/>
    <cellStyle name="Currency_FP-20(C1) (a)" xfId="530"/>
    <cellStyle name="Currency_FP-20(C1) (a) (2)" xfId="531"/>
    <cellStyle name="Currency_FP-20(C1) (b)" xfId="532"/>
    <cellStyle name="Currency_FP-20(C1) (b) " xfId="533"/>
    <cellStyle name="Currency_FP-20(C1) (b) (2)" xfId="534"/>
    <cellStyle name="Currency_GenAssum" xfId="535"/>
    <cellStyle name="Currency_GP C1a" xfId="536"/>
    <cellStyle name="Currency_GP C1b" xfId="537"/>
    <cellStyle name="Currency_GP_EI_3" xfId="538"/>
    <cellStyle name="Currency_GQ C1A" xfId="539"/>
    <cellStyle name="Currency_GQ C1B" xfId="540"/>
    <cellStyle name="Currency_IPM C1b" xfId="541"/>
    <cellStyle name="Currency_IPMC1a" xfId="542"/>
    <cellStyle name="Currency_IS-Hold" xfId="543"/>
    <cellStyle name="Currency_laroux" xfId="544"/>
    <cellStyle name="Currency_laroux_1" xfId="545"/>
    <cellStyle name="Currency_laroux_1_dimon" xfId="546"/>
    <cellStyle name="Currency_laroux_1_dimon_1" xfId="547"/>
    <cellStyle name="Currency_laroux_1_dimon_2" xfId="548"/>
    <cellStyle name="Currency_laroux_1_laroux" xfId="549"/>
    <cellStyle name="Currency_laroux_1_laroux_1" xfId="550"/>
    <cellStyle name="Currency_laroux_1_laroux_dimon" xfId="551"/>
    <cellStyle name="Currency_laroux_1_Locas" xfId="552"/>
    <cellStyle name="Currency_laroux_1_PLDT" xfId="553"/>
    <cellStyle name="Currency_laroux_1_VERA" xfId="554"/>
    <cellStyle name="Currency_laroux_1_VERA_1" xfId="555"/>
    <cellStyle name="Currency_laroux_1_VIRUS-EDY" xfId="556"/>
    <cellStyle name="Currency_laroux_2" xfId="557"/>
    <cellStyle name="Currency_laroux_2_dimon" xfId="558"/>
    <cellStyle name="Currency_laroux_2_dimon_1" xfId="559"/>
    <cellStyle name="Currency_laroux_2_dimon_2" xfId="560"/>
    <cellStyle name="Currency_laroux_2_laroux" xfId="561"/>
    <cellStyle name="Currency_laroux_2_laroux_dimon" xfId="562"/>
    <cellStyle name="Currency_laroux_2_Locas" xfId="563"/>
    <cellStyle name="Currency_laroux_2_PLDT" xfId="564"/>
    <cellStyle name="Currency_laroux_2_VIRUS-EDY" xfId="565"/>
    <cellStyle name="Currency_laroux_3" xfId="566"/>
    <cellStyle name="Currency_laroux_3_dimon" xfId="567"/>
    <cellStyle name="Currency_laroux_3_dimon_1" xfId="568"/>
    <cellStyle name="Currency_laroux_3_dimon_2" xfId="569"/>
    <cellStyle name="Currency_laroux_4" xfId="570"/>
    <cellStyle name="Currency_laroux_4_dimon" xfId="571"/>
    <cellStyle name="Currency_laroux_4_dimon_1" xfId="572"/>
    <cellStyle name="Currency_laroux_4_Hedge Strategy Comparison" xfId="573"/>
    <cellStyle name="Currency_laroux_5" xfId="574"/>
    <cellStyle name="Currency_laroux_5_Hedge Strategy Comparison" xfId="575"/>
    <cellStyle name="Currency_laroux_6" xfId="576"/>
    <cellStyle name="Currency_laroux_7" xfId="577"/>
    <cellStyle name="Currency_laroux_8" xfId="578"/>
    <cellStyle name="Currency_laroux_dimon" xfId="579"/>
    <cellStyle name="Currency_laroux_dimon_1" xfId="580"/>
    <cellStyle name="Currency_laroux_dimon_2" xfId="581"/>
    <cellStyle name="Currency_laroux_laroux" xfId="582"/>
    <cellStyle name="Currency_laroux_laroux_1" xfId="583"/>
    <cellStyle name="Currency_laroux_laroux_1_dimon" xfId="584"/>
    <cellStyle name="Currency_laroux_laroux_dimon" xfId="585"/>
    <cellStyle name="Currency_laroux_Locas" xfId="586"/>
    <cellStyle name="Currency_laroux_VERA" xfId="587"/>
    <cellStyle name="Currency_laroux_VERA_1" xfId="588"/>
    <cellStyle name="Currency_laroux_VIRUS-EDY" xfId="589"/>
    <cellStyle name="Currency_List" xfId="590"/>
    <cellStyle name="Currency_MATERAL2" xfId="591"/>
    <cellStyle name="Currency_MATERAL2_dimon" xfId="592"/>
    <cellStyle name="Currency_MATERAL2_Hedge Strategy Comparison" xfId="593"/>
    <cellStyle name="Currency_mud plant bolted" xfId="594"/>
    <cellStyle name="Currency_mud plant bolted_dimon" xfId="595"/>
    <cellStyle name="Currency_mud plant bolted_dimon_Hedge Strategy Comparison" xfId="596"/>
    <cellStyle name="Currency_mud plant bolted_Hedge Strategy Comparison" xfId="597"/>
    <cellStyle name="Currency_mud plant bolted_PLDT" xfId="598"/>
    <cellStyle name="Currency_mud plant bolted_VERA" xfId="599"/>
    <cellStyle name="Currency_mud plant bolted_VERA_1" xfId="600"/>
    <cellStyle name="Currency_Odner" xfId="601"/>
    <cellStyle name="Currency_Odner (2)" xfId="602"/>
    <cellStyle name="Currency_Odner (3)" xfId="603"/>
    <cellStyle name="Currency_Other Months" xfId="604"/>
    <cellStyle name="Currency_pbdefault" xfId="605"/>
    <cellStyle name="Currency_pbdefault_1" xfId="606"/>
    <cellStyle name="Currency_PERSONAL" xfId="607"/>
    <cellStyle name="Currency_Pink" xfId="608"/>
    <cellStyle name="Currency_Plan" xfId="609"/>
    <cellStyle name="Currency_PLDT" xfId="610"/>
    <cellStyle name="Currency_PLDT_1" xfId="611"/>
    <cellStyle name="Currency_pldt_1_dimon" xfId="612"/>
    <cellStyle name="Currency_pldt_Calculations" xfId="613"/>
    <cellStyle name="Currency_pldt_dimon" xfId="614"/>
    <cellStyle name="Currency_priccurv" xfId="615"/>
    <cellStyle name="Currency_PROFILE4" xfId="616"/>
    <cellStyle name="Currency_Projects" xfId="617"/>
    <cellStyle name="Currency_Quarter End Months" xfId="618"/>
    <cellStyle name="Currency_r1" xfId="619"/>
    <cellStyle name="Currency_RFI" xfId="620"/>
    <cellStyle name="Currency_RFI_1" xfId="621"/>
    <cellStyle name="Currency_Sales Order" xfId="622"/>
    <cellStyle name="Currency_Sheet1" xfId="623"/>
    <cellStyle name="Currency_Sheet1 (2)" xfId="624"/>
    <cellStyle name="Currency_Snr. CO" xfId="625"/>
    <cellStyle name="Currency_Subcont File" xfId="626"/>
    <cellStyle name="Currency_Summary Info" xfId="627"/>
    <cellStyle name="Currency_SUMPAGE" xfId="628"/>
    <cellStyle name="Currency_VERA" xfId="629"/>
    <cellStyle name="Currency_VIRUS-EDY" xfId="630"/>
    <cellStyle name="Currency_VIRUS-EDY_1" xfId="631"/>
    <cellStyle name="Currency_White" xfId="632"/>
    <cellStyle name="Currency_WSP" xfId="633"/>
    <cellStyle name="Date" xfId="634"/>
    <cellStyle name="Fixed" xfId="635"/>
    <cellStyle name="HEADER" xfId="636"/>
    <cellStyle name="Heading 1" xfId="637"/>
    <cellStyle name="Heading2" xfId="638"/>
    <cellStyle name="HIGHLIGHT" xfId="639"/>
    <cellStyle name="Normal - Style1" xfId="640"/>
    <cellStyle name="Normal_20196" xfId="641"/>
    <cellStyle name="Normal_4018fin" xfId="642"/>
    <cellStyle name="Normal_4021fin" xfId="643"/>
    <cellStyle name="Normal_A" xfId="644"/>
    <cellStyle name="Normal_A (2)" xfId="645"/>
    <cellStyle name="Normal_A_dimon" xfId="646"/>
    <cellStyle name="Normal_A_VERA" xfId="647"/>
    <cellStyle name="Normal_algasdefault" xfId="648"/>
    <cellStyle name="Normal_algasdefault_1" xfId="649"/>
    <cellStyle name="Normal_Alternative1" xfId="650"/>
    <cellStyle name="Normal_Alternative1_1" xfId="651"/>
    <cellStyle name="Normal_AOPS" xfId="652"/>
    <cellStyle name="Normal_App E" xfId="653"/>
    <cellStyle name="Normal_Arapahoe" xfId="654"/>
    <cellStyle name="Normal_Assumptions" xfId="655"/>
    <cellStyle name="Normal_bahiadefault" xfId="656"/>
    <cellStyle name="Normal_bahiadefault_1" xfId="657"/>
    <cellStyle name="Normal_BIGOUT" xfId="658"/>
    <cellStyle name="Normal_Book3" xfId="659"/>
    <cellStyle name="Normal_BREPAIR" xfId="660"/>
    <cellStyle name="Normal_Calculations" xfId="661"/>
    <cellStyle name="Normal_Calculations (2)" xfId="662"/>
    <cellStyle name="Normal_Calculations II" xfId="663"/>
    <cellStyle name="Normal_Calculations II_1" xfId="664"/>
    <cellStyle name="Normal_Calculations III" xfId="665"/>
    <cellStyle name="Normal_Calculations_1" xfId="666"/>
    <cellStyle name="Normal_Calculations_2" xfId="667"/>
    <cellStyle name="Normal_CAPEX" xfId="668"/>
    <cellStyle name="Normal_CAPEX2" xfId="669"/>
    <cellStyle name="Normal_CAPEX94" xfId="670"/>
    <cellStyle name="Normal_CAPEX_VERA" xfId="671"/>
    <cellStyle name="Normal_Cardig GHS" xfId="672"/>
    <cellStyle name="Normal_Cash Flows" xfId="673"/>
    <cellStyle name="Normal_Certs Q2" xfId="674"/>
    <cellStyle name="Normal_Certs Q2 (2)" xfId="675"/>
    <cellStyle name="Normal_CFMACROS.XLM" xfId="676"/>
    <cellStyle name="Normal_CFMODEL.XLS" xfId="677"/>
    <cellStyle name="Normal_Co-wide Monthly" xfId="678"/>
    <cellStyle name="Normal_COMOTH" xfId="679"/>
    <cellStyle name="Normal_coperdefault" xfId="680"/>
    <cellStyle name="Normal_coperdefault_1" xfId="681"/>
    <cellStyle name="Normal_Cost Code" xfId="682"/>
    <cellStyle name="Normal_DEFAULT" xfId="683"/>
    <cellStyle name="Normal_dimon" xfId="684"/>
    <cellStyle name="Normal_dimon_1" xfId="685"/>
    <cellStyle name="Normal_dimon_2" xfId="686"/>
    <cellStyle name="Normal_dimon_3" xfId="687"/>
    <cellStyle name="Normal_DIV" xfId="688"/>
    <cellStyle name="Normal_Dowell C1b" xfId="689"/>
    <cellStyle name="Normal_Dowell-C1a" xfId="690"/>
    <cellStyle name="Normal_emserdefault" xfId="691"/>
    <cellStyle name="Normal_emserdefault_1" xfId="692"/>
    <cellStyle name="Normal_EQCON" xfId="693"/>
    <cellStyle name="Normal_FP 20 A (1)" xfId="694"/>
    <cellStyle name="Normal_FP 20 A (2)" xfId="695"/>
    <cellStyle name="Normal_FP-20 (App. E)" xfId="696"/>
    <cellStyle name="Normal_FP-20 (App.A) " xfId="697"/>
    <cellStyle name="Normal_FP-20 (App.A) _1" xfId="698"/>
    <cellStyle name="Normal_FP-20(C1) (a)" xfId="699"/>
    <cellStyle name="Normal_FP-20(C1) (a) (2)" xfId="700"/>
    <cellStyle name="Normal_FP-20(C1) (a)_1" xfId="701"/>
    <cellStyle name="Normal_FP-20(C1) (b)" xfId="702"/>
    <cellStyle name="Normal_FP-20(C1) (b) " xfId="703"/>
    <cellStyle name="Normal_FP-20(C1) (b) (2)" xfId="704"/>
    <cellStyle name="Normal_FP-20(C1) (e)" xfId="705"/>
    <cellStyle name="Normal_FP20_C1A" xfId="706"/>
    <cellStyle name="Normal_FP20_C1B" xfId="707"/>
    <cellStyle name="Normal_GE03" xfId="708"/>
    <cellStyle name="Normal_GE04" xfId="709"/>
    <cellStyle name="Normal_GenAssum" xfId="710"/>
    <cellStyle name="Normal_GP C1a" xfId="711"/>
    <cellStyle name="Normal_GP C1b" xfId="712"/>
    <cellStyle name="Normal_GP_EI_3" xfId="713"/>
    <cellStyle name="Normal_GQ C1A" xfId="714"/>
    <cellStyle name="Normal_GQ C1B" xfId="715"/>
    <cellStyle name="Normal_HC" xfId="716"/>
    <cellStyle name="Normal_Igobox" xfId="717"/>
    <cellStyle name="Normal_Igobox_1" xfId="718"/>
    <cellStyle name="Normal_Igobox_2" xfId="719"/>
    <cellStyle name="Normal_Igobox_Imacros" xfId="720"/>
    <cellStyle name="Normal_Igobox_IPP" xfId="721"/>
    <cellStyle name="Normal_Igobox_Iprintbox" xfId="722"/>
    <cellStyle name="Normal_Imacros" xfId="723"/>
    <cellStyle name="Normal_Imacros_1" xfId="724"/>
    <cellStyle name="Normal_Imacros_2" xfId="725"/>
    <cellStyle name="Normal_Input" xfId="726"/>
    <cellStyle name="Normal_INPUT_1" xfId="727"/>
    <cellStyle name="Normal_INPUT_GenAssum" xfId="728"/>
    <cellStyle name="Normal_Inputs" xfId="729"/>
    <cellStyle name="Normal_INVREV" xfId="730"/>
    <cellStyle name="Normal_IPM C1b" xfId="731"/>
    <cellStyle name="Normal_IPMC1a" xfId="732"/>
    <cellStyle name="Normal_IPP" xfId="733"/>
    <cellStyle name="Normal_IPP_1" xfId="734"/>
    <cellStyle name="Normal_IPP_1_Igobox" xfId="735"/>
    <cellStyle name="Normal_IPP_1_Imacros" xfId="736"/>
    <cellStyle name="Normal_IPP_1_Iprintbox" xfId="737"/>
    <cellStyle name="Normal_IPP_2" xfId="738"/>
    <cellStyle name="Normal_Iprintbox" xfId="739"/>
    <cellStyle name="Normal_Iprintbox_1" xfId="740"/>
    <cellStyle name="Normal_Iprintbox_2" xfId="741"/>
    <cellStyle name="Normal_IS-Hold" xfId="742"/>
    <cellStyle name="Normal_Iterbox" xfId="743"/>
    <cellStyle name="Normal_laroux" xfId="744"/>
    <cellStyle name="Normal_laroux_1" xfId="745"/>
    <cellStyle name="Normal_laroux_1_dimon" xfId="746"/>
    <cellStyle name="Normal_laroux_1_dimon_1" xfId="747"/>
    <cellStyle name="Normal_laroux_1_laroux" xfId="748"/>
    <cellStyle name="Normal_laroux_1_laroux_1" xfId="749"/>
    <cellStyle name="Normal_laroux_1_laroux_2" xfId="750"/>
    <cellStyle name="Normal_laroux_1_Locas" xfId="751"/>
    <cellStyle name="Normal_laroux_1_Locas_1" xfId="752"/>
    <cellStyle name="Normal_laroux_1_PLDT" xfId="753"/>
    <cellStyle name="Normal_laroux_1_VERA" xfId="754"/>
    <cellStyle name="Normal_laroux_1_VERA_1" xfId="755"/>
    <cellStyle name="Normal_laroux_1_VIRUS-EDY" xfId="756"/>
    <cellStyle name="Normal_laroux_2" xfId="757"/>
    <cellStyle name="Normal_laroux_2_dimon" xfId="758"/>
    <cellStyle name="Normal_laroux_2_dimon_1" xfId="759"/>
    <cellStyle name="Normal_laroux_2_dimon_2" xfId="760"/>
    <cellStyle name="Normal_laroux_2_laroux" xfId="761"/>
    <cellStyle name="Normal_laroux_2_laroux_1" xfId="762"/>
    <cellStyle name="Normal_laroux_2_laroux_2" xfId="763"/>
    <cellStyle name="Normal_laroux_2_Locas" xfId="764"/>
    <cellStyle name="Normal_laroux_2_Locas_1" xfId="765"/>
    <cellStyle name="Normal_laroux_2_VIRUS-EDY" xfId="766"/>
    <cellStyle name="Normal_laroux_3" xfId="767"/>
    <cellStyle name="Normal_laroux_3_dimon" xfId="768"/>
    <cellStyle name="Normal_laroux_3_dimon_1" xfId="769"/>
    <cellStyle name="Normal_laroux_3_dimon_2" xfId="770"/>
    <cellStyle name="Normal_laroux_3_dimon_3" xfId="771"/>
    <cellStyle name="Normal_laroux_3_laroux" xfId="772"/>
    <cellStyle name="Normal_laroux_3_laroux_1" xfId="773"/>
    <cellStyle name="Normal_laroux_3_laroux_2" xfId="774"/>
    <cellStyle name="Normal_laroux_3_Locas" xfId="775"/>
    <cellStyle name="Normal_laroux_3_PLDT" xfId="776"/>
    <cellStyle name="Normal_laroux_3_VERA" xfId="777"/>
    <cellStyle name="Normal_laroux_3_VERA_1" xfId="778"/>
    <cellStyle name="Normal_laroux_3_VIRUS-EDY" xfId="779"/>
    <cellStyle name="Normal_laroux_4" xfId="780"/>
    <cellStyle name="Normal_laroux_4_dimon" xfId="781"/>
    <cellStyle name="Normal_laroux_4_dimon_1" xfId="782"/>
    <cellStyle name="Normal_laroux_4_dimon_2" xfId="783"/>
    <cellStyle name="Normal_laroux_4_laroux" xfId="784"/>
    <cellStyle name="Normal_laroux_4_laroux_1" xfId="785"/>
    <cellStyle name="Normal_laroux_4_laroux_2" xfId="786"/>
    <cellStyle name="Normal_laroux_4_PLDT" xfId="787"/>
    <cellStyle name="Normal_laroux_4_VERA" xfId="788"/>
    <cellStyle name="Normal_laroux_4_VIRUS-EDY" xfId="789"/>
    <cellStyle name="Normal_laroux_5" xfId="790"/>
    <cellStyle name="Normal_laroux_5_dimon" xfId="791"/>
    <cellStyle name="Normal_laroux_5_dimon_1" xfId="792"/>
    <cellStyle name="Normal_laroux_5_dimon_2" xfId="793"/>
    <cellStyle name="Normal_laroux_5_laroux" xfId="794"/>
    <cellStyle name="Normal_laroux_5_laroux_1" xfId="795"/>
    <cellStyle name="Normal_laroux_5_laroux_2" xfId="796"/>
    <cellStyle name="Normal_laroux_5_PLDT" xfId="797"/>
    <cellStyle name="Normal_laroux_5_VERA" xfId="798"/>
    <cellStyle name="Normal_laroux_5_VIRUS-EDY" xfId="799"/>
    <cellStyle name="Normal_laroux_6" xfId="800"/>
    <cellStyle name="Normal_laroux_6_dimon" xfId="801"/>
    <cellStyle name="Normal_laroux_6_dimon_1" xfId="802"/>
    <cellStyle name="Normal_laroux_6_dimon_2" xfId="803"/>
    <cellStyle name="Normal_laroux_6_laroux" xfId="804"/>
    <cellStyle name="Normal_laroux_6_laroux_1" xfId="805"/>
    <cellStyle name="Normal_laroux_6_PLDT" xfId="806"/>
    <cellStyle name="Normal_laroux_6_VERA" xfId="807"/>
    <cellStyle name="Normal_laroux_6_VIRUS-EDY" xfId="808"/>
    <cellStyle name="Normal_laroux_7" xfId="809"/>
    <cellStyle name="Normal_laroux_7_dimon" xfId="810"/>
    <cellStyle name="Normal_laroux_7_dimon_1" xfId="811"/>
    <cellStyle name="Normal_laroux_7_laroux" xfId="812"/>
    <cellStyle name="Normal_laroux_7_VERA" xfId="813"/>
    <cellStyle name="Normal_laroux_7_VIRUS-EDY" xfId="814"/>
    <cellStyle name="Normal_laroux_8" xfId="815"/>
    <cellStyle name="Normal_laroux_8_dimon" xfId="816"/>
    <cellStyle name="Normal_laroux_8_VERA" xfId="817"/>
    <cellStyle name="Normal_laroux_9" xfId="818"/>
    <cellStyle name="Normal_laroux_9_dimon" xfId="819"/>
    <cellStyle name="Normal_laroux_A" xfId="820"/>
    <cellStyle name="Normal_laroux_B" xfId="821"/>
    <cellStyle name="Normal_laroux_C" xfId="822"/>
    <cellStyle name="Normal_laroux_D" xfId="823"/>
    <cellStyle name="Normal_laroux_dimon" xfId="824"/>
    <cellStyle name="Normal_laroux_dimon_1" xfId="825"/>
    <cellStyle name="Normal_laroux_dimon_2" xfId="826"/>
    <cellStyle name="Normal_laroux_dimon_3" xfId="827"/>
    <cellStyle name="Normal_laroux_dimon_4" xfId="828"/>
    <cellStyle name="Normal_laroux_laroux" xfId="829"/>
    <cellStyle name="Normal_laroux_laroux_1" xfId="830"/>
    <cellStyle name="Normal_laroux_laroux_2" xfId="831"/>
    <cellStyle name="Normal_laroux_Locas" xfId="832"/>
    <cellStyle name="Normal_laroux_PLDT" xfId="833"/>
    <cellStyle name="Normal_laroux_VERA" xfId="834"/>
    <cellStyle name="Normal_laroux_VERA_1" xfId="835"/>
    <cellStyle name="Normal_laroux_VIRUS-EDY" xfId="836"/>
    <cellStyle name="Normal_List" xfId="837"/>
    <cellStyle name="Normal_Locas" xfId="838"/>
    <cellStyle name="Normal_Locas_1" xfId="839"/>
    <cellStyle name="Normal_MAJREP" xfId="840"/>
    <cellStyle name="Normal_MATERAL2" xfId="841"/>
    <cellStyle name="Normal_MID CURVE" xfId="842"/>
    <cellStyle name="Normal_Module1 (2)" xfId="843"/>
    <cellStyle name="Normal_Module1 (2)_1" xfId="844"/>
    <cellStyle name="Normal_MONTHLY" xfId="845"/>
    <cellStyle name="Normal_MOR  - Supp" xfId="846"/>
    <cellStyle name="Normal_mud plant bolted" xfId="847"/>
    <cellStyle name="Normal_Multikarya" xfId="848"/>
    <cellStyle name="Normal_OPSTAT" xfId="849"/>
    <cellStyle name="Normal_Other Months" xfId="850"/>
    <cellStyle name="Normal_pbdefault" xfId="851"/>
    <cellStyle name="Normal_pbdefault_1" xfId="852"/>
    <cellStyle name="Normal_PERSONAL" xfId="853"/>
    <cellStyle name="Normal_PERSONAL_dimon" xfId="854"/>
    <cellStyle name="Normal_PERSONAL_Locas" xfId="855"/>
    <cellStyle name="Normal_Pink" xfId="856"/>
    <cellStyle name="Normal_PLDT" xfId="857"/>
    <cellStyle name="Normal_PLDT_1" xfId="858"/>
    <cellStyle name="Normal_pldt_1_Calculations" xfId="859"/>
    <cellStyle name="Normal_PLDT_2" xfId="860"/>
    <cellStyle name="Normal_pldt_2_Calculations" xfId="861"/>
    <cellStyle name="Normal_pldt_2_dimon" xfId="862"/>
    <cellStyle name="Normal_pldt_3" xfId="863"/>
    <cellStyle name="Normal_pldt_4" xfId="864"/>
    <cellStyle name="Normal_PLDT_4_dimon" xfId="865"/>
    <cellStyle name="Normal_pldt_Calculations" xfId="866"/>
    <cellStyle name="Normal_PLDT_dimon" xfId="867"/>
    <cellStyle name="Normal_POW-Provision" xfId="868"/>
    <cellStyle name="Normal_priccurv" xfId="869"/>
    <cellStyle name="Normal_priccurv_1" xfId="870"/>
    <cellStyle name="Normal_priccurv_2" xfId="871"/>
    <cellStyle name="Normal_PrintBox (2)" xfId="872"/>
    <cellStyle name="Normal_PROD SALES" xfId="873"/>
    <cellStyle name="Normal_PROD SALES by Region Pg 2" xfId="874"/>
    <cellStyle name="Normal_PRODUCT" xfId="875"/>
    <cellStyle name="Normal_Production Payment model" xfId="876"/>
    <cellStyle name="Normal_production tony" xfId="877"/>
    <cellStyle name="Normal_PROFILE4" xfId="878"/>
    <cellStyle name="Normal_Q08-95.XLS" xfId="879"/>
    <cellStyle name="Normal_QMM-1" xfId="880"/>
    <cellStyle name="Normal_Quarter End Months" xfId="881"/>
    <cellStyle name="Normal_r1" xfId="882"/>
    <cellStyle name="Normal_Sales Order" xfId="883"/>
    <cellStyle name="Normal_SC COP" xfId="884"/>
    <cellStyle name="Normal_Sheet1" xfId="885"/>
    <cellStyle name="Normal_Sheet1 (2)" xfId="886"/>
    <cellStyle name="Normal_Sheet1 (2)_VERA" xfId="887"/>
    <cellStyle name="Normal_Sheet1 (2)_VERA_1" xfId="888"/>
    <cellStyle name="Normal_Sheet1_List" xfId="889"/>
    <cellStyle name="Normal_Sheet1_VERA" xfId="890"/>
    <cellStyle name="Normal_Sheet1_VERA_1" xfId="891"/>
    <cellStyle name="Normal_SOP" xfId="892"/>
    <cellStyle name="Normal_Summary" xfId="893"/>
    <cellStyle name="Normal_SUMPAGE" xfId="894"/>
    <cellStyle name="Normal_Template" xfId="895"/>
    <cellStyle name="Normal_White" xfId="896"/>
    <cellStyle name="Normal_WSP" xfId="897"/>
    <cellStyle name="Normal_~0043415" xfId="898"/>
    <cellStyle name="Total" xfId="899"/>
    <cellStyle name="Unprot" xfId="900"/>
    <cellStyle name="Unprot$" xfId="901"/>
    <cellStyle name="Unprotect" xfId="902"/>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externalLink" Target="externalLinks/externalLink1.xml"/><Relationship Id="rId29" Type="http://schemas.openxmlformats.org/officeDocument/2006/relationships/externalLink" Target="externalLinks/externalLink2.xml"/><Relationship Id="rId30" Type="http://schemas.openxmlformats.org/officeDocument/2006/relationships/externalLink" Target="externalLinks/externalLink3.xml"/><Relationship Id="rId31"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50" strike="noStrike" u="none">
                <a:solidFill>
                  <a:srgbClr val="000000"/>
                </a:solidFill>
                <a:uFillTx/>
                <a:latin typeface="Arial"/>
              </a:rPr>
              <a:t>V@R</a:t>
            </a:r>
          </a:p>
        </c:rich>
      </c:tx>
      <c:overlay val="0"/>
      <c:spPr>
        <a:noFill/>
        <a:ln w="0">
          <a:noFill/>
        </a:ln>
      </c:spPr>
    </c:title>
    <c:autoTitleDeleted val="0"/>
    <c:plotArea>
      <c:layout>
        <c:manualLayout>
          <c:xMode val="edge"/>
          <c:yMode val="edge"/>
          <c:x val="0.0866692576758648"/>
          <c:y val="0.0797760671798461"/>
          <c:w val="0.890011659541391"/>
          <c:h val="0.906053184044787"/>
        </c:manualLayout>
      </c:layout>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AndyJeff!$J$52:$J$56</c:f>
              <c:strCache>
                <c:ptCount val="5"/>
                <c:pt idx="0">
                  <c:v>Limit(MM)</c:v>
                </c:pt>
                <c:pt idx="1">
                  <c:v>Position</c:v>
                </c:pt>
                <c:pt idx="2">
                  <c:v/>
                </c:pt>
                <c:pt idx="3">
                  <c:v>Limit(MM)</c:v>
                </c:pt>
                <c:pt idx="4">
                  <c:v>Current Position</c:v>
                </c:pt>
              </c:strCache>
            </c:strRef>
          </c:cat>
          <c:val>
            <c:numRef>
              <c:f>AndyJeff!$K$52:$K$53</c:f>
              <c:numCache>
                <c:formatCode>\$#,##0.00_);[RED]"($"#,##0.00\)</c:formatCode>
                <c:ptCount val="2"/>
                <c:pt idx="0">
                  <c:v>10</c:v>
                </c:pt>
              </c:numCache>
            </c:numRef>
          </c:val>
        </c:ser>
        <c:gapWidth val="150"/>
        <c:overlap val="0"/>
        <c:axId val="18269538"/>
        <c:axId val="92998011"/>
      </c:barChart>
      <c:catAx>
        <c:axId val="18269538"/>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92998011"/>
        <c:crossesAt val="0"/>
        <c:auto val="1"/>
        <c:lblAlgn val="ctr"/>
        <c:lblOffset val="100"/>
        <c:noMultiLvlLbl val="0"/>
      </c:catAx>
      <c:valAx>
        <c:axId val="92998011"/>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550" strike="noStrike" u="none">
                    <a:solidFill>
                      <a:srgbClr val="000000"/>
                    </a:solidFill>
                    <a:uFillTx/>
                    <a:latin typeface="Arial"/>
                  </a:rPr>
                  <a:t>Exposure ($MM)</a:t>
                </a:r>
              </a:p>
            </c:rich>
          </c:tx>
          <c:overlay val="0"/>
          <c:spPr>
            <a:noFill/>
            <a:ln w="0">
              <a:noFill/>
            </a:ln>
          </c:spPr>
        </c:title>
        <c:numFmt formatCode="\$#,##0.00_);[RED]&quot;($&quot;#,##0.00\)"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8269538"/>
        <c:crossesAt val="1"/>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Open Position</a:t>
            </a:r>
          </a:p>
        </c:rich>
      </c:tx>
      <c:overlay val="0"/>
      <c:spPr>
        <a:noFill/>
        <a:ln w="0">
          <a:noFill/>
        </a:ln>
      </c:spPr>
    </c:title>
    <c:autoTitleDeleted val="0"/>
    <c:plotArea>
      <c:layout>
        <c:manualLayout>
          <c:xMode val="edge"/>
          <c:yMode val="edge"/>
          <c:x val="0.0966032281377981"/>
          <c:y val="0.0820271682340648"/>
          <c:w val="0.873765357745122"/>
          <c:h val="0.898119122257053"/>
        </c:manualLayout>
      </c:layout>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AndyJeff!$J$52:$J$56</c:f>
              <c:strCache>
                <c:ptCount val="5"/>
                <c:pt idx="0">
                  <c:v>Limit(MM)</c:v>
                </c:pt>
                <c:pt idx="1">
                  <c:v>Position</c:v>
                </c:pt>
                <c:pt idx="2">
                  <c:v/>
                </c:pt>
                <c:pt idx="3">
                  <c:v>Limit(MM)</c:v>
                </c:pt>
                <c:pt idx="4">
                  <c:v>Current Position</c:v>
                </c:pt>
              </c:strCache>
            </c:strRef>
          </c:cat>
          <c:val>
            <c:numRef>
              <c:f>AndyJeff!$K$52:$K$53</c:f>
              <c:numCache>
                <c:formatCode>\$#,##0.00_);[RED]"($"#,##0.00\)</c:formatCode>
                <c:ptCount val="2"/>
                <c:pt idx="0">
                  <c:v>10</c:v>
                </c:pt>
              </c:numCache>
            </c:numRef>
          </c:val>
        </c:ser>
        <c:gapWidth val="150"/>
        <c:overlap val="0"/>
        <c:axId val="61638344"/>
        <c:axId val="50029796"/>
      </c:barChart>
      <c:catAx>
        <c:axId val="61638344"/>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50029796"/>
        <c:crossesAt val="0"/>
        <c:auto val="1"/>
        <c:lblAlgn val="ctr"/>
        <c:lblOffset val="100"/>
        <c:noMultiLvlLbl val="0"/>
      </c:catAx>
      <c:valAx>
        <c:axId val="50029796"/>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550" strike="noStrike" u="none">
                    <a:solidFill>
                      <a:srgbClr val="000000"/>
                    </a:solidFill>
                    <a:uFillTx/>
                    <a:latin typeface="Arial"/>
                  </a:rPr>
                  <a:t>Exposure ($MM)</a:t>
                </a:r>
              </a:p>
            </c:rich>
          </c:tx>
          <c:overlay val="0"/>
          <c:spPr>
            <a:noFill/>
            <a:ln w="0">
              <a:noFill/>
            </a:ln>
          </c:spPr>
        </c:title>
        <c:numFmt formatCode="\$#,##0.00_);[RED]&quot;($&quot;#,##0.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61638344"/>
        <c:crossesAt val="1"/>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50" strike="noStrike" u="none">
                <a:solidFill>
                  <a:srgbClr val="000000"/>
                </a:solidFill>
                <a:uFillTx/>
                <a:latin typeface="Arial"/>
              </a:rPr>
              <a:t>V@R</a:t>
            </a:r>
          </a:p>
        </c:rich>
      </c:tx>
      <c:overlay val="0"/>
      <c:spPr>
        <a:noFill/>
        <a:ln w="0">
          <a:noFill/>
        </a:ln>
      </c:spPr>
    </c:title>
    <c:autoTitleDeleted val="0"/>
    <c:plotArea>
      <c:layout>
        <c:manualLayout>
          <c:xMode val="edge"/>
          <c:yMode val="edge"/>
          <c:x val="0.103354838709677"/>
          <c:y val="0.0798175598631699"/>
          <c:w val="0.865806451612903"/>
          <c:h val="0.90258999837107"/>
        </c:manualLayout>
      </c:layout>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AndyJeff!$J$52:$J$56</c:f>
              <c:strCache>
                <c:ptCount val="5"/>
                <c:pt idx="0">
                  <c:v>Limit(MM)</c:v>
                </c:pt>
                <c:pt idx="1">
                  <c:v>Position</c:v>
                </c:pt>
                <c:pt idx="2">
                  <c:v/>
                </c:pt>
                <c:pt idx="3">
                  <c:v>Limit(MM)</c:v>
                </c:pt>
                <c:pt idx="4">
                  <c:v>Current Position</c:v>
                </c:pt>
              </c:strCache>
            </c:strRef>
          </c:cat>
          <c:val>
            <c:numRef>
              <c:f>AndyJeff!$K$52:$K$53</c:f>
              <c:numCache>
                <c:formatCode>\$#,##0.00_);[RED]"($"#,##0.00\)</c:formatCode>
                <c:ptCount val="2"/>
                <c:pt idx="0">
                  <c:v>10</c:v>
                </c:pt>
              </c:numCache>
            </c:numRef>
          </c:val>
        </c:ser>
        <c:gapWidth val="150"/>
        <c:overlap val="0"/>
        <c:axId val="86774067"/>
        <c:axId val="72987002"/>
      </c:barChart>
      <c:catAx>
        <c:axId val="86774067"/>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2987002"/>
        <c:crossesAt val="0"/>
        <c:auto val="1"/>
        <c:lblAlgn val="ctr"/>
        <c:lblOffset val="100"/>
        <c:noMultiLvlLbl val="0"/>
      </c:catAx>
      <c:valAx>
        <c:axId val="72987002"/>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550" strike="noStrike" u="none">
                    <a:solidFill>
                      <a:srgbClr val="000000"/>
                    </a:solidFill>
                    <a:uFillTx/>
                    <a:latin typeface="Arial"/>
                  </a:rPr>
                  <a:t>Exposure ($MM)</a:t>
                </a:r>
              </a:p>
            </c:rich>
          </c:tx>
          <c:overlay val="0"/>
          <c:spPr>
            <a:noFill/>
            <a:ln w="0">
              <a:noFill/>
            </a:ln>
          </c:spPr>
        </c:title>
        <c:numFmt formatCode="\$#,##0.00_);[RED]&quot;($&quot;#,##0.00\)"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6774067"/>
        <c:crossesAt val="1"/>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Open Position</a:t>
            </a:r>
          </a:p>
        </c:rich>
      </c:tx>
      <c:overlay val="0"/>
      <c:spPr>
        <a:noFill/>
        <a:ln w="0">
          <a:noFill/>
        </a:ln>
      </c:spPr>
    </c:title>
    <c:autoTitleDeleted val="0"/>
    <c:plotArea>
      <c:layout>
        <c:manualLayout>
          <c:xMode val="edge"/>
          <c:yMode val="edge"/>
          <c:x val="0.176407056282251"/>
          <c:y val="0.0746147607461476"/>
          <c:w val="0.801752070082803"/>
          <c:h val="0.911273317112733"/>
        </c:manualLayout>
      </c:layout>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AndyJeff!$J$52:$J$56</c:f>
              <c:strCache>
                <c:ptCount val="5"/>
                <c:pt idx="0">
                  <c:v>Limit(MM)</c:v>
                </c:pt>
                <c:pt idx="1">
                  <c:v>Position</c:v>
                </c:pt>
                <c:pt idx="2">
                  <c:v/>
                </c:pt>
                <c:pt idx="3">
                  <c:v>Limit(MM)</c:v>
                </c:pt>
                <c:pt idx="4">
                  <c:v>Current Position</c:v>
                </c:pt>
              </c:strCache>
            </c:strRef>
          </c:cat>
          <c:val>
            <c:numRef>
              <c:f>AndyJeff!$K$52:$K$53</c:f>
              <c:numCache>
                <c:formatCode>\$#,##0.00_);[RED]"($"#,##0.00\)</c:formatCode>
                <c:ptCount val="2"/>
                <c:pt idx="0">
                  <c:v>10</c:v>
                </c:pt>
              </c:numCache>
            </c:numRef>
          </c:val>
        </c:ser>
        <c:gapWidth val="150"/>
        <c:overlap val="0"/>
        <c:axId val="54155231"/>
        <c:axId val="49141428"/>
      </c:barChart>
      <c:catAx>
        <c:axId val="5415523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49141428"/>
        <c:crossesAt val="0"/>
        <c:auto val="1"/>
        <c:lblAlgn val="ctr"/>
        <c:lblOffset val="100"/>
        <c:noMultiLvlLbl val="0"/>
      </c:catAx>
      <c:valAx>
        <c:axId val="49141428"/>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600" strike="noStrike" u="none">
                    <a:solidFill>
                      <a:srgbClr val="000000"/>
                    </a:solidFill>
                    <a:uFillTx/>
                    <a:latin typeface="Arial"/>
                  </a:rPr>
                  <a:t>Exposure ($MM)</a:t>
                </a:r>
              </a:p>
            </c:rich>
          </c:tx>
          <c:overlay val="0"/>
          <c:spPr>
            <a:noFill/>
            <a:ln w="0">
              <a:noFill/>
            </a:ln>
          </c:spPr>
        </c:title>
        <c:numFmt formatCode="\$#,##0.00_);[RED]&quot;($&quot;#,##0.00\)" sourceLinked="1"/>
        <c:majorTickMark val="out"/>
        <c:minorTickMark val="none"/>
        <c:tickLblPos val="nextTo"/>
        <c:spPr>
          <a:ln w="0">
            <a:solidFill>
              <a:srgbClr val="000000"/>
            </a:solidFill>
          </a:ln>
        </c:spPr>
        <c:txPr>
          <a:bodyPr/>
          <a:lstStyle/>
          <a:p>
            <a:pPr>
              <a:defRPr b="0" sz="475" strike="noStrike" u="none">
                <a:solidFill>
                  <a:srgbClr val="000000"/>
                </a:solidFill>
                <a:uFillTx/>
                <a:latin typeface="Arial"/>
              </a:defRPr>
            </a:pPr>
          </a:p>
        </c:txPr>
        <c:crossAx val="54155231"/>
        <c:crossesAt val="1"/>
        <c:crossBetween val="midCat"/>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412920</xdr:colOff>
      <xdr:row>45</xdr:row>
      <xdr:rowOff>152280</xdr:rowOff>
    </xdr:from>
    <xdr:to>
      <xdr:col>3</xdr:col>
      <xdr:colOff>10800</xdr:colOff>
      <xdr:row>56</xdr:row>
      <xdr:rowOff>190440</xdr:rowOff>
    </xdr:to>
    <xdr:graphicFrame>
      <xdr:nvGraphicFramePr>
        <xdr:cNvPr id="0" name="Chart 14"/>
        <xdr:cNvGraphicFramePr/>
      </xdr:nvGraphicFramePr>
      <xdr:xfrm>
        <a:off x="1056960" y="7277040"/>
        <a:ext cx="2778480" cy="2057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252000</xdr:colOff>
      <xdr:row>45</xdr:row>
      <xdr:rowOff>142920</xdr:rowOff>
    </xdr:from>
    <xdr:to>
      <xdr:col>6</xdr:col>
      <xdr:colOff>745560</xdr:colOff>
      <xdr:row>56</xdr:row>
      <xdr:rowOff>190440</xdr:rowOff>
    </xdr:to>
    <xdr:graphicFrame>
      <xdr:nvGraphicFramePr>
        <xdr:cNvPr id="1" name="Chart 16"/>
        <xdr:cNvGraphicFramePr/>
      </xdr:nvGraphicFramePr>
      <xdr:xfrm>
        <a:off x="4076640" y="7267680"/>
        <a:ext cx="2988360" cy="20667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78</xdr:row>
      <xdr:rowOff>0</xdr:rowOff>
    </xdr:from>
    <xdr:to>
      <xdr:col>2</xdr:col>
      <xdr:colOff>756360</xdr:colOff>
      <xdr:row>90</xdr:row>
      <xdr:rowOff>66240</xdr:rowOff>
    </xdr:to>
    <xdr:graphicFrame>
      <xdr:nvGraphicFramePr>
        <xdr:cNvPr id="2" name="Chart 17"/>
        <xdr:cNvGraphicFramePr/>
      </xdr:nvGraphicFramePr>
      <xdr:xfrm>
        <a:off x="644040" y="12934800"/>
        <a:ext cx="2789640" cy="22096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78</xdr:row>
      <xdr:rowOff>0</xdr:rowOff>
    </xdr:from>
    <xdr:to>
      <xdr:col>6</xdr:col>
      <xdr:colOff>504720</xdr:colOff>
      <xdr:row>90</xdr:row>
      <xdr:rowOff>75600</xdr:rowOff>
    </xdr:to>
    <xdr:graphicFrame>
      <xdr:nvGraphicFramePr>
        <xdr:cNvPr id="3" name="Chart 18"/>
        <xdr:cNvGraphicFramePr/>
      </xdr:nvGraphicFramePr>
      <xdr:xfrm>
        <a:off x="3824640" y="12934800"/>
        <a:ext cx="2999520" cy="22190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ECM/CorpEquity/Phantom%20Stock/00%2001/Phantom%20MTM%2000%2001%2004.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ECM/CorpEquity/Garyfrw.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ECM/ComSupport/Corp%20Equity/Gary%20Peng/frwd_schedul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put-Report"/>
      <sheetName val="1303665"/>
      <sheetName val="1303687"/>
    </sheetNames>
    <sheetDataSet>
      <sheetData sheetId="0"/>
      <sheetData sheetId="1">
        <row r="7">
          <cell r="C7">
            <v>36525</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
      <sheetName val="***??"/>
      <sheetName val="Apr 1996"/>
      <sheetName val="May 1996"/>
      <sheetName val="Jun 1996"/>
      <sheetName val="Jul 1996"/>
      <sheetName val="Aug 1996"/>
      <sheetName val="Sep 1996"/>
      <sheetName val="Oct 1996"/>
      <sheetName val="Nov 1996"/>
      <sheetName val="Dec 1996"/>
      <sheetName val="Jan 1997"/>
      <sheetName val="Feb 1997"/>
      <sheetName val="Mar 1997"/>
      <sheetName val="Apr 1997"/>
      <sheetName val="May 1997"/>
      <sheetName val="June 1997"/>
      <sheetName val="July 1997"/>
      <sheetName val="Aug 1997"/>
      <sheetName val="Sep 1997"/>
      <sheetName val="Oct 1997"/>
      <sheetName val="Nov 1997"/>
      <sheetName val="Dec 1997"/>
      <sheetName val="Jan 1998"/>
      <sheetName val="Feb 1998"/>
      <sheetName val="Mar 1998"/>
      <sheetName val="Apr 1998"/>
      <sheetName val="May 1998"/>
      <sheetName val="June 1998"/>
      <sheetName val="July 1998 "/>
      <sheetName val="August 98"/>
      <sheetName val="September 98"/>
      <sheetName val="October 98"/>
      <sheetName val="November 98"/>
      <sheetName val="December 98"/>
      <sheetName val="January 1999"/>
      <sheetName val="February 1999 "/>
      <sheetName val="March 1999"/>
      <sheetName val="April 1999"/>
      <sheetName val="May 1999"/>
      <sheetName val="June 1999"/>
      <sheetName val="July 1999"/>
      <sheetName val="New July 99"/>
      <sheetName val="Notes"/>
      <sheetName val="Gary Peng"/>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7">
          <cell r="V47">
            <v>6703300</v>
          </cell>
        </row>
        <row r="47">
          <cell r="Z47">
            <v>44.5463947202466</v>
          </cell>
        </row>
      </sheetData>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
      <sheetName val="***??"/>
      <sheetName val="Apr 1996"/>
      <sheetName val="May 1996"/>
      <sheetName val="Jun 1996"/>
      <sheetName val="Jul 1996"/>
      <sheetName val="Aug 1996"/>
      <sheetName val="Sep 1996"/>
      <sheetName val="Oct 1996"/>
      <sheetName val="Nov 1996"/>
      <sheetName val="Dec 1996"/>
      <sheetName val="Jan 1997"/>
      <sheetName val="Feb 1997"/>
      <sheetName val="Mar 1997"/>
      <sheetName val="Apr 1997"/>
      <sheetName val="May 1997"/>
      <sheetName val="June 1997"/>
      <sheetName val="July 1997"/>
      <sheetName val="Aug 1997"/>
      <sheetName val="Sep 1997"/>
      <sheetName val="Oct 1997"/>
      <sheetName val="Nov 1997"/>
      <sheetName val="Dec 1997"/>
      <sheetName val="Jan 1998"/>
      <sheetName val="Feb 1998"/>
      <sheetName val="Mar 1998"/>
      <sheetName val="Apr 1998"/>
      <sheetName val="May 1998"/>
      <sheetName val="June 1998"/>
      <sheetName val="July 1998 "/>
      <sheetName val="August 98"/>
      <sheetName val="September 98"/>
      <sheetName val="October 98"/>
      <sheetName val="November 98"/>
      <sheetName val="December 98"/>
      <sheetName val="January 1999"/>
      <sheetName val="February 1999 "/>
      <sheetName val="March 1999"/>
      <sheetName val="Notes"/>
      <sheetName val="Gary Peng"/>
      <sheetName val="Procedures"/>
      <sheetName val="June 1999 "/>
    </sheetNames>
    <sheetDataSet>
      <sheetData sheetId="0"/>
      <sheetData sheetId="1"/>
      <sheetData sheetId="2"/>
      <sheetData sheetId="3"/>
      <sheetData sheetId="4"/>
      <sheetData sheetId="5"/>
      <sheetData sheetId="6"/>
      <sheetData sheetId="7"/>
      <sheetData sheetId="8"/>
      <sheetData sheetId="9"/>
      <sheetData sheetId="10">
        <row r="26">
          <cell r="V26">
            <v>3395900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4.vml"/>
</Relationships>
</file>

<file path=xl/worksheets/_rels/sheet25.xml.rels><?xml version="1.0" encoding="UTF-8"?>
<Relationships xmlns="http://schemas.openxmlformats.org/package/2006/relationships"><Relationship Id="rId1" Type="http://schemas.openxmlformats.org/officeDocument/2006/relationships/comments" Target="../comments25.xml"/><Relationship Id="rId2" Type="http://schemas.openxmlformats.org/officeDocument/2006/relationships/vmlDrawing" Target="../drawings/vmlDrawing5.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Y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5.13"/>
    <col collapsed="false" customWidth="true" hidden="false" outlineLevel="0" max="2" min="2" style="1" width="18.85"/>
    <col collapsed="false" customWidth="true" hidden="false" outlineLevel="0" max="3" min="3" style="1" width="20.28"/>
    <col collapsed="false" customWidth="true" hidden="false" outlineLevel="0" max="4" min="4" style="1" width="4.7"/>
    <col collapsed="false" customWidth="true" hidden="false" outlineLevel="0" max="5" min="5" style="1" width="4.14"/>
    <col collapsed="false" customWidth="true" hidden="false" outlineLevel="0" max="6" min="6" style="1" width="17.42"/>
    <col collapsed="false" customWidth="true" hidden="false" outlineLevel="0" max="7" min="7" style="1" width="20.41"/>
    <col collapsed="false" customWidth="true" hidden="false" outlineLevel="0" max="8" min="8" style="1" width="14.99"/>
    <col collapsed="false" customWidth="true" hidden="false" outlineLevel="0" max="9" min="9" style="1" width="11.56"/>
    <col collapsed="false" customWidth="true" hidden="false" outlineLevel="0" max="10" min="10" style="1" width="14.7"/>
    <col collapsed="false" customWidth="true" hidden="false" outlineLevel="0" max="11" min="11" style="1" width="17.99"/>
    <col collapsed="false" customWidth="true" hidden="false" outlineLevel="0" max="13" min="12" style="1" width="11.56"/>
    <col collapsed="false" customWidth="true" hidden="false" outlineLevel="0" max="14" min="14" style="2" width="10.41"/>
    <col collapsed="false" customWidth="true" hidden="false" outlineLevel="0" max="15" min="15" style="2" width="9.7"/>
    <col collapsed="false" customWidth="true" hidden="false" outlineLevel="0" max="16" min="16" style="2" width="12.28"/>
    <col collapsed="false" customWidth="true" hidden="true" outlineLevel="0" max="17" min="17" style="2" width="13.85"/>
    <col collapsed="false" customWidth="true" hidden="true" outlineLevel="0" max="18" min="18" style="2" width="15.41"/>
    <col collapsed="false" customWidth="true" hidden="false" outlineLevel="0" max="19" min="19" style="2" width="14.99"/>
    <col collapsed="false" customWidth="true" hidden="false" outlineLevel="0" max="25" min="20" style="2" width="11.99"/>
    <col collapsed="false" customWidth="false" hidden="false" outlineLevel="0" max="257" min="26" style="2" width="9.14"/>
  </cols>
  <sheetData>
    <row r="2" customFormat="false" ht="12.75" hidden="false" customHeight="false" outlineLevel="0" collapsed="false">
      <c r="A2" s="0"/>
      <c r="B2" s="3" t="s">
        <v>0</v>
      </c>
      <c r="C2" s="0"/>
      <c r="D2" s="0"/>
      <c r="E2" s="0"/>
      <c r="F2" s="3" t="s">
        <v>1</v>
      </c>
      <c r="G2" s="0"/>
      <c r="H2" s="0"/>
      <c r="I2" s="0"/>
      <c r="J2" s="0"/>
      <c r="K2" s="0"/>
      <c r="L2" s="0"/>
      <c r="M2" s="0"/>
      <c r="N2" s="0"/>
      <c r="O2" s="0"/>
      <c r="P2" s="0"/>
      <c r="Q2" s="0"/>
      <c r="R2" s="0"/>
      <c r="S2" s="0"/>
      <c r="T2" s="0"/>
      <c r="U2" s="0"/>
    </row>
    <row r="3" customFormat="false" ht="18" hidden="false" customHeight="false" outlineLevel="0" collapsed="false">
      <c r="A3" s="0"/>
      <c r="B3" s="4" t="s">
        <v>2</v>
      </c>
      <c r="C3" s="5" t="n">
        <f aca="false">AndyJeff!B9</f>
        <v>36707</v>
      </c>
      <c r="D3" s="0"/>
      <c r="E3" s="0"/>
      <c r="F3" s="4" t="s">
        <v>2</v>
      </c>
      <c r="G3" s="5" t="n">
        <f aca="false">C3</f>
        <v>36707</v>
      </c>
      <c r="H3" s="0"/>
      <c r="I3" s="0"/>
      <c r="J3" s="0"/>
      <c r="K3" s="0"/>
      <c r="L3" s="0"/>
      <c r="M3" s="0"/>
      <c r="N3" s="0"/>
      <c r="O3" s="0"/>
      <c r="P3" s="0"/>
      <c r="Q3" s="0"/>
      <c r="R3" s="0"/>
      <c r="S3" s="0"/>
      <c r="T3" s="0"/>
      <c r="U3" s="0"/>
    </row>
    <row r="4" customFormat="false" ht="18" hidden="false" customHeight="false" outlineLevel="0" collapsed="false">
      <c r="A4" s="0"/>
      <c r="B4" s="6" t="s">
        <v>3</v>
      </c>
      <c r="C4" s="7" t="e">
        <f aca="false">-VaR!B1</f>
        <v>#NAME?</v>
      </c>
      <c r="D4" s="0"/>
      <c r="E4" s="0"/>
      <c r="F4" s="6" t="s">
        <v>3</v>
      </c>
      <c r="G4" s="7" t="e">
        <f aca="false">C4</f>
        <v>#NAME?</v>
      </c>
      <c r="H4" s="0"/>
      <c r="I4" s="0"/>
      <c r="J4" s="0"/>
      <c r="K4" s="0"/>
      <c r="L4" s="0"/>
      <c r="M4" s="0"/>
      <c r="N4" s="0"/>
      <c r="O4" s="0"/>
      <c r="P4" s="0"/>
      <c r="Q4" s="0"/>
      <c r="R4" s="0"/>
      <c r="S4" s="0"/>
      <c r="T4" s="0"/>
      <c r="U4" s="0"/>
    </row>
    <row r="5" customFormat="false" ht="18" hidden="false" customHeight="false" outlineLevel="0" collapsed="false">
      <c r="A5" s="0"/>
      <c r="B5" s="6" t="s">
        <v>4</v>
      </c>
      <c r="C5" s="7" t="e">
        <f aca="false">VaR!H4</f>
        <v>#NAME?</v>
      </c>
      <c r="D5" s="0"/>
      <c r="E5" s="0"/>
      <c r="F5" s="6" t="s">
        <v>4</v>
      </c>
      <c r="G5" s="7" t="e">
        <f aca="false">C5</f>
        <v>#NAME?</v>
      </c>
      <c r="H5" s="0"/>
      <c r="I5" s="0"/>
      <c r="J5" s="0"/>
      <c r="K5" s="0"/>
      <c r="L5" s="0"/>
      <c r="M5" s="0"/>
      <c r="N5" s="0"/>
      <c r="O5" s="0"/>
      <c r="P5" s="0"/>
      <c r="Q5" s="0"/>
      <c r="R5" s="0"/>
      <c r="S5" s="0"/>
      <c r="T5" s="0"/>
      <c r="U5" s="0"/>
    </row>
    <row r="6" customFormat="false" ht="18" hidden="false" customHeight="false" outlineLevel="0" collapsed="false">
      <c r="A6" s="0"/>
      <c r="B6" s="6" t="s">
        <v>5</v>
      </c>
      <c r="C6" s="7" t="n">
        <f aca="false">Report!J55</f>
        <v>-6528188.77</v>
      </c>
      <c r="D6" s="0"/>
      <c r="E6" s="0"/>
      <c r="F6" s="6" t="s">
        <v>5</v>
      </c>
      <c r="G6" s="7" t="n">
        <f aca="false">C6</f>
        <v>-6528188.77</v>
      </c>
      <c r="H6" s="0"/>
      <c r="I6" s="0"/>
      <c r="J6" s="0"/>
      <c r="K6" s="0"/>
      <c r="L6" s="0"/>
      <c r="M6" s="0"/>
      <c r="N6" s="0"/>
      <c r="O6" s="0"/>
      <c r="P6" s="0"/>
      <c r="Q6" s="0"/>
      <c r="R6" s="0"/>
      <c r="S6" s="0"/>
      <c r="T6" s="0"/>
      <c r="U6" s="0"/>
    </row>
    <row r="7" customFormat="false" ht="18" hidden="false" customHeight="false" outlineLevel="0" collapsed="false">
      <c r="A7" s="0"/>
      <c r="B7" s="6" t="s">
        <v>6</v>
      </c>
      <c r="C7" s="7" t="n">
        <f aca="false">Report!G55</f>
        <v>14986919.3</v>
      </c>
      <c r="D7" s="0"/>
      <c r="E7" s="0"/>
      <c r="F7" s="6" t="s">
        <v>6</v>
      </c>
      <c r="G7" s="7" t="n">
        <f aca="false">C7</f>
        <v>14986919.3</v>
      </c>
      <c r="H7" s="0"/>
      <c r="I7" s="0"/>
      <c r="J7" s="0"/>
      <c r="K7" s="0"/>
      <c r="L7" s="0"/>
      <c r="M7" s="0"/>
      <c r="N7" s="0"/>
      <c r="O7" s="0"/>
      <c r="P7" s="0"/>
      <c r="Q7" s="0"/>
      <c r="R7" s="0"/>
      <c r="S7" s="0"/>
      <c r="T7" s="0"/>
      <c r="U7" s="0"/>
    </row>
    <row r="8" customFormat="false" ht="18" hidden="false" customHeight="false" outlineLevel="0" collapsed="false">
      <c r="A8" s="0"/>
      <c r="B8" s="8" t="s">
        <v>7</v>
      </c>
      <c r="C8" s="9" t="n">
        <f aca="false">Report!K55</f>
        <v>97268766.23</v>
      </c>
      <c r="D8" s="0"/>
      <c r="E8" s="0"/>
      <c r="F8" s="8" t="s">
        <v>7</v>
      </c>
      <c r="G8" s="9" t="n">
        <f aca="false">C8</f>
        <v>97268766.23</v>
      </c>
      <c r="H8" s="0"/>
      <c r="I8" s="0"/>
      <c r="J8" s="0"/>
      <c r="K8" s="0"/>
      <c r="L8" s="0"/>
      <c r="M8" s="0"/>
      <c r="N8" s="0"/>
      <c r="O8" s="0"/>
      <c r="P8" s="0"/>
      <c r="Q8" s="0"/>
      <c r="R8" s="0"/>
      <c r="S8" s="0"/>
      <c r="T8" s="0"/>
      <c r="U8" s="0"/>
    </row>
    <row r="9" customFormat="false" ht="12.75" hidden="false" customHeight="false" outlineLevel="0" collapsed="false">
      <c r="A9" s="0"/>
      <c r="B9" s="0"/>
      <c r="C9" s="0"/>
      <c r="D9" s="0"/>
      <c r="E9" s="0"/>
      <c r="F9" s="0"/>
      <c r="G9" s="0"/>
      <c r="H9" s="0"/>
      <c r="I9" s="0"/>
      <c r="J9" s="0"/>
      <c r="K9" s="0"/>
      <c r="L9" s="0"/>
      <c r="M9" s="0"/>
      <c r="N9" s="0"/>
      <c r="O9" s="0"/>
      <c r="P9" s="0"/>
      <c r="Q9" s="0"/>
      <c r="R9" s="0"/>
      <c r="S9" s="0"/>
      <c r="T9" s="0"/>
      <c r="U9" s="0"/>
    </row>
    <row r="10" customFormat="false" ht="12.75" hidden="false" customHeight="false" outlineLevel="0" collapsed="false">
      <c r="A10" s="0"/>
      <c r="B10" s="0"/>
      <c r="C10" s="10"/>
      <c r="D10" s="0"/>
      <c r="E10" s="0"/>
      <c r="F10" s="0"/>
      <c r="G10" s="0"/>
      <c r="H10" s="0"/>
      <c r="I10" s="0"/>
      <c r="J10" s="0"/>
      <c r="K10" s="0"/>
      <c r="L10" s="0"/>
      <c r="M10" s="0"/>
      <c r="N10" s="0"/>
      <c r="O10" s="0"/>
      <c r="P10" s="0"/>
      <c r="Q10" s="0"/>
      <c r="R10" s="0"/>
      <c r="S10" s="0"/>
      <c r="T10" s="0"/>
      <c r="U10" s="0"/>
    </row>
    <row r="11" customFormat="false" ht="15" hidden="false" customHeight="false" outlineLevel="0" collapsed="false">
      <c r="A11" s="0"/>
      <c r="B11" s="11"/>
      <c r="C11" s="0"/>
      <c r="D11" s="0"/>
      <c r="E11" s="0"/>
      <c r="F11" s="0"/>
      <c r="G11" s="0"/>
      <c r="H11" s="0"/>
      <c r="I11" s="0"/>
      <c r="J11" s="0"/>
      <c r="K11" s="0"/>
      <c r="L11" s="0"/>
      <c r="M11" s="0"/>
      <c r="N11" s="0"/>
      <c r="O11" s="0"/>
      <c r="P11" s="0"/>
      <c r="Q11" s="0"/>
      <c r="R11" s="0"/>
      <c r="S11" s="0"/>
      <c r="T11" s="0"/>
      <c r="U11" s="0"/>
    </row>
    <row r="12" customFormat="false" ht="15" hidden="false" customHeight="false" outlineLevel="0" collapsed="false">
      <c r="A12" s="0"/>
      <c r="B12" s="11"/>
      <c r="C12" s="12"/>
      <c r="D12" s="12"/>
      <c r="E12" s="13"/>
      <c r="F12" s="12"/>
      <c r="G12" s="0"/>
      <c r="H12" s="0"/>
      <c r="I12" s="0"/>
      <c r="J12" s="0"/>
      <c r="K12" s="0"/>
      <c r="L12" s="0"/>
      <c r="M12" s="0"/>
      <c r="N12" s="0"/>
      <c r="O12" s="0"/>
      <c r="P12" s="0"/>
      <c r="Q12" s="0"/>
      <c r="R12" s="0"/>
      <c r="S12" s="0"/>
      <c r="T12" s="0"/>
      <c r="U12" s="0"/>
      <c r="V12" s="14"/>
      <c r="W12" s="14"/>
      <c r="X12" s="14"/>
      <c r="Y12" s="14"/>
    </row>
    <row r="13" customFormat="false" ht="15" hidden="false" customHeight="false" outlineLevel="0" collapsed="false">
      <c r="A13" s="0"/>
      <c r="B13" s="11"/>
      <c r="C13" s="12"/>
      <c r="D13" s="12"/>
      <c r="E13" s="13"/>
      <c r="F13" s="12"/>
      <c r="G13" s="0"/>
      <c r="H13" s="0"/>
      <c r="I13" s="0"/>
      <c r="J13" s="0"/>
      <c r="K13" s="0"/>
      <c r="L13" s="0"/>
      <c r="M13" s="0"/>
      <c r="N13" s="0"/>
      <c r="O13" s="0"/>
      <c r="P13" s="0"/>
      <c r="Q13" s="0"/>
      <c r="R13" s="0"/>
      <c r="S13" s="0"/>
      <c r="T13" s="0"/>
      <c r="U13" s="0"/>
    </row>
    <row r="14" customFormat="false" ht="15" hidden="false" customHeight="false" outlineLevel="0" collapsed="false">
      <c r="A14" s="0"/>
      <c r="B14" s="11"/>
      <c r="C14" s="12"/>
      <c r="D14" s="12"/>
      <c r="E14" s="13"/>
      <c r="F14" s="12"/>
      <c r="G14" s="0"/>
      <c r="H14" s="0"/>
      <c r="I14" s="0"/>
      <c r="J14" s="0"/>
      <c r="K14" s="0"/>
      <c r="L14" s="0"/>
      <c r="M14" s="0"/>
      <c r="N14" s="0"/>
      <c r="O14" s="0"/>
      <c r="P14" s="0"/>
      <c r="Q14" s="0"/>
      <c r="R14" s="0"/>
      <c r="S14" s="0"/>
      <c r="T14" s="0"/>
      <c r="U14" s="0"/>
    </row>
    <row r="15" customFormat="false" ht="15" hidden="false" customHeight="false" outlineLevel="0" collapsed="false">
      <c r="A15" s="0"/>
      <c r="B15" s="11"/>
      <c r="C15" s="12"/>
      <c r="D15" s="12"/>
      <c r="E15" s="12"/>
      <c r="F15" s="15"/>
      <c r="G15" s="0"/>
      <c r="H15" s="0"/>
      <c r="I15" s="0"/>
      <c r="J15" s="0"/>
      <c r="K15" s="0"/>
      <c r="L15" s="0"/>
      <c r="M15" s="0"/>
      <c r="N15" s="0"/>
      <c r="O15" s="0"/>
      <c r="P15" s="0"/>
      <c r="Q15" s="0"/>
      <c r="R15" s="0"/>
      <c r="S15" s="0"/>
      <c r="T15" s="0"/>
      <c r="U15" s="0"/>
    </row>
    <row r="16" customFormat="false" ht="15" hidden="false" customHeight="false" outlineLevel="0" collapsed="false">
      <c r="A16" s="0"/>
      <c r="B16" s="16"/>
      <c r="C16" s="12"/>
      <c r="D16" s="12"/>
      <c r="E16" s="12"/>
      <c r="F16" s="15"/>
      <c r="G16" s="0"/>
      <c r="H16" s="0"/>
      <c r="I16" s="0"/>
      <c r="J16" s="0"/>
      <c r="K16" s="0"/>
      <c r="L16" s="0"/>
      <c r="M16" s="0"/>
      <c r="N16" s="0"/>
      <c r="O16" s="0"/>
      <c r="P16" s="0"/>
      <c r="Q16" s="0"/>
      <c r="R16" s="0"/>
      <c r="S16" s="0"/>
      <c r="T16" s="0"/>
      <c r="U16" s="0"/>
    </row>
    <row r="17" customFormat="false" ht="15" hidden="false" customHeight="false" outlineLevel="0" collapsed="false">
      <c r="A17" s="0"/>
      <c r="B17" s="16"/>
      <c r="C17" s="12"/>
      <c r="D17" s="12"/>
      <c r="E17" s="12"/>
      <c r="F17" s="15"/>
      <c r="G17" s="0"/>
      <c r="H17" s="0"/>
      <c r="I17" s="0"/>
      <c r="J17" s="0"/>
      <c r="K17" s="0"/>
      <c r="L17" s="0"/>
      <c r="M17" s="0"/>
      <c r="N17" s="0"/>
      <c r="O17" s="0"/>
      <c r="P17" s="0"/>
      <c r="Q17" s="0"/>
      <c r="R17" s="0"/>
      <c r="S17" s="0"/>
      <c r="T17" s="0"/>
      <c r="U17" s="0"/>
    </row>
    <row r="18" customFormat="false" ht="15" hidden="false" customHeight="false" outlineLevel="0" collapsed="false">
      <c r="A18" s="0"/>
      <c r="B18" s="16"/>
      <c r="C18" s="12"/>
      <c r="D18" s="12"/>
      <c r="E18" s="12"/>
      <c r="F18" s="15"/>
      <c r="G18" s="0"/>
      <c r="H18" s="0"/>
      <c r="I18" s="0"/>
      <c r="J18" s="0"/>
      <c r="K18" s="0"/>
      <c r="L18" s="0"/>
      <c r="M18" s="0"/>
      <c r="N18" s="0"/>
      <c r="O18" s="0"/>
      <c r="P18" s="0"/>
      <c r="Q18" s="0"/>
      <c r="R18" s="0"/>
      <c r="S18" s="0"/>
      <c r="T18" s="0"/>
      <c r="U18" s="0"/>
    </row>
    <row r="19" customFormat="false" ht="15" hidden="false" customHeight="false" outlineLevel="0" collapsed="false">
      <c r="A19" s="0"/>
      <c r="B19" s="16"/>
      <c r="C19" s="12"/>
      <c r="D19" s="12"/>
      <c r="E19" s="12"/>
      <c r="F19" s="15"/>
      <c r="G19" s="0"/>
      <c r="H19" s="0"/>
      <c r="I19" s="0"/>
      <c r="J19" s="0"/>
      <c r="K19" s="0"/>
      <c r="L19" s="0"/>
      <c r="M19" s="0"/>
      <c r="N19" s="0"/>
      <c r="O19" s="0"/>
      <c r="P19" s="0"/>
      <c r="Q19" s="0"/>
      <c r="R19" s="0"/>
      <c r="S19" s="0"/>
      <c r="T19" s="0"/>
      <c r="U19" s="0"/>
    </row>
    <row r="20" customFormat="false" ht="15" hidden="false" customHeight="false" outlineLevel="0" collapsed="false">
      <c r="A20" s="0"/>
      <c r="B20" s="16"/>
      <c r="C20" s="12"/>
      <c r="D20" s="12"/>
      <c r="E20" s="12"/>
      <c r="F20" s="15"/>
      <c r="G20" s="0"/>
      <c r="H20" s="0"/>
      <c r="I20" s="0"/>
      <c r="J20" s="0"/>
      <c r="K20" s="0"/>
      <c r="L20" s="0"/>
      <c r="M20" s="0"/>
      <c r="N20" s="0"/>
      <c r="O20" s="0"/>
      <c r="P20" s="0"/>
      <c r="Q20" s="0"/>
      <c r="R20" s="0"/>
      <c r="S20" s="0"/>
      <c r="T20" s="0"/>
      <c r="U20" s="0"/>
    </row>
    <row r="21" customFormat="false" ht="15" hidden="false" customHeight="false" outlineLevel="0" collapsed="false">
      <c r="A21" s="0"/>
      <c r="B21" s="16"/>
      <c r="C21" s="12"/>
      <c r="D21" s="12"/>
      <c r="E21" s="12"/>
      <c r="F21" s="15"/>
      <c r="G21" s="0"/>
      <c r="H21" s="0"/>
      <c r="I21" s="0"/>
      <c r="J21" s="0"/>
      <c r="K21" s="0"/>
      <c r="L21" s="0"/>
      <c r="M21" s="0"/>
      <c r="N21" s="0"/>
      <c r="O21" s="0"/>
      <c r="P21" s="0"/>
      <c r="Q21" s="0"/>
      <c r="R21" s="0"/>
      <c r="S21" s="0"/>
      <c r="T21" s="0"/>
      <c r="U21" s="0"/>
    </row>
    <row r="22" customFormat="false" ht="15" hidden="false" customHeight="false" outlineLevel="0" collapsed="false">
      <c r="A22" s="0"/>
      <c r="B22" s="16"/>
      <c r="C22" s="12"/>
      <c r="D22" s="12"/>
      <c r="E22" s="12"/>
      <c r="F22" s="15"/>
      <c r="G22" s="0"/>
      <c r="H22" s="0"/>
      <c r="I22" s="0"/>
      <c r="J22" s="0"/>
      <c r="K22" s="0"/>
      <c r="L22" s="0"/>
      <c r="M22" s="0"/>
      <c r="N22" s="0"/>
      <c r="O22" s="0"/>
      <c r="P22" s="0"/>
      <c r="Q22" s="0"/>
      <c r="R22" s="0"/>
      <c r="S22" s="0"/>
      <c r="T22" s="0"/>
      <c r="U22" s="0"/>
    </row>
    <row r="23" customFormat="false" ht="15" hidden="false" customHeight="false" outlineLevel="0" collapsed="false">
      <c r="A23" s="0"/>
      <c r="B23" s="16"/>
      <c r="C23" s="12"/>
      <c r="D23" s="12"/>
      <c r="E23" s="12"/>
      <c r="F23" s="15"/>
      <c r="G23" s="0"/>
      <c r="H23" s="0"/>
      <c r="I23" s="0"/>
      <c r="J23" s="0"/>
      <c r="K23" s="0"/>
      <c r="L23" s="0"/>
      <c r="M23" s="0"/>
      <c r="N23" s="0"/>
      <c r="O23" s="0"/>
      <c r="P23" s="0"/>
      <c r="Q23" s="0"/>
      <c r="R23" s="0"/>
      <c r="S23" s="0"/>
      <c r="T23" s="0"/>
      <c r="U23" s="0"/>
    </row>
    <row r="24" customFormat="false" ht="15" hidden="false" customHeight="false" outlineLevel="0" collapsed="false">
      <c r="A24" s="0"/>
      <c r="B24" s="16"/>
      <c r="C24" s="12"/>
      <c r="D24" s="12"/>
      <c r="E24" s="12"/>
      <c r="F24" s="15"/>
      <c r="G24" s="0"/>
      <c r="H24" s="0"/>
      <c r="I24" s="0"/>
      <c r="J24" s="0"/>
      <c r="K24" s="0"/>
      <c r="L24" s="0"/>
      <c r="M24" s="0"/>
      <c r="N24" s="0"/>
      <c r="O24" s="0"/>
      <c r="P24" s="0"/>
      <c r="Q24" s="0"/>
      <c r="R24" s="0"/>
      <c r="S24" s="0"/>
      <c r="T24" s="0"/>
      <c r="U24" s="0"/>
    </row>
    <row r="25" customFormat="false" ht="15" hidden="false" customHeight="false" outlineLevel="0" collapsed="false">
      <c r="A25" s="0"/>
      <c r="B25" s="16"/>
      <c r="C25" s="12"/>
      <c r="D25" s="12"/>
      <c r="E25" s="12"/>
      <c r="F25" s="15"/>
      <c r="G25" s="0"/>
      <c r="H25" s="0"/>
      <c r="I25" s="0"/>
      <c r="J25" s="0"/>
      <c r="K25" s="0"/>
      <c r="L25" s="0"/>
      <c r="M25" s="0"/>
      <c r="N25" s="0"/>
      <c r="O25" s="0"/>
      <c r="P25" s="0"/>
      <c r="Q25" s="0"/>
      <c r="R25" s="0"/>
      <c r="S25" s="0"/>
      <c r="T25" s="0"/>
      <c r="U25" s="0"/>
    </row>
    <row r="26" customFormat="false" ht="15" hidden="false" customHeight="false" outlineLevel="0" collapsed="false">
      <c r="A26" s="0"/>
      <c r="B26" s="16"/>
      <c r="C26" s="12"/>
      <c r="D26" s="12"/>
      <c r="E26" s="12"/>
      <c r="F26" s="15"/>
      <c r="G26" s="0"/>
      <c r="H26" s="0"/>
      <c r="I26" s="0"/>
      <c r="J26" s="0"/>
      <c r="K26" s="0"/>
      <c r="L26" s="0"/>
      <c r="M26" s="0"/>
      <c r="N26" s="0"/>
      <c r="O26" s="0"/>
      <c r="P26" s="0"/>
      <c r="Q26" s="0"/>
      <c r="R26" s="0"/>
      <c r="S26" s="0"/>
      <c r="T26" s="0"/>
      <c r="U26" s="0"/>
    </row>
    <row r="27" customFormat="false" ht="15" hidden="false" customHeight="false" outlineLevel="0" collapsed="false">
      <c r="A27" s="0"/>
      <c r="B27" s="16"/>
      <c r="C27" s="12"/>
      <c r="D27" s="12"/>
      <c r="E27" s="12"/>
      <c r="F27" s="15"/>
      <c r="G27" s="0"/>
      <c r="H27" s="0"/>
      <c r="I27" s="0"/>
      <c r="J27" s="0"/>
      <c r="K27" s="0"/>
      <c r="L27" s="0"/>
      <c r="M27" s="0"/>
      <c r="N27" s="0"/>
      <c r="O27" s="0"/>
      <c r="P27" s="0"/>
      <c r="Q27" s="0"/>
      <c r="R27" s="0"/>
      <c r="S27" s="0"/>
      <c r="T27" s="0"/>
      <c r="U27" s="0"/>
    </row>
    <row r="28" customFormat="false" ht="15" hidden="false" customHeight="false" outlineLevel="0" collapsed="false">
      <c r="A28" s="0"/>
      <c r="B28" s="16"/>
      <c r="C28" s="12"/>
      <c r="D28" s="12"/>
      <c r="E28" s="12"/>
      <c r="F28" s="15"/>
      <c r="G28" s="0"/>
      <c r="H28" s="0"/>
      <c r="I28" s="0"/>
      <c r="J28" s="0"/>
      <c r="K28" s="0"/>
      <c r="L28" s="0"/>
      <c r="M28" s="0"/>
      <c r="N28" s="0"/>
      <c r="O28" s="0"/>
      <c r="P28" s="0"/>
      <c r="Q28" s="0"/>
      <c r="R28" s="0"/>
      <c r="S28" s="0"/>
      <c r="T28" s="0"/>
      <c r="U28" s="0"/>
    </row>
    <row r="29" customFormat="false" ht="15" hidden="false" customHeight="false" outlineLevel="0" collapsed="false">
      <c r="A29" s="0"/>
      <c r="B29" s="16"/>
      <c r="C29" s="12"/>
      <c r="D29" s="12"/>
      <c r="E29" s="12"/>
      <c r="F29" s="15"/>
      <c r="G29" s="0"/>
      <c r="H29" s="0"/>
      <c r="I29" s="0"/>
      <c r="J29" s="0"/>
      <c r="K29" s="0"/>
      <c r="L29" s="0"/>
      <c r="M29" s="0"/>
      <c r="N29" s="0"/>
      <c r="O29" s="0"/>
      <c r="P29" s="0"/>
      <c r="Q29" s="0"/>
      <c r="R29" s="0"/>
      <c r="S29" s="0"/>
      <c r="T29" s="0"/>
      <c r="U29" s="0"/>
    </row>
    <row r="30" customFormat="false" ht="15" hidden="false" customHeight="false" outlineLevel="0" collapsed="false">
      <c r="A30" s="0"/>
      <c r="B30" s="16"/>
      <c r="C30" s="12"/>
      <c r="D30" s="12"/>
      <c r="E30" s="12"/>
      <c r="F30" s="15"/>
      <c r="G30" s="0"/>
      <c r="H30" s="0"/>
      <c r="I30" s="0"/>
      <c r="J30" s="0"/>
      <c r="K30" s="0"/>
      <c r="L30" s="0"/>
      <c r="M30" s="0"/>
      <c r="N30" s="0"/>
      <c r="O30" s="0"/>
      <c r="P30" s="0"/>
      <c r="Q30" s="0"/>
      <c r="R30" s="0"/>
      <c r="S30" s="0"/>
      <c r="T30" s="0"/>
      <c r="U30" s="0"/>
    </row>
    <row r="31" customFormat="false" ht="15" hidden="false" customHeight="false" outlineLevel="0" collapsed="false">
      <c r="A31" s="0"/>
      <c r="B31" s="16"/>
      <c r="C31" s="12"/>
      <c r="D31" s="12"/>
      <c r="E31" s="12"/>
      <c r="F31" s="15"/>
      <c r="G31" s="0"/>
      <c r="H31" s="0"/>
      <c r="I31" s="0"/>
      <c r="J31" s="0"/>
      <c r="K31" s="0"/>
      <c r="L31" s="0"/>
      <c r="M31" s="0"/>
      <c r="N31" s="0"/>
      <c r="O31" s="0"/>
      <c r="P31" s="0"/>
      <c r="Q31" s="0"/>
      <c r="R31" s="0"/>
      <c r="S31" s="0"/>
      <c r="T31" s="0"/>
      <c r="U31" s="0"/>
    </row>
    <row r="32" customFormat="false" ht="15" hidden="false" customHeight="false" outlineLevel="0" collapsed="false">
      <c r="A32" s="0"/>
      <c r="B32" s="16"/>
      <c r="C32" s="12"/>
      <c r="D32" s="12"/>
      <c r="E32" s="12"/>
      <c r="F32" s="15"/>
      <c r="G32" s="0"/>
      <c r="H32" s="0"/>
      <c r="I32" s="0"/>
      <c r="J32" s="0"/>
      <c r="K32" s="0"/>
      <c r="L32" s="0"/>
      <c r="M32" s="0"/>
      <c r="N32" s="0"/>
      <c r="O32" s="0"/>
      <c r="P32" s="0"/>
      <c r="Q32" s="0"/>
      <c r="R32" s="0"/>
      <c r="S32" s="0"/>
      <c r="T32" s="0"/>
      <c r="U32" s="0"/>
    </row>
    <row r="33" customFormat="false" ht="15" hidden="false" customHeight="false" outlineLevel="0" collapsed="false">
      <c r="A33" s="0"/>
      <c r="B33" s="16"/>
      <c r="C33" s="12"/>
      <c r="D33" s="12"/>
      <c r="E33" s="12"/>
      <c r="F33" s="15"/>
      <c r="G33" s="0"/>
      <c r="H33" s="0"/>
      <c r="I33" s="0"/>
      <c r="J33" s="0"/>
      <c r="K33" s="0"/>
      <c r="L33" s="0"/>
      <c r="M33" s="0"/>
      <c r="N33" s="0"/>
      <c r="O33" s="0"/>
      <c r="P33" s="0"/>
      <c r="Q33" s="0"/>
      <c r="R33" s="0"/>
      <c r="S33" s="0"/>
      <c r="T33" s="0"/>
      <c r="U33" s="0"/>
    </row>
    <row r="34" customFormat="false" ht="15" hidden="false" customHeight="false" outlineLevel="0" collapsed="false">
      <c r="A34" s="0"/>
      <c r="B34" s="16"/>
      <c r="C34" s="12"/>
      <c r="D34" s="12"/>
      <c r="E34" s="12"/>
      <c r="F34" s="15"/>
      <c r="G34" s="0"/>
      <c r="H34" s="0"/>
      <c r="I34" s="0"/>
      <c r="J34" s="0"/>
      <c r="K34" s="0"/>
      <c r="L34" s="0"/>
      <c r="M34" s="0"/>
      <c r="N34" s="0"/>
      <c r="O34" s="0"/>
      <c r="P34" s="0"/>
      <c r="Q34" s="0"/>
      <c r="R34" s="0"/>
      <c r="S34" s="0"/>
      <c r="T34" s="0"/>
      <c r="U34" s="0"/>
    </row>
    <row r="35" customFormat="false" ht="15" hidden="false" customHeight="false" outlineLevel="0" collapsed="false">
      <c r="A35" s="0"/>
      <c r="B35" s="16"/>
      <c r="C35" s="12"/>
      <c r="D35" s="12"/>
      <c r="E35" s="12"/>
      <c r="F35" s="15"/>
      <c r="G35" s="0"/>
      <c r="H35" s="0"/>
      <c r="I35" s="0"/>
      <c r="J35" s="0"/>
      <c r="K35" s="0"/>
      <c r="L35" s="0"/>
      <c r="M35" s="0"/>
      <c r="N35" s="0"/>
      <c r="O35" s="0"/>
      <c r="P35" s="0"/>
      <c r="Q35" s="0"/>
      <c r="R35" s="0"/>
      <c r="S35" s="0"/>
      <c r="T35" s="0"/>
      <c r="U35" s="0"/>
    </row>
    <row r="36" customFormat="false" ht="15" hidden="false" customHeight="false" outlineLevel="0" collapsed="false">
      <c r="A36" s="0"/>
      <c r="B36" s="16"/>
      <c r="C36" s="12"/>
      <c r="D36" s="12"/>
      <c r="E36" s="12"/>
      <c r="F36" s="15"/>
      <c r="G36" s="0"/>
      <c r="H36" s="0"/>
      <c r="I36" s="0"/>
      <c r="J36" s="0"/>
      <c r="K36" s="0"/>
      <c r="L36" s="0"/>
      <c r="M36" s="0"/>
      <c r="N36" s="0"/>
      <c r="O36" s="0"/>
      <c r="P36" s="0"/>
      <c r="Q36" s="0"/>
      <c r="R36" s="0"/>
      <c r="S36" s="0"/>
      <c r="T36" s="0"/>
      <c r="U36" s="0"/>
    </row>
    <row r="37" customFormat="false" ht="15" hidden="false" customHeight="false" outlineLevel="0" collapsed="false">
      <c r="A37" s="0"/>
      <c r="B37" s="11" t="s">
        <v>8</v>
      </c>
      <c r="C37" s="0"/>
      <c r="D37" s="0"/>
      <c r="E37" s="17"/>
      <c r="F37" s="17"/>
      <c r="G37" s="0"/>
      <c r="H37" s="0"/>
      <c r="I37" s="0"/>
      <c r="J37" s="0"/>
      <c r="K37" s="0"/>
      <c r="L37" s="0"/>
      <c r="M37" s="0"/>
      <c r="N37" s="0"/>
      <c r="O37" s="0"/>
      <c r="P37" s="0"/>
      <c r="Q37" s="0"/>
      <c r="R37" s="0"/>
      <c r="S37" s="0"/>
      <c r="T37" s="0"/>
      <c r="U37" s="0"/>
    </row>
    <row r="38" customFormat="false" ht="12.75" hidden="false" customHeight="false" outlineLevel="0" collapsed="false">
      <c r="A38" s="0"/>
      <c r="B38" s="0"/>
      <c r="C38" s="0"/>
      <c r="D38" s="0"/>
      <c r="E38" s="0"/>
      <c r="F38" s="0"/>
      <c r="G38" s="0"/>
      <c r="H38" s="0"/>
      <c r="I38" s="0"/>
      <c r="J38" s="0"/>
      <c r="K38" s="0"/>
      <c r="L38" s="0"/>
      <c r="M38" s="0"/>
      <c r="N38" s="0"/>
      <c r="O38" s="0"/>
      <c r="P38" s="0"/>
      <c r="Q38" s="0"/>
      <c r="R38" s="0"/>
      <c r="S38" s="0"/>
      <c r="T38" s="0"/>
      <c r="U38" s="0"/>
    </row>
    <row r="39" customFormat="false" ht="12.75" hidden="false" customHeight="false" outlineLevel="0" collapsed="false">
      <c r="A39" s="0"/>
      <c r="B39" s="0"/>
      <c r="C39" s="0"/>
      <c r="D39" s="0"/>
      <c r="E39" s="0"/>
      <c r="F39" s="0"/>
      <c r="G39" s="0"/>
      <c r="H39" s="0"/>
      <c r="I39" s="0"/>
      <c r="J39" s="0"/>
      <c r="K39" s="0"/>
      <c r="L39" s="0"/>
      <c r="M39" s="0"/>
      <c r="N39" s="0"/>
      <c r="O39" s="0"/>
      <c r="P39" s="0"/>
      <c r="Q39" s="0"/>
      <c r="R39" s="0"/>
      <c r="S39" s="0"/>
      <c r="T39" s="0"/>
      <c r="U39" s="0"/>
    </row>
    <row r="40" customFormat="false" ht="12.75" hidden="false" customHeight="false" outlineLevel="0" collapsed="false">
      <c r="A40" s="0"/>
      <c r="B40" s="0"/>
      <c r="C40" s="0"/>
      <c r="D40" s="0"/>
      <c r="E40" s="0"/>
      <c r="F40" s="0"/>
      <c r="G40" s="0"/>
      <c r="H40" s="0"/>
      <c r="I40" s="0"/>
      <c r="J40" s="0"/>
      <c r="K40" s="0"/>
      <c r="L40" s="0"/>
      <c r="M40" s="0"/>
      <c r="N40" s="0"/>
      <c r="O40" s="0"/>
      <c r="P40" s="0"/>
      <c r="Q40" s="0"/>
      <c r="R40" s="0"/>
      <c r="S40" s="0"/>
      <c r="T40" s="0"/>
      <c r="U40" s="0"/>
    </row>
    <row r="41" customFormat="false" ht="12.75" hidden="false" customHeight="false" outlineLevel="0" collapsed="false">
      <c r="A41" s="0"/>
      <c r="B41" s="0"/>
      <c r="C41" s="0"/>
      <c r="D41" s="0"/>
      <c r="E41" s="0"/>
      <c r="F41" s="0"/>
      <c r="G41" s="0"/>
      <c r="H41" s="0"/>
      <c r="I41" s="0"/>
      <c r="J41" s="0"/>
      <c r="K41" s="0"/>
      <c r="L41" s="0"/>
      <c r="M41" s="0"/>
      <c r="N41" s="0"/>
      <c r="O41" s="0"/>
      <c r="P41" s="0"/>
      <c r="Q41" s="0"/>
      <c r="R41" s="0"/>
      <c r="S41" s="0"/>
      <c r="T41" s="0"/>
      <c r="U41" s="0"/>
    </row>
    <row r="42" customFormat="false" ht="12.75" hidden="false" customHeight="false" outlineLevel="0" collapsed="false">
      <c r="A42" s="0"/>
      <c r="B42" s="0"/>
      <c r="C42" s="0"/>
      <c r="D42" s="0"/>
      <c r="E42" s="0"/>
      <c r="F42" s="0"/>
      <c r="G42" s="0"/>
      <c r="H42" s="0"/>
      <c r="I42" s="0"/>
      <c r="J42" s="0"/>
      <c r="K42" s="0"/>
      <c r="L42" s="0"/>
      <c r="M42" s="0"/>
      <c r="N42" s="0"/>
      <c r="O42" s="0"/>
      <c r="P42" s="0"/>
      <c r="Q42" s="0"/>
      <c r="R42" s="0"/>
      <c r="S42" s="0"/>
      <c r="T42" s="0"/>
      <c r="U42" s="0"/>
    </row>
    <row r="43" customFormat="false" ht="12.75" hidden="false" customHeight="false" outlineLevel="0" collapsed="false">
      <c r="A43" s="0"/>
      <c r="B43" s="0"/>
      <c r="C43" s="0"/>
      <c r="D43" s="0"/>
      <c r="E43" s="0"/>
      <c r="F43" s="0"/>
      <c r="G43" s="0"/>
      <c r="H43" s="0"/>
      <c r="I43" s="0"/>
      <c r="J43" s="0"/>
      <c r="K43" s="0"/>
      <c r="L43" s="0"/>
      <c r="M43" s="0"/>
      <c r="N43" s="0"/>
      <c r="O43" s="0"/>
      <c r="P43" s="0"/>
      <c r="Q43" s="0"/>
      <c r="R43" s="0"/>
      <c r="S43" s="0"/>
      <c r="T43" s="0"/>
      <c r="U43" s="0"/>
    </row>
    <row r="44" customFormat="false" ht="12.75" hidden="false" customHeight="false" outlineLevel="0" collapsed="false">
      <c r="A44" s="0"/>
      <c r="B44" s="0"/>
      <c r="C44" s="0"/>
      <c r="D44" s="0"/>
      <c r="E44" s="0"/>
      <c r="F44" s="0"/>
      <c r="G44" s="0"/>
      <c r="H44" s="0"/>
      <c r="I44" s="0"/>
      <c r="J44" s="0"/>
      <c r="K44" s="0"/>
      <c r="L44" s="0"/>
      <c r="M44" s="0"/>
      <c r="N44" s="0"/>
      <c r="O44" s="0"/>
      <c r="P44" s="0"/>
      <c r="Q44" s="0"/>
      <c r="R44" s="0"/>
      <c r="S44" s="0"/>
      <c r="T44" s="0"/>
      <c r="U44" s="0"/>
    </row>
    <row r="45" customFormat="false" ht="12.75" hidden="false" customHeight="false" outlineLevel="0" collapsed="false">
      <c r="A45" s="0"/>
      <c r="B45" s="0"/>
      <c r="C45" s="0"/>
      <c r="D45" s="0"/>
      <c r="E45" s="0"/>
      <c r="F45" s="0"/>
      <c r="G45" s="0"/>
      <c r="H45" s="0"/>
      <c r="I45" s="0"/>
      <c r="J45" s="0"/>
      <c r="K45" s="0"/>
      <c r="L45" s="0"/>
      <c r="M45" s="0"/>
      <c r="N45" s="0"/>
      <c r="O45" s="0"/>
      <c r="P45" s="0"/>
      <c r="Q45" s="0"/>
      <c r="R45" s="0"/>
      <c r="S45" s="0"/>
      <c r="T45" s="0"/>
      <c r="U45" s="0"/>
    </row>
    <row r="46" customFormat="false" ht="12.75" hidden="false" customHeight="false" outlineLevel="0" collapsed="false">
      <c r="A46" s="0"/>
      <c r="B46" s="0"/>
      <c r="C46" s="0"/>
      <c r="D46" s="0"/>
      <c r="E46" s="0"/>
      <c r="F46" s="0"/>
      <c r="G46" s="0"/>
      <c r="H46" s="0"/>
      <c r="I46" s="0"/>
      <c r="J46" s="0"/>
      <c r="K46" s="0"/>
      <c r="L46" s="0"/>
      <c r="M46" s="0"/>
      <c r="N46" s="0"/>
      <c r="O46" s="0"/>
      <c r="P46" s="0"/>
      <c r="Q46" s="0"/>
      <c r="R46" s="0"/>
      <c r="S46" s="0"/>
      <c r="T46" s="0"/>
      <c r="U46" s="0"/>
    </row>
    <row r="47" customFormat="false" ht="12.75" hidden="false" customHeight="false" outlineLevel="0" collapsed="false">
      <c r="A47" s="0"/>
      <c r="B47" s="0"/>
      <c r="C47" s="0"/>
      <c r="D47" s="0"/>
      <c r="E47" s="0"/>
      <c r="F47" s="0"/>
      <c r="G47" s="0"/>
      <c r="H47" s="0"/>
      <c r="I47" s="0"/>
      <c r="J47" s="0"/>
      <c r="K47" s="0"/>
      <c r="L47" s="0"/>
      <c r="M47" s="0"/>
      <c r="N47" s="0"/>
      <c r="O47" s="0"/>
      <c r="P47" s="0"/>
      <c r="Q47" s="0"/>
      <c r="R47" s="0"/>
      <c r="S47" s="0"/>
      <c r="T47" s="0"/>
      <c r="U47" s="0"/>
    </row>
    <row r="48" customFormat="false" ht="12.75" hidden="false" customHeight="false" outlineLevel="0" collapsed="false">
      <c r="A48" s="0"/>
      <c r="B48" s="0"/>
      <c r="C48" s="0"/>
      <c r="D48" s="0"/>
      <c r="E48" s="0"/>
      <c r="F48" s="0"/>
      <c r="G48" s="0"/>
      <c r="H48" s="0"/>
      <c r="I48" s="0"/>
      <c r="J48" s="0"/>
      <c r="K48" s="0"/>
      <c r="L48" s="0"/>
      <c r="M48" s="0"/>
      <c r="N48" s="0"/>
      <c r="O48" s="0"/>
      <c r="P48" s="0"/>
      <c r="Q48" s="0"/>
      <c r="R48" s="0"/>
      <c r="S48" s="0"/>
      <c r="T48" s="0"/>
      <c r="U48" s="0"/>
    </row>
    <row r="49" customFormat="false" ht="12.75" hidden="false" customHeight="false" outlineLevel="0" collapsed="false">
      <c r="A49" s="0"/>
      <c r="B49" s="0"/>
      <c r="C49" s="0"/>
      <c r="D49" s="0"/>
      <c r="E49" s="0"/>
      <c r="F49" s="0"/>
      <c r="G49" s="0"/>
      <c r="H49" s="0"/>
      <c r="I49" s="0"/>
      <c r="J49" s="0"/>
      <c r="K49" s="0"/>
      <c r="L49" s="0"/>
      <c r="M49" s="0"/>
      <c r="N49" s="0"/>
      <c r="O49" s="0"/>
      <c r="P49" s="0"/>
      <c r="Q49" s="0"/>
      <c r="R49" s="0"/>
      <c r="S49" s="0"/>
      <c r="T49" s="0"/>
      <c r="U49" s="0"/>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&amp;L&amp;F  &amp;A&amp;R&amp;D  &amp;T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6" activeCellId="0" sqref="A26"/>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36678</v>
      </c>
      <c r="G3" s="32" t="n">
        <f aca="false">+$D$10</f>
        <v>36678</v>
      </c>
      <c r="H3" s="32" t="n">
        <f aca="false">+$D$10</f>
        <v>36678</v>
      </c>
      <c r="K3" s="32" t="n">
        <f aca="false">+$D$10</f>
        <v>36678</v>
      </c>
      <c r="L3" s="32" t="n">
        <f aca="false">+$D$10</f>
        <v>36678</v>
      </c>
      <c r="Q3" s="32" t="n">
        <f aca="false">+$D$10</f>
        <v>36678</v>
      </c>
      <c r="R3" s="32" t="n">
        <f aca="false">+$D$10</f>
        <v>36678</v>
      </c>
      <c r="U3" s="32" t="n">
        <f aca="false">+$D$10</f>
        <v>36678</v>
      </c>
      <c r="V3" s="32" t="n">
        <f aca="false">+$D$10</f>
        <v>36678</v>
      </c>
    </row>
    <row r="4" customFormat="false" ht="12.75" hidden="false" customHeight="false" outlineLevel="0" collapsed="false">
      <c r="A4" s="0" t="s">
        <v>223</v>
      </c>
      <c r="C4" s="32"/>
      <c r="D4" s="32" t="n">
        <f aca="false">IF(+D$18&lt;1,C4,D$18)</f>
        <v>36762</v>
      </c>
      <c r="G4" s="32" t="n">
        <f aca="false">IF(+G$18&lt;1,D4,G$18)</f>
        <v>36762</v>
      </c>
      <c r="H4" s="32" t="n">
        <f aca="false">IF(+H$18&lt;1,G4,H$18)</f>
        <v>36762</v>
      </c>
      <c r="K4" s="32" t="n">
        <f aca="false">IF(+K$18&lt;1,H4,K$18)</f>
        <v>36762</v>
      </c>
      <c r="L4" s="32" t="n">
        <f aca="false">IF(+L$18&lt;1,K4,L$18)</f>
        <v>36762</v>
      </c>
      <c r="Q4" s="32" t="n">
        <f aca="false">IF(+Q$18&lt;1,N4,Q$18)</f>
        <v>36762</v>
      </c>
      <c r="R4" s="32" t="n">
        <f aca="false">IF(+R$18&lt;1,Q4,R$18)</f>
        <v>36762</v>
      </c>
      <c r="U4" s="32" t="n">
        <f aca="false">IF(+U$18&lt;1,R4,U$18)</f>
        <v>36762</v>
      </c>
      <c r="V4" s="32" t="n">
        <f aca="false">IF(+V$18&lt;1,U4,V$18)</f>
        <v>36762</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36678</v>
      </c>
      <c r="E6" s="171"/>
      <c r="F6" s="171"/>
      <c r="G6" s="208" t="n">
        <f aca="false">MIN(G2:G5)</f>
        <v>36678</v>
      </c>
      <c r="H6" s="208" t="n">
        <f aca="false">MIN(H2:H5)</f>
        <v>36678</v>
      </c>
      <c r="I6" s="171"/>
      <c r="J6" s="171"/>
      <c r="K6" s="208" t="n">
        <f aca="false">MIN(K2:K5)</f>
        <v>36678</v>
      </c>
      <c r="L6" s="209" t="n">
        <f aca="false">MIN(L2:L5)</f>
        <v>36678</v>
      </c>
      <c r="Q6" s="208" t="n">
        <f aca="false">MIN(Q2:Q5)</f>
        <v>36678</v>
      </c>
      <c r="R6" s="209" t="n">
        <f aca="false">MIN(R2:R5)</f>
        <v>36678</v>
      </c>
      <c r="U6" s="208" t="n">
        <f aca="false">MIN(U2:U5)</f>
        <v>36678</v>
      </c>
      <c r="V6" s="209" t="n">
        <f aca="false">MIN(V2:V5)</f>
        <v>36678</v>
      </c>
    </row>
    <row r="9" customFormat="false" ht="12.75" hidden="false" customHeight="false" outlineLevel="0" collapsed="false">
      <c r="A9" s="22" t="s">
        <v>246</v>
      </c>
      <c r="C9" s="31" t="s">
        <v>227</v>
      </c>
      <c r="D9" s="210" t="n">
        <v>36670</v>
      </c>
    </row>
    <row r="10" customFormat="false" ht="13.5" hidden="false" customHeight="false" outlineLevel="0" collapsed="false">
      <c r="A10" s="22" t="s">
        <v>41</v>
      </c>
      <c r="B10" s="211"/>
      <c r="C10" s="31" t="s">
        <v>222</v>
      </c>
      <c r="D10" s="210" t="n">
        <v>36678</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44" t="n">
        <v>73.75</v>
      </c>
      <c r="E14" s="219" t="n">
        <f aca="false">+D14</f>
        <v>73.75</v>
      </c>
      <c r="F14" s="132"/>
      <c r="G14" s="219" t="n">
        <f aca="false">LOOKUP(G6,Input!$A$20:$A$827,Input!$B$20:$B$827)</f>
        <v>71.125</v>
      </c>
      <c r="H14" s="219" t="n">
        <f aca="false">LOOKUP(H6,Input!$A$20:$A$827,Input!$B$20:$B$827)</f>
        <v>71.125</v>
      </c>
      <c r="I14" s="219" t="n">
        <f aca="false">+H14</f>
        <v>71.125</v>
      </c>
      <c r="J14" s="132"/>
      <c r="K14" s="219" t="n">
        <f aca="false">LOOKUP(K6,Input!$A$20:$A$827,Input!$B$20:$B$827)</f>
        <v>71.125</v>
      </c>
      <c r="L14" s="219" t="n">
        <f aca="false">LOOKUP(L6,Input!$A$20:$A$827,Input!$B$20:$B$827)</f>
        <v>71.125</v>
      </c>
      <c r="M14" s="219" t="n">
        <f aca="false">+L14</f>
        <v>71.125</v>
      </c>
      <c r="N14" s="132"/>
      <c r="O14" s="17"/>
      <c r="P14" s="220"/>
      <c r="Q14" s="219" t="n">
        <f aca="false">LOOKUP(Q6,Input!$A$20:$A$827,Input!$B$20:$B$827)</f>
        <v>71.125</v>
      </c>
      <c r="R14" s="219" t="n">
        <f aca="false">LOOKUP(R6,Input!$A$20:$A$827,Input!$B$20:$B$827)</f>
        <v>71.125</v>
      </c>
      <c r="S14" s="219" t="n">
        <f aca="false">+R14</f>
        <v>71.125</v>
      </c>
      <c r="T14" s="132"/>
      <c r="U14" s="219" t="n">
        <f aca="false">LOOKUP(U6,Input!$A$20:$A$827,Input!$B$20:$B$827)</f>
        <v>71.125</v>
      </c>
      <c r="V14" s="219" t="n">
        <f aca="false">LOOKUP(V6,Input!$A$20:$A$827,Input!$B$20:$B$827)</f>
        <v>71.125</v>
      </c>
      <c r="W14" s="219" t="n">
        <f aca="false">+V14</f>
        <v>71.125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323000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66.8698+0.03</f>
        <v>66.8998</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36762</v>
      </c>
      <c r="E18" s="109"/>
      <c r="F18" s="221"/>
      <c r="G18" s="109" t="n">
        <v>36762</v>
      </c>
      <c r="H18" s="109" t="n">
        <v>36762</v>
      </c>
      <c r="I18" s="109"/>
      <c r="J18" s="221"/>
      <c r="K18" s="109" t="n">
        <v>36762</v>
      </c>
      <c r="L18" s="109" t="n">
        <v>36762</v>
      </c>
      <c r="M18" s="109"/>
      <c r="N18" s="221"/>
      <c r="O18" s="17"/>
      <c r="P18" s="222"/>
      <c r="Q18" s="109" t="n">
        <v>36762</v>
      </c>
      <c r="R18" s="109" t="n">
        <v>36762</v>
      </c>
      <c r="S18" s="109"/>
      <c r="T18" s="221"/>
      <c r="U18" s="109" t="n">
        <v>36762</v>
      </c>
      <c r="V18" s="109" t="n">
        <v>36762</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247</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21608635.4</v>
      </c>
      <c r="E21" s="55" t="n">
        <f aca="false">+D21</f>
        <v>21608635.4</v>
      </c>
      <c r="F21" s="227"/>
      <c r="G21" s="55" t="n">
        <f aca="false">+D22</f>
        <v>23821250</v>
      </c>
      <c r="H21" s="55" t="n">
        <f aca="false">+G22</f>
        <v>22973375</v>
      </c>
      <c r="I21" s="55" t="n">
        <f aca="false">+E22</f>
        <v>23821250</v>
      </c>
      <c r="J21" s="227"/>
      <c r="K21" s="55" t="n">
        <f aca="false">+H22</f>
        <v>22973375</v>
      </c>
      <c r="L21" s="55" t="n">
        <f aca="false">+K22</f>
        <v>22973375</v>
      </c>
      <c r="M21" s="55" t="n">
        <f aca="false">+I22</f>
        <v>22973375</v>
      </c>
      <c r="N21" s="227"/>
      <c r="O21" s="55"/>
      <c r="P21" s="228"/>
      <c r="Q21" s="55" t="n">
        <f aca="false">+L22</f>
        <v>22973375</v>
      </c>
      <c r="R21" s="55" t="n">
        <f aca="false">+Q22</f>
        <v>22973375</v>
      </c>
      <c r="S21" s="55" t="n">
        <f aca="false">+M22</f>
        <v>22973375</v>
      </c>
      <c r="T21" s="227"/>
      <c r="U21" s="55" t="n">
        <f aca="false">+Q22</f>
        <v>22973375</v>
      </c>
      <c r="V21" s="55" t="n">
        <f aca="false">+R22</f>
        <v>22973375</v>
      </c>
      <c r="W21" s="55" t="n">
        <f aca="false">+S22</f>
        <v>22973375</v>
      </c>
      <c r="X21" s="227"/>
      <c r="Y21" s="55"/>
      <c r="Z21" s="228"/>
      <c r="AA21" s="165"/>
    </row>
    <row r="22" customFormat="false" ht="12.75" hidden="false" customHeight="false" outlineLevel="0" collapsed="false">
      <c r="B22" s="0" t="s">
        <v>183</v>
      </c>
      <c r="C22" s="55"/>
      <c r="D22" s="55" t="n">
        <f aca="false">ROUND(+D14*$B16,2)</f>
        <v>23821250</v>
      </c>
      <c r="E22" s="55" t="n">
        <f aca="false">ROUND(+E14*$B16,2)</f>
        <v>23821250</v>
      </c>
      <c r="F22" s="227"/>
      <c r="G22" s="55" t="n">
        <f aca="false">ROUND(+G14*$B16,2)</f>
        <v>22973375</v>
      </c>
      <c r="H22" s="55" t="n">
        <f aca="false">ROUND(+H14*$B16,2)</f>
        <v>22973375</v>
      </c>
      <c r="I22" s="55" t="n">
        <f aca="false">ROUND(+I14*$B16,2)</f>
        <v>22973375</v>
      </c>
      <c r="J22" s="227"/>
      <c r="K22" s="55" t="n">
        <f aca="false">ROUND(+K14*$B16,2)</f>
        <v>22973375</v>
      </c>
      <c r="L22" s="55" t="n">
        <f aca="false">ROUND(+L14*$B16,2)</f>
        <v>22973375</v>
      </c>
      <c r="M22" s="55" t="n">
        <f aca="false">ROUND(+M14*$B16,2)</f>
        <v>22973375</v>
      </c>
      <c r="N22" s="227"/>
      <c r="O22" s="165"/>
      <c r="P22" s="228"/>
      <c r="Q22" s="55" t="n">
        <f aca="false">ROUND(+Q14*$B16,2)</f>
        <v>22973375</v>
      </c>
      <c r="R22" s="55" t="n">
        <f aca="false">ROUND(+R14*$B16,2)</f>
        <v>22973375</v>
      </c>
      <c r="S22" s="55" t="n">
        <f aca="false">ROUND(+S14*$B16,2)</f>
        <v>22973375</v>
      </c>
      <c r="T22" s="227"/>
      <c r="U22" s="55" t="n">
        <f aca="false">ROUND(+U14*$B16,2)</f>
        <v>22973375</v>
      </c>
      <c r="V22" s="55" t="n">
        <f aca="false">ROUND(+V14*$B16,2)</f>
        <v>22973375</v>
      </c>
      <c r="W22" s="55" t="n">
        <f aca="false">ROUND(+W14*$B16,2)</f>
        <v>22973375</v>
      </c>
      <c r="X22" s="227"/>
      <c r="Y22" s="165"/>
      <c r="Z22" s="228"/>
      <c r="AA22" s="165"/>
    </row>
    <row r="23" customFormat="false" ht="12.75" hidden="false" customHeight="false" outlineLevel="0" collapsed="false">
      <c r="B23" s="0" t="s">
        <v>185</v>
      </c>
      <c r="C23" s="229"/>
      <c r="D23" s="229" t="n">
        <f aca="false">IF($A$11&lt;=C18,0,-D21+D22)</f>
        <v>2212614.6</v>
      </c>
      <c r="E23" s="229" t="n">
        <f aca="false">SUM(C23:D23)</f>
        <v>2212614.6</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2212614.6</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2212614.6</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248</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0.125</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A28" s="0" t="n">
        <v>6.2925</v>
      </c>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C30" s="31" t="s">
        <v>238</v>
      </c>
      <c r="D30" s="237" t="n">
        <v>0.0661</v>
      </c>
      <c r="F30" s="147"/>
      <c r="G30" s="238" t="n">
        <f aca="false">+D30</f>
        <v>0.0661</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45" t="n">
        <v>0.008</v>
      </c>
      <c r="F31" s="147"/>
      <c r="G31" s="245" t="n">
        <v>0.008</v>
      </c>
      <c r="H31" s="245" t="n">
        <v>0.008</v>
      </c>
      <c r="J31" s="147"/>
      <c r="K31" s="245" t="n">
        <v>0.008</v>
      </c>
      <c r="L31" s="245" t="n">
        <v>0.008</v>
      </c>
      <c r="N31" s="147"/>
      <c r="O31" s="10"/>
      <c r="P31" s="233"/>
      <c r="Q31" s="245" t="n">
        <v>0.008</v>
      </c>
      <c r="R31" s="245" t="n">
        <v>0.008</v>
      </c>
      <c r="T31" s="147"/>
      <c r="U31" s="245" t="n">
        <v>0.008</v>
      </c>
      <c r="V31" s="245" t="n">
        <v>0.008</v>
      </c>
      <c r="X31" s="147"/>
      <c r="Y31" s="10"/>
      <c r="Z31" s="233"/>
    </row>
    <row r="32" customFormat="false" ht="12.75" hidden="false" customHeight="false" outlineLevel="0" collapsed="false">
      <c r="A32" s="51" t="s">
        <v>240</v>
      </c>
      <c r="D32" s="238" t="n">
        <f aca="false">SUM(D30:D31)</f>
        <v>0.0741</v>
      </c>
      <c r="F32" s="147"/>
      <c r="G32" s="238" t="n">
        <f aca="false">SUM(G30:G31)</f>
        <v>0.0741</v>
      </c>
      <c r="H32" s="238" t="n">
        <f aca="false">SUM(H30:H31)</f>
        <v>0.0689</v>
      </c>
      <c r="J32" s="147"/>
      <c r="K32" s="238" t="n">
        <f aca="false">SUM(K30:K31)</f>
        <v>0.0689</v>
      </c>
      <c r="L32" s="238" t="n">
        <f aca="false">SUM(L30:L31)</f>
        <v>0.0689</v>
      </c>
      <c r="N32" s="147"/>
      <c r="O32" s="10"/>
      <c r="P32" s="233"/>
      <c r="Q32" s="238" t="n">
        <f aca="false">SUM(Q30:Q31)</f>
        <v>0.008</v>
      </c>
      <c r="R32" s="238" t="n">
        <f aca="false">SUM(R30:R31)</f>
        <v>0.0689</v>
      </c>
      <c r="T32" s="147"/>
      <c r="U32" s="238" t="n">
        <f aca="false">SUM(U30:U31)</f>
        <v>0.0689</v>
      </c>
      <c r="V32" s="238" t="n">
        <f aca="false">SUM(V30:V31)</f>
        <v>0.0689</v>
      </c>
      <c r="X32" s="147"/>
      <c r="Y32" s="10"/>
      <c r="Z32" s="233"/>
    </row>
    <row r="33" customFormat="false" ht="12.75" hidden="false" customHeight="false" outlineLevel="0" collapsed="false">
      <c r="A33" s="0" t="s">
        <v>241</v>
      </c>
      <c r="D33" s="240" t="n">
        <v>360</v>
      </c>
      <c r="F33" s="147"/>
      <c r="G33" s="240" t="n">
        <v>360</v>
      </c>
      <c r="H33" s="240" t="n">
        <v>360</v>
      </c>
      <c r="J33" s="147"/>
      <c r="K33" s="240" t="n">
        <v>360</v>
      </c>
      <c r="L33" s="240" t="n">
        <v>360</v>
      </c>
      <c r="N33" s="147"/>
      <c r="O33" s="10"/>
      <c r="P33" s="233"/>
      <c r="Q33" s="240" t="n">
        <v>360</v>
      </c>
      <c r="R33" s="240" t="n">
        <v>360</v>
      </c>
      <c r="T33" s="147"/>
      <c r="U33" s="240" t="n">
        <v>360</v>
      </c>
      <c r="V33" s="240" t="n">
        <v>360</v>
      </c>
      <c r="X33" s="147"/>
      <c r="Y33" s="10"/>
      <c r="Z33" s="233"/>
    </row>
    <row r="34" customFormat="false" ht="12.75" hidden="false" customHeight="false" outlineLevel="0" collapsed="false">
      <c r="A34" s="0" t="s">
        <v>242</v>
      </c>
      <c r="D34" s="118" t="n">
        <f aca="false">+D9</f>
        <v>36670</v>
      </c>
      <c r="F34" s="147"/>
      <c r="G34" s="118" t="n">
        <f aca="false">+D35</f>
        <v>36678</v>
      </c>
      <c r="H34" s="118" t="n">
        <f aca="false">+G35</f>
        <v>36678</v>
      </c>
      <c r="J34" s="147"/>
      <c r="K34" s="118" t="n">
        <f aca="false">+H35</f>
        <v>36678</v>
      </c>
      <c r="L34" s="118" t="n">
        <f aca="false">+K35</f>
        <v>36678</v>
      </c>
      <c r="N34" s="147"/>
      <c r="O34" s="10"/>
      <c r="P34" s="233"/>
      <c r="Q34" s="118" t="n">
        <f aca="false">+L35</f>
        <v>36678</v>
      </c>
      <c r="R34" s="118" t="n">
        <f aca="false">+Q35</f>
        <v>36678</v>
      </c>
      <c r="T34" s="147"/>
      <c r="U34" s="118" t="n">
        <f aca="false">+R35</f>
        <v>36678</v>
      </c>
      <c r="V34" s="118" t="n">
        <f aca="false">+U35</f>
        <v>36678</v>
      </c>
      <c r="X34" s="147"/>
      <c r="Y34" s="10"/>
      <c r="Z34" s="233"/>
    </row>
    <row r="35" customFormat="false" ht="12.75" hidden="false" customHeight="false" outlineLevel="0" collapsed="false">
      <c r="A35" s="0" t="s">
        <v>243</v>
      </c>
      <c r="D35" s="241" t="n">
        <f aca="false">+D6</f>
        <v>36678</v>
      </c>
      <c r="F35" s="147"/>
      <c r="G35" s="241" t="n">
        <f aca="false">+G6</f>
        <v>36678</v>
      </c>
      <c r="H35" s="241" t="n">
        <f aca="false">+H6</f>
        <v>36678</v>
      </c>
      <c r="J35" s="147"/>
      <c r="K35" s="241" t="n">
        <f aca="false">+K6</f>
        <v>36678</v>
      </c>
      <c r="L35" s="241" t="n">
        <f aca="false">+L6</f>
        <v>36678</v>
      </c>
      <c r="N35" s="147"/>
      <c r="O35" s="10"/>
      <c r="P35" s="233"/>
      <c r="Q35" s="241" t="n">
        <f aca="false">+Q6</f>
        <v>36678</v>
      </c>
      <c r="R35" s="241" t="n">
        <f aca="false">+R6</f>
        <v>36678</v>
      </c>
      <c r="T35" s="147"/>
      <c r="U35" s="241" t="n">
        <f aca="false">+U6</f>
        <v>36678</v>
      </c>
      <c r="V35" s="241" t="n">
        <f aca="false">+V6</f>
        <v>36678</v>
      </c>
      <c r="X35" s="147"/>
      <c r="Y35" s="10"/>
      <c r="Z35" s="233"/>
    </row>
    <row r="36" customFormat="false" ht="12.75" hidden="false" customHeight="false" outlineLevel="0" collapsed="false">
      <c r="A36" s="0" t="s">
        <v>244</v>
      </c>
      <c r="D36" s="242" t="n">
        <f aca="false">+D35-D34</f>
        <v>8</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-35582.22</v>
      </c>
      <c r="E37" s="229" t="n">
        <f aca="false">SUM(C37:D37)</f>
        <v>-35582.22</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-35582.22</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-35582.22</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2177032.38</v>
      </c>
      <c r="E39" s="243" t="n">
        <f aca="false">+E23+E27+E37</f>
        <v>2177032.38</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2177032.38</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2177032.38</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36654</v>
      </c>
      <c r="G3" s="32" t="n">
        <f aca="false">+$D$10</f>
        <v>36654</v>
      </c>
      <c r="H3" s="32" t="n">
        <f aca="false">+$D$10</f>
        <v>36654</v>
      </c>
      <c r="K3" s="32" t="n">
        <f aca="false">+$D$10</f>
        <v>36654</v>
      </c>
      <c r="L3" s="32" t="n">
        <f aca="false">+$D$10</f>
        <v>36654</v>
      </c>
      <c r="Q3" s="32" t="n">
        <f aca="false">+$D$10</f>
        <v>36654</v>
      </c>
      <c r="R3" s="32" t="n">
        <f aca="false">+$D$10</f>
        <v>36654</v>
      </c>
      <c r="U3" s="32" t="n">
        <f aca="false">+$D$10</f>
        <v>36654</v>
      </c>
      <c r="V3" s="32" t="n">
        <f aca="false">+$D$10</f>
        <v>36654</v>
      </c>
    </row>
    <row r="4" customFormat="false" ht="12.75" hidden="false" customHeight="false" outlineLevel="0" collapsed="false">
      <c r="A4" s="0" t="s">
        <v>223</v>
      </c>
      <c r="C4" s="32"/>
      <c r="D4" s="32" t="n">
        <f aca="false">IF(+D$18&lt;1,C4,D$18)</f>
        <v>36663</v>
      </c>
      <c r="G4" s="32" t="n">
        <f aca="false">IF(+G$18&lt;1,D4,G$18)</f>
        <v>36663</v>
      </c>
      <c r="H4" s="32" t="n">
        <f aca="false">IF(+H$18&lt;1,G4,H$18)</f>
        <v>36663</v>
      </c>
      <c r="K4" s="32" t="n">
        <f aca="false">IF(+K$18&lt;1,H4,K$18)</f>
        <v>36663</v>
      </c>
      <c r="L4" s="32" t="n">
        <f aca="false">IF(+L$18&lt;1,K4,L$18)</f>
        <v>36663</v>
      </c>
      <c r="Q4" s="32" t="n">
        <f aca="false">IF(+Q$18&lt;1,N4,Q$18)</f>
        <v>36663</v>
      </c>
      <c r="R4" s="32" t="n">
        <f aca="false">IF(+R$18&lt;1,Q4,R$18)</f>
        <v>36663</v>
      </c>
      <c r="U4" s="32" t="n">
        <f aca="false">IF(+U$18&lt;1,R4,U$18)</f>
        <v>36663</v>
      </c>
      <c r="V4" s="32" t="n">
        <f aca="false">IF(+V$18&lt;1,U4,V$18)</f>
        <v>36663</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36654</v>
      </c>
      <c r="E6" s="171"/>
      <c r="F6" s="171"/>
      <c r="G6" s="208" t="n">
        <f aca="false">MIN(G2:G5)</f>
        <v>36654</v>
      </c>
      <c r="H6" s="208" t="n">
        <f aca="false">MIN(H2:H5)</f>
        <v>36654</v>
      </c>
      <c r="I6" s="171"/>
      <c r="J6" s="171"/>
      <c r="K6" s="208" t="n">
        <f aca="false">MIN(K2:K5)</f>
        <v>36654</v>
      </c>
      <c r="L6" s="209" t="n">
        <f aca="false">MIN(L2:L5)</f>
        <v>36654</v>
      </c>
      <c r="Q6" s="208" t="n">
        <f aca="false">MIN(Q2:Q5)</f>
        <v>36654</v>
      </c>
      <c r="R6" s="209" t="n">
        <f aca="false">MIN(R2:R5)</f>
        <v>36654</v>
      </c>
      <c r="U6" s="208" t="n">
        <f aca="false">MIN(U2:U5)</f>
        <v>36654</v>
      </c>
      <c r="V6" s="209" t="n">
        <f aca="false">MIN(V2:V5)</f>
        <v>36654</v>
      </c>
    </row>
    <row r="9" customFormat="false" ht="12.75" hidden="false" customHeight="false" outlineLevel="0" collapsed="false">
      <c r="A9" s="22" t="s">
        <v>226</v>
      </c>
      <c r="C9" s="31" t="s">
        <v>227</v>
      </c>
      <c r="D9" s="210" t="n">
        <v>36633</v>
      </c>
    </row>
    <row r="10" customFormat="false" ht="13.5" hidden="false" customHeight="false" outlineLevel="0" collapsed="false">
      <c r="A10" s="22" t="s">
        <v>249</v>
      </c>
      <c r="B10" s="211"/>
      <c r="C10" s="31" t="s">
        <v>222</v>
      </c>
      <c r="D10" s="210" t="n">
        <v>36654</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v>76.125</v>
      </c>
      <c r="E14" s="219" t="n">
        <f aca="false">+D14</f>
        <v>76.125</v>
      </c>
      <c r="F14" s="132"/>
      <c r="G14" s="219" t="n">
        <f aca="false">LOOKUP(G6,Input!$A$20:$A$827,Input!$B$20:$B$827)</f>
        <v>75.125</v>
      </c>
      <c r="H14" s="219" t="n">
        <f aca="false">LOOKUP(H6,Input!$A$20:$A$827,Input!$B$20:$B$827)</f>
        <v>75.125</v>
      </c>
      <c r="I14" s="219" t="n">
        <f aca="false">+H14</f>
        <v>75.125</v>
      </c>
      <c r="J14" s="132"/>
      <c r="K14" s="219" t="n">
        <f aca="false">LOOKUP(K6,Input!$A$20:$A$827,Input!$B$20:$B$827)</f>
        <v>75.125</v>
      </c>
      <c r="L14" s="219" t="n">
        <f aca="false">LOOKUP(L6,Input!$A$20:$A$827,Input!$B$20:$B$827)</f>
        <v>75.125</v>
      </c>
      <c r="M14" s="219" t="n">
        <f aca="false">+L14</f>
        <v>75.125</v>
      </c>
      <c r="N14" s="132"/>
      <c r="O14" s="17"/>
      <c r="P14" s="220"/>
      <c r="Q14" s="219" t="n">
        <f aca="false">LOOKUP(Q6,Input!$A$20:$A$827,Input!$B$20:$B$827)</f>
        <v>75.125</v>
      </c>
      <c r="R14" s="219" t="n">
        <f aca="false">LOOKUP(R6,Input!$A$20:$A$827,Input!$B$20:$B$827)</f>
        <v>75.125</v>
      </c>
      <c r="S14" s="219" t="n">
        <f aca="false">+R14</f>
        <v>75.125</v>
      </c>
      <c r="T14" s="132"/>
      <c r="U14" s="219" t="n">
        <f aca="false">LOOKUP(U6,Input!$A$20:$A$827,Input!$B$20:$B$827)</f>
        <v>75.125</v>
      </c>
      <c r="V14" s="219" t="n">
        <f aca="false">LOOKUP(V6,Input!$A$20:$A$827,Input!$B$20:$B$827)</f>
        <v>75.125</v>
      </c>
      <c r="W14" s="219" t="n">
        <f aca="false">+V14</f>
        <v>75.125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511200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64.7681+0.03</f>
        <v>64.7981</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36663</v>
      </c>
      <c r="E18" s="109"/>
      <c r="F18" s="221"/>
      <c r="G18" s="109" t="n">
        <v>36663</v>
      </c>
      <c r="H18" s="109" t="n">
        <v>36663</v>
      </c>
      <c r="I18" s="109"/>
      <c r="J18" s="221"/>
      <c r="K18" s="109" t="n">
        <v>36663</v>
      </c>
      <c r="L18" s="109" t="n">
        <v>36663</v>
      </c>
      <c r="M18" s="109"/>
      <c r="N18" s="221"/>
      <c r="O18" s="17"/>
      <c r="P18" s="222"/>
      <c r="Q18" s="109" t="n">
        <v>36663</v>
      </c>
      <c r="R18" s="109" t="n">
        <v>36663</v>
      </c>
      <c r="S18" s="109"/>
      <c r="T18" s="221"/>
      <c r="U18" s="109" t="n">
        <v>36663</v>
      </c>
      <c r="V18" s="109" t="n">
        <v>36663</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33124788.72</v>
      </c>
      <c r="E21" s="55" t="n">
        <f aca="false">+D21</f>
        <v>33124788.72</v>
      </c>
      <c r="F21" s="227"/>
      <c r="G21" s="55" t="n">
        <f aca="false">+D22</f>
        <v>38915100</v>
      </c>
      <c r="H21" s="55" t="n">
        <f aca="false">+G22</f>
        <v>38403900</v>
      </c>
      <c r="I21" s="55" t="n">
        <f aca="false">+E22</f>
        <v>38915100</v>
      </c>
      <c r="J21" s="227"/>
      <c r="K21" s="55" t="n">
        <f aca="false">+H22</f>
        <v>38403900</v>
      </c>
      <c r="L21" s="55" t="n">
        <f aca="false">+K22</f>
        <v>38403900</v>
      </c>
      <c r="M21" s="55" t="n">
        <f aca="false">+I22</f>
        <v>38403900</v>
      </c>
      <c r="N21" s="227"/>
      <c r="O21" s="55"/>
      <c r="P21" s="228"/>
      <c r="Q21" s="55" t="n">
        <f aca="false">+L22</f>
        <v>38403900</v>
      </c>
      <c r="R21" s="55" t="n">
        <f aca="false">+Q22</f>
        <v>38403900</v>
      </c>
      <c r="S21" s="55" t="n">
        <f aca="false">+M22</f>
        <v>38403900</v>
      </c>
      <c r="T21" s="227"/>
      <c r="U21" s="55" t="n">
        <f aca="false">+Q22</f>
        <v>38403900</v>
      </c>
      <c r="V21" s="55" t="n">
        <f aca="false">+R22</f>
        <v>38403900</v>
      </c>
      <c r="W21" s="55" t="n">
        <f aca="false">+S22</f>
        <v>38403900</v>
      </c>
      <c r="X21" s="227"/>
      <c r="Y21" s="55"/>
      <c r="Z21" s="228"/>
      <c r="AA21" s="165"/>
    </row>
    <row r="22" customFormat="false" ht="12.75" hidden="false" customHeight="false" outlineLevel="0" collapsed="false">
      <c r="B22" s="0" t="s">
        <v>183</v>
      </c>
      <c r="C22" s="55"/>
      <c r="D22" s="55" t="n">
        <f aca="false">ROUND(+D14*$B16,2)</f>
        <v>38915100</v>
      </c>
      <c r="E22" s="55" t="n">
        <f aca="false">ROUND(+E14*$B16,2)</f>
        <v>38915100</v>
      </c>
      <c r="F22" s="227"/>
      <c r="G22" s="55" t="n">
        <f aca="false">ROUND(+G14*$B16,2)</f>
        <v>38403900</v>
      </c>
      <c r="H22" s="55" t="n">
        <f aca="false">ROUND(+H14*$B16,2)</f>
        <v>38403900</v>
      </c>
      <c r="I22" s="55" t="n">
        <f aca="false">ROUND(+I14*$B16,2)</f>
        <v>38403900</v>
      </c>
      <c r="J22" s="227"/>
      <c r="K22" s="55" t="n">
        <f aca="false">ROUND(+K14*$B16,2)</f>
        <v>38403900</v>
      </c>
      <c r="L22" s="55" t="n">
        <f aca="false">ROUND(+L14*$B16,2)</f>
        <v>38403900</v>
      </c>
      <c r="M22" s="55" t="n">
        <f aca="false">ROUND(+M14*$B16,2)</f>
        <v>38403900</v>
      </c>
      <c r="N22" s="227"/>
      <c r="O22" s="165"/>
      <c r="P22" s="228"/>
      <c r="Q22" s="55" t="n">
        <f aca="false">ROUND(+Q14*$B16,2)</f>
        <v>38403900</v>
      </c>
      <c r="R22" s="55" t="n">
        <f aca="false">ROUND(+R14*$B16,2)</f>
        <v>38403900</v>
      </c>
      <c r="S22" s="55" t="n">
        <f aca="false">ROUND(+S14*$B16,2)</f>
        <v>38403900</v>
      </c>
      <c r="T22" s="227"/>
      <c r="U22" s="55" t="n">
        <f aca="false">ROUND(+U14*$B16,2)</f>
        <v>38403900</v>
      </c>
      <c r="V22" s="55" t="n">
        <f aca="false">ROUND(+V14*$B16,2)</f>
        <v>38403900</v>
      </c>
      <c r="W22" s="55" t="n">
        <f aca="false">ROUND(+W14*$B16,2)</f>
        <v>38403900</v>
      </c>
      <c r="X22" s="227"/>
      <c r="Y22" s="165"/>
      <c r="Z22" s="228"/>
      <c r="AA22" s="165"/>
    </row>
    <row r="23" customFormat="false" ht="12.75" hidden="false" customHeight="false" outlineLevel="0" collapsed="false">
      <c r="B23" s="0" t="s">
        <v>185</v>
      </c>
      <c r="C23" s="229"/>
      <c r="D23" s="229" t="n">
        <f aca="false">IF($A$11&lt;=C18,0,-D21+D22)</f>
        <v>5790311.28</v>
      </c>
      <c r="E23" s="229" t="n">
        <f aca="false">SUM(C23:D23)</f>
        <v>5790311.28</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5790311.28</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5790311.28</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0.125</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D30" s="237" t="n">
        <v>0.062925</v>
      </c>
      <c r="F30" s="147"/>
      <c r="G30" s="238" t="n">
        <f aca="false">+D30</f>
        <v>0.062925</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45" t="n">
        <v>0.0105</v>
      </c>
      <c r="F31" s="147"/>
      <c r="G31" s="245" t="n">
        <v>0.0105</v>
      </c>
      <c r="H31" s="245" t="n">
        <v>0.0105</v>
      </c>
      <c r="J31" s="147"/>
      <c r="K31" s="245" t="n">
        <v>0.0105</v>
      </c>
      <c r="L31" s="245" t="n">
        <v>0.0105</v>
      </c>
      <c r="N31" s="147"/>
      <c r="O31" s="10"/>
      <c r="P31" s="233"/>
      <c r="Q31" s="245" t="n">
        <v>0.0105</v>
      </c>
      <c r="R31" s="245" t="n">
        <v>0.0105</v>
      </c>
      <c r="T31" s="147"/>
      <c r="U31" s="245" t="n">
        <v>0.0105</v>
      </c>
      <c r="V31" s="245" t="n">
        <v>0.0105</v>
      </c>
      <c r="X31" s="147"/>
      <c r="Y31" s="10"/>
      <c r="Z31" s="233"/>
    </row>
    <row r="32" customFormat="false" ht="12.75" hidden="false" customHeight="false" outlineLevel="0" collapsed="false">
      <c r="A32" s="51" t="s">
        <v>240</v>
      </c>
      <c r="D32" s="238" t="n">
        <f aca="false">SUM(D30:D31)</f>
        <v>0.073425</v>
      </c>
      <c r="F32" s="147"/>
      <c r="G32" s="238" t="n">
        <f aca="false">SUM(G30:G31)</f>
        <v>0.073425</v>
      </c>
      <c r="H32" s="238" t="n">
        <f aca="false">SUM(H30:H31)</f>
        <v>0.0714</v>
      </c>
      <c r="J32" s="147"/>
      <c r="K32" s="238" t="n">
        <f aca="false">SUM(K30:K31)</f>
        <v>0.0714</v>
      </c>
      <c r="L32" s="238" t="n">
        <f aca="false">SUM(L30:L31)</f>
        <v>0.0714</v>
      </c>
      <c r="N32" s="147"/>
      <c r="O32" s="10"/>
      <c r="P32" s="233"/>
      <c r="Q32" s="238" t="n">
        <f aca="false">SUM(Q30:Q31)</f>
        <v>0.0105</v>
      </c>
      <c r="R32" s="238" t="n">
        <f aca="false">SUM(R30:R31)</f>
        <v>0.0714</v>
      </c>
      <c r="T32" s="147"/>
      <c r="U32" s="238" t="n">
        <f aca="false">SUM(U30:U31)</f>
        <v>0.0714</v>
      </c>
      <c r="V32" s="238" t="n">
        <f aca="false">SUM(V30:V31)</f>
        <v>0.0714</v>
      </c>
      <c r="X32" s="147"/>
      <c r="Y32" s="10"/>
      <c r="Z32" s="233"/>
    </row>
    <row r="33" customFormat="false" ht="12.75" hidden="false" customHeight="false" outlineLevel="0" collapsed="false">
      <c r="A33" s="0" t="s">
        <v>241</v>
      </c>
      <c r="D33" s="240" t="n">
        <v>365</v>
      </c>
      <c r="F33" s="147"/>
      <c r="G33" s="240" t="n">
        <v>365</v>
      </c>
      <c r="H33" s="240" t="n">
        <v>365</v>
      </c>
      <c r="J33" s="147"/>
      <c r="K33" s="240" t="n">
        <v>365</v>
      </c>
      <c r="L33" s="240" t="n">
        <v>365</v>
      </c>
      <c r="N33" s="147"/>
      <c r="O33" s="10"/>
      <c r="P33" s="233"/>
      <c r="Q33" s="240" t="n">
        <v>365</v>
      </c>
      <c r="R33" s="240" t="n">
        <v>365</v>
      </c>
      <c r="T33" s="147"/>
      <c r="U33" s="240" t="n">
        <v>365</v>
      </c>
      <c r="V33" s="240" t="n">
        <v>365</v>
      </c>
      <c r="X33" s="147"/>
      <c r="Y33" s="10"/>
      <c r="Z33" s="233"/>
    </row>
    <row r="34" customFormat="false" ht="12.75" hidden="false" customHeight="false" outlineLevel="0" collapsed="false">
      <c r="A34" s="0" t="s">
        <v>242</v>
      </c>
      <c r="D34" s="118" t="n">
        <f aca="false">+D9</f>
        <v>36633</v>
      </c>
      <c r="F34" s="147"/>
      <c r="G34" s="118" t="n">
        <f aca="false">+D35</f>
        <v>36654</v>
      </c>
      <c r="H34" s="118" t="n">
        <f aca="false">+G35</f>
        <v>36654</v>
      </c>
      <c r="J34" s="147"/>
      <c r="K34" s="118" t="n">
        <f aca="false">+H35</f>
        <v>36654</v>
      </c>
      <c r="L34" s="118" t="n">
        <f aca="false">+K35</f>
        <v>36654</v>
      </c>
      <c r="N34" s="147"/>
      <c r="O34" s="10"/>
      <c r="P34" s="233"/>
      <c r="Q34" s="118" t="n">
        <f aca="false">+L35</f>
        <v>36654</v>
      </c>
      <c r="R34" s="118" t="n">
        <f aca="false">+Q35</f>
        <v>36654</v>
      </c>
      <c r="T34" s="147"/>
      <c r="U34" s="118" t="n">
        <f aca="false">+R35</f>
        <v>36654</v>
      </c>
      <c r="V34" s="118" t="n">
        <f aca="false">+U35</f>
        <v>36654</v>
      </c>
      <c r="X34" s="147"/>
      <c r="Y34" s="10"/>
      <c r="Z34" s="233"/>
    </row>
    <row r="35" customFormat="false" ht="12.75" hidden="false" customHeight="false" outlineLevel="0" collapsed="false">
      <c r="A35" s="0" t="s">
        <v>243</v>
      </c>
      <c r="D35" s="241" t="n">
        <f aca="false">+D6</f>
        <v>36654</v>
      </c>
      <c r="F35" s="147"/>
      <c r="G35" s="241" t="n">
        <f aca="false">+G6</f>
        <v>36654</v>
      </c>
      <c r="H35" s="241" t="n">
        <f aca="false">+H6</f>
        <v>36654</v>
      </c>
      <c r="J35" s="147"/>
      <c r="K35" s="241" t="n">
        <f aca="false">+K6</f>
        <v>36654</v>
      </c>
      <c r="L35" s="241" t="n">
        <f aca="false">+L6</f>
        <v>36654</v>
      </c>
      <c r="N35" s="147"/>
      <c r="O35" s="10"/>
      <c r="P35" s="233"/>
      <c r="Q35" s="241" t="n">
        <f aca="false">+Q6</f>
        <v>36654</v>
      </c>
      <c r="R35" s="241" t="n">
        <f aca="false">+R6</f>
        <v>36654</v>
      </c>
      <c r="T35" s="147"/>
      <c r="U35" s="241" t="n">
        <f aca="false">+U6</f>
        <v>36654</v>
      </c>
      <c r="V35" s="241" t="n">
        <f aca="false">+V6</f>
        <v>36654</v>
      </c>
      <c r="X35" s="147"/>
      <c r="Y35" s="10"/>
      <c r="Z35" s="233"/>
    </row>
    <row r="36" customFormat="false" ht="12.75" hidden="false" customHeight="false" outlineLevel="0" collapsed="false">
      <c r="A36" s="0" t="s">
        <v>244</v>
      </c>
      <c r="D36" s="242" t="n">
        <f aca="false">+D35-D34</f>
        <v>21</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-139934.08</v>
      </c>
      <c r="E37" s="229" t="n">
        <f aca="false">SUM(C37:D37)</f>
        <v>-139934.08</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-139934.08</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-139934.08</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5650377.2</v>
      </c>
      <c r="E39" s="243" t="n">
        <f aca="false">+E23+E27+E37</f>
        <v>5650377.2</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5650377.2</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5650377.2</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36654</v>
      </c>
      <c r="G3" s="32" t="n">
        <f aca="false">+$D$10</f>
        <v>36654</v>
      </c>
      <c r="H3" s="32" t="n">
        <f aca="false">+$D$10</f>
        <v>36654</v>
      </c>
      <c r="K3" s="32" t="n">
        <f aca="false">+$D$10</f>
        <v>36654</v>
      </c>
      <c r="L3" s="32" t="n">
        <f aca="false">+$D$10</f>
        <v>36654</v>
      </c>
      <c r="Q3" s="32" t="n">
        <f aca="false">+$D$10</f>
        <v>36654</v>
      </c>
      <c r="R3" s="32" t="n">
        <f aca="false">+$D$10</f>
        <v>36654</v>
      </c>
      <c r="U3" s="32" t="n">
        <f aca="false">+$D$10</f>
        <v>36654</v>
      </c>
      <c r="V3" s="32" t="n">
        <f aca="false">+$D$10</f>
        <v>36654</v>
      </c>
    </row>
    <row r="4" customFormat="false" ht="12.75" hidden="false" customHeight="false" outlineLevel="0" collapsed="false">
      <c r="A4" s="0" t="s">
        <v>223</v>
      </c>
      <c r="C4" s="32"/>
      <c r="D4" s="32" t="n">
        <f aca="false">IF(+D$18&lt;1,C4,D$18)</f>
        <v>36713</v>
      </c>
      <c r="G4" s="32" t="n">
        <f aca="false">IF(+G$18&lt;1,D4,G$18)</f>
        <v>36713</v>
      </c>
      <c r="H4" s="32" t="n">
        <f aca="false">IF(+H$18&lt;1,G4,H$18)</f>
        <v>36805</v>
      </c>
      <c r="K4" s="32" t="n">
        <f aca="false">IF(+K$18&lt;1,H4,K$18)</f>
        <v>36805</v>
      </c>
      <c r="L4" s="32" t="n">
        <f aca="false">IF(+L$18&lt;1,K4,L$18)</f>
        <v>36897</v>
      </c>
      <c r="Q4" s="32" t="n">
        <f aca="false">IF(+Q$18&lt;1,N4,Q$18)</f>
        <v>36897</v>
      </c>
      <c r="R4" s="32" t="n">
        <f aca="false">IF(+R$18&lt;1,Q4,R$18)</f>
        <v>36986</v>
      </c>
      <c r="U4" s="32" t="n">
        <f aca="false">IF(+U$18&lt;1,R4,U$18)</f>
        <v>36986</v>
      </c>
      <c r="V4" s="32" t="n">
        <f aca="false">IF(+V$18&lt;1,U4,V$18)</f>
        <v>36985</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36654</v>
      </c>
      <c r="E6" s="171"/>
      <c r="F6" s="171"/>
      <c r="G6" s="208" t="n">
        <f aca="false">MIN(G2:G5)</f>
        <v>36654</v>
      </c>
      <c r="H6" s="208" t="n">
        <f aca="false">MIN(H2:H5)</f>
        <v>36654</v>
      </c>
      <c r="I6" s="171"/>
      <c r="J6" s="171"/>
      <c r="K6" s="208" t="n">
        <f aca="false">MIN(K2:K5)</f>
        <v>36654</v>
      </c>
      <c r="L6" s="209" t="n">
        <f aca="false">MIN(L2:L5)</f>
        <v>36654</v>
      </c>
      <c r="Q6" s="208" t="n">
        <f aca="false">MIN(Q2:Q5)</f>
        <v>36654</v>
      </c>
      <c r="R6" s="209" t="n">
        <f aca="false">MIN(R2:R5)</f>
        <v>36654</v>
      </c>
      <c r="U6" s="208" t="n">
        <f aca="false">MIN(U2:U5)</f>
        <v>36654</v>
      </c>
      <c r="V6" s="209" t="n">
        <f aca="false">MIN(V2:V5)</f>
        <v>36654</v>
      </c>
    </row>
    <row r="9" customFormat="false" ht="12.75" hidden="false" customHeight="false" outlineLevel="0" collapsed="false">
      <c r="A9" s="22" t="s">
        <v>226</v>
      </c>
      <c r="C9" s="31" t="s">
        <v>227</v>
      </c>
      <c r="D9" s="210" t="n">
        <v>36622</v>
      </c>
      <c r="E9" s="211"/>
    </row>
    <row r="10" customFormat="false" ht="13.5" hidden="false" customHeight="false" outlineLevel="0" collapsed="false">
      <c r="A10" s="22" t="s">
        <v>249</v>
      </c>
      <c r="C10" s="31" t="s">
        <v>222</v>
      </c>
      <c r="D10" s="210" t="n">
        <v>36654</v>
      </c>
      <c r="E10" s="211"/>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v>76.125</v>
      </c>
      <c r="E14" s="219" t="n">
        <f aca="false">+D14</f>
        <v>76.125</v>
      </c>
      <c r="F14" s="132"/>
      <c r="G14" s="219" t="n">
        <f aca="false">LOOKUP(G6,Input!$A$20:$A$827,Input!$B$20:$B$827)</f>
        <v>75.125</v>
      </c>
      <c r="H14" s="219" t="n">
        <f aca="false">LOOKUP(H6,Input!$A$20:$A$827,Input!$B$20:$B$827)</f>
        <v>75.125</v>
      </c>
      <c r="I14" s="219" t="n">
        <f aca="false">+H14</f>
        <v>75.125</v>
      </c>
      <c r="J14" s="132"/>
      <c r="K14" s="219" t="n">
        <f aca="false">LOOKUP(K6,Input!$A$20:$A$827,Input!$B$20:$B$827)</f>
        <v>75.125</v>
      </c>
      <c r="L14" s="219" t="n">
        <f aca="false">LOOKUP(L6,Input!$A$20:$A$827,Input!$B$20:$B$827)</f>
        <v>75.125</v>
      </c>
      <c r="M14" s="219" t="n">
        <f aca="false">+L14</f>
        <v>75.125</v>
      </c>
      <c r="N14" s="132"/>
      <c r="O14" s="17"/>
      <c r="P14" s="220"/>
      <c r="Q14" s="219" t="n">
        <f aca="false">LOOKUP(Q6,Input!$A$20:$A$827,Input!$B$20:$B$827)</f>
        <v>75.125</v>
      </c>
      <c r="R14" s="219" t="n">
        <f aca="false">LOOKUP(R6,Input!$A$20:$A$827,Input!$B$20:$B$827)</f>
        <v>75.125</v>
      </c>
      <c r="S14" s="219" t="n">
        <f aca="false">+R14</f>
        <v>75.125</v>
      </c>
      <c r="T14" s="132"/>
      <c r="U14" s="219" t="n">
        <f aca="false">LOOKUP(U6,Input!$A$20:$A$827,Input!$B$20:$B$827)</f>
        <v>75.125</v>
      </c>
      <c r="V14" s="219" t="n">
        <f aca="false">LOOKUP(V6,Input!$A$20:$A$827,Input!$B$20:$B$827)</f>
        <v>75.125</v>
      </c>
      <c r="W14" s="219" t="n">
        <f aca="false">+V14</f>
        <v>75.125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460000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67.5829+0.03</f>
        <v>67.6129</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36713</v>
      </c>
      <c r="E18" s="109"/>
      <c r="F18" s="221"/>
      <c r="G18" s="109" t="n">
        <v>36713</v>
      </c>
      <c r="H18" s="109" t="n">
        <v>36805</v>
      </c>
      <c r="I18" s="109"/>
      <c r="J18" s="221"/>
      <c r="K18" s="109" t="n">
        <v>36805</v>
      </c>
      <c r="L18" s="109" t="n">
        <v>36897</v>
      </c>
      <c r="M18" s="109"/>
      <c r="N18" s="221"/>
      <c r="O18" s="17"/>
      <c r="P18" s="222"/>
      <c r="Q18" s="109" t="n">
        <v>36897</v>
      </c>
      <c r="R18" s="109" t="n">
        <v>36986</v>
      </c>
      <c r="S18" s="109"/>
      <c r="T18" s="221"/>
      <c r="U18" s="109" t="n">
        <v>36986</v>
      </c>
      <c r="V18" s="109" t="n">
        <v>36985</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31101934</v>
      </c>
      <c r="E21" s="55" t="n">
        <f aca="false">+D21</f>
        <v>31101934</v>
      </c>
      <c r="F21" s="227"/>
      <c r="G21" s="55" t="n">
        <f aca="false">+D22</f>
        <v>35017500</v>
      </c>
      <c r="H21" s="55" t="n">
        <f aca="false">+G22</f>
        <v>34557500</v>
      </c>
      <c r="I21" s="55" t="n">
        <f aca="false">+E22</f>
        <v>35017500</v>
      </c>
      <c r="J21" s="227"/>
      <c r="K21" s="55" t="n">
        <f aca="false">+H22</f>
        <v>34557500</v>
      </c>
      <c r="L21" s="55" t="n">
        <f aca="false">+K22</f>
        <v>34557500</v>
      </c>
      <c r="M21" s="55" t="n">
        <f aca="false">+I22</f>
        <v>34557500</v>
      </c>
      <c r="N21" s="227"/>
      <c r="O21" s="55"/>
      <c r="P21" s="228"/>
      <c r="Q21" s="55" t="n">
        <f aca="false">+L22</f>
        <v>34557500</v>
      </c>
      <c r="R21" s="55" t="n">
        <f aca="false">+Q22</f>
        <v>34557500</v>
      </c>
      <c r="S21" s="55" t="n">
        <f aca="false">+M22</f>
        <v>34557500</v>
      </c>
      <c r="T21" s="227"/>
      <c r="U21" s="55" t="n">
        <f aca="false">+Q22</f>
        <v>34557500</v>
      </c>
      <c r="V21" s="55" t="n">
        <f aca="false">+R22</f>
        <v>34557500</v>
      </c>
      <c r="W21" s="55" t="n">
        <f aca="false">+S22</f>
        <v>34557500</v>
      </c>
      <c r="X21" s="227"/>
      <c r="Y21" s="55"/>
      <c r="Z21" s="228"/>
      <c r="AA21" s="165"/>
    </row>
    <row r="22" customFormat="false" ht="12.75" hidden="false" customHeight="false" outlineLevel="0" collapsed="false">
      <c r="B22" s="0" t="s">
        <v>183</v>
      </c>
      <c r="C22" s="55"/>
      <c r="D22" s="55" t="n">
        <f aca="false">ROUND(+D14*$B16,2)</f>
        <v>35017500</v>
      </c>
      <c r="E22" s="55" t="n">
        <f aca="false">ROUND(+E14*$B16,2)</f>
        <v>35017500</v>
      </c>
      <c r="F22" s="227"/>
      <c r="G22" s="55" t="n">
        <f aca="false">ROUND(+G14*$B16,2)</f>
        <v>34557500</v>
      </c>
      <c r="H22" s="55" t="n">
        <f aca="false">ROUND(+H14*$B16,2)</f>
        <v>34557500</v>
      </c>
      <c r="I22" s="55" t="n">
        <f aca="false">ROUND(+I14*$B16,2)</f>
        <v>34557500</v>
      </c>
      <c r="J22" s="227"/>
      <c r="K22" s="55" t="n">
        <f aca="false">ROUND(+K14*$B16,2)</f>
        <v>34557500</v>
      </c>
      <c r="L22" s="55" t="n">
        <f aca="false">ROUND(+L14*$B16,2)</f>
        <v>34557500</v>
      </c>
      <c r="M22" s="55" t="n">
        <f aca="false">ROUND(+M14*$B16,2)</f>
        <v>34557500</v>
      </c>
      <c r="N22" s="227"/>
      <c r="O22" s="165"/>
      <c r="P22" s="228"/>
      <c r="Q22" s="55" t="n">
        <f aca="false">ROUND(+Q14*$B16,2)</f>
        <v>34557500</v>
      </c>
      <c r="R22" s="55" t="n">
        <f aca="false">ROUND(+R14*$B16,2)</f>
        <v>34557500</v>
      </c>
      <c r="S22" s="55" t="n">
        <f aca="false">ROUND(+S14*$B16,2)</f>
        <v>34557500</v>
      </c>
      <c r="T22" s="227"/>
      <c r="U22" s="55" t="n">
        <f aca="false">ROUND(+U14*$B16,2)</f>
        <v>34557500</v>
      </c>
      <c r="V22" s="55" t="n">
        <f aca="false">ROUND(+V14*$B16,2)</f>
        <v>34557500</v>
      </c>
      <c r="W22" s="55" t="n">
        <f aca="false">ROUND(+W14*$B16,2)</f>
        <v>34557500</v>
      </c>
      <c r="X22" s="227"/>
      <c r="Y22" s="165"/>
      <c r="Z22" s="228"/>
      <c r="AA22" s="165"/>
    </row>
    <row r="23" customFormat="false" ht="12.75" hidden="false" customHeight="false" outlineLevel="0" collapsed="false">
      <c r="B23" s="0" t="s">
        <v>185</v>
      </c>
      <c r="C23" s="229"/>
      <c r="D23" s="229" t="n">
        <f aca="false">IF($A$11&lt;=C18,0,-D21+D22)</f>
        <v>3915566</v>
      </c>
      <c r="E23" s="229" t="n">
        <f aca="false">SUM(C23:D23)</f>
        <v>3915566</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3915566</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3915566</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t="e">
        <f aca="false">IF(+#REF!+O23-AA23=0,0,"OUT OF BALANCE")</f>
        <v>#REF!</v>
      </c>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0.125</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D30" s="237" t="n">
        <v>0.0628</v>
      </c>
      <c r="F30" s="147"/>
      <c r="G30" s="238" t="n">
        <f aca="false">+D30</f>
        <v>0.0628</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45" t="n">
        <v>0.0105</v>
      </c>
      <c r="F31" s="147"/>
      <c r="G31" s="245" t="n">
        <v>0.0105</v>
      </c>
      <c r="H31" s="245" t="n">
        <v>0.0105</v>
      </c>
      <c r="J31" s="147"/>
      <c r="K31" s="245" t="n">
        <v>0.0105</v>
      </c>
      <c r="L31" s="245" t="n">
        <v>0.0105</v>
      </c>
      <c r="N31" s="147"/>
      <c r="O31" s="10"/>
      <c r="P31" s="233"/>
      <c r="Q31" s="245" t="n">
        <v>0.0105</v>
      </c>
      <c r="R31" s="245" t="n">
        <v>0.0105</v>
      </c>
      <c r="T31" s="147"/>
      <c r="U31" s="245" t="n">
        <v>0.0105</v>
      </c>
      <c r="V31" s="245" t="n">
        <v>0.0105</v>
      </c>
      <c r="X31" s="147"/>
      <c r="Y31" s="10"/>
      <c r="Z31" s="233"/>
    </row>
    <row r="32" customFormat="false" ht="12.75" hidden="false" customHeight="false" outlineLevel="0" collapsed="false">
      <c r="A32" s="51" t="s">
        <v>240</v>
      </c>
      <c r="D32" s="238" t="n">
        <f aca="false">SUM(D30:D31)</f>
        <v>0.0733</v>
      </c>
      <c r="F32" s="147"/>
      <c r="G32" s="238" t="n">
        <f aca="false">SUM(G30:G31)</f>
        <v>0.0733</v>
      </c>
      <c r="H32" s="238" t="n">
        <f aca="false">SUM(H30:H31)</f>
        <v>0.0714</v>
      </c>
      <c r="J32" s="147"/>
      <c r="K32" s="238" t="n">
        <f aca="false">SUM(K30:K31)</f>
        <v>0.0714</v>
      </c>
      <c r="L32" s="238" t="n">
        <f aca="false">SUM(L30:L31)</f>
        <v>0.0714</v>
      </c>
      <c r="N32" s="147"/>
      <c r="O32" s="10"/>
      <c r="P32" s="233"/>
      <c r="Q32" s="238" t="n">
        <f aca="false">SUM(Q30:Q31)</f>
        <v>0.0105</v>
      </c>
      <c r="R32" s="238" t="n">
        <f aca="false">SUM(R30:R31)</f>
        <v>0.0714</v>
      </c>
      <c r="T32" s="147"/>
      <c r="U32" s="238" t="n">
        <f aca="false">SUM(U30:U31)</f>
        <v>0.0714</v>
      </c>
      <c r="V32" s="238" t="n">
        <f aca="false">SUM(V30:V31)</f>
        <v>0.0714</v>
      </c>
      <c r="X32" s="147"/>
      <c r="Y32" s="10"/>
      <c r="Z32" s="233"/>
    </row>
    <row r="33" customFormat="false" ht="12.75" hidden="false" customHeight="false" outlineLevel="0" collapsed="false">
      <c r="A33" s="0" t="s">
        <v>241</v>
      </c>
      <c r="D33" s="240" t="n">
        <v>365</v>
      </c>
      <c r="F33" s="147"/>
      <c r="G33" s="240" t="n">
        <v>365</v>
      </c>
      <c r="H33" s="240" t="n">
        <v>365</v>
      </c>
      <c r="J33" s="147"/>
      <c r="K33" s="240" t="n">
        <v>365</v>
      </c>
      <c r="L33" s="240" t="n">
        <v>365</v>
      </c>
      <c r="N33" s="147"/>
      <c r="O33" s="10"/>
      <c r="P33" s="233"/>
      <c r="Q33" s="240" t="n">
        <v>365</v>
      </c>
      <c r="R33" s="240" t="n">
        <v>365</v>
      </c>
      <c r="T33" s="147"/>
      <c r="U33" s="240" t="n">
        <v>365</v>
      </c>
      <c r="V33" s="240" t="n">
        <v>365</v>
      </c>
      <c r="X33" s="147"/>
      <c r="Y33" s="10"/>
      <c r="Z33" s="233"/>
    </row>
    <row r="34" customFormat="false" ht="12.75" hidden="false" customHeight="false" outlineLevel="0" collapsed="false">
      <c r="A34" s="0" t="s">
        <v>242</v>
      </c>
      <c r="D34" s="118" t="n">
        <f aca="false">+D9</f>
        <v>36622</v>
      </c>
      <c r="F34" s="147"/>
      <c r="G34" s="118" t="n">
        <f aca="false">+D35</f>
        <v>36654</v>
      </c>
      <c r="H34" s="118" t="n">
        <f aca="false">+G35</f>
        <v>36654</v>
      </c>
      <c r="J34" s="147"/>
      <c r="K34" s="118" t="n">
        <f aca="false">+H35</f>
        <v>36654</v>
      </c>
      <c r="L34" s="118" t="n">
        <f aca="false">+K35</f>
        <v>36654</v>
      </c>
      <c r="N34" s="147"/>
      <c r="O34" s="10"/>
      <c r="P34" s="233"/>
      <c r="Q34" s="118" t="n">
        <f aca="false">+L35</f>
        <v>36654</v>
      </c>
      <c r="R34" s="118" t="n">
        <f aca="false">+Q35</f>
        <v>36654</v>
      </c>
      <c r="T34" s="147"/>
      <c r="U34" s="118" t="n">
        <f aca="false">+R35</f>
        <v>36654</v>
      </c>
      <c r="V34" s="118" t="n">
        <f aca="false">+U35</f>
        <v>36654</v>
      </c>
      <c r="X34" s="147"/>
      <c r="Y34" s="10"/>
      <c r="Z34" s="233"/>
    </row>
    <row r="35" customFormat="false" ht="12.75" hidden="false" customHeight="false" outlineLevel="0" collapsed="false">
      <c r="A35" s="0" t="s">
        <v>243</v>
      </c>
      <c r="D35" s="241" t="n">
        <f aca="false">+D6</f>
        <v>36654</v>
      </c>
      <c r="F35" s="147"/>
      <c r="G35" s="241" t="n">
        <f aca="false">+G6</f>
        <v>36654</v>
      </c>
      <c r="H35" s="241" t="n">
        <f aca="false">+H6</f>
        <v>36654</v>
      </c>
      <c r="J35" s="147"/>
      <c r="K35" s="241" t="n">
        <f aca="false">+K6</f>
        <v>36654</v>
      </c>
      <c r="L35" s="241" t="n">
        <f aca="false">+L6</f>
        <v>36654</v>
      </c>
      <c r="N35" s="147"/>
      <c r="O35" s="10"/>
      <c r="P35" s="233"/>
      <c r="Q35" s="241" t="n">
        <f aca="false">+Q6</f>
        <v>36654</v>
      </c>
      <c r="R35" s="241" t="n">
        <f aca="false">+R6</f>
        <v>36654</v>
      </c>
      <c r="T35" s="147"/>
      <c r="U35" s="241" t="n">
        <f aca="false">+U6</f>
        <v>36654</v>
      </c>
      <c r="V35" s="241" t="n">
        <f aca="false">+V6</f>
        <v>36654</v>
      </c>
      <c r="X35" s="147"/>
      <c r="Y35" s="10"/>
      <c r="Z35" s="233"/>
    </row>
    <row r="36" customFormat="false" ht="12.75" hidden="false" customHeight="false" outlineLevel="0" collapsed="false">
      <c r="A36" s="0" t="s">
        <v>244</v>
      </c>
      <c r="D36" s="246" t="n">
        <f aca="false">+D35-D34-2</f>
        <v>30</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-187378.5</v>
      </c>
      <c r="E37" s="229" t="n">
        <f aca="false">SUM(C37:D37)</f>
        <v>-187378.5</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-187378.5</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-187378.5</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3728187.5</v>
      </c>
      <c r="E39" s="243" t="n">
        <f aca="false">+E23+E27+E37</f>
        <v>3728187.5</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3728187.5</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3728187.5</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7"/>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36654</v>
      </c>
      <c r="G3" s="32" t="n">
        <f aca="false">+$D$10</f>
        <v>36654</v>
      </c>
      <c r="H3" s="32" t="n">
        <f aca="false">+$D$10</f>
        <v>36654</v>
      </c>
      <c r="K3" s="32" t="n">
        <f aca="false">+$D$10</f>
        <v>36654</v>
      </c>
      <c r="L3" s="32" t="n">
        <f aca="false">+$D$10</f>
        <v>36654</v>
      </c>
      <c r="Q3" s="32" t="n">
        <f aca="false">+$D$10</f>
        <v>36654</v>
      </c>
      <c r="R3" s="32" t="n">
        <f aca="false">+$D$10</f>
        <v>36654</v>
      </c>
      <c r="U3" s="32" t="n">
        <f aca="false">+$D$10</f>
        <v>36654</v>
      </c>
      <c r="V3" s="32" t="n">
        <f aca="false">+$D$10</f>
        <v>36654</v>
      </c>
    </row>
    <row r="4" customFormat="false" ht="12.75" hidden="false" customHeight="false" outlineLevel="0" collapsed="false">
      <c r="A4" s="0" t="s">
        <v>223</v>
      </c>
      <c r="C4" s="32"/>
      <c r="D4" s="32" t="n">
        <f aca="false">IF(+D$18&lt;1,C4,D$18)</f>
        <v>36712</v>
      </c>
      <c r="G4" s="32" t="n">
        <f aca="false">IF(+G$18&lt;1,D4,G$18)</f>
        <v>36712</v>
      </c>
      <c r="H4" s="32" t="n">
        <f aca="false">IF(+H$18&lt;1,G4,H$18)</f>
        <v>36804</v>
      </c>
      <c r="K4" s="32" t="n">
        <f aca="false">IF(+K$18&lt;1,H4,K$18)</f>
        <v>36804</v>
      </c>
      <c r="L4" s="32" t="n">
        <f aca="false">IF(+L$18&lt;1,K4,L$18)</f>
        <v>36896</v>
      </c>
      <c r="Q4" s="32" t="n">
        <f aca="false">IF(+Q$18&lt;1,N4,Q$18)</f>
        <v>36896</v>
      </c>
      <c r="R4" s="32" t="n">
        <f aca="false">IF(+R$18&lt;1,Q4,R$18)</f>
        <v>36985</v>
      </c>
      <c r="U4" s="32" t="n">
        <f aca="false">IF(+U$18&lt;1,R4,U$18)</f>
        <v>36985</v>
      </c>
      <c r="V4" s="32" t="n">
        <f aca="false">IF(+V$18&lt;1,U4,V$18)</f>
        <v>36985</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36654</v>
      </c>
      <c r="E6" s="171"/>
      <c r="F6" s="171"/>
      <c r="G6" s="208" t="n">
        <f aca="false">MIN(G2:G5)</f>
        <v>36654</v>
      </c>
      <c r="H6" s="208" t="n">
        <f aca="false">MIN(H2:H5)</f>
        <v>36654</v>
      </c>
      <c r="I6" s="171"/>
      <c r="J6" s="171"/>
      <c r="K6" s="208" t="n">
        <f aca="false">MIN(K2:K5)</f>
        <v>36654</v>
      </c>
      <c r="L6" s="209" t="n">
        <f aca="false">MIN(L2:L5)</f>
        <v>36654</v>
      </c>
      <c r="Q6" s="208" t="n">
        <f aca="false">MIN(Q2:Q5)</f>
        <v>36654</v>
      </c>
      <c r="R6" s="209" t="n">
        <f aca="false">MIN(R2:R5)</f>
        <v>36654</v>
      </c>
      <c r="U6" s="208" t="n">
        <f aca="false">MIN(U2:U5)</f>
        <v>36654</v>
      </c>
      <c r="V6" s="209" t="n">
        <f aca="false">MIN(V2:V5)</f>
        <v>36654</v>
      </c>
    </row>
    <row r="9" customFormat="false" ht="12.75" hidden="false" customHeight="false" outlineLevel="0" collapsed="false">
      <c r="A9" s="22" t="s">
        <v>226</v>
      </c>
      <c r="C9" s="31" t="s">
        <v>227</v>
      </c>
      <c r="D9" s="210" t="n">
        <v>36621</v>
      </c>
      <c r="E9" s="211" t="s">
        <v>250</v>
      </c>
    </row>
    <row r="10" customFormat="false" ht="13.5" hidden="false" customHeight="false" outlineLevel="0" collapsed="false">
      <c r="A10" s="22" t="s">
        <v>249</v>
      </c>
      <c r="C10" s="31" t="s">
        <v>222</v>
      </c>
      <c r="D10" s="210" t="n">
        <v>36654</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v>76.125</v>
      </c>
      <c r="E14" s="219" t="n">
        <f aca="false">+D14</f>
        <v>76.125</v>
      </c>
      <c r="F14" s="132"/>
      <c r="G14" s="219" t="n">
        <f aca="false">LOOKUP(G6,Input!$A$20:$A$827,Input!$B$20:$B$827)</f>
        <v>75.125</v>
      </c>
      <c r="H14" s="219" t="n">
        <f aca="false">LOOKUP(H6,Input!$A$20:$A$827,Input!$B$20:$B$827)</f>
        <v>75.125</v>
      </c>
      <c r="I14" s="219" t="n">
        <f aca="false">+H14</f>
        <v>75.125</v>
      </c>
      <c r="J14" s="132"/>
      <c r="K14" s="219" t="n">
        <f aca="false">LOOKUP(K6,Input!$A$20:$A$827,Input!$B$20:$B$827)</f>
        <v>75.125</v>
      </c>
      <c r="L14" s="219" t="n">
        <f aca="false">LOOKUP(L6,Input!$A$20:$A$827,Input!$B$20:$B$827)</f>
        <v>75.125</v>
      </c>
      <c r="M14" s="219" t="n">
        <f aca="false">+L14</f>
        <v>75.125</v>
      </c>
      <c r="N14" s="132"/>
      <c r="O14" s="17"/>
      <c r="P14" s="220"/>
      <c r="Q14" s="219" t="n">
        <f aca="false">LOOKUP(Q6,Input!$A$20:$A$827,Input!$B$20:$B$827)</f>
        <v>75.125</v>
      </c>
      <c r="R14" s="219" t="n">
        <f aca="false">LOOKUP(R6,Input!$A$20:$A$827,Input!$B$20:$B$827)</f>
        <v>75.125</v>
      </c>
      <c r="S14" s="219" t="n">
        <f aca="false">+R14</f>
        <v>75.125</v>
      </c>
      <c r="T14" s="132"/>
      <c r="U14" s="219" t="n">
        <f aca="false">LOOKUP(U6,Input!$A$20:$A$827,Input!$B$20:$B$827)</f>
        <v>75.125</v>
      </c>
      <c r="V14" s="219" t="n">
        <f aca="false">LOOKUP(V6,Input!$A$20:$A$827,Input!$B$20:$B$827)</f>
        <v>75.125</v>
      </c>
      <c r="W14" s="219" t="n">
        <f aca="false">+V14</f>
        <v>75.125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790000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66.8865+0.03</f>
        <v>66.9165</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36712</v>
      </c>
      <c r="E18" s="109"/>
      <c r="F18" s="221"/>
      <c r="G18" s="109" t="n">
        <v>36712</v>
      </c>
      <c r="H18" s="109" t="n">
        <v>36804</v>
      </c>
      <c r="I18" s="109"/>
      <c r="J18" s="221"/>
      <c r="K18" s="109" t="n">
        <v>36804</v>
      </c>
      <c r="L18" s="109" t="n">
        <v>36896</v>
      </c>
      <c r="M18" s="109"/>
      <c r="N18" s="221"/>
      <c r="O18" s="17"/>
      <c r="P18" s="222"/>
      <c r="Q18" s="109" t="n">
        <v>36896</v>
      </c>
      <c r="R18" s="109" t="n">
        <v>36985</v>
      </c>
      <c r="S18" s="109"/>
      <c r="T18" s="221"/>
      <c r="U18" s="109" t="n">
        <v>36985</v>
      </c>
      <c r="V18" s="109" t="n">
        <v>36985</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52864035</v>
      </c>
      <c r="E21" s="55" t="n">
        <f aca="false">+D21</f>
        <v>52864035</v>
      </c>
      <c r="F21" s="227"/>
      <c r="G21" s="55" t="n">
        <f aca="false">+D22</f>
        <v>60138750</v>
      </c>
      <c r="H21" s="55" t="n">
        <f aca="false">+G22</f>
        <v>59348750</v>
      </c>
      <c r="I21" s="55" t="n">
        <f aca="false">+E22</f>
        <v>60138750</v>
      </c>
      <c r="J21" s="227"/>
      <c r="K21" s="55" t="n">
        <f aca="false">+H22</f>
        <v>59348750</v>
      </c>
      <c r="L21" s="55" t="n">
        <f aca="false">+K22</f>
        <v>59348750</v>
      </c>
      <c r="M21" s="55" t="n">
        <f aca="false">+I22</f>
        <v>59348750</v>
      </c>
      <c r="N21" s="227"/>
      <c r="O21" s="55"/>
      <c r="P21" s="228"/>
      <c r="Q21" s="55" t="n">
        <f aca="false">+L22</f>
        <v>59348750</v>
      </c>
      <c r="R21" s="55" t="n">
        <f aca="false">+Q22</f>
        <v>59348750</v>
      </c>
      <c r="S21" s="55" t="n">
        <f aca="false">+M22</f>
        <v>59348750</v>
      </c>
      <c r="T21" s="227"/>
      <c r="U21" s="55" t="n">
        <f aca="false">+Q22</f>
        <v>59348750</v>
      </c>
      <c r="V21" s="55" t="n">
        <f aca="false">+R22</f>
        <v>59348750</v>
      </c>
      <c r="W21" s="55" t="n">
        <f aca="false">+S22</f>
        <v>59348750</v>
      </c>
      <c r="X21" s="227"/>
      <c r="Y21" s="55"/>
      <c r="Z21" s="228"/>
      <c r="AA21" s="165"/>
    </row>
    <row r="22" customFormat="false" ht="12.75" hidden="false" customHeight="false" outlineLevel="0" collapsed="false">
      <c r="B22" s="0" t="s">
        <v>183</v>
      </c>
      <c r="C22" s="55"/>
      <c r="D22" s="55" t="n">
        <f aca="false">ROUND(+D14*$B16,2)</f>
        <v>60138750</v>
      </c>
      <c r="E22" s="55" t="n">
        <f aca="false">ROUND(+E14*$B16,2)</f>
        <v>60138750</v>
      </c>
      <c r="F22" s="227"/>
      <c r="G22" s="55" t="n">
        <f aca="false">ROUND(+G14*$B16,2)</f>
        <v>59348750</v>
      </c>
      <c r="H22" s="55" t="n">
        <f aca="false">ROUND(+H14*$B16,2)</f>
        <v>59348750</v>
      </c>
      <c r="I22" s="55" t="n">
        <f aca="false">ROUND(+I14*$B16,2)</f>
        <v>59348750</v>
      </c>
      <c r="J22" s="227"/>
      <c r="K22" s="55" t="n">
        <f aca="false">ROUND(+K14*$B16,2)</f>
        <v>59348750</v>
      </c>
      <c r="L22" s="55" t="n">
        <f aca="false">ROUND(+L14*$B16,2)</f>
        <v>59348750</v>
      </c>
      <c r="M22" s="55" t="n">
        <f aca="false">ROUND(+M14*$B16,2)</f>
        <v>59348750</v>
      </c>
      <c r="N22" s="227"/>
      <c r="O22" s="165"/>
      <c r="P22" s="228"/>
      <c r="Q22" s="55" t="n">
        <f aca="false">ROUND(+Q14*$B16,2)</f>
        <v>59348750</v>
      </c>
      <c r="R22" s="55" t="n">
        <f aca="false">ROUND(+R14*$B16,2)</f>
        <v>59348750</v>
      </c>
      <c r="S22" s="55" t="n">
        <f aca="false">ROUND(+S14*$B16,2)</f>
        <v>59348750</v>
      </c>
      <c r="T22" s="227"/>
      <c r="U22" s="55" t="n">
        <f aca="false">ROUND(+U14*$B16,2)</f>
        <v>59348750</v>
      </c>
      <c r="V22" s="55" t="n">
        <f aca="false">ROUND(+V14*$B16,2)</f>
        <v>59348750</v>
      </c>
      <c r="W22" s="55" t="n">
        <f aca="false">ROUND(+W14*$B16,2)</f>
        <v>59348750</v>
      </c>
      <c r="X22" s="227"/>
      <c r="Y22" s="165"/>
      <c r="Z22" s="228"/>
      <c r="AA22" s="165"/>
    </row>
    <row r="23" customFormat="false" ht="12.75" hidden="false" customHeight="false" outlineLevel="0" collapsed="false">
      <c r="B23" s="0" t="s">
        <v>185</v>
      </c>
      <c r="C23" s="229"/>
      <c r="D23" s="229" t="n">
        <f aca="false">IF($A$11&lt;=C18,0,-D21+D22)</f>
        <v>7274715</v>
      </c>
      <c r="E23" s="229" t="n">
        <f aca="false">SUM(C23:D23)</f>
        <v>7274715</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7274715</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7274715</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t="e">
        <f aca="false">IF(+#REF!+O23-AA23=0,0,"OUT OF BALANCE")</f>
        <v>#REF!</v>
      </c>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0.125</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D30" s="237" t="n">
        <v>0.0627125</v>
      </c>
      <c r="F30" s="147"/>
      <c r="G30" s="238" t="n">
        <f aca="false">+D30</f>
        <v>0.0627125</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45" t="n">
        <v>0.0105</v>
      </c>
      <c r="F31" s="147"/>
      <c r="G31" s="245" t="n">
        <v>0.0105</v>
      </c>
      <c r="H31" s="245" t="n">
        <v>0.0105</v>
      </c>
      <c r="J31" s="147"/>
      <c r="K31" s="245" t="n">
        <v>0.0105</v>
      </c>
      <c r="L31" s="245" t="n">
        <v>0.0105</v>
      </c>
      <c r="N31" s="147"/>
      <c r="O31" s="10"/>
      <c r="P31" s="233"/>
      <c r="Q31" s="245" t="n">
        <v>0.0105</v>
      </c>
      <c r="R31" s="245" t="n">
        <v>0.0105</v>
      </c>
      <c r="T31" s="147"/>
      <c r="U31" s="245" t="n">
        <v>0.0105</v>
      </c>
      <c r="V31" s="245" t="n">
        <v>0.0105</v>
      </c>
      <c r="X31" s="147"/>
      <c r="Y31" s="10"/>
      <c r="Z31" s="233"/>
    </row>
    <row r="32" customFormat="false" ht="12.75" hidden="false" customHeight="false" outlineLevel="0" collapsed="false">
      <c r="A32" s="51" t="s">
        <v>240</v>
      </c>
      <c r="D32" s="238" t="n">
        <f aca="false">SUM(D30:D31)</f>
        <v>0.0732125</v>
      </c>
      <c r="F32" s="147"/>
      <c r="G32" s="238" t="n">
        <f aca="false">SUM(G30:G31)</f>
        <v>0.0732125</v>
      </c>
      <c r="H32" s="238" t="n">
        <f aca="false">SUM(H30:H31)</f>
        <v>0.0714</v>
      </c>
      <c r="J32" s="147"/>
      <c r="K32" s="238" t="n">
        <f aca="false">SUM(K30:K31)</f>
        <v>0.0714</v>
      </c>
      <c r="L32" s="238" t="n">
        <f aca="false">SUM(L30:L31)</f>
        <v>0.0714</v>
      </c>
      <c r="N32" s="147"/>
      <c r="O32" s="10"/>
      <c r="P32" s="233"/>
      <c r="Q32" s="238" t="n">
        <f aca="false">SUM(Q30:Q31)</f>
        <v>0.0105</v>
      </c>
      <c r="R32" s="238" t="n">
        <f aca="false">SUM(R30:R31)</f>
        <v>0.0714</v>
      </c>
      <c r="T32" s="147"/>
      <c r="U32" s="238" t="n">
        <f aca="false">SUM(U30:U31)</f>
        <v>0.0714</v>
      </c>
      <c r="V32" s="238" t="n">
        <f aca="false">SUM(V30:V31)</f>
        <v>0.0714</v>
      </c>
      <c r="X32" s="147"/>
      <c r="Y32" s="10"/>
      <c r="Z32" s="233"/>
    </row>
    <row r="33" customFormat="false" ht="12.75" hidden="false" customHeight="false" outlineLevel="0" collapsed="false">
      <c r="A33" s="0" t="s">
        <v>241</v>
      </c>
      <c r="D33" s="240" t="n">
        <v>365</v>
      </c>
      <c r="F33" s="147"/>
      <c r="G33" s="240" t="n">
        <v>365</v>
      </c>
      <c r="H33" s="240" t="n">
        <v>365</v>
      </c>
      <c r="J33" s="147"/>
      <c r="K33" s="240" t="n">
        <v>365</v>
      </c>
      <c r="L33" s="240" t="n">
        <v>365</v>
      </c>
      <c r="N33" s="147"/>
      <c r="O33" s="10"/>
      <c r="P33" s="233"/>
      <c r="Q33" s="240" t="n">
        <v>365</v>
      </c>
      <c r="R33" s="240" t="n">
        <v>365</v>
      </c>
      <c r="T33" s="147"/>
      <c r="U33" s="240" t="n">
        <v>365</v>
      </c>
      <c r="V33" s="240" t="n">
        <v>365</v>
      </c>
      <c r="X33" s="147"/>
      <c r="Y33" s="10"/>
      <c r="Z33" s="233"/>
    </row>
    <row r="34" customFormat="false" ht="12.75" hidden="false" customHeight="false" outlineLevel="0" collapsed="false">
      <c r="A34" s="0" t="s">
        <v>242</v>
      </c>
      <c r="D34" s="118" t="n">
        <f aca="false">+D9</f>
        <v>36621</v>
      </c>
      <c r="F34" s="147"/>
      <c r="G34" s="118" t="n">
        <f aca="false">+D35</f>
        <v>36654</v>
      </c>
      <c r="H34" s="118" t="n">
        <f aca="false">+G35</f>
        <v>36654</v>
      </c>
      <c r="J34" s="147"/>
      <c r="K34" s="118" t="n">
        <f aca="false">+H35</f>
        <v>36654</v>
      </c>
      <c r="L34" s="118" t="n">
        <f aca="false">+K35</f>
        <v>36654</v>
      </c>
      <c r="N34" s="147"/>
      <c r="O34" s="10"/>
      <c r="P34" s="233"/>
      <c r="Q34" s="118" t="n">
        <f aca="false">+L35</f>
        <v>36654</v>
      </c>
      <c r="R34" s="118" t="n">
        <f aca="false">+Q35</f>
        <v>36654</v>
      </c>
      <c r="T34" s="147"/>
      <c r="U34" s="118" t="n">
        <f aca="false">+R35</f>
        <v>36654</v>
      </c>
      <c r="V34" s="118" t="n">
        <f aca="false">+U35</f>
        <v>36654</v>
      </c>
      <c r="X34" s="147"/>
      <c r="Y34" s="10"/>
      <c r="Z34" s="233"/>
    </row>
    <row r="35" customFormat="false" ht="12.75" hidden="false" customHeight="false" outlineLevel="0" collapsed="false">
      <c r="A35" s="0" t="s">
        <v>243</v>
      </c>
      <c r="D35" s="241" t="n">
        <f aca="false">+D6</f>
        <v>36654</v>
      </c>
      <c r="F35" s="147"/>
      <c r="G35" s="241" t="n">
        <f aca="false">+G6</f>
        <v>36654</v>
      </c>
      <c r="H35" s="241" t="n">
        <f aca="false">+H6</f>
        <v>36654</v>
      </c>
      <c r="J35" s="147"/>
      <c r="K35" s="241" t="n">
        <f aca="false">+K6</f>
        <v>36654</v>
      </c>
      <c r="L35" s="241" t="n">
        <f aca="false">+L6</f>
        <v>36654</v>
      </c>
      <c r="N35" s="147"/>
      <c r="O35" s="10"/>
      <c r="P35" s="233"/>
      <c r="Q35" s="241" t="n">
        <f aca="false">+Q6</f>
        <v>36654</v>
      </c>
      <c r="R35" s="241" t="n">
        <f aca="false">+R6</f>
        <v>36654</v>
      </c>
      <c r="T35" s="147"/>
      <c r="U35" s="241" t="n">
        <f aca="false">+U6</f>
        <v>36654</v>
      </c>
      <c r="V35" s="241" t="n">
        <f aca="false">+V6</f>
        <v>36654</v>
      </c>
      <c r="X35" s="147"/>
      <c r="Y35" s="10"/>
      <c r="Z35" s="233"/>
    </row>
    <row r="36" customFormat="false" ht="12.75" hidden="false" customHeight="false" outlineLevel="0" collapsed="false">
      <c r="A36" s="0" t="s">
        <v>244</v>
      </c>
      <c r="D36" s="246" t="n">
        <f aca="false">+D35-D34-2</f>
        <v>31</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-328711.1</v>
      </c>
      <c r="E37" s="229" t="n">
        <f aca="false">SUM(C37:D37)</f>
        <v>-328711.1</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-328711.1</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-328711.1</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6946003.9</v>
      </c>
      <c r="E39" s="243" t="n">
        <f aca="false">+E23+E27+E37</f>
        <v>6946003.9</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6946003.9</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6946003.9</v>
      </c>
    </row>
    <row r="40" customFormat="false" ht="13.5" hidden="false" customHeight="false" outlineLevel="0" collapsed="false">
      <c r="F40" s="147"/>
      <c r="J40" s="147"/>
      <c r="N40" s="147"/>
      <c r="O40" s="10"/>
      <c r="P40" s="233"/>
      <c r="T40" s="147"/>
      <c r="X40" s="147"/>
      <c r="Y40" s="10"/>
      <c r="Z40" s="233"/>
    </row>
    <row r="42" customFormat="false" ht="12.75" hidden="false" customHeight="false" outlineLevel="0" collapsed="false">
      <c r="B42" s="0" t="n">
        <v>790000</v>
      </c>
    </row>
    <row r="43" customFormat="false" ht="12.75" hidden="false" customHeight="false" outlineLevel="0" collapsed="false">
      <c r="B43" s="0" t="n">
        <v>460000</v>
      </c>
    </row>
    <row r="44" customFormat="false" ht="12.75" hidden="false" customHeight="false" outlineLevel="0" collapsed="false">
      <c r="B44" s="0" t="n">
        <v>511200</v>
      </c>
    </row>
    <row r="45" customFormat="false" ht="12.75" hidden="false" customHeight="false" outlineLevel="0" collapsed="false">
      <c r="B45" s="0" t="n">
        <f aca="false">SUM(B42:B44)</f>
        <v>1761200</v>
      </c>
    </row>
    <row r="46" customFormat="false" ht="12.75" hidden="false" customHeight="false" outlineLevel="0" collapsed="false">
      <c r="B46" s="0" t="n">
        <v>0.03</v>
      </c>
    </row>
    <row r="47" customFormat="false" ht="12.75" hidden="false" customHeight="false" outlineLevel="0" collapsed="false">
      <c r="B47" s="0" t="n">
        <f aca="false">+B45*B46</f>
        <v>52836</v>
      </c>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X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4" activeCellId="0" sqref="I14"/>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2" min="2" style="0" width="13.85"/>
    <col collapsed="false" customWidth="true" hidden="false" outlineLevel="0" max="3" min="3" style="0" width="13.99"/>
    <col collapsed="false" customWidth="true" hidden="false" outlineLevel="0" max="4" min="4" style="0" width="1.41"/>
    <col collapsed="false" customWidth="true" hidden="false" outlineLevel="0" max="5" min="5" style="0" width="14.28"/>
    <col collapsed="false" customWidth="true" hidden="false" outlineLevel="0" max="6" min="6" style="0" width="13.85"/>
    <col collapsed="false" customWidth="true" hidden="false" outlineLevel="0" max="7" min="7" style="0" width="15.41"/>
    <col collapsed="false" customWidth="true" hidden="false" outlineLevel="0" max="8" min="8" style="0" width="1.41"/>
    <col collapsed="false" customWidth="true" hidden="false" outlineLevel="0" max="9" min="9" style="0" width="14.56"/>
    <col collapsed="false" customWidth="true" hidden="false" outlineLevel="0" max="10" min="10" style="0" width="13.85"/>
    <col collapsed="false" customWidth="true" hidden="false" outlineLevel="0" max="11" min="11" style="0" width="15.41"/>
    <col collapsed="false" customWidth="true" hidden="false" outlineLevel="0" max="12" min="12" style="0" width="1.41"/>
    <col collapsed="false" customWidth="true" hidden="false" outlineLevel="0" max="15" min="13" style="0" width="15.41"/>
    <col collapsed="false" customWidth="true" hidden="false" outlineLevel="0" max="16" min="16" style="0" width="1.41"/>
    <col collapsed="false" customWidth="true" hidden="false" outlineLevel="0" max="18" min="17" style="0" width="15.41"/>
    <col collapsed="false" customWidth="true" hidden="false" outlineLevel="0" max="19" min="19" style="0" width="13.85"/>
    <col collapsed="false" customWidth="true" hidden="false" outlineLevel="0" max="20" min="20" style="0" width="1.41"/>
    <col collapsed="false" customWidth="true" hidden="false" outlineLevel="0" max="21" min="21" style="0" width="13.85"/>
    <col collapsed="false" customWidth="true" hidden="false" outlineLevel="0" max="22" min="22" style="0" width="1.41"/>
    <col collapsed="false" customWidth="true" hidden="false" outlineLevel="0" max="23" min="23" style="0" width="14.85"/>
    <col collapsed="false" customWidth="true" hidden="false" outlineLevel="0" max="24" min="24" style="0" width="11.85"/>
  </cols>
  <sheetData>
    <row r="2" customFormat="false" ht="12.75" hidden="false" customHeight="false" outlineLevel="0" collapsed="false">
      <c r="A2" s="0" t="s">
        <v>221</v>
      </c>
      <c r="C2" s="32" t="n">
        <f aca="false">+$A$11</f>
        <v>36707</v>
      </c>
      <c r="E2" s="32" t="n">
        <f aca="false">+$A$11</f>
        <v>36707</v>
      </c>
      <c r="F2" s="32" t="n">
        <f aca="false">+$A$11</f>
        <v>36707</v>
      </c>
      <c r="I2" s="32" t="n">
        <f aca="false">+$A$11</f>
        <v>36707</v>
      </c>
      <c r="J2" s="32" t="n">
        <f aca="false">+$A$11</f>
        <v>36707</v>
      </c>
      <c r="M2" s="32" t="n">
        <f aca="false">+$A$11</f>
        <v>36707</v>
      </c>
      <c r="N2" s="32" t="n">
        <f aca="false">+$A$11</f>
        <v>36707</v>
      </c>
      <c r="Q2" s="32" t="n">
        <f aca="false">+$A$11</f>
        <v>36707</v>
      </c>
      <c r="R2" s="32" t="n">
        <f aca="false">+$A$11</f>
        <v>36707</v>
      </c>
    </row>
    <row r="3" customFormat="false" ht="12.75" hidden="false" customHeight="false" outlineLevel="0" collapsed="false">
      <c r="A3" s="0" t="s">
        <v>222</v>
      </c>
      <c r="C3" s="32" t="n">
        <f aca="false">+$F$10</f>
        <v>36878</v>
      </c>
      <c r="E3" s="32" t="n">
        <f aca="false">+$F$10</f>
        <v>36878</v>
      </c>
      <c r="F3" s="32" t="n">
        <f aca="false">+$F$10</f>
        <v>36878</v>
      </c>
      <c r="I3" s="32" t="n">
        <f aca="false">+$F$10</f>
        <v>36878</v>
      </c>
      <c r="J3" s="32" t="n">
        <f aca="false">+$F$10</f>
        <v>36878</v>
      </c>
      <c r="M3" s="32" t="n">
        <f aca="false">+$F$10</f>
        <v>36878</v>
      </c>
      <c r="N3" s="32" t="n">
        <f aca="false">+$F$10</f>
        <v>36878</v>
      </c>
      <c r="Q3" s="32" t="n">
        <f aca="false">+$F$10</f>
        <v>36878</v>
      </c>
      <c r="R3" s="32" t="n">
        <f aca="false">+$F$10</f>
        <v>36878</v>
      </c>
    </row>
    <row r="4" customFormat="false" ht="12.75" hidden="false" customHeight="false" outlineLevel="0" collapsed="false">
      <c r="A4" s="0" t="s">
        <v>223</v>
      </c>
      <c r="C4" s="32" t="n">
        <f aca="false">+C$18</f>
        <v>36601</v>
      </c>
      <c r="E4" s="32" t="n">
        <f aca="false">IF(+E$18&lt;1,C4,E$18)</f>
        <v>36601</v>
      </c>
      <c r="F4" s="32" t="n">
        <f aca="false">IF(+F$18&lt;1,E4,F$18)</f>
        <v>36695</v>
      </c>
      <c r="I4" s="32" t="n">
        <f aca="false">IF(+I$18&lt;1,F4,I$18)</f>
        <v>36695</v>
      </c>
      <c r="J4" s="32" t="n">
        <f aca="false">IF(+J$18&lt;1,I4,J$18)</f>
        <v>36786</v>
      </c>
      <c r="M4" s="32" t="n">
        <f aca="false">IF(+M$18&lt;1,J4,M$18)</f>
        <v>36786</v>
      </c>
      <c r="N4" s="32" t="n">
        <f aca="false">IF(+N$18&lt;1,M4,N$18)</f>
        <v>36878</v>
      </c>
      <c r="Q4" s="32" t="n">
        <f aca="false">IF(+Q$18&lt;1,N4,Q$18)</f>
        <v>36845</v>
      </c>
      <c r="R4" s="32" t="n">
        <f aca="false">IF(+R$18&lt;1,Q4,R$18)</f>
        <v>36845</v>
      </c>
    </row>
    <row r="5" customFormat="false" ht="12.75" hidden="false" customHeight="false" outlineLevel="0" collapsed="false">
      <c r="A5" s="0" t="s">
        <v>224</v>
      </c>
      <c r="C5" s="32" t="n">
        <f aca="false">+C$13</f>
        <v>36525</v>
      </c>
      <c r="E5" s="32" t="n">
        <f aca="false">+E$13</f>
        <v>36616</v>
      </c>
      <c r="F5" s="32" t="n">
        <f aca="false">+F$13</f>
        <v>36616</v>
      </c>
      <c r="I5" s="32" t="n">
        <f aca="false">+I$13</f>
        <v>36707</v>
      </c>
      <c r="J5" s="32" t="n">
        <f aca="false">+J$13</f>
        <v>36707</v>
      </c>
      <c r="M5" s="32" t="n">
        <f aca="false">+M$13</f>
        <v>36799</v>
      </c>
      <c r="N5" s="32" t="n">
        <f aca="false">+N$13</f>
        <v>36799</v>
      </c>
      <c r="Q5" s="32" t="n">
        <f aca="false">+Q$13</f>
        <v>36891</v>
      </c>
      <c r="R5" s="32" t="n">
        <f aca="false">+R$13</f>
        <v>36891</v>
      </c>
    </row>
    <row r="6" customFormat="false" ht="12.75" hidden="false" customHeight="false" outlineLevel="0" collapsed="false">
      <c r="A6" s="207" t="s">
        <v>225</v>
      </c>
      <c r="B6" s="171"/>
      <c r="C6" s="208" t="n">
        <f aca="false">MIN(C2:C5)</f>
        <v>36525</v>
      </c>
      <c r="D6" s="171"/>
      <c r="E6" s="208" t="n">
        <f aca="false">MIN(E2:E5)</f>
        <v>36601</v>
      </c>
      <c r="F6" s="208" t="n">
        <f aca="false">MIN(F2:F5)</f>
        <v>36616</v>
      </c>
      <c r="G6" s="171"/>
      <c r="H6" s="171"/>
      <c r="I6" s="208" t="n">
        <f aca="false">MIN(I2:I5)</f>
        <v>36695</v>
      </c>
      <c r="J6" s="208" t="n">
        <f aca="false">MIN(J2:J5)</f>
        <v>36707</v>
      </c>
      <c r="K6" s="171"/>
      <c r="L6" s="171"/>
      <c r="M6" s="208" t="n">
        <f aca="false">MIN(M2:M5)</f>
        <v>36707</v>
      </c>
      <c r="N6" s="208" t="n">
        <f aca="false">MIN(N2:N5)</f>
        <v>36707</v>
      </c>
      <c r="O6" s="171"/>
      <c r="P6" s="171"/>
      <c r="Q6" s="208" t="n">
        <f aca="false">MIN(Q2:Q5)</f>
        <v>36707</v>
      </c>
      <c r="R6" s="209" t="n">
        <f aca="false">MIN(R2:R5)</f>
        <v>36707</v>
      </c>
    </row>
    <row r="7" customFormat="false" ht="12.75" hidden="false" customHeight="false" outlineLevel="0" collapsed="false">
      <c r="F7" s="247"/>
    </row>
    <row r="8" customFormat="false" ht="12.75" hidden="false" customHeight="false" outlineLevel="0" collapsed="false">
      <c r="A8" s="248" t="s">
        <v>251</v>
      </c>
      <c r="F8" s="247"/>
    </row>
    <row r="9" customFormat="false" ht="12.75" hidden="false" customHeight="false" outlineLevel="0" collapsed="false">
      <c r="A9" s="22" t="s">
        <v>226</v>
      </c>
      <c r="E9" s="31" t="s">
        <v>227</v>
      </c>
      <c r="F9" s="210" t="n">
        <v>36510</v>
      </c>
    </row>
    <row r="10" customFormat="false" ht="13.5" hidden="false" customHeight="false" outlineLevel="0" collapsed="false">
      <c r="A10" s="22" t="s">
        <v>252</v>
      </c>
      <c r="C10" s="249" t="n">
        <v>1304771</v>
      </c>
      <c r="E10" s="31" t="s">
        <v>222</v>
      </c>
      <c r="F10" s="210" t="n">
        <v>36878</v>
      </c>
    </row>
    <row r="11" customFormat="false" ht="12.75" hidden="false" customHeight="false" outlineLevel="0" collapsed="false">
      <c r="A11" s="212" t="n">
        <f aca="false">+Input!B16</f>
        <v>36707</v>
      </c>
      <c r="C11" s="117"/>
      <c r="D11" s="214"/>
      <c r="E11" s="117"/>
      <c r="F11" s="117"/>
      <c r="G11" s="23" t="s">
        <v>229</v>
      </c>
      <c r="H11" s="213"/>
      <c r="I11" s="23"/>
      <c r="J11" s="23"/>
      <c r="K11" s="23" t="s">
        <v>229</v>
      </c>
      <c r="L11" s="213"/>
      <c r="M11" s="23"/>
      <c r="N11" s="23"/>
      <c r="O11" s="23" t="s">
        <v>229</v>
      </c>
      <c r="P11" s="213"/>
      <c r="Q11" s="23"/>
      <c r="R11" s="23"/>
      <c r="S11" s="23" t="s">
        <v>229</v>
      </c>
      <c r="T11" s="213"/>
      <c r="V11" s="214"/>
    </row>
    <row r="12" customFormat="false" ht="12.75" hidden="false" customHeight="false" outlineLevel="0" collapsed="false">
      <c r="C12" s="121" t="s">
        <v>9</v>
      </c>
      <c r="D12" s="215"/>
      <c r="E12" s="23" t="s">
        <v>9</v>
      </c>
      <c r="F12" s="23" t="s">
        <v>9</v>
      </c>
      <c r="G12" s="23" t="s">
        <v>9</v>
      </c>
      <c r="H12" s="213"/>
      <c r="I12" s="23" t="s">
        <v>9</v>
      </c>
      <c r="J12" s="23" t="s">
        <v>9</v>
      </c>
      <c r="K12" s="23" t="s">
        <v>9</v>
      </c>
      <c r="L12" s="213"/>
      <c r="M12" s="23" t="s">
        <v>9</v>
      </c>
      <c r="N12" s="23" t="s">
        <v>9</v>
      </c>
      <c r="O12" s="23" t="s">
        <v>9</v>
      </c>
      <c r="P12" s="213"/>
      <c r="Q12" s="23" t="s">
        <v>9</v>
      </c>
      <c r="R12" s="23" t="s">
        <v>9</v>
      </c>
      <c r="S12" s="23" t="s">
        <v>9</v>
      </c>
      <c r="T12" s="213"/>
      <c r="U12" s="23"/>
      <c r="V12" s="215"/>
    </row>
    <row r="13" customFormat="false" ht="12.75" hidden="false" customHeight="false" outlineLevel="0" collapsed="false">
      <c r="A13" s="110" t="s">
        <v>17</v>
      </c>
      <c r="B13" s="110"/>
      <c r="C13" s="216" t="n">
        <v>36525</v>
      </c>
      <c r="D13" s="218"/>
      <c r="E13" s="216" t="n">
        <v>36616</v>
      </c>
      <c r="F13" s="216" t="n">
        <v>36616</v>
      </c>
      <c r="G13" s="216" t="n">
        <v>36616</v>
      </c>
      <c r="H13" s="217"/>
      <c r="I13" s="216" t="n">
        <v>36707</v>
      </c>
      <c r="J13" s="216" t="n">
        <v>36707</v>
      </c>
      <c r="K13" s="216" t="n">
        <v>36707</v>
      </c>
      <c r="L13" s="217"/>
      <c r="M13" s="216" t="n">
        <v>36799</v>
      </c>
      <c r="N13" s="216" t="n">
        <v>36799</v>
      </c>
      <c r="O13" s="216" t="n">
        <v>36799</v>
      </c>
      <c r="P13" s="217"/>
      <c r="Q13" s="216" t="n">
        <v>36891</v>
      </c>
      <c r="R13" s="216" t="n">
        <v>36891</v>
      </c>
      <c r="S13" s="216" t="n">
        <v>36891</v>
      </c>
      <c r="T13" s="217"/>
      <c r="U13" s="127" t="s">
        <v>172</v>
      </c>
      <c r="V13" s="218"/>
      <c r="W13" s="127" t="s">
        <v>95</v>
      </c>
    </row>
    <row r="14" customFormat="false" ht="12.75" hidden="false" customHeight="false" outlineLevel="0" collapsed="false">
      <c r="B14" s="0" t="s">
        <v>175</v>
      </c>
      <c r="C14" s="219" t="n">
        <f aca="false">LOOKUP(C6,Input!$A$20:$A$827,Input!$B$20:$B$827)</f>
        <v>44.375</v>
      </c>
      <c r="D14" s="220"/>
      <c r="E14" s="219" t="n">
        <f aca="false">LOOKUP(E6,Input!$A$20:$A$827,Input!$B$20:$B$827)</f>
        <v>69.4375</v>
      </c>
      <c r="F14" s="219" t="n">
        <f aca="false">LOOKUP(F6,Input!$A$20:$A$827,Input!$B$20:$B$827)</f>
        <v>74.875</v>
      </c>
      <c r="G14" s="219" t="n">
        <f aca="false">+F14</f>
        <v>74.875</v>
      </c>
      <c r="H14" s="132"/>
      <c r="I14" s="219" t="n">
        <f aca="false">LOOKUP(I6,Input!$A$20:$A$827,Input!$B$20:$B$827)</f>
        <v>0</v>
      </c>
      <c r="J14" s="219" t="n">
        <f aca="false">LOOKUP(J6,Input!$A$20:$A$827,Input!$B$20:$B$827)</f>
        <v>64.5</v>
      </c>
      <c r="K14" s="219" t="n">
        <f aca="false">+J14</f>
        <v>64.5</v>
      </c>
      <c r="L14" s="132"/>
      <c r="M14" s="219" t="n">
        <f aca="false">LOOKUP(M6,Input!$A$20:$A$827,Input!$B$20:$B$827)</f>
        <v>64.5</v>
      </c>
      <c r="N14" s="219" t="n">
        <f aca="false">LOOKUP(N6,Input!$A$20:$A$827,Input!$B$20:$B$827)</f>
        <v>64.5</v>
      </c>
      <c r="O14" s="219" t="n">
        <f aca="false">+N14</f>
        <v>64.5</v>
      </c>
      <c r="P14" s="132"/>
      <c r="Q14" s="219" t="n">
        <f aca="false">LOOKUP(Q6,Input!$A$20:$A$827,Input!$B$20:$B$827)</f>
        <v>64.5</v>
      </c>
      <c r="R14" s="219" t="n">
        <f aca="false">LOOKUP(R6,Input!$A$20:$A$827,Input!$B$20:$B$827)</f>
        <v>64.5</v>
      </c>
      <c r="S14" s="219" t="n">
        <f aca="false">+R14</f>
        <v>64.5</v>
      </c>
      <c r="T14" s="132"/>
      <c r="U14" s="17"/>
      <c r="V14" s="220"/>
    </row>
    <row r="15" customFormat="false" ht="12.75" hidden="false" customHeight="false" outlineLevel="0" collapsed="false">
      <c r="B15" s="51"/>
      <c r="C15" s="131"/>
      <c r="D15" s="220"/>
      <c r="E15" s="131"/>
      <c r="F15" s="131"/>
      <c r="G15" s="133"/>
      <c r="H15" s="132"/>
      <c r="I15" s="133"/>
      <c r="J15" s="133"/>
      <c r="K15" s="133"/>
      <c r="L15" s="132"/>
      <c r="M15" s="133"/>
      <c r="N15" s="133"/>
      <c r="O15" s="133"/>
      <c r="P15" s="132"/>
      <c r="Q15" s="133"/>
      <c r="R15" s="133"/>
      <c r="S15" s="133"/>
      <c r="T15" s="132"/>
      <c r="U15" s="17"/>
      <c r="V15" s="220"/>
    </row>
    <row r="16" customFormat="false" ht="12.75" hidden="false" customHeight="false" outlineLevel="0" collapsed="false">
      <c r="A16" s="51" t="s">
        <v>230</v>
      </c>
      <c r="B16" s="113" t="n">
        <v>280000</v>
      </c>
      <c r="C16" s="137"/>
      <c r="D16" s="222"/>
      <c r="E16" s="137"/>
      <c r="F16" s="137"/>
      <c r="G16" s="140"/>
      <c r="H16" s="221"/>
      <c r="I16" s="140"/>
      <c r="J16" s="140"/>
      <c r="K16" s="138"/>
      <c r="L16" s="221"/>
      <c r="M16" s="138"/>
      <c r="N16" s="138"/>
      <c r="O16" s="138"/>
      <c r="P16" s="221"/>
      <c r="Q16" s="138"/>
      <c r="R16" s="138"/>
      <c r="S16" s="141"/>
      <c r="T16" s="221"/>
      <c r="U16" s="17"/>
      <c r="V16" s="222"/>
    </row>
    <row r="17" customFormat="false" ht="12.75" hidden="false" customHeight="false" outlineLevel="0" collapsed="false">
      <c r="A17" s="0" t="s">
        <v>174</v>
      </c>
      <c r="B17" s="224" t="n">
        <v>36.9128</v>
      </c>
      <c r="C17" s="137"/>
      <c r="D17" s="222"/>
      <c r="E17" s="137"/>
      <c r="F17" s="137"/>
      <c r="G17" s="140"/>
      <c r="H17" s="221"/>
      <c r="I17" s="140"/>
      <c r="J17" s="140"/>
      <c r="K17" s="138"/>
      <c r="L17" s="221"/>
      <c r="M17" s="138"/>
      <c r="N17" s="138"/>
      <c r="O17" s="138"/>
      <c r="P17" s="221"/>
      <c r="Q17" s="138"/>
      <c r="R17" s="138"/>
      <c r="T17" s="221"/>
      <c r="U17" s="17"/>
      <c r="V17" s="222"/>
    </row>
    <row r="18" customFormat="false" ht="12.75" hidden="false" customHeight="false" outlineLevel="0" collapsed="false">
      <c r="A18" s="0" t="s">
        <v>231</v>
      </c>
      <c r="B18" s="224"/>
      <c r="C18" s="109" t="n">
        <v>36601</v>
      </c>
      <c r="D18" s="222"/>
      <c r="E18" s="109" t="n">
        <v>36601</v>
      </c>
      <c r="F18" s="109" t="n">
        <v>36695</v>
      </c>
      <c r="G18" s="109"/>
      <c r="H18" s="221"/>
      <c r="I18" s="109" t="n">
        <v>36695</v>
      </c>
      <c r="J18" s="109" t="n">
        <v>36786</v>
      </c>
      <c r="K18" s="109"/>
      <c r="L18" s="221"/>
      <c r="M18" s="109" t="n">
        <v>36786</v>
      </c>
      <c r="N18" s="109" t="n">
        <v>36878</v>
      </c>
      <c r="O18" s="109"/>
      <c r="P18" s="221"/>
      <c r="Q18" s="109" t="n">
        <v>36845</v>
      </c>
      <c r="R18" s="109"/>
      <c r="S18" s="109"/>
      <c r="T18" s="221"/>
      <c r="U18" s="17"/>
      <c r="V18" s="222"/>
    </row>
    <row r="19" customFormat="false" ht="13.5" hidden="false" customHeight="false" outlineLevel="0" collapsed="false">
      <c r="B19" s="142"/>
      <c r="C19" s="137"/>
      <c r="D19" s="250"/>
      <c r="E19" s="137"/>
      <c r="F19" s="137"/>
      <c r="G19" s="117"/>
      <c r="H19" s="221"/>
      <c r="I19" s="117"/>
      <c r="J19" s="117"/>
      <c r="K19" s="138"/>
      <c r="L19" s="221"/>
      <c r="M19" s="138"/>
      <c r="N19" s="138"/>
      <c r="O19" s="138"/>
      <c r="P19" s="221"/>
      <c r="Q19" s="138"/>
      <c r="R19" s="138"/>
      <c r="T19" s="221"/>
      <c r="U19" s="17"/>
      <c r="V19" s="222"/>
    </row>
    <row r="20" customFormat="false" ht="13.5" hidden="false" customHeight="false" outlineLevel="0" collapsed="false">
      <c r="A20" s="22" t="s">
        <v>253</v>
      </c>
      <c r="C20" s="28"/>
      <c r="D20" s="143"/>
      <c r="E20" s="28"/>
      <c r="F20" s="28"/>
      <c r="G20" s="144"/>
      <c r="H20" s="143"/>
      <c r="I20" s="144"/>
      <c r="J20" s="144"/>
      <c r="K20" s="10"/>
      <c r="L20" s="143"/>
      <c r="M20" s="10"/>
      <c r="N20" s="10"/>
      <c r="O20" s="10"/>
      <c r="P20" s="143"/>
      <c r="Q20" s="10"/>
      <c r="R20" s="10"/>
      <c r="S20" s="10"/>
      <c r="T20" s="143"/>
      <c r="U20" s="10"/>
      <c r="V20" s="226"/>
    </row>
    <row r="21" customFormat="false" ht="12.75" hidden="false" customHeight="false" outlineLevel="0" collapsed="false">
      <c r="B21" s="0" t="s">
        <v>182</v>
      </c>
      <c r="C21" s="55" t="n">
        <f aca="false">ROUND(+B16*$B17,2)</f>
        <v>10335584</v>
      </c>
      <c r="D21" s="251"/>
      <c r="E21" s="55" t="n">
        <f aca="false">+C22</f>
        <v>12425000</v>
      </c>
      <c r="F21" s="55" t="n">
        <f aca="false">+E22</f>
        <v>19442500</v>
      </c>
      <c r="G21" s="55" t="n">
        <f aca="false">+E21</f>
        <v>12425000</v>
      </c>
      <c r="H21" s="227"/>
      <c r="I21" s="55" t="n">
        <f aca="false">+F22</f>
        <v>20965000</v>
      </c>
      <c r="J21" s="55" t="n">
        <f aca="false">+I22</f>
        <v>0</v>
      </c>
      <c r="K21" s="55" t="n">
        <f aca="false">+G22</f>
        <v>20965000</v>
      </c>
      <c r="L21" s="227"/>
      <c r="M21" s="55" t="n">
        <f aca="false">+J22</f>
        <v>18060000</v>
      </c>
      <c r="N21" s="55" t="n">
        <f aca="false">+M22</f>
        <v>18060000</v>
      </c>
      <c r="O21" s="55" t="n">
        <f aca="false">+K22</f>
        <v>18060000</v>
      </c>
      <c r="P21" s="227"/>
      <c r="Q21" s="55" t="n">
        <f aca="false">+N22</f>
        <v>18060000</v>
      </c>
      <c r="R21" s="55" t="n">
        <f aca="false">+Q22</f>
        <v>18060000</v>
      </c>
      <c r="S21" s="55" t="n">
        <f aca="false">+O22</f>
        <v>18060000</v>
      </c>
      <c r="T21" s="227"/>
      <c r="U21" s="55"/>
      <c r="V21" s="228"/>
      <c r="W21" s="165"/>
    </row>
    <row r="22" customFormat="false" ht="12.75" hidden="false" customHeight="false" outlineLevel="0" collapsed="false">
      <c r="B22" s="0" t="s">
        <v>183</v>
      </c>
      <c r="C22" s="55" t="n">
        <f aca="false">ROUND(+C14*$B16,2)</f>
        <v>12425000</v>
      </c>
      <c r="D22" s="228"/>
      <c r="E22" s="55" t="n">
        <f aca="false">ROUND(+E14*$B16,2)</f>
        <v>19442500</v>
      </c>
      <c r="F22" s="55" t="n">
        <f aca="false">ROUND(+F14*$B16,2)</f>
        <v>20965000</v>
      </c>
      <c r="G22" s="55" t="n">
        <f aca="false">+F22</f>
        <v>20965000</v>
      </c>
      <c r="H22" s="227"/>
      <c r="I22" s="55" t="n">
        <f aca="false">ROUND(+I14*$B16,2)</f>
        <v>0</v>
      </c>
      <c r="J22" s="55" t="n">
        <f aca="false">ROUND(+J14*$B16,2)</f>
        <v>18060000</v>
      </c>
      <c r="K22" s="55" t="n">
        <f aca="false">ROUND(+K14*$B16,2)</f>
        <v>18060000</v>
      </c>
      <c r="L22" s="227"/>
      <c r="M22" s="55" t="n">
        <f aca="false">ROUND(+M14*$B16,2)</f>
        <v>18060000</v>
      </c>
      <c r="N22" s="55" t="n">
        <f aca="false">ROUND(+N14*$B16,2)</f>
        <v>18060000</v>
      </c>
      <c r="O22" s="55" t="n">
        <f aca="false">ROUND(+O14*$B16,2)</f>
        <v>18060000</v>
      </c>
      <c r="P22" s="227"/>
      <c r="Q22" s="55" t="n">
        <f aca="false">ROUND(+Q14*$B16,2)</f>
        <v>18060000</v>
      </c>
      <c r="R22" s="55" t="n">
        <f aca="false">ROUND(+R14*$B16,2)</f>
        <v>18060000</v>
      </c>
      <c r="S22" s="55" t="n">
        <f aca="false">ROUND(+S14*$B16,2)</f>
        <v>18060000</v>
      </c>
      <c r="T22" s="227"/>
      <c r="U22" s="165"/>
      <c r="V22" s="228"/>
      <c r="W22" s="165"/>
    </row>
    <row r="23" customFormat="false" ht="12.75" hidden="false" customHeight="false" outlineLevel="0" collapsed="false">
      <c r="B23" s="0" t="s">
        <v>185</v>
      </c>
      <c r="C23" s="229" t="n">
        <f aca="false">-C21+C22</f>
        <v>2089416</v>
      </c>
      <c r="D23" s="231"/>
      <c r="E23" s="229" t="n">
        <f aca="false">IF($A$11&lt;=C13,0,-E21+E22)</f>
        <v>7017500</v>
      </c>
      <c r="F23" s="229" t="n">
        <f aca="false">IF($A$11&lt;=E18,0,-F21+F22)</f>
        <v>1522500</v>
      </c>
      <c r="G23" s="229" t="n">
        <f aca="false">SUM(E23:F23)</f>
        <v>8540000</v>
      </c>
      <c r="H23" s="230"/>
      <c r="I23" s="229" t="n">
        <f aca="false">IF($A$11&lt;=F13,0,-I21+I22)</f>
        <v>-20965000</v>
      </c>
      <c r="J23" s="229" t="n">
        <f aca="false">IF($A$11&lt;=I18,0,-J21+J22)</f>
        <v>18060000</v>
      </c>
      <c r="K23" s="229" t="n">
        <f aca="false">IF($A$11&lt;=G13,0,-K21+K22)</f>
        <v>-2905000</v>
      </c>
      <c r="L23" s="230"/>
      <c r="M23" s="229" t="n">
        <f aca="false">IF($A$11&lt;=J13,0,-M21+M22)</f>
        <v>0</v>
      </c>
      <c r="N23" s="229" t="n">
        <f aca="false">IF($A$11&lt;=M18,0,-N21+N22)</f>
        <v>0</v>
      </c>
      <c r="O23" s="229" t="n">
        <f aca="false">IF($A$11&lt;=K13,0,-O21+O22)</f>
        <v>0</v>
      </c>
      <c r="P23" s="230"/>
      <c r="Q23" s="229" t="n">
        <f aca="false">IF($A$11&lt;=N13,0,-Q21+Q22)</f>
        <v>0</v>
      </c>
      <c r="R23" s="229" t="n">
        <f aca="false">IF($A$11&lt;=Q18,0,-R21+R22)</f>
        <v>0</v>
      </c>
      <c r="S23" s="229" t="n">
        <f aca="false">IF($A$11&lt;=O13,0,-S21+S22)</f>
        <v>0</v>
      </c>
      <c r="T23" s="230"/>
      <c r="U23" s="229" t="n">
        <f aca="false">+G23+K23+O23+S23</f>
        <v>5635000</v>
      </c>
      <c r="V23" s="231"/>
      <c r="W23" s="229" t="n">
        <f aca="false">+C23+U23</f>
        <v>7724416</v>
      </c>
      <c r="X23" s="232" t="str">
        <f aca="false">IF(SUM(G23:S23)-U23=0,0,"OUT OF BALANCE")</f>
        <v>OUT OF BALANCE</v>
      </c>
    </row>
    <row r="24" customFormat="false" ht="12.75" hidden="false" customHeight="false" outlineLevel="0" collapsed="false">
      <c r="C24" s="70"/>
      <c r="D24" s="233"/>
      <c r="E24" s="70"/>
      <c r="F24" s="70"/>
      <c r="G24" s="144"/>
      <c r="H24" s="147"/>
      <c r="I24" s="70"/>
      <c r="J24" s="70"/>
      <c r="K24" s="10"/>
      <c r="L24" s="147"/>
      <c r="M24" s="10"/>
      <c r="N24" s="10"/>
      <c r="O24" s="10"/>
      <c r="P24" s="147"/>
      <c r="Q24" s="10"/>
      <c r="R24" s="10"/>
      <c r="S24" s="10"/>
      <c r="T24" s="147"/>
      <c r="U24" s="10"/>
      <c r="V24" s="233"/>
      <c r="X24" s="232" t="n">
        <f aca="false">IF(+C23+U23-W23=0,0,"OUT OF BALANCE")</f>
        <v>0</v>
      </c>
    </row>
    <row r="25" customFormat="false" ht="12.75" hidden="false" customHeight="false" outlineLevel="0" collapsed="false">
      <c r="A25" s="22" t="s">
        <v>236</v>
      </c>
      <c r="C25" s="70"/>
      <c r="D25" s="233"/>
      <c r="E25" s="70"/>
      <c r="F25" s="70"/>
      <c r="G25" s="144"/>
      <c r="H25" s="147"/>
      <c r="I25" s="70"/>
      <c r="J25" s="70"/>
      <c r="K25" s="10"/>
      <c r="L25" s="147"/>
      <c r="M25" s="70"/>
      <c r="N25" s="70"/>
      <c r="O25" s="10"/>
      <c r="P25" s="147"/>
      <c r="Q25" s="10"/>
      <c r="R25" s="10"/>
      <c r="S25" s="10"/>
      <c r="T25" s="147"/>
      <c r="U25" s="10"/>
      <c r="V25" s="233"/>
    </row>
    <row r="26" customFormat="false" ht="12.75" hidden="false" customHeight="false" outlineLevel="0" collapsed="false">
      <c r="A26" s="0" t="s">
        <v>234</v>
      </c>
      <c r="C26" s="234" t="n">
        <v>0.125</v>
      </c>
      <c r="D26" s="233"/>
      <c r="E26" s="234" t="n">
        <f aca="false">+$C$26</f>
        <v>0.125</v>
      </c>
      <c r="F26" s="234" t="n">
        <f aca="false">+$C$26</f>
        <v>0.125</v>
      </c>
      <c r="G26" s="234"/>
      <c r="H26" s="147"/>
      <c r="I26" s="234" t="n">
        <f aca="false">+$C$26</f>
        <v>0.125</v>
      </c>
      <c r="J26" s="234" t="n">
        <f aca="false">+$C$26</f>
        <v>0.125</v>
      </c>
      <c r="K26" s="234"/>
      <c r="L26" s="147"/>
      <c r="M26" s="234" t="n">
        <f aca="false">+$C$26</f>
        <v>0.125</v>
      </c>
      <c r="N26" s="234" t="n">
        <f aca="false">+$C$26</f>
        <v>0.125</v>
      </c>
      <c r="O26" s="234"/>
      <c r="P26" s="147"/>
      <c r="Q26" s="234" t="n">
        <f aca="false">+$C$26</f>
        <v>0.125</v>
      </c>
      <c r="R26" s="234" t="n">
        <f aca="false">+$C$26</f>
        <v>0.125</v>
      </c>
      <c r="S26" s="234"/>
      <c r="T26" s="147"/>
      <c r="U26" s="10"/>
      <c r="V26" s="233"/>
    </row>
    <row r="27" customFormat="false" ht="12.75" hidden="false" customHeight="false" outlineLevel="0" collapsed="false">
      <c r="A27" s="51" t="s">
        <v>239</v>
      </c>
      <c r="C27" s="245" t="n">
        <v>0.008</v>
      </c>
      <c r="D27" s="252"/>
      <c r="E27" s="245" t="n">
        <v>0.008</v>
      </c>
      <c r="F27" s="245" t="n">
        <v>0.008</v>
      </c>
      <c r="G27" s="245"/>
      <c r="H27" s="253"/>
      <c r="I27" s="245" t="n">
        <v>0.008</v>
      </c>
      <c r="J27" s="245" t="n">
        <v>0.008</v>
      </c>
      <c r="K27" s="245"/>
      <c r="L27" s="253"/>
      <c r="M27" s="245" t="n">
        <v>0.008</v>
      </c>
      <c r="N27" s="245" t="n">
        <v>0.008</v>
      </c>
      <c r="O27" s="245"/>
      <c r="P27" s="253"/>
      <c r="Q27" s="245" t="n">
        <v>0.008</v>
      </c>
      <c r="R27" s="245" t="n">
        <v>0.008</v>
      </c>
      <c r="S27" s="245"/>
      <c r="T27" s="253"/>
      <c r="U27" s="10"/>
      <c r="V27" s="252"/>
    </row>
    <row r="28" customFormat="false" ht="12.75" hidden="false" customHeight="false" outlineLevel="0" collapsed="false">
      <c r="A28" s="0" t="s">
        <v>254</v>
      </c>
      <c r="C28" s="238" t="n">
        <f aca="false">(+C26*$B$16*C37/C21)</f>
        <v>0.0134099824451139</v>
      </c>
      <c r="D28" s="254"/>
      <c r="E28" s="238" t="n">
        <f aca="false">(+E26*$B$16*E37/C21)</f>
        <v>0.0134099824451139</v>
      </c>
      <c r="F28" s="238" t="n">
        <f aca="false">(+F26*$B$16*F37/F21)</f>
        <v>0.0068946894689469</v>
      </c>
      <c r="G28" s="238"/>
      <c r="H28" s="255"/>
      <c r="I28" s="238" t="n">
        <f aca="false">(+I26*$B$16*I37/F21)</f>
        <v>0.0068946894689469</v>
      </c>
      <c r="J28" s="238" t="e">
        <f aca="false">(+J26*$B$16*J37/J21)</f>
        <v>#DIV/0!</v>
      </c>
      <c r="K28" s="238"/>
      <c r="L28" s="255"/>
      <c r="M28" s="238" t="e">
        <f aca="false">(+M26*$B$16*M37/J21)</f>
        <v>#DIV/0!</v>
      </c>
      <c r="N28" s="238" t="n">
        <f aca="false">(+N26*$B$16*N37/N21)</f>
        <v>0.00408914728682171</v>
      </c>
      <c r="O28" s="238"/>
      <c r="P28" s="255"/>
      <c r="Q28" s="238" t="n">
        <f aca="false">(+Q26*$B$16*Q37/N21)</f>
        <v>0.00408914728682171</v>
      </c>
      <c r="R28" s="238" t="n">
        <f aca="false">(+R26*$B$16*R37/R21)</f>
        <v>-1.93798449612403E-005</v>
      </c>
      <c r="S28" s="238"/>
      <c r="T28" s="255"/>
      <c r="U28" s="10"/>
      <c r="V28" s="254"/>
    </row>
    <row r="29" customFormat="false" ht="12.75" hidden="false" customHeight="false" outlineLevel="0" collapsed="false">
      <c r="A29" s="0" t="s">
        <v>237</v>
      </c>
      <c r="C29" s="237" t="n">
        <v>0.0614</v>
      </c>
      <c r="D29" s="254"/>
      <c r="E29" s="238" t="n">
        <f aca="false">+C29</f>
        <v>0.0614</v>
      </c>
      <c r="F29" s="237" t="n">
        <v>0.0609</v>
      </c>
      <c r="G29" s="239"/>
      <c r="H29" s="255"/>
      <c r="I29" s="238" t="n">
        <f aca="false">+F29</f>
        <v>0.0609</v>
      </c>
      <c r="J29" s="237" t="n">
        <v>0.0575</v>
      </c>
      <c r="K29" s="239"/>
      <c r="L29" s="255"/>
      <c r="M29" s="238" t="n">
        <f aca="false">+J29</f>
        <v>0.0575</v>
      </c>
      <c r="N29" s="237" t="n">
        <v>0.05625</v>
      </c>
      <c r="O29" s="239"/>
      <c r="P29" s="255"/>
      <c r="Q29" s="238" t="n">
        <f aca="false">+N29</f>
        <v>0.05625</v>
      </c>
      <c r="R29" s="237" t="n">
        <v>0</v>
      </c>
      <c r="S29" s="239"/>
      <c r="T29" s="255"/>
      <c r="U29" s="10"/>
      <c r="V29" s="254"/>
    </row>
    <row r="30" customFormat="false" ht="12.75" hidden="false" customHeight="false" outlineLevel="0" collapsed="false">
      <c r="A30" s="0" t="s">
        <v>241</v>
      </c>
      <c r="C30" s="256" t="n">
        <v>360</v>
      </c>
      <c r="D30" s="257"/>
      <c r="E30" s="240" t="n">
        <v>360</v>
      </c>
      <c r="F30" s="240" t="n">
        <v>360</v>
      </c>
      <c r="G30" s="240"/>
      <c r="H30" s="258"/>
      <c r="I30" s="240" t="n">
        <v>360</v>
      </c>
      <c r="J30" s="240" t="n">
        <v>360</v>
      </c>
      <c r="K30" s="240"/>
      <c r="L30" s="258"/>
      <c r="M30" s="240" t="n">
        <v>360</v>
      </c>
      <c r="N30" s="240" t="n">
        <v>360</v>
      </c>
      <c r="O30" s="240"/>
      <c r="P30" s="258"/>
      <c r="Q30" s="240" t="n">
        <v>360</v>
      </c>
      <c r="R30" s="240" t="n">
        <v>360</v>
      </c>
      <c r="S30" s="240"/>
      <c r="T30" s="258"/>
      <c r="U30" s="10"/>
      <c r="V30" s="257"/>
    </row>
    <row r="31" customFormat="false" ht="12.75" hidden="false" customHeight="false" outlineLevel="0" collapsed="false">
      <c r="A31" s="0" t="s">
        <v>255</v>
      </c>
      <c r="C31" s="241" t="n">
        <f aca="false">+F9</f>
        <v>36510</v>
      </c>
      <c r="D31" s="259"/>
      <c r="E31" s="118" t="n">
        <f aca="false">+C32</f>
        <v>36525</v>
      </c>
      <c r="F31" s="118" t="n">
        <f aca="false">+E32</f>
        <v>36601</v>
      </c>
      <c r="G31" s="118"/>
      <c r="H31" s="260"/>
      <c r="I31" s="118" t="n">
        <f aca="false">+F32</f>
        <v>36616</v>
      </c>
      <c r="J31" s="118" t="n">
        <f aca="false">+I32</f>
        <v>36695</v>
      </c>
      <c r="K31" s="118"/>
      <c r="L31" s="260"/>
      <c r="M31" s="118" t="n">
        <f aca="false">+J32</f>
        <v>36707</v>
      </c>
      <c r="N31" s="118" t="n">
        <f aca="false">+M32</f>
        <v>36707</v>
      </c>
      <c r="O31" s="118"/>
      <c r="P31" s="260"/>
      <c r="Q31" s="118" t="n">
        <f aca="false">+N32</f>
        <v>36707</v>
      </c>
      <c r="R31" s="118" t="n">
        <f aca="false">+Q32</f>
        <v>36707</v>
      </c>
      <c r="S31" s="118"/>
      <c r="T31" s="260"/>
      <c r="U31" s="10"/>
      <c r="V31" s="259"/>
    </row>
    <row r="32" customFormat="false" ht="12.75" hidden="false" customHeight="false" outlineLevel="0" collapsed="false">
      <c r="A32" s="0" t="s">
        <v>256</v>
      </c>
      <c r="C32" s="241" t="n">
        <f aca="false">+C6</f>
        <v>36525</v>
      </c>
      <c r="D32" s="259"/>
      <c r="E32" s="241" t="n">
        <f aca="false">+E6</f>
        <v>36601</v>
      </c>
      <c r="F32" s="241" t="n">
        <f aca="false">+F6</f>
        <v>36616</v>
      </c>
      <c r="G32" s="241"/>
      <c r="H32" s="260"/>
      <c r="I32" s="241" t="n">
        <f aca="false">+I6</f>
        <v>36695</v>
      </c>
      <c r="J32" s="241" t="n">
        <f aca="false">+J6</f>
        <v>36707</v>
      </c>
      <c r="K32" s="241"/>
      <c r="L32" s="260"/>
      <c r="M32" s="241" t="n">
        <f aca="false">+M6</f>
        <v>36707</v>
      </c>
      <c r="N32" s="241" t="n">
        <f aca="false">+N6</f>
        <v>36707</v>
      </c>
      <c r="O32" s="241"/>
      <c r="P32" s="260"/>
      <c r="Q32" s="241" t="n">
        <f aca="false">+Q6</f>
        <v>36707</v>
      </c>
      <c r="R32" s="241" t="n">
        <f aca="false">+R6</f>
        <v>36707</v>
      </c>
      <c r="S32" s="241"/>
      <c r="T32" s="260"/>
      <c r="U32" s="10"/>
      <c r="V32" s="259"/>
    </row>
    <row r="33" customFormat="false" ht="12.75" hidden="false" customHeight="false" outlineLevel="0" collapsed="false">
      <c r="A33" s="0" t="s">
        <v>257</v>
      </c>
      <c r="C33" s="261" t="n">
        <f aca="false">+C32-C31</f>
        <v>15</v>
      </c>
      <c r="D33" s="262"/>
      <c r="E33" s="242" t="n">
        <f aca="false">+E32-E31</f>
        <v>76</v>
      </c>
      <c r="F33" s="242" t="n">
        <f aca="false">+F32-F31</f>
        <v>15</v>
      </c>
      <c r="G33" s="242"/>
      <c r="H33" s="263"/>
      <c r="I33" s="242" t="n">
        <f aca="false">+I32-I31</f>
        <v>79</v>
      </c>
      <c r="J33" s="242" t="n">
        <f aca="false">+J32-J31</f>
        <v>12</v>
      </c>
      <c r="K33" s="242"/>
      <c r="L33" s="263"/>
      <c r="M33" s="242" t="n">
        <f aca="false">+M32-M31</f>
        <v>0</v>
      </c>
      <c r="N33" s="242" t="n">
        <f aca="false">+N32-N31</f>
        <v>0</v>
      </c>
      <c r="O33" s="242"/>
      <c r="P33" s="263"/>
      <c r="Q33" s="242" t="n">
        <f aca="false">+Q32-Q31</f>
        <v>0</v>
      </c>
      <c r="R33" s="242" t="n">
        <f aca="false">+R32-R31</f>
        <v>0</v>
      </c>
      <c r="S33" s="242"/>
      <c r="T33" s="263"/>
      <c r="U33" s="10"/>
      <c r="V33" s="262"/>
    </row>
    <row r="34" customFormat="false" ht="12.75" hidden="false" customHeight="false" outlineLevel="0" collapsed="false">
      <c r="A34" s="0" t="s">
        <v>258</v>
      </c>
      <c r="C34" s="241" t="n">
        <f aca="false">+C31</f>
        <v>36510</v>
      </c>
      <c r="D34" s="262"/>
      <c r="E34" s="241" t="n">
        <f aca="false">+C34</f>
        <v>36510</v>
      </c>
      <c r="F34" s="241" t="n">
        <f aca="false">+F31</f>
        <v>36601</v>
      </c>
      <c r="G34" s="241"/>
      <c r="H34" s="263"/>
      <c r="I34" s="241" t="n">
        <f aca="false">+F34</f>
        <v>36601</v>
      </c>
      <c r="J34" s="241" t="n">
        <f aca="false">+J31</f>
        <v>36695</v>
      </c>
      <c r="K34" s="242"/>
      <c r="L34" s="263"/>
      <c r="M34" s="241" t="n">
        <f aca="false">+J34</f>
        <v>36695</v>
      </c>
      <c r="N34" s="241" t="n">
        <f aca="false">+N31</f>
        <v>36707</v>
      </c>
      <c r="O34" s="242"/>
      <c r="P34" s="263"/>
      <c r="Q34" s="241" t="n">
        <f aca="false">+N34</f>
        <v>36707</v>
      </c>
      <c r="R34" s="241" t="n">
        <f aca="false">+R31</f>
        <v>36707</v>
      </c>
      <c r="S34" s="242"/>
      <c r="T34" s="263"/>
      <c r="U34" s="10"/>
      <c r="V34" s="262"/>
    </row>
    <row r="35" customFormat="false" ht="12.75" hidden="false" customHeight="false" outlineLevel="0" collapsed="false">
      <c r="A35" s="0" t="s">
        <v>259</v>
      </c>
      <c r="C35" s="241" t="n">
        <f aca="false">+C18</f>
        <v>36601</v>
      </c>
      <c r="D35" s="262"/>
      <c r="E35" s="241" t="n">
        <f aca="false">+C35</f>
        <v>36601</v>
      </c>
      <c r="F35" s="241" t="n">
        <f aca="false">IF(F32&lt;=F18,+F18,+G18)</f>
        <v>36695</v>
      </c>
      <c r="G35" s="241"/>
      <c r="H35" s="263"/>
      <c r="I35" s="241" t="n">
        <f aca="false">+F35</f>
        <v>36695</v>
      </c>
      <c r="J35" s="241" t="n">
        <f aca="false">IF(J32&lt;=J18,+J18,+K18)</f>
        <v>36786</v>
      </c>
      <c r="K35" s="241"/>
      <c r="L35" s="263"/>
      <c r="M35" s="241" t="n">
        <f aca="false">+J35</f>
        <v>36786</v>
      </c>
      <c r="N35" s="241" t="n">
        <f aca="false">IF(N32&lt;=N18,+N18,+O18)</f>
        <v>36878</v>
      </c>
      <c r="O35" s="241"/>
      <c r="P35" s="263"/>
      <c r="Q35" s="241" t="n">
        <f aca="false">+N35</f>
        <v>36878</v>
      </c>
      <c r="R35" s="241" t="n">
        <f aca="false">IF(R32&lt;=R18,+R18,+S18)</f>
        <v>0</v>
      </c>
      <c r="S35" s="241"/>
      <c r="T35" s="263"/>
      <c r="U35" s="10"/>
      <c r="V35" s="262"/>
    </row>
    <row r="36" customFormat="false" ht="12.75" hidden="false" customHeight="false" outlineLevel="0" collapsed="false">
      <c r="A36" s="0" t="s">
        <v>260</v>
      </c>
      <c r="C36" s="261" t="n">
        <f aca="false">+C35-C34</f>
        <v>91</v>
      </c>
      <c r="D36" s="262"/>
      <c r="E36" s="261" t="n">
        <f aca="false">+E35-E34</f>
        <v>91</v>
      </c>
      <c r="F36" s="261" t="n">
        <f aca="false">+F35-F34</f>
        <v>94</v>
      </c>
      <c r="G36" s="261"/>
      <c r="H36" s="263"/>
      <c r="I36" s="261" t="n">
        <f aca="false">+I35-I34</f>
        <v>94</v>
      </c>
      <c r="J36" s="261" t="n">
        <f aca="false">+J35-J34</f>
        <v>91</v>
      </c>
      <c r="K36" s="261"/>
      <c r="L36" s="263"/>
      <c r="M36" s="261" t="n">
        <f aca="false">+M35-M34</f>
        <v>91</v>
      </c>
      <c r="N36" s="261" t="n">
        <f aca="false">+N35-N34</f>
        <v>171</v>
      </c>
      <c r="O36" s="261"/>
      <c r="P36" s="263"/>
      <c r="Q36" s="261" t="n">
        <f aca="false">+Q35-Q34</f>
        <v>171</v>
      </c>
      <c r="R36" s="261" t="n">
        <f aca="false">+R35-R34</f>
        <v>-36707</v>
      </c>
      <c r="S36" s="261"/>
      <c r="T36" s="263"/>
      <c r="U36" s="10"/>
      <c r="V36" s="262"/>
    </row>
    <row r="37" customFormat="false" ht="12.75" hidden="false" customHeight="false" outlineLevel="0" collapsed="false">
      <c r="A37" s="0" t="s">
        <v>261</v>
      </c>
      <c r="C37" s="264" t="n">
        <f aca="false">ROUND(IF(C36=0,0,1/(+C36/C30)),2)</f>
        <v>3.96</v>
      </c>
      <c r="D37" s="262"/>
      <c r="E37" s="264" t="n">
        <f aca="false">ROUND(IF(E36=0,0,1/(+E36/E30)),2)</f>
        <v>3.96</v>
      </c>
      <c r="F37" s="264" t="n">
        <f aca="false">ROUND(IF(F36=0,0,1/(+F36/F30)),2)</f>
        <v>3.83</v>
      </c>
      <c r="G37" s="264"/>
      <c r="H37" s="263"/>
      <c r="I37" s="264" t="n">
        <f aca="false">ROUND(IF(I36=0,0,1/(+I36/I30)),2)</f>
        <v>3.83</v>
      </c>
      <c r="J37" s="264" t="n">
        <f aca="false">ROUND(IF(J36=0,0,1/(+J36/J30)),2)</f>
        <v>3.96</v>
      </c>
      <c r="K37" s="264"/>
      <c r="L37" s="263"/>
      <c r="M37" s="264" t="n">
        <f aca="false">ROUND(IF(M36=0,0,1/(+M36/M30)),2)</f>
        <v>3.96</v>
      </c>
      <c r="N37" s="264" t="n">
        <f aca="false">ROUND(IF(N36=0,0,1/(+N36/N30)),2)</f>
        <v>2.11</v>
      </c>
      <c r="O37" s="264"/>
      <c r="P37" s="263"/>
      <c r="Q37" s="264" t="n">
        <f aca="false">ROUND(IF(Q36=0,0,1/(+Q36/Q30)),2)</f>
        <v>2.11</v>
      </c>
      <c r="R37" s="264" t="n">
        <f aca="false">ROUND(IF(R36=0,0,1/(+R36/R30)),2)</f>
        <v>-0.01</v>
      </c>
      <c r="S37" s="264"/>
      <c r="T37" s="263"/>
      <c r="U37" s="10"/>
      <c r="V37" s="262"/>
    </row>
    <row r="38" customFormat="false" ht="12.75" hidden="false" customHeight="false" outlineLevel="0" collapsed="false">
      <c r="A38" s="0" t="s">
        <v>240</v>
      </c>
      <c r="C38" s="265" t="n">
        <f aca="false">+C27-C28+C29</f>
        <v>0.0559900175548861</v>
      </c>
      <c r="D38" s="262"/>
      <c r="E38" s="265" t="n">
        <f aca="false">+E27-E28+E29</f>
        <v>0.0559900175548861</v>
      </c>
      <c r="F38" s="265" t="n">
        <f aca="false">+F27-F28+F29</f>
        <v>0.0620053105310531</v>
      </c>
      <c r="G38" s="265"/>
      <c r="H38" s="263"/>
      <c r="I38" s="265" t="n">
        <f aca="false">+I27-I28+I29</f>
        <v>0.0620053105310531</v>
      </c>
      <c r="J38" s="265" t="e">
        <f aca="false">+J27-J28+J29</f>
        <v>#DIV/0!</v>
      </c>
      <c r="K38" s="265"/>
      <c r="L38" s="263"/>
      <c r="M38" s="265" t="e">
        <f aca="false">+M27-M28+M29</f>
        <v>#DIV/0!</v>
      </c>
      <c r="N38" s="265" t="n">
        <f aca="false">+N27-N28+N29</f>
        <v>0.0601608527131783</v>
      </c>
      <c r="O38" s="265"/>
      <c r="P38" s="263"/>
      <c r="Q38" s="265" t="n">
        <f aca="false">+Q27-Q28+Q29</f>
        <v>0.0601608527131783</v>
      </c>
      <c r="R38" s="265" t="n">
        <f aca="false">+R27-R28+R29</f>
        <v>0.00801937984496124</v>
      </c>
      <c r="S38" s="265"/>
      <c r="T38" s="263"/>
      <c r="U38" s="10"/>
      <c r="V38" s="262"/>
      <c r="W38" s="242"/>
    </row>
    <row r="39" customFormat="false" ht="12.75" hidden="false" customHeight="false" outlineLevel="0" collapsed="false">
      <c r="A39" s="0" t="s">
        <v>235</v>
      </c>
      <c r="C39" s="235" t="n">
        <f aca="false">IF(C6&lt;C32,0,ROUND(-C21*C38*C33/C30,2))</f>
        <v>-24112.06</v>
      </c>
      <c r="D39" s="231"/>
      <c r="E39" s="235" t="n">
        <f aca="false">IF(E6&lt;E32,0,ROUND(-C21*E38*E33/E30,2))</f>
        <v>-122167.79</v>
      </c>
      <c r="F39" s="235" t="n">
        <f aca="false">IF(F6&lt;F32,0,ROUND(-F21*F38*F33/F30,2))</f>
        <v>-50230.76</v>
      </c>
      <c r="G39" s="235" t="n">
        <f aca="false">SUM(E39:F39)</f>
        <v>-172398.55</v>
      </c>
      <c r="H39" s="230"/>
      <c r="I39" s="235" t="n">
        <f aca="false">IF(I6&lt;I32,0,ROUND(-F21*I38*I33/I30,2))</f>
        <v>-264548.67</v>
      </c>
      <c r="J39" s="235" t="e">
        <f aca="false">IF(J6&lt;J32,0,ROUND(-J21*J38*J33/J30,2))</f>
        <v>#DIV/0!</v>
      </c>
      <c r="K39" s="235" t="e">
        <f aca="false">SUM(I39:J39)</f>
        <v>#DIV/0!</v>
      </c>
      <c r="L39" s="230"/>
      <c r="M39" s="235" t="e">
        <f aca="false">IF(M6&lt;M32,0,ROUND(-J21*M38*M33/M30,2))</f>
        <v>#DIV/0!</v>
      </c>
      <c r="N39" s="235" t="n">
        <f aca="false">IF(N6&lt;N32,0,ROUND(-N21*N38*N33/N30,2))</f>
        <v>-0</v>
      </c>
      <c r="O39" s="235" t="e">
        <f aca="false">SUM(M39:N39)</f>
        <v>#DIV/0!</v>
      </c>
      <c r="P39" s="230"/>
      <c r="Q39" s="235" t="n">
        <f aca="false">IF(Q6&lt;Q32,0,ROUND(-N21*Q38*Q33/Q30,2))</f>
        <v>-0</v>
      </c>
      <c r="R39" s="235" t="n">
        <f aca="false">IF(R6&lt;R32,0,ROUND(-R21*R38*R33/R30,2))</f>
        <v>-0</v>
      </c>
      <c r="S39" s="235" t="n">
        <f aca="false">SUM(Q39:R39)</f>
        <v>0</v>
      </c>
      <c r="T39" s="230"/>
      <c r="U39" s="229" t="e">
        <f aca="false">+G39+K39+O39+S39</f>
        <v>#DIV/0!</v>
      </c>
      <c r="V39" s="231"/>
      <c r="W39" s="235" t="e">
        <f aca="false">+C39+U39</f>
        <v>#DIV/0!</v>
      </c>
    </row>
    <row r="40" customFormat="false" ht="12.75" hidden="false" customHeight="false" outlineLevel="0" collapsed="false">
      <c r="C40" s="17"/>
      <c r="D40" s="266"/>
      <c r="E40" s="17"/>
      <c r="F40" s="17"/>
      <c r="H40" s="41"/>
      <c r="I40" s="17"/>
      <c r="J40" s="17"/>
      <c r="L40" s="41"/>
      <c r="M40" s="17"/>
      <c r="N40" s="17"/>
      <c r="P40" s="41"/>
      <c r="Q40" s="17"/>
      <c r="R40" s="17"/>
      <c r="T40" s="41"/>
      <c r="U40" s="17"/>
      <c r="V40" s="266"/>
    </row>
    <row r="41" customFormat="false" ht="13.5" hidden="false" customHeight="false" outlineLevel="0" collapsed="false">
      <c r="A41" s="0" t="s">
        <v>245</v>
      </c>
      <c r="C41" s="243" t="n">
        <f aca="false">+C23+C39</f>
        <v>2065303.94</v>
      </c>
      <c r="D41" s="266"/>
      <c r="E41" s="243" t="n">
        <f aca="false">+E23+E39</f>
        <v>6895332.21</v>
      </c>
      <c r="F41" s="243" t="n">
        <f aca="false">+F23+F39</f>
        <v>1472269.24</v>
      </c>
      <c r="G41" s="243" t="n">
        <f aca="false">+G23+G39</f>
        <v>8367601.45</v>
      </c>
      <c r="H41" s="41"/>
      <c r="I41" s="243" t="n">
        <f aca="false">+I23+I39</f>
        <v>-21229548.67</v>
      </c>
      <c r="J41" s="243" t="e">
        <f aca="false">+J23+J39</f>
        <v>#DIV/0!</v>
      </c>
      <c r="K41" s="243" t="e">
        <f aca="false">+K23+K39</f>
        <v>#DIV/0!</v>
      </c>
      <c r="L41" s="41"/>
      <c r="M41" s="243" t="e">
        <f aca="false">+M23+M39</f>
        <v>#DIV/0!</v>
      </c>
      <c r="N41" s="243" t="n">
        <f aca="false">+N23+N39</f>
        <v>0</v>
      </c>
      <c r="O41" s="243" t="e">
        <f aca="false">+O23+O39</f>
        <v>#DIV/0!</v>
      </c>
      <c r="P41" s="41"/>
      <c r="Q41" s="243" t="n">
        <f aca="false">+Q23+Q39</f>
        <v>0</v>
      </c>
      <c r="R41" s="243" t="n">
        <f aca="false">+R23+R39</f>
        <v>0</v>
      </c>
      <c r="S41" s="243" t="n">
        <f aca="false">+S23+S39</f>
        <v>0</v>
      </c>
      <c r="T41" s="41"/>
      <c r="U41" s="243" t="e">
        <f aca="false">+U23+U39</f>
        <v>#DIV/0!</v>
      </c>
      <c r="V41" s="266"/>
      <c r="W41" s="243" t="e">
        <f aca="false">+W23+W39</f>
        <v>#DIV/0!</v>
      </c>
    </row>
    <row r="42" customFormat="false" ht="13.5" hidden="false" customHeight="false" outlineLevel="0" collapsed="false">
      <c r="D42" s="266"/>
      <c r="H42" s="41"/>
      <c r="L42" s="41"/>
      <c r="P42" s="41"/>
      <c r="T42" s="41"/>
      <c r="V42" s="266"/>
    </row>
    <row r="43" customFormat="false" ht="12.75" hidden="false" customHeight="false" outlineLevel="0" collapsed="false">
      <c r="A43" s="0" t="s">
        <v>262</v>
      </c>
      <c r="D43" s="266"/>
      <c r="E43" s="267" t="n">
        <f aca="false">+C41+E41</f>
        <v>8960636.15</v>
      </c>
      <c r="H43" s="41"/>
      <c r="I43" s="267" t="n">
        <f aca="false">+F41+I41</f>
        <v>-19757279.43</v>
      </c>
      <c r="L43" s="41"/>
      <c r="M43" s="267" t="e">
        <f aca="false">+J41+M41</f>
        <v>#DIV/0!</v>
      </c>
      <c r="P43" s="41"/>
      <c r="Q43" s="267" t="n">
        <f aca="false">+N41+Q41</f>
        <v>0</v>
      </c>
      <c r="T43" s="41"/>
      <c r="V43" s="266"/>
    </row>
    <row r="44" customFormat="false" ht="12.75" hidden="false" customHeight="false" outlineLevel="0" collapsed="false">
      <c r="A44" s="0" t="s">
        <v>263</v>
      </c>
      <c r="D44" s="266"/>
      <c r="E44" s="268" t="n">
        <v>0</v>
      </c>
      <c r="H44" s="41"/>
      <c r="I44" s="268" t="n">
        <v>0</v>
      </c>
      <c r="L44" s="41"/>
      <c r="M44" s="268" t="n">
        <v>0</v>
      </c>
      <c r="P44" s="41"/>
      <c r="Q44" s="268" t="n">
        <v>0</v>
      </c>
      <c r="T44" s="41"/>
      <c r="V44" s="266"/>
    </row>
    <row r="45" customFormat="false" ht="13.5" hidden="false" customHeight="false" outlineLevel="0" collapsed="false">
      <c r="A45" s="0" t="s">
        <v>264</v>
      </c>
      <c r="D45" s="269"/>
      <c r="E45" s="243" t="n">
        <f aca="false">+E43-E44</f>
        <v>8960636.15</v>
      </c>
      <c r="H45" s="41"/>
      <c r="I45" s="270" t="n">
        <f aca="false">+I43-I44</f>
        <v>-19757279.43</v>
      </c>
      <c r="L45" s="41"/>
      <c r="M45" s="243" t="e">
        <f aca="false">+M43-M44</f>
        <v>#DIV/0!</v>
      </c>
      <c r="P45" s="41"/>
      <c r="Q45" s="243" t="n">
        <f aca="false">+Q43-Q44</f>
        <v>0</v>
      </c>
      <c r="T45" s="41"/>
      <c r="V45" s="269"/>
    </row>
    <row r="46" customFormat="false" ht="12.75" hidden="false" customHeight="false" outlineLevel="0" collapsed="false">
      <c r="I46" s="236"/>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12.56"/>
    <col collapsed="false" customWidth="true" hidden="false" outlineLevel="0" max="3" min="3" style="0" width="13.99"/>
    <col collapsed="false" customWidth="true" hidden="false" outlineLevel="0" max="4" min="4" style="0" width="1.7"/>
    <col collapsed="false" customWidth="true" hidden="false" outlineLevel="0" max="9" min="5" style="0" width="13.85"/>
    <col collapsed="false" customWidth="true" hidden="false" outlineLevel="0" max="10" min="10" style="0" width="0.99"/>
    <col collapsed="false" customWidth="true" hidden="false" outlineLevel="0" max="11" min="11" style="0" width="14.85"/>
    <col collapsed="false" customWidth="true" hidden="false" outlineLevel="0" max="12" min="12" style="0" width="11.85"/>
  </cols>
  <sheetData>
    <row r="1" customFormat="false" ht="12.75" hidden="false" customHeight="false" outlineLevel="0" collapsed="false">
      <c r="E1" s="241" t="n">
        <f aca="false">IF($F$4&lt;=$A$5,$F$4,IF($A$5&lt;E7,$A$5,E7))</f>
        <v>36579</v>
      </c>
      <c r="F1" s="241" t="n">
        <f aca="false">IF($F$4&lt;=$A$5,$F$4,IF($A$5&lt;F7,$A$5,F7))</f>
        <v>36579</v>
      </c>
      <c r="G1" s="241" t="n">
        <f aca="false">IF($F$4&lt;=$A$5,$F$4,IF($A$5&lt;G7,$A$5,G7))</f>
        <v>36579</v>
      </c>
      <c r="H1" s="241" t="n">
        <f aca="false">IF($F$4&lt;=$A$5,$F$4,IF($A$5&lt;H7,$A$5,H7))</f>
        <v>36579</v>
      </c>
    </row>
    <row r="3" customFormat="false" ht="12.75" hidden="false" customHeight="false" outlineLevel="0" collapsed="false">
      <c r="A3" s="22" t="s">
        <v>246</v>
      </c>
      <c r="E3" s="31"/>
      <c r="F3" s="210"/>
    </row>
    <row r="4" customFormat="false" ht="12.75" hidden="false" customHeight="false" outlineLevel="0" collapsed="false">
      <c r="A4" s="22" t="s">
        <v>265</v>
      </c>
      <c r="E4" s="31" t="s">
        <v>266</v>
      </c>
      <c r="F4" s="210" t="n">
        <v>36579</v>
      </c>
    </row>
    <row r="5" customFormat="false" ht="12.75" hidden="false" customHeight="false" outlineLevel="0" collapsed="false">
      <c r="A5" s="63" t="n">
        <f aca="false">+'JEDI MTM'!A18</f>
        <v>36707</v>
      </c>
      <c r="C5" s="117"/>
      <c r="D5" s="117"/>
      <c r="E5" s="117"/>
      <c r="F5" s="117"/>
      <c r="G5" s="117"/>
    </row>
    <row r="6" customFormat="false" ht="12.75" hidden="false" customHeight="false" outlineLevel="0" collapsed="false">
      <c r="C6" s="121" t="s">
        <v>9</v>
      </c>
      <c r="D6" s="122"/>
      <c r="E6" s="23" t="s">
        <v>9</v>
      </c>
      <c r="F6" s="23" t="s">
        <v>9</v>
      </c>
      <c r="G6" s="23" t="s">
        <v>9</v>
      </c>
      <c r="H6" s="23" t="s">
        <v>9</v>
      </c>
      <c r="I6" s="23"/>
      <c r="J6" s="122"/>
    </row>
    <row r="7" customFormat="false" ht="12.75" hidden="false" customHeight="false" outlineLevel="0" collapsed="false">
      <c r="A7" s="110" t="s">
        <v>17</v>
      </c>
      <c r="B7" s="110"/>
      <c r="C7" s="126" t="n">
        <f aca="false">+'[1]1303665'!C7</f>
        <v>36525</v>
      </c>
      <c r="D7" s="125"/>
      <c r="E7" s="129" t="n">
        <v>36616</v>
      </c>
      <c r="F7" s="126" t="n">
        <v>36707</v>
      </c>
      <c r="G7" s="126" t="n">
        <v>36799</v>
      </c>
      <c r="H7" s="126" t="n">
        <v>36891</v>
      </c>
      <c r="I7" s="127" t="s">
        <v>172</v>
      </c>
      <c r="J7" s="128"/>
      <c r="K7" s="127" t="s">
        <v>95</v>
      </c>
    </row>
    <row r="8" customFormat="false" ht="12.75" hidden="false" customHeight="false" outlineLevel="0" collapsed="false">
      <c r="B8" s="0" t="s">
        <v>175</v>
      </c>
      <c r="C8" s="271" t="n">
        <f aca="false">+'JEDI MTM'!J21</f>
        <v>44.375</v>
      </c>
      <c r="D8" s="132"/>
      <c r="E8" s="219" t="n">
        <f aca="false">LOOKUP(E1,Input!$A$20:$A$827,Input!$B$20:$B$827)</f>
        <v>65.4375</v>
      </c>
      <c r="F8" s="219" t="n">
        <f aca="false">LOOKUP(F1,Input!$A$20:$A$827,Input!$B$20:$B$827)</f>
        <v>65.4375</v>
      </c>
      <c r="G8" s="219" t="n">
        <f aca="false">LOOKUP(G1,Input!$A$20:$A$827,Input!$B$20:$B$827)</f>
        <v>65.4375</v>
      </c>
      <c r="H8" s="219" t="n">
        <f aca="false">LOOKUP(H1,Input!$A$20:$A$827,Input!$B$20:$B$827)</f>
        <v>65.4375</v>
      </c>
      <c r="I8" s="17"/>
      <c r="J8" s="41"/>
    </row>
    <row r="9" customFormat="false" ht="12.75" hidden="false" customHeight="false" outlineLevel="0" collapsed="false">
      <c r="B9" s="51"/>
      <c r="C9" s="131"/>
      <c r="D9" s="132"/>
      <c r="E9" s="133"/>
      <c r="F9" s="133"/>
      <c r="G9" s="133"/>
      <c r="H9" s="133"/>
      <c r="I9" s="17"/>
      <c r="J9" s="41"/>
    </row>
    <row r="10" customFormat="false" ht="12.75" hidden="false" customHeight="false" outlineLevel="0" collapsed="false">
      <c r="A10" s="51" t="s">
        <v>230</v>
      </c>
      <c r="B10" s="113" t="n">
        <v>15000</v>
      </c>
      <c r="C10" s="137"/>
      <c r="D10" s="120"/>
      <c r="E10" s="140"/>
      <c r="F10" s="138"/>
      <c r="G10" s="138"/>
      <c r="H10" s="141"/>
      <c r="I10" s="17"/>
      <c r="J10" s="41"/>
    </row>
    <row r="11" customFormat="false" ht="12.75" hidden="false" customHeight="false" outlineLevel="0" collapsed="false">
      <c r="A11" s="0" t="s">
        <v>174</v>
      </c>
      <c r="B11" s="224" t="n">
        <v>55.9375</v>
      </c>
      <c r="C11" s="137"/>
      <c r="D11" s="120"/>
      <c r="E11" s="140"/>
      <c r="F11" s="138"/>
      <c r="G11" s="138"/>
      <c r="I11" s="17"/>
      <c r="J11" s="41"/>
    </row>
    <row r="12" customFormat="false" ht="12.75" hidden="false" customHeight="false" outlineLevel="0" collapsed="false">
      <c r="B12" s="142"/>
      <c r="C12" s="137"/>
      <c r="D12" s="120"/>
      <c r="E12" s="117"/>
      <c r="F12" s="138"/>
      <c r="G12" s="138"/>
      <c r="I12" s="17"/>
      <c r="J12" s="41"/>
    </row>
    <row r="13" customFormat="false" ht="12.75" hidden="false" customHeight="false" outlineLevel="0" collapsed="false">
      <c r="A13" s="22" t="s">
        <v>253</v>
      </c>
      <c r="C13" s="28"/>
      <c r="D13" s="143"/>
      <c r="E13" s="144"/>
      <c r="F13" s="10"/>
      <c r="G13" s="10"/>
      <c r="H13" s="10"/>
      <c r="I13" s="10"/>
      <c r="J13" s="145"/>
    </row>
    <row r="14" customFormat="false" ht="12.75" hidden="false" customHeight="false" outlineLevel="0" collapsed="false">
      <c r="B14" s="0" t="s">
        <v>182</v>
      </c>
      <c r="C14" s="55"/>
      <c r="D14" s="227"/>
      <c r="E14" s="55" t="n">
        <f aca="false">ROUND(+B10*$B11,2)</f>
        <v>839062.5</v>
      </c>
      <c r="F14" s="55" t="n">
        <f aca="false">+E15</f>
        <v>981562.5</v>
      </c>
      <c r="G14" s="55" t="n">
        <f aca="false">+F15</f>
        <v>981562.5</v>
      </c>
      <c r="H14" s="55" t="n">
        <f aca="false">+G15</f>
        <v>981562.5</v>
      </c>
      <c r="I14" s="55"/>
      <c r="J14" s="227"/>
      <c r="K14" s="165"/>
    </row>
    <row r="15" customFormat="false" ht="12.75" hidden="false" customHeight="false" outlineLevel="0" collapsed="false">
      <c r="B15" s="0" t="s">
        <v>183</v>
      </c>
      <c r="C15" s="55"/>
      <c r="D15" s="227"/>
      <c r="E15" s="55" t="n">
        <f aca="false">ROUND(+E8*$B10,2)</f>
        <v>981562.5</v>
      </c>
      <c r="F15" s="55" t="n">
        <f aca="false">ROUND(+F8*$B10,2)</f>
        <v>981562.5</v>
      </c>
      <c r="G15" s="55" t="n">
        <f aca="false">ROUND(+G8*$B10,2)</f>
        <v>981562.5</v>
      </c>
      <c r="H15" s="55" t="n">
        <f aca="false">ROUND(+H8*$B10,2)</f>
        <v>981562.5</v>
      </c>
      <c r="I15" s="165"/>
      <c r="J15" s="230"/>
      <c r="K15" s="165"/>
    </row>
    <row r="16" customFormat="false" ht="12.75" hidden="false" customHeight="false" outlineLevel="0" collapsed="false">
      <c r="B16" s="0" t="s">
        <v>185</v>
      </c>
      <c r="C16" s="55"/>
      <c r="D16" s="230"/>
      <c r="E16" s="229" t="n">
        <f aca="false">IF($A$5&lt;=C7,0,-E14+E15)</f>
        <v>142500</v>
      </c>
      <c r="F16" s="229" t="n">
        <f aca="false">IF($A$5&lt;=E7,0,-F14+F15)</f>
        <v>0</v>
      </c>
      <c r="G16" s="229" t="n">
        <f aca="false">IF($A$5&lt;=F7,0,-G14+G15)</f>
        <v>0</v>
      </c>
      <c r="H16" s="229" t="n">
        <f aca="false">IF($A$5&lt;=G7,0,-H14+H15)</f>
        <v>0</v>
      </c>
      <c r="I16" s="229" t="n">
        <f aca="false">SUM(E16:H16)</f>
        <v>142500</v>
      </c>
      <c r="J16" s="230"/>
      <c r="K16" s="229" t="n">
        <f aca="false">+C16+I16</f>
        <v>142500</v>
      </c>
      <c r="L16" s="232" t="n">
        <f aca="false">IF(SUM(E16:H16)-I16=0,0,"OUT OF BALANCE")</f>
        <v>0</v>
      </c>
    </row>
    <row r="17" customFormat="false" ht="12.75" hidden="false" customHeight="false" outlineLevel="0" collapsed="false">
      <c r="C17" s="55"/>
      <c r="D17" s="147"/>
      <c r="E17" s="144"/>
      <c r="F17" s="10"/>
      <c r="G17" s="10"/>
      <c r="H17" s="10"/>
      <c r="I17" s="10"/>
      <c r="J17" s="145"/>
      <c r="L17" s="232" t="n">
        <f aca="false">IF(+C16+I16-K16=0,0,"OUT OF BALANCE")</f>
        <v>0</v>
      </c>
    </row>
    <row r="18" customFormat="false" ht="12.75" hidden="false" customHeight="false" outlineLevel="0" collapsed="false">
      <c r="A18" s="22" t="s">
        <v>236</v>
      </c>
      <c r="C18" s="55"/>
      <c r="D18" s="147"/>
      <c r="E18" s="144"/>
      <c r="F18" s="10"/>
      <c r="G18" s="10"/>
      <c r="H18" s="10"/>
      <c r="I18" s="10"/>
      <c r="J18" s="145"/>
    </row>
    <row r="19" customFormat="false" ht="12.75" hidden="false" customHeight="false" outlineLevel="0" collapsed="false">
      <c r="A19" s="0" t="s">
        <v>234</v>
      </c>
      <c r="C19" s="55"/>
      <c r="D19" s="147"/>
      <c r="E19" s="272"/>
      <c r="F19" s="272"/>
      <c r="G19" s="272"/>
      <c r="H19" s="272"/>
      <c r="I19" s="10"/>
      <c r="J19" s="145"/>
    </row>
    <row r="20" customFormat="false" ht="12.75" hidden="false" customHeight="false" outlineLevel="0" collapsed="false">
      <c r="A20" s="51" t="s">
        <v>239</v>
      </c>
      <c r="C20" s="55"/>
      <c r="D20" s="253"/>
      <c r="E20" s="245" t="n">
        <v>0.0065</v>
      </c>
      <c r="F20" s="245" t="n">
        <f aca="false">+E20</f>
        <v>0.0065</v>
      </c>
      <c r="G20" s="245" t="n">
        <f aca="false">+F20</f>
        <v>0.0065</v>
      </c>
      <c r="H20" s="245" t="n">
        <f aca="false">+G20</f>
        <v>0.0065</v>
      </c>
      <c r="I20" s="10"/>
      <c r="J20" s="145"/>
    </row>
    <row r="21" customFormat="false" ht="12.75" hidden="false" customHeight="false" outlineLevel="0" collapsed="false">
      <c r="A21" s="0" t="s">
        <v>254</v>
      </c>
      <c r="C21" s="55"/>
      <c r="D21" s="255"/>
      <c r="E21" s="238"/>
      <c r="F21" s="238"/>
      <c r="G21" s="238"/>
      <c r="H21" s="238"/>
      <c r="I21" s="10"/>
      <c r="J21" s="41"/>
    </row>
    <row r="22" customFormat="false" ht="12.75" hidden="false" customHeight="false" outlineLevel="0" collapsed="false">
      <c r="A22" s="0" t="s">
        <v>237</v>
      </c>
      <c r="C22" s="55"/>
      <c r="D22" s="255"/>
      <c r="E22" s="239" t="n">
        <v>0.0604</v>
      </c>
      <c r="F22" s="239" t="n">
        <v>0.0669</v>
      </c>
      <c r="G22" s="239" t="n">
        <v>0.0669</v>
      </c>
      <c r="H22" s="239" t="n">
        <v>0.0669</v>
      </c>
      <c r="I22" s="10"/>
      <c r="J22" s="41"/>
    </row>
    <row r="23" customFormat="false" ht="12.75" hidden="false" customHeight="false" outlineLevel="0" collapsed="false">
      <c r="A23" s="0" t="s">
        <v>241</v>
      </c>
      <c r="C23" s="55"/>
      <c r="D23" s="258"/>
      <c r="E23" s="240" t="n">
        <v>360</v>
      </c>
      <c r="F23" s="240" t="n">
        <v>360</v>
      </c>
      <c r="G23" s="240" t="n">
        <v>360</v>
      </c>
      <c r="H23" s="240" t="n">
        <v>360</v>
      </c>
      <c r="I23" s="10"/>
      <c r="J23" s="258"/>
    </row>
    <row r="24" customFormat="false" ht="12.75" hidden="false" customHeight="false" outlineLevel="0" collapsed="false">
      <c r="A24" s="0" t="s">
        <v>242</v>
      </c>
      <c r="C24" s="55"/>
      <c r="D24" s="260"/>
      <c r="E24" s="210" t="n">
        <v>36546</v>
      </c>
      <c r="F24" s="118" t="n">
        <f aca="false">+E25</f>
        <v>36579</v>
      </c>
      <c r="G24" s="118" t="n">
        <f aca="false">+F25</f>
        <v>36579</v>
      </c>
      <c r="H24" s="118" t="n">
        <f aca="false">+G25</f>
        <v>36579</v>
      </c>
      <c r="I24" s="10"/>
      <c r="J24" s="273"/>
    </row>
    <row r="25" customFormat="false" ht="12.75" hidden="false" customHeight="false" outlineLevel="0" collapsed="false">
      <c r="A25" s="0" t="s">
        <v>243</v>
      </c>
      <c r="C25" s="55"/>
      <c r="D25" s="260"/>
      <c r="E25" s="274" t="n">
        <f aca="false">+E1</f>
        <v>36579</v>
      </c>
      <c r="F25" s="274" t="n">
        <f aca="false">+F1</f>
        <v>36579</v>
      </c>
      <c r="G25" s="274" t="n">
        <f aca="false">+G1</f>
        <v>36579</v>
      </c>
      <c r="H25" s="274" t="n">
        <f aca="false">+H1</f>
        <v>36579</v>
      </c>
      <c r="I25" s="10"/>
      <c r="J25" s="273"/>
    </row>
    <row r="26" customFormat="false" ht="12.75" hidden="false" customHeight="false" outlineLevel="0" collapsed="false">
      <c r="A26" s="0" t="s">
        <v>244</v>
      </c>
      <c r="C26" s="55"/>
      <c r="D26" s="263"/>
      <c r="E26" s="242" t="n">
        <f aca="false">+E25-E24</f>
        <v>33</v>
      </c>
      <c r="F26" s="242" t="n">
        <f aca="false">+F25-F24</f>
        <v>0</v>
      </c>
      <c r="G26" s="242" t="n">
        <f aca="false">+G25-G24</f>
        <v>0</v>
      </c>
      <c r="H26" s="242" t="n">
        <f aca="false">+H25-H24</f>
        <v>0</v>
      </c>
      <c r="I26" s="10"/>
      <c r="J26" s="263"/>
    </row>
    <row r="27" customFormat="false" ht="12.75" hidden="false" customHeight="false" outlineLevel="0" collapsed="false">
      <c r="A27" s="0" t="s">
        <v>261</v>
      </c>
      <c r="C27" s="55"/>
      <c r="D27" s="263"/>
      <c r="E27" s="264" t="n">
        <f aca="false">IF(E26=0,0,+E23/E26)</f>
        <v>10.9090909090909</v>
      </c>
      <c r="F27" s="264" t="n">
        <f aca="false">IF(F26=0,0,+F23/F26)</f>
        <v>0</v>
      </c>
      <c r="G27" s="264" t="n">
        <f aca="false">IF(G26=0,0,+G23/G26)</f>
        <v>0</v>
      </c>
      <c r="H27" s="264" t="n">
        <f aca="false">IF(H26=0,0,+H23/H26)</f>
        <v>0</v>
      </c>
      <c r="I27" s="10"/>
      <c r="J27" s="263"/>
    </row>
    <row r="28" customFormat="false" ht="12.75" hidden="false" customHeight="false" outlineLevel="0" collapsed="false">
      <c r="A28" s="0" t="s">
        <v>240</v>
      </c>
      <c r="C28" s="55"/>
      <c r="D28" s="263"/>
      <c r="E28" s="265" t="n">
        <f aca="false">+E20-E21+E22</f>
        <v>0.0669</v>
      </c>
      <c r="F28" s="265" t="n">
        <f aca="false">+F20-F21+F22</f>
        <v>0.0734</v>
      </c>
      <c r="G28" s="265" t="n">
        <f aca="false">+G20-G21+G22</f>
        <v>0.0734</v>
      </c>
      <c r="H28" s="265" t="n">
        <f aca="false">+H20-H21+H22</f>
        <v>0.0734</v>
      </c>
      <c r="I28" s="10"/>
      <c r="J28" s="263"/>
      <c r="K28" s="242"/>
    </row>
    <row r="29" customFormat="false" ht="12.75" hidden="false" customHeight="false" outlineLevel="0" collapsed="false">
      <c r="A29" s="0" t="s">
        <v>235</v>
      </c>
      <c r="C29" s="55"/>
      <c r="D29" s="230"/>
      <c r="E29" s="235" t="n">
        <f aca="false">IF($A$5&lt;E25,0,ROUND(-$E$14*E28*E26/E23,2))</f>
        <v>-5145.55</v>
      </c>
      <c r="F29" s="235" t="n">
        <f aca="false">IF($A$5&lt;F25,0,ROUND(-$E$14*F28*F26/F23,2))</f>
        <v>-0</v>
      </c>
      <c r="G29" s="235" t="n">
        <f aca="false">IF($A$5&lt;G25,0,ROUND(-$E$14*G28*G26/G23,2))</f>
        <v>-0</v>
      </c>
      <c r="H29" s="235" t="n">
        <f aca="false">IF($A$5&lt;H25,0,ROUND(-$E$14*H28*H26/H23,2))</f>
        <v>-0</v>
      </c>
      <c r="I29" s="235" t="n">
        <f aca="false">SUM(E29:H29)</f>
        <v>-5145.55</v>
      </c>
      <c r="J29" s="230"/>
      <c r="K29" s="235" t="n">
        <f aca="false">+C29+I29</f>
        <v>-5145.55</v>
      </c>
    </row>
    <row r="30" customFormat="false" ht="12.75" hidden="false" customHeight="false" outlineLevel="0" collapsed="false">
      <c r="C30" s="55"/>
      <c r="D30" s="41"/>
      <c r="I30" s="17"/>
      <c r="J30" s="41"/>
    </row>
    <row r="31" customFormat="false" ht="13.5" hidden="false" customHeight="false" outlineLevel="0" collapsed="false">
      <c r="A31" s="0" t="s">
        <v>245</v>
      </c>
      <c r="C31" s="55"/>
      <c r="D31" s="41"/>
      <c r="E31" s="243" t="n">
        <f aca="false">+E16+E29</f>
        <v>137354.45</v>
      </c>
      <c r="F31" s="243" t="n">
        <f aca="false">+F16+F29</f>
        <v>0</v>
      </c>
      <c r="G31" s="243" t="n">
        <f aca="false">+G16+G29</f>
        <v>0</v>
      </c>
      <c r="H31" s="243" t="n">
        <f aca="false">+H16+H29</f>
        <v>0</v>
      </c>
      <c r="I31" s="243" t="n">
        <f aca="false">+I16+I29</f>
        <v>137354.45</v>
      </c>
      <c r="J31" s="41"/>
      <c r="K31" s="243" t="n">
        <f aca="false">+K16+K29</f>
        <v>137354.45</v>
      </c>
    </row>
    <row r="32" customFormat="false" ht="13.5" hidden="false" customHeight="false" outlineLevel="0" collapsed="false">
      <c r="C32" s="55"/>
      <c r="K32" s="148" t="s">
        <v>267</v>
      </c>
    </row>
    <row r="33" customFormat="false" ht="12.75" hidden="false" customHeight="false" outlineLevel="0" collapsed="false">
      <c r="K33" s="275" t="n">
        <f aca="false">+K31</f>
        <v>137354.45</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&amp;L&amp;F  &amp;A&amp;R&amp;D  &amp;T</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2" activeCellId="0" sqref="A12"/>
    </sheetView>
  </sheetViews>
  <sheetFormatPr defaultColWidth="9.0546875" defaultRowHeight="12.75" customHeight="true" zeroHeight="false" outlineLevelRow="0" outlineLevelCol="0"/>
  <cols>
    <col collapsed="false" customWidth="true" hidden="false" outlineLevel="0" max="2" min="1" style="0" width="12.56"/>
    <col collapsed="false" customWidth="true" hidden="false" outlineLevel="0" max="3" min="3" style="0" width="13.99"/>
    <col collapsed="false" customWidth="true" hidden="false" outlineLevel="0" max="4" min="4" style="0" width="1.7"/>
    <col collapsed="false" customWidth="true" hidden="false" outlineLevel="0" max="5" min="5" style="0" width="13.85"/>
    <col collapsed="false" customWidth="true" hidden="false" outlineLevel="0" max="6" min="6" style="0" width="16.84"/>
    <col collapsed="false" customWidth="true" hidden="false" outlineLevel="0" max="9" min="7" style="0" width="13.85"/>
    <col collapsed="false" customWidth="true" hidden="false" outlineLevel="0" max="10" min="10" style="0" width="0.99"/>
    <col collapsed="false" customWidth="true" hidden="false" outlineLevel="0" max="11" min="11" style="0" width="14.85"/>
    <col collapsed="false" customWidth="true" hidden="false" outlineLevel="0" max="12" min="12" style="0" width="11.85"/>
  </cols>
  <sheetData>
    <row r="1" customFormat="false" ht="12.75" hidden="false" customHeight="false" outlineLevel="0" collapsed="false">
      <c r="A1" s="248" t="s">
        <v>268</v>
      </c>
      <c r="E1" s="241" t="n">
        <f aca="false">IF($F$4&lt;=$A$5,$F$4,IF($A$5&lt;E7,$A$5,E7))</f>
        <v>36690</v>
      </c>
      <c r="F1" s="241" t="n">
        <f aca="false">IF($F$4&lt;=$A$5,$F$4,IF($A$5&lt;F7,$A$5,F7))</f>
        <v>36690</v>
      </c>
      <c r="G1" s="241" t="n">
        <f aca="false">IF($F$4&lt;=$A$5,$F$4,IF($A$5&lt;G7,$A$5,G7))</f>
        <v>36690</v>
      </c>
      <c r="H1" s="241" t="n">
        <f aca="false">IF($F$4&lt;=$A$5,$F$4,IF($A$5&lt;H7,$A$5,H7))</f>
        <v>36690</v>
      </c>
    </row>
    <row r="3" customFormat="false" ht="12.75" hidden="false" customHeight="false" outlineLevel="0" collapsed="false">
      <c r="A3" s="22" t="s">
        <v>246</v>
      </c>
      <c r="E3" s="31"/>
      <c r="F3" s="210"/>
    </row>
    <row r="4" customFormat="false" ht="12.75" hidden="false" customHeight="false" outlineLevel="0" collapsed="false">
      <c r="A4" s="22" t="s">
        <v>269</v>
      </c>
      <c r="E4" s="31" t="s">
        <v>266</v>
      </c>
      <c r="F4" s="210" t="n">
        <v>36690</v>
      </c>
    </row>
    <row r="5" customFormat="false" ht="12.75" hidden="false" customHeight="false" outlineLevel="0" collapsed="false">
      <c r="A5" s="63" t="n">
        <f aca="false">+'JEDI MTM'!A18</f>
        <v>36707</v>
      </c>
      <c r="C5" s="117"/>
      <c r="D5" s="117"/>
      <c r="E5" s="117"/>
      <c r="F5" s="117"/>
      <c r="G5" s="117"/>
    </row>
    <row r="6" customFormat="false" ht="12.75" hidden="false" customHeight="false" outlineLevel="0" collapsed="false">
      <c r="C6" s="121" t="s">
        <v>9</v>
      </c>
      <c r="D6" s="122"/>
      <c r="E6" s="23" t="s">
        <v>9</v>
      </c>
      <c r="F6" s="23" t="s">
        <v>9</v>
      </c>
      <c r="G6" s="23" t="s">
        <v>9</v>
      </c>
      <c r="H6" s="23" t="s">
        <v>9</v>
      </c>
      <c r="I6" s="23"/>
      <c r="J6" s="122"/>
    </row>
    <row r="7" customFormat="false" ht="12.75" hidden="false" customHeight="false" outlineLevel="0" collapsed="false">
      <c r="A7" s="110" t="s">
        <v>17</v>
      </c>
      <c r="B7" s="110"/>
      <c r="C7" s="126" t="n">
        <f aca="false">+'[1]1303665'!C7</f>
        <v>36525</v>
      </c>
      <c r="D7" s="125"/>
      <c r="E7" s="129" t="n">
        <v>36616</v>
      </c>
      <c r="F7" s="126" t="n">
        <v>36707</v>
      </c>
      <c r="G7" s="126" t="n">
        <v>36799</v>
      </c>
      <c r="H7" s="126" t="n">
        <v>36891</v>
      </c>
      <c r="I7" s="127" t="s">
        <v>172</v>
      </c>
      <c r="J7" s="128"/>
      <c r="K7" s="127" t="s">
        <v>95</v>
      </c>
    </row>
    <row r="8" customFormat="false" ht="12.75" hidden="false" customHeight="false" outlineLevel="0" collapsed="false">
      <c r="B8" s="0" t="s">
        <v>175</v>
      </c>
      <c r="C8" s="271" t="n">
        <f aca="false">+'JEDI MTM'!J21</f>
        <v>44.375</v>
      </c>
      <c r="D8" s="132"/>
      <c r="E8" s="219" t="n">
        <f aca="false">LOOKUP(E1,Input!$A$20:$A$827,Input!$B$20:$B$827)</f>
        <v>74</v>
      </c>
      <c r="F8" s="219" t="n">
        <f aca="false">LOOKUP(F1,Input!$A$20:$A$827,Input!$B$20:$B$827)</f>
        <v>74</v>
      </c>
      <c r="G8" s="219" t="n">
        <f aca="false">LOOKUP(G1,Input!$A$20:$A$827,Input!$B$20:$B$827)</f>
        <v>74</v>
      </c>
      <c r="H8" s="219" t="n">
        <f aca="false">LOOKUP(H1,Input!$A$20:$A$827,Input!$B$20:$B$827)</f>
        <v>74</v>
      </c>
      <c r="I8" s="17"/>
      <c r="J8" s="41"/>
    </row>
    <row r="9" customFormat="false" ht="12.75" hidden="false" customHeight="false" outlineLevel="0" collapsed="false">
      <c r="B9" s="51"/>
      <c r="C9" s="131"/>
      <c r="D9" s="132"/>
      <c r="E9" s="219"/>
      <c r="F9" s="133"/>
      <c r="G9" s="133"/>
      <c r="H9" s="133"/>
      <c r="I9" s="17"/>
      <c r="J9" s="41"/>
    </row>
    <row r="10" customFormat="false" ht="12.75" hidden="false" customHeight="false" outlineLevel="0" collapsed="false">
      <c r="A10" s="51" t="s">
        <v>230</v>
      </c>
      <c r="B10" s="113" t="n">
        <v>1220650</v>
      </c>
      <c r="C10" s="137"/>
      <c r="D10" s="120"/>
      <c r="E10" s="140"/>
      <c r="F10" s="138"/>
      <c r="G10" s="138"/>
      <c r="H10" s="141"/>
      <c r="I10" s="17"/>
      <c r="J10" s="41"/>
    </row>
    <row r="11" customFormat="false" ht="12.75" hidden="false" customHeight="false" outlineLevel="0" collapsed="false">
      <c r="A11" s="0" t="s">
        <v>174</v>
      </c>
      <c r="B11" s="224" t="n">
        <v>41.0449</v>
      </c>
      <c r="C11" s="137"/>
      <c r="D11" s="120"/>
      <c r="E11" s="140"/>
      <c r="F11" s="138"/>
      <c r="G11" s="138"/>
      <c r="I11" s="17"/>
      <c r="J11" s="41"/>
    </row>
    <row r="12" customFormat="false" ht="12.75" hidden="false" customHeight="false" outlineLevel="0" collapsed="false">
      <c r="B12" s="142"/>
      <c r="C12" s="137"/>
      <c r="D12" s="120"/>
      <c r="E12" s="117"/>
      <c r="F12" s="138"/>
      <c r="G12" s="138"/>
      <c r="I12" s="17"/>
      <c r="J12" s="41"/>
    </row>
    <row r="13" customFormat="false" ht="12.75" hidden="false" customHeight="false" outlineLevel="0" collapsed="false">
      <c r="A13" s="22" t="s">
        <v>253</v>
      </c>
      <c r="C13" s="28"/>
      <c r="D13" s="143"/>
      <c r="E13" s="144"/>
      <c r="F13" s="10"/>
      <c r="G13" s="10"/>
      <c r="H13" s="10"/>
      <c r="I13" s="10"/>
      <c r="J13" s="145"/>
    </row>
    <row r="14" customFormat="false" ht="12.75" hidden="false" customHeight="false" outlineLevel="0" collapsed="false">
      <c r="B14" s="0" t="s">
        <v>182</v>
      </c>
      <c r="C14" s="55" t="n">
        <f aca="false">ROUND(+B10*$B11,2)</f>
        <v>50101457.19</v>
      </c>
      <c r="D14" s="227"/>
      <c r="E14" s="55" t="n">
        <f aca="false">+C15</f>
        <v>54166343.75</v>
      </c>
      <c r="F14" s="55" t="n">
        <f aca="false">+E15</f>
        <v>90328100</v>
      </c>
      <c r="G14" s="55" t="n">
        <f aca="false">+F15</f>
        <v>90328100</v>
      </c>
      <c r="H14" s="55" t="n">
        <f aca="false">+G15</f>
        <v>90328100</v>
      </c>
      <c r="I14" s="55"/>
      <c r="J14" s="227"/>
      <c r="K14" s="165"/>
    </row>
    <row r="15" customFormat="false" ht="12.75" hidden="false" customHeight="false" outlineLevel="0" collapsed="false">
      <c r="B15" s="0" t="s">
        <v>183</v>
      </c>
      <c r="C15" s="55" t="n">
        <f aca="false">ROUND(+C8*$B10,2)</f>
        <v>54166343.75</v>
      </c>
      <c r="D15" s="227"/>
      <c r="E15" s="55" t="n">
        <f aca="false">ROUND(+E8*$B10,2)</f>
        <v>90328100</v>
      </c>
      <c r="F15" s="55" t="n">
        <f aca="false">ROUND(+F8*$B10,2)</f>
        <v>90328100</v>
      </c>
      <c r="G15" s="55" t="n">
        <f aca="false">ROUND(+G8*$B10,2)</f>
        <v>90328100</v>
      </c>
      <c r="H15" s="55" t="n">
        <f aca="false">ROUND(+H8*$B10,2)</f>
        <v>90328100</v>
      </c>
      <c r="I15" s="165"/>
      <c r="J15" s="230"/>
      <c r="K15" s="165"/>
    </row>
    <row r="16" customFormat="false" ht="12.75" hidden="false" customHeight="false" outlineLevel="0" collapsed="false">
      <c r="B16" s="0" t="s">
        <v>185</v>
      </c>
      <c r="C16" s="229" t="n">
        <f aca="false">-C14+C15</f>
        <v>4064886.56</v>
      </c>
      <c r="D16" s="230"/>
      <c r="E16" s="229" t="n">
        <f aca="false">IF($A$5&lt;=C7,0,-E14+E15)</f>
        <v>36161756.25</v>
      </c>
      <c r="F16" s="229" t="n">
        <f aca="false">IF($A$5&lt;=E7,0,-F14+F15)</f>
        <v>0</v>
      </c>
      <c r="G16" s="229" t="n">
        <f aca="false">IF($A$5&lt;=F7,0,-G14+G15)</f>
        <v>0</v>
      </c>
      <c r="H16" s="229" t="n">
        <f aca="false">IF($A$5&lt;=G7,0,-H14+H15)</f>
        <v>0</v>
      </c>
      <c r="I16" s="229" t="n">
        <f aca="false">SUM(E16:H16)</f>
        <v>36161756.25</v>
      </c>
      <c r="J16" s="230"/>
      <c r="K16" s="229" t="n">
        <f aca="false">+C16+I16</f>
        <v>40226642.81</v>
      </c>
      <c r="L16" s="232" t="n">
        <f aca="false">IF(SUM(E16:H16)-I16=0,0,"OUT OF BALANCE")</f>
        <v>0</v>
      </c>
    </row>
    <row r="17" customFormat="false" ht="12.75" hidden="false" customHeight="false" outlineLevel="0" collapsed="false">
      <c r="C17" s="70"/>
      <c r="D17" s="147"/>
      <c r="E17" s="144"/>
      <c r="F17" s="10"/>
      <c r="G17" s="10"/>
      <c r="H17" s="10"/>
      <c r="I17" s="10"/>
      <c r="J17" s="145"/>
      <c r="L17" s="232" t="n">
        <f aca="false">IF(+C16+I16-K16=0,0,"OUT OF BALANCE")</f>
        <v>0</v>
      </c>
    </row>
    <row r="18" customFormat="false" ht="13.5" hidden="false" customHeight="false" outlineLevel="0" collapsed="false">
      <c r="A18" s="0" t="s">
        <v>245</v>
      </c>
      <c r="C18" s="243" t="n">
        <f aca="false">+C16</f>
        <v>4064886.56</v>
      </c>
      <c r="D18" s="41"/>
      <c r="E18" s="243" t="n">
        <f aca="false">+E16</f>
        <v>36161756.25</v>
      </c>
      <c r="F18" s="243" t="n">
        <f aca="false">+F16</f>
        <v>0</v>
      </c>
      <c r="G18" s="243" t="n">
        <f aca="false">+G16</f>
        <v>0</v>
      </c>
      <c r="H18" s="243" t="n">
        <f aca="false">+H16</f>
        <v>0</v>
      </c>
      <c r="I18" s="243" t="n">
        <f aca="false">+I16</f>
        <v>36161756.25</v>
      </c>
      <c r="J18" s="41"/>
      <c r="K18" s="243" t="n">
        <f aca="false">+K16</f>
        <v>40226642.81</v>
      </c>
    </row>
    <row r="19" customFormat="false" ht="13.5" hidden="false" customHeight="false" outlineLevel="0" collapsed="false">
      <c r="K19" s="148" t="s">
        <v>270</v>
      </c>
    </row>
    <row r="20" customFormat="false" ht="12.75" hidden="false" customHeight="false" outlineLevel="0" collapsed="false">
      <c r="K20" s="275" t="n">
        <f aca="false">+K18</f>
        <v>40226642.81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D29" activeCellId="0" sqref="D29"/>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4.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9" min="17" style="0" width="14.85"/>
    <col collapsed="false" customWidth="true" hidden="false" outlineLevel="0" max="20" min="20" style="0" width="1.28"/>
    <col collapsed="false" customWidth="true" hidden="false" outlineLevel="0" max="23" min="21" style="0" width="14.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36823</v>
      </c>
      <c r="G3" s="32" t="n">
        <f aca="false">+$D$10</f>
        <v>36823</v>
      </c>
      <c r="H3" s="32" t="n">
        <f aca="false">+$D$10</f>
        <v>36823</v>
      </c>
      <c r="K3" s="32" t="n">
        <f aca="false">+$D$10</f>
        <v>36823</v>
      </c>
      <c r="L3" s="32" t="n">
        <f aca="false">+$D$10</f>
        <v>36823</v>
      </c>
      <c r="Q3" s="32" t="n">
        <f aca="false">+$D$10</f>
        <v>36823</v>
      </c>
      <c r="R3" s="32" t="n">
        <f aca="false">+$D$10</f>
        <v>36823</v>
      </c>
      <c r="U3" s="32" t="n">
        <f aca="false">+$D$10</f>
        <v>36823</v>
      </c>
      <c r="V3" s="32" t="n">
        <f aca="false">+$D$10</f>
        <v>36823</v>
      </c>
    </row>
    <row r="4" customFormat="false" ht="12.75" hidden="false" customHeight="false" outlineLevel="0" collapsed="false">
      <c r="A4" s="0" t="s">
        <v>223</v>
      </c>
      <c r="C4" s="32"/>
      <c r="D4" s="32" t="n">
        <f aca="false">IF(+D$18&lt;1,C4,D$18)</f>
        <v>36823</v>
      </c>
      <c r="G4" s="32" t="n">
        <f aca="false">IF(+G$18&lt;1,D4,G$18)</f>
        <v>36823</v>
      </c>
      <c r="H4" s="32" t="n">
        <f aca="false">IF(+H$18&lt;1,G4,H$18)</f>
        <v>36823</v>
      </c>
      <c r="K4" s="32" t="n">
        <f aca="false">IF(+K$18&lt;1,H4,K$18)</f>
        <v>36823</v>
      </c>
      <c r="L4" s="32" t="n">
        <f aca="false">IF(+L$18&lt;1,K4,L$18)</f>
        <v>36823</v>
      </c>
      <c r="Q4" s="32" t="n">
        <f aca="false">IF(+Q$18&lt;1,N4,Q$18)</f>
        <v>36823</v>
      </c>
      <c r="R4" s="32" t="n">
        <f aca="false">IF(+R$18&lt;1,Q4,R$18)</f>
        <v>36823</v>
      </c>
      <c r="U4" s="32" t="n">
        <f aca="false">IF(+U$18&lt;1,R4,U$18)</f>
        <v>36823</v>
      </c>
      <c r="V4" s="32" t="n">
        <f aca="false">IF(+V$18&lt;1,U4,V$18)</f>
        <v>36823</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36707</v>
      </c>
      <c r="E6" s="171"/>
      <c r="F6" s="171"/>
      <c r="G6" s="208" t="n">
        <f aca="false">MIN(G2:G5)</f>
        <v>36707</v>
      </c>
      <c r="H6" s="208" t="n">
        <f aca="false">MIN(H2:H5)</f>
        <v>36707</v>
      </c>
      <c r="I6" s="171"/>
      <c r="J6" s="171"/>
      <c r="K6" s="208" t="n">
        <f aca="false">MIN(K2:K5)</f>
        <v>36707</v>
      </c>
      <c r="L6" s="209" t="n">
        <f aca="false">MIN(L2:L5)</f>
        <v>36707</v>
      </c>
      <c r="Q6" s="208" t="n">
        <f aca="false">MIN(Q2:Q5)</f>
        <v>36707</v>
      </c>
      <c r="R6" s="209" t="n">
        <f aca="false">MIN(R2:R5)</f>
        <v>36707</v>
      </c>
      <c r="U6" s="208" t="n">
        <f aca="false">MIN(U2:U5)</f>
        <v>36707</v>
      </c>
      <c r="V6" s="209" t="n">
        <f aca="false">MIN(V2:V5)</f>
        <v>36707</v>
      </c>
    </row>
    <row r="9" customFormat="false" ht="12.75" hidden="false" customHeight="false" outlineLevel="0" collapsed="false">
      <c r="A9" s="22" t="s">
        <v>226</v>
      </c>
      <c r="C9" s="31" t="s">
        <v>227</v>
      </c>
      <c r="D9" s="210" t="n">
        <v>36640</v>
      </c>
    </row>
    <row r="10" customFormat="false" ht="13.5" hidden="false" customHeight="false" outlineLevel="0" collapsed="false">
      <c r="A10" s="22" t="s">
        <v>249</v>
      </c>
      <c r="B10" s="211"/>
      <c r="C10" s="31" t="s">
        <v>222</v>
      </c>
      <c r="D10" s="210" t="n">
        <v>36823</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v>76.125</v>
      </c>
      <c r="E14" s="219" t="n">
        <f aca="false">+D14</f>
        <v>76.125</v>
      </c>
      <c r="F14" s="132"/>
      <c r="G14" s="219" t="n">
        <f aca="false">LOOKUP(G6,Input!$A$20:$A$827,Input!$B$20:$B$827)</f>
        <v>64.5</v>
      </c>
      <c r="H14" s="219" t="n">
        <f aca="false">LOOKUP(H6,Input!$A$20:$A$827,Input!$B$20:$B$827)</f>
        <v>64.5</v>
      </c>
      <c r="I14" s="219" t="n">
        <f aca="false">+H14</f>
        <v>64.5</v>
      </c>
      <c r="J14" s="132"/>
      <c r="K14" s="219" t="n">
        <f aca="false">LOOKUP(K6,Input!$A$20:$A$827,Input!$B$20:$B$827)</f>
        <v>64.5</v>
      </c>
      <c r="L14" s="219" t="n">
        <f aca="false">LOOKUP(L6,Input!$A$20:$A$827,Input!$B$20:$B$827)</f>
        <v>64.5</v>
      </c>
      <c r="M14" s="219" t="n">
        <f aca="false">+L14</f>
        <v>64.5</v>
      </c>
      <c r="N14" s="132"/>
      <c r="O14" s="17"/>
      <c r="P14" s="220"/>
      <c r="Q14" s="219" t="n">
        <f aca="false">LOOKUP(Q6,Input!$A$20:$A$827,Input!$B$20:$B$827)</f>
        <v>64.5</v>
      </c>
      <c r="R14" s="219" t="n">
        <f aca="false">LOOKUP(R6,Input!$A$20:$A$827,Input!$B$20:$B$827)</f>
        <v>64.5</v>
      </c>
      <c r="S14" s="219" t="n">
        <f aca="false">+R14</f>
        <v>64.5</v>
      </c>
      <c r="T14" s="132"/>
      <c r="U14" s="219" t="n">
        <f aca="false">LOOKUP(U6,Input!$A$20:$A$827,Input!$B$20:$B$827)</f>
        <v>64.5</v>
      </c>
      <c r="V14" s="219" t="n">
        <f aca="false">LOOKUP(V6,Input!$A$20:$A$827,Input!$B$20:$B$827)</f>
        <v>64.5</v>
      </c>
      <c r="W14" s="219" t="n">
        <f aca="false">+V14</f>
        <v>64.5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f aca="false">511200+460000+790000</f>
        <v>1761200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v>70.5</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36823</v>
      </c>
      <c r="E18" s="109"/>
      <c r="F18" s="221"/>
      <c r="G18" s="109" t="n">
        <v>36823</v>
      </c>
      <c r="H18" s="109" t="n">
        <v>36823</v>
      </c>
      <c r="I18" s="109"/>
      <c r="J18" s="221"/>
      <c r="K18" s="109" t="n">
        <v>36823</v>
      </c>
      <c r="L18" s="109" t="n">
        <v>36823</v>
      </c>
      <c r="M18" s="109"/>
      <c r="N18" s="221"/>
      <c r="O18" s="17"/>
      <c r="P18" s="222"/>
      <c r="Q18" s="109" t="n">
        <v>36823</v>
      </c>
      <c r="R18" s="109" t="n">
        <v>36823</v>
      </c>
      <c r="S18" s="109"/>
      <c r="T18" s="221"/>
      <c r="U18" s="109" t="n">
        <v>36823</v>
      </c>
      <c r="V18" s="109" t="n">
        <v>36823</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124164600</v>
      </c>
      <c r="E21" s="55" t="n">
        <f aca="false">+D21</f>
        <v>124164600</v>
      </c>
      <c r="F21" s="227"/>
      <c r="G21" s="55" t="n">
        <f aca="false">+D22</f>
        <v>134071350</v>
      </c>
      <c r="H21" s="55" t="n">
        <f aca="false">+G22</f>
        <v>113597400</v>
      </c>
      <c r="I21" s="55" t="n">
        <f aca="false">+E22</f>
        <v>134071350</v>
      </c>
      <c r="J21" s="227"/>
      <c r="K21" s="55" t="n">
        <f aca="false">+H22</f>
        <v>113597400</v>
      </c>
      <c r="L21" s="55" t="n">
        <f aca="false">+K22</f>
        <v>113597400</v>
      </c>
      <c r="M21" s="55" t="n">
        <f aca="false">+I22</f>
        <v>113597400</v>
      </c>
      <c r="N21" s="227"/>
      <c r="O21" s="55"/>
      <c r="P21" s="228"/>
      <c r="Q21" s="55" t="n">
        <f aca="false">+L22</f>
        <v>113597400</v>
      </c>
      <c r="R21" s="55" t="n">
        <f aca="false">+Q22</f>
        <v>113597400</v>
      </c>
      <c r="S21" s="55" t="n">
        <f aca="false">+M22</f>
        <v>113597400</v>
      </c>
      <c r="T21" s="227"/>
      <c r="U21" s="55" t="n">
        <f aca="false">+Q22</f>
        <v>113597400</v>
      </c>
      <c r="V21" s="55" t="n">
        <f aca="false">+R22</f>
        <v>113597400</v>
      </c>
      <c r="W21" s="55" t="n">
        <f aca="false">+S22</f>
        <v>113597400</v>
      </c>
      <c r="X21" s="227"/>
      <c r="Y21" s="55"/>
      <c r="Z21" s="228"/>
      <c r="AA21" s="165"/>
    </row>
    <row r="22" customFormat="false" ht="12.75" hidden="false" customHeight="false" outlineLevel="0" collapsed="false">
      <c r="B22" s="0" t="s">
        <v>183</v>
      </c>
      <c r="C22" s="55"/>
      <c r="D22" s="55" t="n">
        <f aca="false">ROUND(+D14*$B16,2)</f>
        <v>134071350</v>
      </c>
      <c r="E22" s="55" t="n">
        <f aca="false">ROUND(+E14*$B16,2)</f>
        <v>134071350</v>
      </c>
      <c r="F22" s="227"/>
      <c r="G22" s="55" t="n">
        <f aca="false">ROUND(+G14*$B16,2)</f>
        <v>113597400</v>
      </c>
      <c r="H22" s="55" t="n">
        <f aca="false">ROUND(+H14*$B16,2)</f>
        <v>113597400</v>
      </c>
      <c r="I22" s="55" t="n">
        <f aca="false">ROUND(+I14*$B16,2)</f>
        <v>113597400</v>
      </c>
      <c r="J22" s="227"/>
      <c r="K22" s="55" t="n">
        <f aca="false">ROUND(+K14*$B16,2)</f>
        <v>113597400</v>
      </c>
      <c r="L22" s="55" t="n">
        <f aca="false">ROUND(+L14*$B16,2)</f>
        <v>113597400</v>
      </c>
      <c r="M22" s="55" t="n">
        <f aca="false">ROUND(+M14*$B16,2)</f>
        <v>113597400</v>
      </c>
      <c r="N22" s="227"/>
      <c r="O22" s="165"/>
      <c r="P22" s="228"/>
      <c r="Q22" s="55" t="n">
        <f aca="false">ROUND(+Q14*$B16,2)</f>
        <v>113597400</v>
      </c>
      <c r="R22" s="55" t="n">
        <f aca="false">ROUND(+R14*$B16,2)</f>
        <v>113597400</v>
      </c>
      <c r="S22" s="55" t="n">
        <f aca="false">ROUND(+S14*$B16,2)</f>
        <v>113597400</v>
      </c>
      <c r="T22" s="227"/>
      <c r="U22" s="55" t="n">
        <f aca="false">ROUND(+U14*$B16,2)</f>
        <v>113597400</v>
      </c>
      <c r="V22" s="55" t="n">
        <f aca="false">ROUND(+V14*$B16,2)</f>
        <v>113597400</v>
      </c>
      <c r="W22" s="55" t="n">
        <f aca="false">ROUND(+W14*$B16,2)</f>
        <v>113597400</v>
      </c>
      <c r="X22" s="227"/>
      <c r="Y22" s="165"/>
      <c r="Z22" s="228"/>
      <c r="AA22" s="165"/>
    </row>
    <row r="23" customFormat="false" ht="12.75" hidden="false" customHeight="false" outlineLevel="0" collapsed="false">
      <c r="B23" s="0" t="s">
        <v>185</v>
      </c>
      <c r="C23" s="229"/>
      <c r="D23" s="229" t="n">
        <f aca="false">IF($A$11&lt;=C18,0,-D21+D22)</f>
        <v>9906750</v>
      </c>
      <c r="E23" s="229" t="n">
        <f aca="false">SUM(C23:D23)</f>
        <v>9906750</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9906750</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9906750</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0.125</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D30" s="237" t="n">
        <v>0.062925</v>
      </c>
      <c r="F30" s="147"/>
      <c r="G30" s="238" t="n">
        <f aca="false">+D30</f>
        <v>0.062925</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45" t="n">
        <v>0.0105</v>
      </c>
      <c r="F31" s="147"/>
      <c r="G31" s="245" t="n">
        <v>0.0105</v>
      </c>
      <c r="H31" s="245" t="n">
        <v>0.0105</v>
      </c>
      <c r="J31" s="147"/>
      <c r="K31" s="245" t="n">
        <v>0.0105</v>
      </c>
      <c r="L31" s="245" t="n">
        <v>0.0105</v>
      </c>
      <c r="N31" s="147"/>
      <c r="O31" s="10"/>
      <c r="P31" s="233"/>
      <c r="Q31" s="245" t="n">
        <v>0.0105</v>
      </c>
      <c r="R31" s="245" t="n">
        <v>0.0105</v>
      </c>
      <c r="T31" s="147"/>
      <c r="U31" s="245" t="n">
        <v>0.0105</v>
      </c>
      <c r="V31" s="245" t="n">
        <v>0.0105</v>
      </c>
      <c r="X31" s="147"/>
      <c r="Y31" s="10"/>
      <c r="Z31" s="233"/>
    </row>
    <row r="32" customFormat="false" ht="12.75" hidden="false" customHeight="false" outlineLevel="0" collapsed="false">
      <c r="A32" s="51" t="s">
        <v>240</v>
      </c>
      <c r="D32" s="238" t="n">
        <f aca="false">SUM(D30:D31)</f>
        <v>0.073425</v>
      </c>
      <c r="F32" s="147"/>
      <c r="G32" s="238" t="n">
        <f aca="false">SUM(G30:G31)</f>
        <v>0.073425</v>
      </c>
      <c r="H32" s="238" t="n">
        <f aca="false">SUM(H30:H31)</f>
        <v>0.0714</v>
      </c>
      <c r="J32" s="147"/>
      <c r="K32" s="238" t="n">
        <f aca="false">SUM(K30:K31)</f>
        <v>0.0714</v>
      </c>
      <c r="L32" s="238" t="n">
        <f aca="false">SUM(L30:L31)</f>
        <v>0.0714</v>
      </c>
      <c r="N32" s="147"/>
      <c r="O32" s="10"/>
      <c r="P32" s="233"/>
      <c r="Q32" s="238" t="n">
        <f aca="false">SUM(Q30:Q31)</f>
        <v>0.0105</v>
      </c>
      <c r="R32" s="238" t="n">
        <f aca="false">SUM(R30:R31)</f>
        <v>0.0714</v>
      </c>
      <c r="T32" s="147"/>
      <c r="U32" s="238" t="n">
        <f aca="false">SUM(U30:U31)</f>
        <v>0.0714</v>
      </c>
      <c r="V32" s="238" t="n">
        <f aca="false">SUM(V30:V31)</f>
        <v>0.0714</v>
      </c>
      <c r="X32" s="147"/>
      <c r="Y32" s="10"/>
      <c r="Z32" s="233"/>
    </row>
    <row r="33" customFormat="false" ht="12.75" hidden="false" customHeight="false" outlineLevel="0" collapsed="false">
      <c r="A33" s="0" t="s">
        <v>241</v>
      </c>
      <c r="D33" s="240" t="n">
        <v>365</v>
      </c>
      <c r="F33" s="147"/>
      <c r="G33" s="240" t="n">
        <v>365</v>
      </c>
      <c r="H33" s="240" t="n">
        <v>365</v>
      </c>
      <c r="J33" s="147"/>
      <c r="K33" s="240" t="n">
        <v>365</v>
      </c>
      <c r="L33" s="240" t="n">
        <v>365</v>
      </c>
      <c r="N33" s="147"/>
      <c r="O33" s="10"/>
      <c r="P33" s="233"/>
      <c r="Q33" s="240" t="n">
        <v>365</v>
      </c>
      <c r="R33" s="240" t="n">
        <v>365</v>
      </c>
      <c r="T33" s="147"/>
      <c r="U33" s="240" t="n">
        <v>365</v>
      </c>
      <c r="V33" s="240" t="n">
        <v>365</v>
      </c>
      <c r="X33" s="147"/>
      <c r="Y33" s="10"/>
      <c r="Z33" s="233"/>
    </row>
    <row r="34" customFormat="false" ht="12.75" hidden="false" customHeight="false" outlineLevel="0" collapsed="false">
      <c r="A34" s="0" t="s">
        <v>242</v>
      </c>
      <c r="D34" s="118" t="n">
        <f aca="false">+D9</f>
        <v>36640</v>
      </c>
      <c r="F34" s="147"/>
      <c r="G34" s="118" t="n">
        <f aca="false">+D35</f>
        <v>36707</v>
      </c>
      <c r="H34" s="118" t="n">
        <f aca="false">+G35</f>
        <v>36707</v>
      </c>
      <c r="J34" s="147"/>
      <c r="K34" s="118" t="n">
        <f aca="false">+H35</f>
        <v>36707</v>
      </c>
      <c r="L34" s="118" t="n">
        <f aca="false">+K35</f>
        <v>36707</v>
      </c>
      <c r="N34" s="147"/>
      <c r="O34" s="10"/>
      <c r="P34" s="233"/>
      <c r="Q34" s="118" t="n">
        <f aca="false">+L35</f>
        <v>36707</v>
      </c>
      <c r="R34" s="118" t="n">
        <f aca="false">+Q35</f>
        <v>36707</v>
      </c>
      <c r="T34" s="147"/>
      <c r="U34" s="118" t="n">
        <f aca="false">+R35</f>
        <v>36707</v>
      </c>
      <c r="V34" s="118" t="n">
        <f aca="false">+U35</f>
        <v>36707</v>
      </c>
      <c r="X34" s="147"/>
      <c r="Y34" s="10"/>
      <c r="Z34" s="233"/>
    </row>
    <row r="35" customFormat="false" ht="12.75" hidden="false" customHeight="false" outlineLevel="0" collapsed="false">
      <c r="A35" s="0" t="s">
        <v>243</v>
      </c>
      <c r="D35" s="241" t="n">
        <f aca="false">+D6</f>
        <v>36707</v>
      </c>
      <c r="F35" s="147"/>
      <c r="G35" s="241" t="n">
        <f aca="false">+G6</f>
        <v>36707</v>
      </c>
      <c r="H35" s="241" t="n">
        <f aca="false">+H6</f>
        <v>36707</v>
      </c>
      <c r="J35" s="147"/>
      <c r="K35" s="241" t="n">
        <f aca="false">+K6</f>
        <v>36707</v>
      </c>
      <c r="L35" s="241" t="n">
        <f aca="false">+L6</f>
        <v>36707</v>
      </c>
      <c r="N35" s="147"/>
      <c r="O35" s="10"/>
      <c r="P35" s="233"/>
      <c r="Q35" s="241" t="n">
        <f aca="false">+Q6</f>
        <v>36707</v>
      </c>
      <c r="R35" s="241" t="n">
        <f aca="false">+R6</f>
        <v>36707</v>
      </c>
      <c r="T35" s="147"/>
      <c r="U35" s="241" t="n">
        <f aca="false">+U6</f>
        <v>36707</v>
      </c>
      <c r="V35" s="241" t="n">
        <f aca="false">+V6</f>
        <v>36707</v>
      </c>
      <c r="X35" s="147"/>
      <c r="Y35" s="10"/>
      <c r="Z35" s="233"/>
    </row>
    <row r="36" customFormat="false" ht="12.75" hidden="false" customHeight="false" outlineLevel="0" collapsed="false">
      <c r="A36" s="0" t="s">
        <v>244</v>
      </c>
      <c r="D36" s="242" t="n">
        <f aca="false">+D35-D34</f>
        <v>67</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-1673492.18</v>
      </c>
      <c r="E37" s="229" t="n">
        <f aca="false">SUM(C37:D37)</f>
        <v>-1673492.18</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-1673492.18</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-1673492.18</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8233257.82</v>
      </c>
      <c r="E39" s="243" t="n">
        <f aca="false">+E23+E27+E37</f>
        <v>8233257.82</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8233257.82</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8233257.82</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6.7"/>
    <col collapsed="false" customWidth="true" hidden="false" outlineLevel="0" max="3" min="2" style="0" width="13.85"/>
    <col collapsed="false" customWidth="true" hidden="false" outlineLevel="0" max="4" min="4" style="0" width="14.7"/>
    <col collapsed="false" customWidth="true" hidden="false" outlineLevel="0" max="5" min="5" style="0" width="13.85"/>
    <col collapsed="false" customWidth="true" hidden="false" outlineLevel="0" max="8" min="6" style="0" width="11.28"/>
    <col collapsed="false" customWidth="true" hidden="false" outlineLevel="0" max="9" min="9" style="0" width="10.28"/>
    <col collapsed="false" customWidth="true" hidden="false" outlineLevel="0" max="10" min="10" style="0" width="11.28"/>
    <col collapsed="false" customWidth="true" hidden="false" outlineLevel="0" max="11" min="11" style="0" width="13.85"/>
  </cols>
  <sheetData>
    <row r="2" customFormat="false" ht="12.75" hidden="false" customHeight="false" outlineLevel="0" collapsed="false">
      <c r="A2" s="22" t="s">
        <v>271</v>
      </c>
    </row>
    <row r="4" customFormat="false" ht="12.75" hidden="false" customHeight="false" outlineLevel="0" collapsed="false">
      <c r="A4" s="22" t="s">
        <v>272</v>
      </c>
    </row>
    <row r="5" customFormat="false" ht="12.75" hidden="false" customHeight="false" outlineLevel="0" collapsed="false">
      <c r="A5" s="51" t="s">
        <v>273</v>
      </c>
      <c r="B5" s="28" t="n">
        <v>6006402</v>
      </c>
    </row>
    <row r="6" customFormat="false" ht="12.75" hidden="false" customHeight="false" outlineLevel="0" collapsed="false">
      <c r="A6" s="51" t="s">
        <v>274</v>
      </c>
      <c r="B6" s="28"/>
    </row>
    <row r="7" customFormat="false" ht="12.75" hidden="false" customHeight="false" outlineLevel="0" collapsed="false">
      <c r="A7" s="51"/>
      <c r="B7" s="28"/>
    </row>
    <row r="8" customFormat="false" ht="12.75" hidden="false" customHeight="false" outlineLevel="0" collapsed="false">
      <c r="A8" s="51" t="s">
        <v>275</v>
      </c>
      <c r="B8" s="28" t="n">
        <f aca="false">+B5*2</f>
        <v>12012804</v>
      </c>
    </row>
    <row r="10" customFormat="false" ht="12.75" hidden="false" customHeight="false" outlineLevel="0" collapsed="false">
      <c r="A10" s="0" t="s">
        <v>276</v>
      </c>
      <c r="B10" s="28"/>
    </row>
    <row r="11" customFormat="false" ht="12.75" hidden="false" customHeight="false" outlineLevel="0" collapsed="false">
      <c r="A11" s="0" t="s">
        <v>277</v>
      </c>
      <c r="B11" s="28" t="n">
        <v>22824327</v>
      </c>
    </row>
    <row r="12" customFormat="false" ht="12.75" hidden="false" customHeight="false" outlineLevel="0" collapsed="false">
      <c r="A12" s="0" t="s">
        <v>278</v>
      </c>
      <c r="B12" s="28" t="n">
        <v>23184712</v>
      </c>
    </row>
    <row r="13" customFormat="false" ht="12.75" hidden="false" customHeight="false" outlineLevel="0" collapsed="false">
      <c r="A13" s="0" t="s">
        <v>279</v>
      </c>
      <c r="B13" s="28" t="n">
        <v>13334212</v>
      </c>
    </row>
    <row r="14" customFormat="false" ht="13.5" hidden="false" customHeight="false" outlineLevel="0" collapsed="false">
      <c r="A14" s="0" t="s">
        <v>280</v>
      </c>
      <c r="B14" s="276" t="n">
        <f aca="false">SUM(B11:B13)</f>
        <v>59343251</v>
      </c>
    </row>
    <row r="15" customFormat="false" ht="13.5" hidden="false" customHeight="false" outlineLevel="0" collapsed="false"/>
    <row r="16" customFormat="false" ht="12.75" hidden="false" customHeight="false" outlineLevel="0" collapsed="false">
      <c r="B16" s="10"/>
    </row>
    <row r="17" customFormat="false" ht="12.75" hidden="false" customHeight="false" outlineLevel="0" collapsed="false">
      <c r="B17" s="161"/>
    </row>
    <row r="18" customFormat="false" ht="12.75" hidden="false" customHeight="false" outlineLevel="0" collapsed="false">
      <c r="A18" s="22" t="s">
        <v>281</v>
      </c>
    </row>
    <row r="20" customFormat="false" ht="12.75" hidden="false" customHeight="false" outlineLevel="0" collapsed="false">
      <c r="A20" s="0" t="s">
        <v>282</v>
      </c>
      <c r="B20" s="27"/>
    </row>
    <row r="22" customFormat="false" ht="12.75" hidden="false" customHeight="false" outlineLevel="0" collapsed="false">
      <c r="A22" s="0" t="s">
        <v>283</v>
      </c>
    </row>
    <row r="23" customFormat="false" ht="12.75" hidden="false" customHeight="false" outlineLevel="0" collapsed="false">
      <c r="A23" s="0" t="s">
        <v>284</v>
      </c>
    </row>
    <row r="25" customFormat="false" ht="12.75" hidden="false" customHeight="false" outlineLevel="0" collapsed="false">
      <c r="A25" s="0" t="s">
        <v>285</v>
      </c>
    </row>
    <row r="26" customFormat="false" ht="12.75" hidden="false" customHeight="false" outlineLevel="0" collapsed="false">
      <c r="A26" s="0" t="s">
        <v>286</v>
      </c>
    </row>
    <row r="28" customFormat="false" ht="12.75" hidden="false" customHeight="false" outlineLevel="0" collapsed="false">
      <c r="A28" s="0" t="s">
        <v>287</v>
      </c>
    </row>
    <row r="29" customFormat="false" ht="12.75" hidden="false" customHeight="false" outlineLevel="0" collapsed="false">
      <c r="A29" s="0" t="s">
        <v>288</v>
      </c>
      <c r="B29" s="23" t="s">
        <v>289</v>
      </c>
      <c r="C29" s="23" t="s">
        <v>289</v>
      </c>
      <c r="D29" s="23" t="s">
        <v>290</v>
      </c>
      <c r="E29" s="23" t="s">
        <v>291</v>
      </c>
    </row>
    <row r="30" customFormat="false" ht="12.75" hidden="false" customHeight="false" outlineLevel="0" collapsed="false">
      <c r="A30" s="22"/>
      <c r="B30" s="216" t="n">
        <v>36068</v>
      </c>
      <c r="C30" s="216" t="n">
        <v>36160</v>
      </c>
      <c r="D30" s="216" t="n">
        <v>36250</v>
      </c>
      <c r="E30" s="216" t="n">
        <v>36388</v>
      </c>
    </row>
    <row r="31" customFormat="false" ht="12.75" hidden="false" customHeight="false" outlineLevel="0" collapsed="false">
      <c r="A31" s="0" t="s">
        <v>292</v>
      </c>
      <c r="B31" s="133" t="n">
        <v>54.0625</v>
      </c>
      <c r="C31" s="133" t="n">
        <v>54.0625</v>
      </c>
      <c r="D31" s="133" t="n">
        <v>71</v>
      </c>
      <c r="E31" s="133" t="n">
        <v>35.5</v>
      </c>
    </row>
    <row r="32" customFormat="false" ht="12.75" hidden="false" customHeight="false" outlineLevel="0" collapsed="false">
      <c r="A32" s="0" t="s">
        <v>293</v>
      </c>
      <c r="B32" s="133" t="n">
        <v>53.5</v>
      </c>
      <c r="C32" s="133" t="n">
        <v>57.0625</v>
      </c>
      <c r="D32" s="133" t="n">
        <v>68</v>
      </c>
      <c r="E32" s="133" t="n">
        <v>43.875</v>
      </c>
      <c r="F32" s="0" t="s">
        <v>294</v>
      </c>
    </row>
    <row r="33" customFormat="false" ht="12.75" hidden="false" customHeight="false" outlineLevel="0" collapsed="false">
      <c r="A33" s="0" t="s">
        <v>295</v>
      </c>
      <c r="B33" s="133" t="n">
        <v>50.6553</v>
      </c>
      <c r="C33" s="133" t="n">
        <v>54.1455</v>
      </c>
      <c r="D33" s="133" t="n">
        <f aca="false">+(C32+D32)/2</f>
        <v>62.53125</v>
      </c>
      <c r="E33" s="133" t="n">
        <f aca="false">+(D32+E32)/2</f>
        <v>55.9375</v>
      </c>
    </row>
    <row r="34" customFormat="false" ht="12.75" hidden="false" customHeight="false" outlineLevel="0" collapsed="false">
      <c r="B34" s="133"/>
    </row>
    <row r="35" customFormat="false" ht="12.75" hidden="false" customHeight="false" outlineLevel="0" collapsed="false">
      <c r="A35" s="0" t="s">
        <v>296</v>
      </c>
    </row>
    <row r="36" customFormat="false" ht="13.5" hidden="false" customHeight="false" outlineLevel="0" collapsed="false">
      <c r="A36" s="22" t="s">
        <v>297</v>
      </c>
      <c r="B36" s="277" t="n">
        <f aca="false">IF(B32&gt;B31,0,-$B5*(B32-B31))</f>
        <v>3378601.125</v>
      </c>
      <c r="C36" s="277" t="n">
        <f aca="false">IF(C32&gt;C31,0,-$B5*(C32-C31))</f>
        <v>0</v>
      </c>
      <c r="D36" s="277" t="n">
        <f aca="false">IF(D32&gt;D31,0,-$B5*(D32-D31))</f>
        <v>18019206</v>
      </c>
      <c r="E36" s="0" t="s">
        <v>298</v>
      </c>
    </row>
    <row r="37" customFormat="false" ht="13.5" hidden="false" customHeight="false" outlineLevel="0" collapsed="false"/>
    <row r="38" customFormat="false" ht="13.5" hidden="false" customHeight="false" outlineLevel="0" collapsed="false">
      <c r="A38" s="22" t="s">
        <v>299</v>
      </c>
      <c r="B38" s="277" t="n">
        <f aca="false">IF(B$32&gt;B$31,0,$B$5*(B$31-B$32)/B$32)</f>
        <v>63151.4228971963</v>
      </c>
      <c r="C38" s="277" t="n">
        <f aca="false">IF(C$32&gt;C$31,0,$B$5*(C$31-C$32)/C$32)</f>
        <v>0</v>
      </c>
      <c r="D38" s="277" t="n">
        <f aca="false">IF(D$32&gt;D$31,0,$B$5*(D$31-D$32)/D$32)</f>
        <v>264988.323529412</v>
      </c>
      <c r="E38" s="0" t="s">
        <v>300</v>
      </c>
    </row>
    <row r="39" customFormat="false" ht="13.5" hidden="false" customHeight="false" outlineLevel="0" collapsed="false">
      <c r="E39" s="0" t="s">
        <v>301</v>
      </c>
    </row>
    <row r="41" customFormat="false" ht="12.75" hidden="false" customHeight="false" outlineLevel="0" collapsed="false">
      <c r="A41" s="0" t="s">
        <v>302</v>
      </c>
    </row>
    <row r="42" customFormat="false" ht="12.75" hidden="false" customHeight="false" outlineLevel="0" collapsed="false">
      <c r="A42" s="0" t="s">
        <v>303</v>
      </c>
    </row>
    <row r="44" customFormat="false" ht="13.5" hidden="false" customHeight="false" outlineLevel="0" collapsed="false">
      <c r="A44" s="22" t="s">
        <v>304</v>
      </c>
      <c r="B44" s="277" t="n">
        <f aca="false">IF(B$32&gt;B$31,0,$B$5*(B$31-B$33)/B$33)</f>
        <v>404005.363592754</v>
      </c>
      <c r="C44" s="277" t="n">
        <f aca="false">IF(C$32&gt;C$31,0,$B$5*(C$31-C$33)/C$33)</f>
        <v>0</v>
      </c>
      <c r="D44" s="277" t="n">
        <f aca="false">IF(D$32&gt;D$31,0,$B$5*(D$31-D$33)/D$33)</f>
        <v>813460.740629685</v>
      </c>
      <c r="E44" s="0" t="s">
        <v>305</v>
      </c>
    </row>
    <row r="45" customFormat="false" ht="13.5" hidden="false" customHeight="false" outlineLevel="0" collapsed="false">
      <c r="E45" s="0" t="s">
        <v>306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J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 activeCellId="0" sqref="C3"/>
    </sheetView>
  </sheetViews>
  <sheetFormatPr defaultColWidth="9.0546875" defaultRowHeight="12.75" customHeight="true" zeroHeight="false" outlineLevelRow="0" outlineLevelCol="0"/>
  <cols>
    <col collapsed="false" customWidth="true" hidden="false" outlineLevel="0" max="1" min="1" style="0" width="24.7"/>
    <col collapsed="false" customWidth="true" hidden="false" outlineLevel="0" max="2" min="2" style="0" width="9.28"/>
    <col collapsed="false" customWidth="true" hidden="false" outlineLevel="0" max="3" min="3" style="0" width="13.85"/>
    <col collapsed="false" customWidth="true" hidden="false" outlineLevel="0" max="4" min="4" style="0" width="11.56"/>
    <col collapsed="false" customWidth="true" hidden="false" outlineLevel="0" max="5" min="5" style="0" width="8.7"/>
    <col collapsed="false" customWidth="true" hidden="false" outlineLevel="0" max="7" min="7" style="0" width="11.28"/>
    <col collapsed="false" customWidth="true" hidden="false" outlineLevel="0" max="8" min="8" style="0" width="13.85"/>
    <col collapsed="false" customWidth="true" hidden="false" outlineLevel="0" max="9" min="9" style="0" width="12.28"/>
    <col collapsed="false" customWidth="true" hidden="false" outlineLevel="0" max="10" min="10" style="0" width="57.99"/>
  </cols>
  <sheetData>
    <row r="3" customFormat="false" ht="12.75" hidden="false" customHeight="false" outlineLevel="0" collapsed="false">
      <c r="A3" s="0" t="s">
        <v>307</v>
      </c>
    </row>
    <row r="4" customFormat="false" ht="12.75" hidden="false" customHeight="false" outlineLevel="0" collapsed="false">
      <c r="A4" s="29" t="n">
        <f aca="false">+Input!B16</f>
        <v>36707</v>
      </c>
      <c r="B4" s="29"/>
      <c r="C4" s="29"/>
    </row>
    <row r="6" customFormat="false" ht="12.75" hidden="false" customHeight="false" outlineLevel="0" collapsed="false">
      <c r="C6" s="23" t="s">
        <v>308</v>
      </c>
      <c r="F6" s="23" t="s">
        <v>309</v>
      </c>
      <c r="G6" s="23" t="s">
        <v>129</v>
      </c>
      <c r="H6" s="23"/>
      <c r="I6" s="23" t="s">
        <v>310</v>
      </c>
    </row>
    <row r="7" customFormat="false" ht="12.75" hidden="false" customHeight="false" outlineLevel="0" collapsed="false">
      <c r="A7" s="47" t="s">
        <v>311</v>
      </c>
      <c r="B7" s="110" t="s">
        <v>312</v>
      </c>
      <c r="C7" s="110" t="s">
        <v>2</v>
      </c>
      <c r="D7" s="47" t="s">
        <v>313</v>
      </c>
      <c r="E7" s="47"/>
      <c r="F7" s="110" t="s">
        <v>314</v>
      </c>
      <c r="G7" s="110" t="s">
        <v>125</v>
      </c>
      <c r="H7" s="110" t="s">
        <v>315</v>
      </c>
      <c r="I7" s="110" t="s">
        <v>2</v>
      </c>
      <c r="J7" s="110" t="s">
        <v>316</v>
      </c>
    </row>
    <row r="8" customFormat="false" ht="8.1" hidden="false" customHeight="true" outlineLevel="0" collapsed="false">
      <c r="A8" s="17"/>
      <c r="B8" s="17"/>
      <c r="C8" s="17"/>
      <c r="D8" s="17"/>
      <c r="E8" s="17"/>
      <c r="F8" s="121"/>
      <c r="G8" s="121"/>
      <c r="H8" s="121"/>
      <c r="I8" s="121"/>
      <c r="J8" s="121"/>
    </row>
    <row r="9" customFormat="false" ht="63.75" hidden="false" customHeight="false" outlineLevel="0" collapsed="false">
      <c r="A9" s="278" t="s">
        <v>317</v>
      </c>
      <c r="B9" s="279" t="s">
        <v>318</v>
      </c>
      <c r="C9" s="280" t="n">
        <v>36341</v>
      </c>
      <c r="D9" s="281" t="n">
        <f aca="false">7630102-3224795</f>
        <v>4405307</v>
      </c>
      <c r="E9" s="281" t="s">
        <v>319</v>
      </c>
      <c r="F9" s="278" t="s">
        <v>314</v>
      </c>
      <c r="G9" s="278" t="n">
        <v>70.5</v>
      </c>
      <c r="H9" s="282" t="n">
        <f aca="false">+D9*G9</f>
        <v>310574143.5</v>
      </c>
      <c r="I9" s="280" t="n">
        <v>36993</v>
      </c>
      <c r="J9" s="283" t="s">
        <v>320</v>
      </c>
    </row>
    <row r="10" customFormat="false" ht="12.75" hidden="false" customHeight="false" outlineLevel="0" collapsed="false">
      <c r="A10" s="278" t="s">
        <v>321</v>
      </c>
      <c r="B10" s="279" t="s">
        <v>318</v>
      </c>
      <c r="C10" s="280" t="n">
        <v>36640</v>
      </c>
      <c r="D10" s="281" t="n">
        <v>3224795</v>
      </c>
      <c r="E10" s="281" t="s">
        <v>319</v>
      </c>
      <c r="F10" s="278" t="s">
        <v>322</v>
      </c>
      <c r="G10" s="278" t="n">
        <v>50.080232</v>
      </c>
      <c r="H10" s="282" t="n">
        <f aca="false">+D10*G10</f>
        <v>161498481.75244</v>
      </c>
      <c r="I10" s="280" t="n">
        <v>36993</v>
      </c>
      <c r="J10" s="283"/>
    </row>
    <row r="11" customFormat="false" ht="12.75" hidden="false" customHeight="false" outlineLevel="0" collapsed="false">
      <c r="A11" s="278"/>
      <c r="B11" s="279"/>
      <c r="C11" s="280"/>
      <c r="D11" s="281"/>
      <c r="E11" s="281"/>
      <c r="F11" s="278"/>
      <c r="G11" s="278"/>
      <c r="H11" s="282"/>
      <c r="I11" s="280"/>
      <c r="J11" s="283"/>
    </row>
    <row r="12" customFormat="false" ht="12.75" hidden="false" customHeight="false" outlineLevel="0" collapsed="false">
      <c r="A12" s="278" t="s">
        <v>317</v>
      </c>
      <c r="B12" s="279" t="s">
        <v>318</v>
      </c>
      <c r="C12" s="280" t="n">
        <v>36507</v>
      </c>
      <c r="D12" s="281" t="n">
        <f aca="false">1220650-514376</f>
        <v>706274</v>
      </c>
      <c r="E12" s="281" t="s">
        <v>319</v>
      </c>
      <c r="F12" s="278" t="s">
        <v>322</v>
      </c>
      <c r="G12" s="278" t="n">
        <v>41.0449</v>
      </c>
      <c r="H12" s="282" t="n">
        <f aca="false">+D12*G12</f>
        <v>28988945.7026</v>
      </c>
      <c r="I12" s="280" t="n">
        <v>36873</v>
      </c>
      <c r="J12" s="283" t="s">
        <v>323</v>
      </c>
    </row>
    <row r="13" customFormat="false" ht="12.75" hidden="false" customHeight="false" outlineLevel="0" collapsed="false">
      <c r="A13" s="278" t="s">
        <v>321</v>
      </c>
      <c r="B13" s="279" t="s">
        <v>318</v>
      </c>
      <c r="C13" s="280" t="n">
        <v>36640</v>
      </c>
      <c r="D13" s="281" t="n">
        <v>514376</v>
      </c>
      <c r="E13" s="281" t="s">
        <v>319</v>
      </c>
      <c r="F13" s="278" t="s">
        <v>322</v>
      </c>
      <c r="G13" s="278"/>
      <c r="H13" s="282" t="n">
        <f aca="false">+D13*G13</f>
        <v>0</v>
      </c>
      <c r="I13" s="280"/>
      <c r="J13" s="283"/>
    </row>
    <row r="14" customFormat="false" ht="12.75" hidden="false" customHeight="false" outlineLevel="0" collapsed="false">
      <c r="B14" s="23"/>
    </row>
    <row r="15" customFormat="false" ht="12.75" hidden="false" customHeight="false" outlineLevel="0" collapsed="false">
      <c r="A15" s="278" t="s">
        <v>324</v>
      </c>
      <c r="B15" s="279" t="s">
        <v>318</v>
      </c>
      <c r="C15" s="280" t="s">
        <v>325</v>
      </c>
      <c r="D15" s="281" t="n">
        <v>6400000</v>
      </c>
      <c r="E15" s="281"/>
      <c r="F15" s="278"/>
      <c r="G15" s="278" t="n">
        <v>19.5938</v>
      </c>
      <c r="H15" s="282"/>
      <c r="I15" s="280"/>
      <c r="J15" s="283" t="s">
        <v>326</v>
      </c>
    </row>
    <row r="16" customFormat="false" ht="12.75" hidden="false" customHeight="false" outlineLevel="0" collapsed="false">
      <c r="B16" s="23"/>
    </row>
    <row r="17" customFormat="false" ht="12.75" hidden="false" customHeight="false" outlineLevel="0" collapsed="false">
      <c r="A17" s="278" t="s">
        <v>327</v>
      </c>
      <c r="B17" s="279" t="s">
        <v>328</v>
      </c>
      <c r="C17" s="284" t="n">
        <v>36526</v>
      </c>
      <c r="D17" s="281" t="n">
        <v>12012804</v>
      </c>
      <c r="E17" s="281" t="s">
        <v>189</v>
      </c>
      <c r="F17" s="278" t="s">
        <v>322</v>
      </c>
      <c r="G17" s="285" t="n">
        <v>61</v>
      </c>
      <c r="H17" s="282" t="n">
        <f aca="false">+D17*G17</f>
        <v>732781044</v>
      </c>
      <c r="I17" s="280" t="s">
        <v>329</v>
      </c>
      <c r="J17" s="283"/>
    </row>
    <row r="18" customFormat="false" ht="12.75" hidden="false" customHeight="false" outlineLevel="0" collapsed="false">
      <c r="A18" s="278"/>
      <c r="B18" s="279"/>
      <c r="C18" s="284"/>
      <c r="D18" s="281"/>
      <c r="E18" s="281"/>
      <c r="F18" s="278"/>
      <c r="G18" s="285"/>
      <c r="H18" s="282"/>
      <c r="I18" s="280"/>
      <c r="J18" s="283"/>
    </row>
    <row r="19" customFormat="false" ht="12.75" hidden="false" customHeight="false" outlineLevel="0" collapsed="false">
      <c r="A19" s="278" t="s">
        <v>249</v>
      </c>
      <c r="B19" s="279" t="s">
        <v>318</v>
      </c>
      <c r="C19" s="280" t="n">
        <v>36704</v>
      </c>
      <c r="D19" s="281" t="n">
        <v>750000</v>
      </c>
      <c r="E19" s="281" t="s">
        <v>319</v>
      </c>
      <c r="F19" s="278" t="s">
        <v>322</v>
      </c>
      <c r="G19" s="285" t="n">
        <v>68.4743</v>
      </c>
      <c r="H19" s="282" t="n">
        <f aca="false">+D19*G19</f>
        <v>51355725</v>
      </c>
      <c r="I19" s="280" t="n">
        <v>36796</v>
      </c>
      <c r="J19" s="283"/>
    </row>
    <row r="20" customFormat="false" ht="12.75" hidden="false" customHeight="false" outlineLevel="0" collapsed="false">
      <c r="A20" s="278" t="s">
        <v>249</v>
      </c>
      <c r="B20" s="279" t="s">
        <v>318</v>
      </c>
      <c r="C20" s="280" t="n">
        <v>36654</v>
      </c>
      <c r="D20" s="281" t="n">
        <v>790000</v>
      </c>
      <c r="E20" s="281" t="s">
        <v>319</v>
      </c>
      <c r="F20" s="278" t="s">
        <v>322</v>
      </c>
      <c r="G20" s="278" t="n">
        <v>76.125</v>
      </c>
      <c r="H20" s="282" t="n">
        <f aca="false">+D20*G20</f>
        <v>60138750</v>
      </c>
      <c r="I20" s="280"/>
      <c r="J20" s="283" t="s">
        <v>330</v>
      </c>
    </row>
    <row r="21" customFormat="false" ht="12.75" hidden="false" customHeight="false" outlineLevel="0" collapsed="false">
      <c r="A21" s="278" t="s">
        <v>249</v>
      </c>
      <c r="B21" s="279" t="s">
        <v>318</v>
      </c>
      <c r="C21" s="280" t="n">
        <v>36654</v>
      </c>
      <c r="D21" s="281" t="n">
        <v>460000</v>
      </c>
      <c r="E21" s="281" t="s">
        <v>319</v>
      </c>
      <c r="F21" s="278" t="s">
        <v>322</v>
      </c>
      <c r="G21" s="278" t="n">
        <v>76.125</v>
      </c>
      <c r="H21" s="282" t="n">
        <f aca="false">+D21*G21</f>
        <v>35017500</v>
      </c>
      <c r="I21" s="280"/>
      <c r="J21" s="283" t="s">
        <v>330</v>
      </c>
    </row>
    <row r="22" customFormat="false" ht="12.75" hidden="false" customHeight="false" outlineLevel="0" collapsed="false">
      <c r="A22" s="278" t="s">
        <v>249</v>
      </c>
      <c r="B22" s="279" t="s">
        <v>318</v>
      </c>
      <c r="C22" s="280" t="n">
        <v>36654</v>
      </c>
      <c r="D22" s="281" t="n">
        <v>511200</v>
      </c>
      <c r="E22" s="281" t="s">
        <v>319</v>
      </c>
      <c r="F22" s="278" t="s">
        <v>322</v>
      </c>
      <c r="G22" s="278" t="n">
        <v>76.125</v>
      </c>
      <c r="H22" s="282" t="n">
        <f aca="false">+D22*G22</f>
        <v>38915100</v>
      </c>
      <c r="I22" s="280"/>
      <c r="J22" s="283" t="s">
        <v>330</v>
      </c>
    </row>
    <row r="23" customFormat="false" ht="12.75" hidden="false" customHeight="false" outlineLevel="0" collapsed="false">
      <c r="A23" s="278"/>
      <c r="B23" s="279"/>
      <c r="C23" s="284"/>
      <c r="D23" s="281"/>
      <c r="E23" s="281"/>
      <c r="F23" s="278"/>
      <c r="G23" s="285"/>
      <c r="H23" s="282"/>
      <c r="I23" s="280"/>
      <c r="J23" s="283"/>
    </row>
    <row r="24" customFormat="false" ht="12.75" hidden="false" customHeight="false" outlineLevel="0" collapsed="false">
      <c r="A24" s="278" t="s">
        <v>228</v>
      </c>
      <c r="B24" s="279" t="s">
        <v>328</v>
      </c>
      <c r="C24" s="280" t="n">
        <v>36705</v>
      </c>
      <c r="D24" s="281" t="n">
        <v>110100</v>
      </c>
      <c r="E24" s="281" t="s">
        <v>189</v>
      </c>
      <c r="F24" s="278" t="s">
        <v>314</v>
      </c>
      <c r="G24" s="285" t="n">
        <v>68.5</v>
      </c>
      <c r="H24" s="282" t="n">
        <f aca="false">+D24*G24</f>
        <v>7541850</v>
      </c>
      <c r="I24" s="280" t="n">
        <v>37070</v>
      </c>
      <c r="J24" s="283"/>
    </row>
    <row r="25" customFormat="false" ht="12.75" hidden="false" customHeight="false" outlineLevel="0" collapsed="false">
      <c r="A25" s="278" t="s">
        <v>228</v>
      </c>
      <c r="B25" s="279" t="s">
        <v>328</v>
      </c>
      <c r="C25" s="280" t="n">
        <v>36706</v>
      </c>
      <c r="D25" s="281" t="n">
        <v>150000</v>
      </c>
      <c r="E25" s="281" t="s">
        <v>189</v>
      </c>
      <c r="F25" s="278" t="s">
        <v>314</v>
      </c>
      <c r="G25" s="285" t="n">
        <v>68.5</v>
      </c>
      <c r="H25" s="282" t="n">
        <f aca="false">+D25*G25</f>
        <v>10275000</v>
      </c>
      <c r="I25" s="280" t="n">
        <v>37071</v>
      </c>
    </row>
    <row r="26" customFormat="false" ht="12.75" hidden="false" customHeight="false" outlineLevel="0" collapsed="false">
      <c r="A26" s="278" t="s">
        <v>228</v>
      </c>
      <c r="B26" s="279" t="s">
        <v>328</v>
      </c>
      <c r="C26" s="280" t="n">
        <v>36707</v>
      </c>
      <c r="D26" s="281" t="n">
        <v>636700</v>
      </c>
      <c r="E26" s="281" t="s">
        <v>189</v>
      </c>
      <c r="F26" s="278" t="s">
        <v>314</v>
      </c>
      <c r="G26" s="285" t="n">
        <f aca="false">68.3356-0.03</f>
        <v>68.3056</v>
      </c>
      <c r="H26" s="282" t="n">
        <f aca="false">+D26*G26</f>
        <v>43490175.52</v>
      </c>
      <c r="I26" s="280" t="n">
        <v>37072</v>
      </c>
    </row>
    <row r="27" customFormat="false" ht="12.75" hidden="false" customHeight="false" outlineLevel="0" collapsed="false">
      <c r="B27" s="23"/>
      <c r="H27" s="282"/>
    </row>
    <row r="28" customFormat="false" ht="12.75" hidden="false" customHeight="false" outlineLevel="0" collapsed="false">
      <c r="A28" s="278" t="s">
        <v>331</v>
      </c>
      <c r="B28" s="279" t="s">
        <v>328</v>
      </c>
      <c r="C28" s="280" t="n">
        <v>36640</v>
      </c>
      <c r="D28" s="281" t="n">
        <v>1061000</v>
      </c>
      <c r="E28" s="281" t="s">
        <v>189</v>
      </c>
      <c r="F28" s="278" t="s">
        <v>322</v>
      </c>
      <c r="G28" s="285" t="n">
        <v>70.5</v>
      </c>
      <c r="H28" s="282" t="n">
        <f aca="false">+D28*G28</f>
        <v>74800500</v>
      </c>
      <c r="I28" s="280" t="n">
        <v>36823</v>
      </c>
      <c r="J28" s="283" t="s">
        <v>332</v>
      </c>
    </row>
    <row r="29" customFormat="false" ht="12.75" hidden="false" customHeight="false" outlineLevel="0" collapsed="false">
      <c r="A29" s="278" t="s">
        <v>331</v>
      </c>
      <c r="B29" s="279" t="s">
        <v>328</v>
      </c>
      <c r="C29" s="280" t="n">
        <v>36510</v>
      </c>
      <c r="D29" s="281" t="n">
        <f aca="false">280000-75000</f>
        <v>205000</v>
      </c>
      <c r="E29" s="281" t="s">
        <v>189</v>
      </c>
      <c r="F29" s="278" t="s">
        <v>322</v>
      </c>
      <c r="G29" s="278" t="n">
        <v>36.9128</v>
      </c>
      <c r="H29" s="282" t="n">
        <f aca="false">+D29*G29</f>
        <v>7567124</v>
      </c>
      <c r="I29" s="280" t="n">
        <v>36878</v>
      </c>
      <c r="J29" s="283" t="s">
        <v>333</v>
      </c>
    </row>
    <row r="30" customFormat="false" ht="12.75" hidden="false" customHeight="false" outlineLevel="0" collapsed="false">
      <c r="A30" s="278"/>
      <c r="B30" s="279"/>
      <c r="C30" s="280"/>
      <c r="D30" s="281"/>
      <c r="E30" s="281"/>
      <c r="F30" s="278"/>
      <c r="G30" s="278"/>
      <c r="H30" s="282"/>
      <c r="I30" s="280"/>
      <c r="J30" s="283"/>
    </row>
    <row r="31" customFormat="false" ht="12.75" hidden="false" customHeight="false" outlineLevel="0" collapsed="false">
      <c r="A31" s="278" t="s">
        <v>331</v>
      </c>
      <c r="B31" s="279" t="s">
        <v>328</v>
      </c>
      <c r="C31" s="280" t="n">
        <v>36479</v>
      </c>
      <c r="D31" s="281" t="n">
        <v>378000</v>
      </c>
      <c r="E31" s="281" t="s">
        <v>189</v>
      </c>
      <c r="F31" s="278" t="s">
        <v>322</v>
      </c>
      <c r="G31" s="278" t="n">
        <v>68.9375</v>
      </c>
      <c r="H31" s="282" t="n">
        <f aca="false">+D31*G31</f>
        <v>26058375</v>
      </c>
      <c r="I31" s="280" t="n">
        <v>36845</v>
      </c>
      <c r="J31" s="283" t="s">
        <v>332</v>
      </c>
    </row>
    <row r="32" customFormat="false" ht="12.75" hidden="false" customHeight="false" outlineLevel="0" collapsed="false">
      <c r="A32" s="278"/>
      <c r="B32" s="279"/>
      <c r="C32" s="280"/>
      <c r="D32" s="281"/>
      <c r="E32" s="281"/>
      <c r="F32" s="278"/>
      <c r="G32" s="278"/>
      <c r="H32" s="282"/>
      <c r="I32" s="280"/>
      <c r="J32" s="283"/>
    </row>
    <row r="33" customFormat="false" ht="12.75" hidden="false" customHeight="false" outlineLevel="0" collapsed="false">
      <c r="A33" s="278" t="s">
        <v>249</v>
      </c>
      <c r="B33" s="279" t="s">
        <v>318</v>
      </c>
      <c r="C33" s="280" t="n">
        <v>36654</v>
      </c>
      <c r="D33" s="281" t="n">
        <f aca="false">790000+460000+511200</f>
        <v>1761200</v>
      </c>
      <c r="E33" s="281" t="s">
        <v>189</v>
      </c>
      <c r="F33" s="278" t="s">
        <v>322</v>
      </c>
      <c r="G33" s="278" t="n">
        <v>76.125</v>
      </c>
      <c r="H33" s="282" t="n">
        <f aca="false">+D33*G33</f>
        <v>134071350</v>
      </c>
      <c r="I33" s="280" t="n">
        <v>37019</v>
      </c>
      <c r="J33" s="283" t="s">
        <v>334</v>
      </c>
    </row>
    <row r="34" customFormat="false" ht="8.1" hidden="false" customHeight="true" outlineLevel="0" collapsed="false">
      <c r="B34" s="23"/>
    </row>
    <row r="35" customFormat="false" ht="13.5" hidden="false" customHeight="false" outlineLevel="0" collapsed="false">
      <c r="B35" s="23"/>
      <c r="D35" s="286" t="n">
        <f aca="false">SUM(D8:D34)</f>
        <v>34076756</v>
      </c>
      <c r="E35" s="161"/>
      <c r="H35" s="286" t="n">
        <f aca="false">SUM(H8:H34)</f>
        <v>1723074064.47504</v>
      </c>
    </row>
    <row r="36" customFormat="false" ht="13.5" hidden="false" customHeight="false" outlineLevel="0" collapsed="false">
      <c r="B36" s="23"/>
      <c r="D36" s="161"/>
      <c r="E36" s="161"/>
      <c r="H36" s="161"/>
    </row>
    <row r="37" customFormat="false" ht="13.5" hidden="false" customHeight="false" outlineLevel="0" collapsed="false">
      <c r="A37" s="0" t="s">
        <v>335</v>
      </c>
      <c r="B37" s="23"/>
      <c r="D37" s="161"/>
      <c r="E37" s="161"/>
      <c r="H37" s="287" t="n">
        <f aca="false">+H35/D35</f>
        <v>50.564498113466</v>
      </c>
    </row>
    <row r="38" customFormat="false" ht="13.5" hidden="false" customHeight="false" outlineLevel="0" collapsed="false">
      <c r="B38" s="23"/>
    </row>
    <row r="39" customFormat="false" ht="12.75" hidden="false" customHeight="false" outlineLevel="0" collapsed="false">
      <c r="A39" s="22" t="s">
        <v>336</v>
      </c>
      <c r="B39" s="288"/>
    </row>
    <row r="40" customFormat="false" ht="12.75" hidden="false" customHeight="false" outlineLevel="0" collapsed="false">
      <c r="A40" s="278" t="s">
        <v>331</v>
      </c>
      <c r="B40" s="279" t="s">
        <v>328</v>
      </c>
      <c r="C40" s="280" t="n">
        <v>36546</v>
      </c>
      <c r="D40" s="281" t="n">
        <v>15000</v>
      </c>
      <c r="E40" s="281" t="s">
        <v>189</v>
      </c>
      <c r="F40" s="278" t="s">
        <v>322</v>
      </c>
      <c r="G40" s="278" t="n">
        <v>55.9375</v>
      </c>
      <c r="H40" s="282" t="n">
        <f aca="false">+D40*G40</f>
        <v>839062.5</v>
      </c>
      <c r="I40" s="280" t="n">
        <v>36579</v>
      </c>
      <c r="J40" s="283" t="s">
        <v>337</v>
      </c>
    </row>
    <row r="41" customFormat="false" ht="12.75" hidden="false" customHeight="false" outlineLevel="0" collapsed="false">
      <c r="A41" s="278" t="s">
        <v>249</v>
      </c>
      <c r="B41" s="279" t="s">
        <v>328</v>
      </c>
      <c r="C41" s="280" t="n">
        <v>36621</v>
      </c>
      <c r="D41" s="281" t="n">
        <v>790000</v>
      </c>
      <c r="E41" s="281" t="s">
        <v>189</v>
      </c>
      <c r="F41" s="278" t="s">
        <v>322</v>
      </c>
      <c r="G41" s="278" t="n">
        <v>66.8865</v>
      </c>
      <c r="H41" s="282" t="n">
        <f aca="false">+D41*G41</f>
        <v>52840335</v>
      </c>
      <c r="I41" s="280" t="n">
        <v>36654</v>
      </c>
      <c r="J41" s="283" t="s">
        <v>338</v>
      </c>
    </row>
    <row r="42" customFormat="false" ht="12.75" hidden="false" customHeight="false" outlineLevel="0" collapsed="false">
      <c r="A42" s="278" t="s">
        <v>249</v>
      </c>
      <c r="B42" s="279" t="s">
        <v>328</v>
      </c>
      <c r="C42" s="280" t="n">
        <v>36622</v>
      </c>
      <c r="D42" s="281" t="n">
        <v>460000</v>
      </c>
      <c r="E42" s="281" t="s">
        <v>189</v>
      </c>
      <c r="F42" s="278" t="s">
        <v>322</v>
      </c>
      <c r="G42" s="278" t="n">
        <v>67.5829</v>
      </c>
      <c r="H42" s="282" t="n">
        <f aca="false">+D42*G42</f>
        <v>31088134</v>
      </c>
      <c r="I42" s="280" t="n">
        <v>36654</v>
      </c>
      <c r="J42" s="283" t="s">
        <v>338</v>
      </c>
    </row>
    <row r="43" customFormat="false" ht="12.75" hidden="false" customHeight="false" outlineLevel="0" collapsed="false">
      <c r="A43" s="278" t="s">
        <v>249</v>
      </c>
      <c r="B43" s="279" t="s">
        <v>328</v>
      </c>
      <c r="C43" s="280" t="n">
        <v>36633</v>
      </c>
      <c r="D43" s="281" t="n">
        <v>511200</v>
      </c>
      <c r="E43" s="281" t="s">
        <v>189</v>
      </c>
      <c r="F43" s="278" t="s">
        <v>322</v>
      </c>
      <c r="G43" s="278" t="n">
        <v>64.7681</v>
      </c>
      <c r="H43" s="282" t="n">
        <f aca="false">+D43*G43</f>
        <v>33109452.72</v>
      </c>
      <c r="I43" s="280" t="n">
        <v>36654</v>
      </c>
      <c r="J43" s="283" t="s">
        <v>338</v>
      </c>
    </row>
    <row r="44" customFormat="false" ht="12.75" hidden="false" customHeight="false" outlineLevel="0" collapsed="false">
      <c r="A44" s="278" t="s">
        <v>331</v>
      </c>
      <c r="B44" s="279" t="s">
        <v>328</v>
      </c>
      <c r="C44" s="280" t="n">
        <v>36549</v>
      </c>
      <c r="D44" s="281" t="n">
        <v>1061000</v>
      </c>
      <c r="E44" s="281" t="s">
        <v>189</v>
      </c>
      <c r="F44" s="278" t="s">
        <v>322</v>
      </c>
      <c r="G44" s="285" t="n">
        <v>65</v>
      </c>
      <c r="H44" s="282" t="n">
        <f aca="false">+D44*G44</f>
        <v>68965000</v>
      </c>
      <c r="I44" s="280" t="n">
        <v>36640</v>
      </c>
      <c r="J44" s="283" t="s">
        <v>332</v>
      </c>
    </row>
    <row r="45" customFormat="false" ht="12.75" hidden="false" customHeight="false" outlineLevel="0" collapsed="false">
      <c r="A45" s="278" t="s">
        <v>331</v>
      </c>
      <c r="B45" s="279" t="s">
        <v>328</v>
      </c>
      <c r="C45" s="280" t="n">
        <v>36510</v>
      </c>
      <c r="D45" s="281" t="n">
        <v>280000</v>
      </c>
      <c r="E45" s="281" t="s">
        <v>189</v>
      </c>
      <c r="F45" s="278" t="s">
        <v>322</v>
      </c>
      <c r="G45" s="278" t="n">
        <v>69.4375</v>
      </c>
      <c r="H45" s="282" t="n">
        <f aca="false">+D45*G45</f>
        <v>19442500</v>
      </c>
      <c r="I45" s="280" t="n">
        <v>36878</v>
      </c>
      <c r="J45" s="283" t="s">
        <v>339</v>
      </c>
    </row>
    <row r="46" customFormat="false" ht="12.75" hidden="false" customHeight="false" outlineLevel="0" collapsed="false">
      <c r="A46" s="278" t="s">
        <v>331</v>
      </c>
      <c r="B46" s="279" t="s">
        <v>328</v>
      </c>
      <c r="C46" s="280" t="n">
        <v>36510</v>
      </c>
      <c r="D46" s="281" t="n">
        <v>75000</v>
      </c>
      <c r="E46" s="281" t="s">
        <v>189</v>
      </c>
      <c r="F46" s="278" t="s">
        <v>322</v>
      </c>
      <c r="G46" s="278" t="n">
        <v>36.9128</v>
      </c>
      <c r="H46" s="282" t="n">
        <f aca="false">+D46*G46</f>
        <v>2768460</v>
      </c>
      <c r="I46" s="280" t="n">
        <v>36878</v>
      </c>
      <c r="J46" s="283" t="s">
        <v>340</v>
      </c>
    </row>
  </sheetData>
  <printOptions headings="false" gridLines="false" gridLinesSet="true" horizontalCentered="false" verticalCentered="false"/>
  <pageMargins left="1" right="0.747916666666667" top="0.984027777777778" bottom="0.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&amp;L&amp;F  &amp;A&amp;R&amp;D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68"/>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E34" activeCellId="0" sqref="E34"/>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33.7"/>
    <col collapsed="false" customWidth="true" hidden="false" outlineLevel="0" max="4" min="3" style="0" width="15.85"/>
    <col collapsed="false" customWidth="true" hidden="false" outlineLevel="0" max="5" min="5" style="0" width="15.56"/>
    <col collapsed="false" customWidth="true" hidden="false" outlineLevel="0" max="6" min="6" style="0" width="14.7"/>
    <col collapsed="false" customWidth="true" hidden="false" outlineLevel="0" max="8" min="7" style="0" width="15.7"/>
    <col collapsed="false" customWidth="true" hidden="false" outlineLevel="0" max="9" min="9" style="0" width="12.85"/>
    <col collapsed="false" customWidth="true" hidden="false" outlineLevel="0" max="11" min="10" style="0" width="13.56"/>
    <col collapsed="false" customWidth="true" hidden="false" outlineLevel="0" max="13" min="13" style="0" width="13.56"/>
  </cols>
  <sheetData>
    <row r="1" customFormat="false" ht="12.75" hidden="false" customHeight="false" outlineLevel="0" collapsed="false">
      <c r="C1" s="0" t="s">
        <v>9</v>
      </c>
      <c r="E1" s="18" t="n">
        <v>36525</v>
      </c>
      <c r="F1" s="18" t="n">
        <v>36616</v>
      </c>
      <c r="G1" s="18" t="n">
        <v>36707</v>
      </c>
      <c r="H1" s="18" t="n">
        <v>36799</v>
      </c>
      <c r="I1" s="18" t="n">
        <v>36891</v>
      </c>
    </row>
    <row r="2" customFormat="false" ht="12.75" hidden="false" customHeight="false" outlineLevel="0" collapsed="false">
      <c r="A2" s="19"/>
      <c r="C2" s="0" t="s">
        <v>10</v>
      </c>
    </row>
    <row r="3" customFormat="false" ht="12.75" hidden="false" customHeight="false" outlineLevel="0" collapsed="false">
      <c r="A3" s="20" t="n">
        <f aca="false">+Input!B16</f>
        <v>36707</v>
      </c>
    </row>
    <row r="5" customFormat="false" ht="15.75" hidden="false" customHeight="false" outlineLevel="0" collapsed="false">
      <c r="A5" s="21" t="s">
        <v>11</v>
      </c>
    </row>
    <row r="6" customFormat="false" ht="12.75" hidden="false" customHeight="false" outlineLevel="0" collapsed="false">
      <c r="A6" s="22" t="s">
        <v>12</v>
      </c>
    </row>
    <row r="7" customFormat="false" ht="12.75" hidden="false" customHeight="false" outlineLevel="0" collapsed="false">
      <c r="C7" s="23" t="s">
        <v>13</v>
      </c>
      <c r="D7" s="23" t="s">
        <v>14</v>
      </c>
      <c r="E7" s="23" t="s">
        <v>15</v>
      </c>
      <c r="M7" s="23" t="s">
        <v>16</v>
      </c>
    </row>
    <row r="8" customFormat="false" ht="12.75" hidden="false" customHeight="false" outlineLevel="0" collapsed="false">
      <c r="C8" s="24" t="s">
        <v>17</v>
      </c>
      <c r="D8" s="24" t="s">
        <v>18</v>
      </c>
      <c r="E8" s="24" t="s">
        <v>19</v>
      </c>
      <c r="F8" s="24" t="s">
        <v>20</v>
      </c>
      <c r="G8" s="24" t="s">
        <v>21</v>
      </c>
      <c r="H8" s="24" t="s">
        <v>22</v>
      </c>
      <c r="I8" s="24" t="s">
        <v>23</v>
      </c>
      <c r="J8" s="24" t="s">
        <v>24</v>
      </c>
      <c r="K8" s="24" t="s">
        <v>7</v>
      </c>
      <c r="M8" s="24" t="s">
        <v>7</v>
      </c>
    </row>
    <row r="9" customFormat="false" ht="12.75" hidden="false" customHeight="false" outlineLevel="0" collapsed="false">
      <c r="C9" s="24"/>
      <c r="D9" s="24"/>
      <c r="E9" s="24"/>
      <c r="F9" s="24"/>
      <c r="G9" s="24"/>
      <c r="H9" s="24"/>
      <c r="I9" s="24"/>
      <c r="J9" s="24"/>
      <c r="K9" s="24"/>
    </row>
    <row r="10" customFormat="false" ht="12.75" hidden="false" customHeight="false" outlineLevel="0" collapsed="false">
      <c r="A10" s="0" t="s">
        <v>25</v>
      </c>
      <c r="F10" s="25" t="n">
        <f aca="false">LOOKUP(+E1,Input!$A$20:$A$826,Input!$B$20:$B$826)</f>
        <v>44.375</v>
      </c>
      <c r="G10" s="25" t="n">
        <f aca="false">+F11</f>
        <v>74.875</v>
      </c>
      <c r="H10" s="25"/>
      <c r="I10" s="25"/>
    </row>
    <row r="11" customFormat="false" ht="12.75" hidden="false" customHeight="false" outlineLevel="0" collapsed="false">
      <c r="A11" s="0" t="s">
        <v>26</v>
      </c>
      <c r="F11" s="25" t="n">
        <f aca="false">IF($A$3&gt;F1,LOOKUP(+F1,Input!$A$20:$A$826,Input!$B$20:$B$826),LOOKUP(+$A$3,Input!$A$20:$A$826,Input!$B$20:$B$826))</f>
        <v>74.875</v>
      </c>
      <c r="G11" s="25" t="n">
        <f aca="false">IF($A$3&gt;G1,LOOKUP(+G1,Input!$A$20:$A$826,Input!$B$20:$B$826),LOOKUP(+$A$3,Input!$A$20:$A$826,Input!$B$20:$B$826))</f>
        <v>64.5</v>
      </c>
      <c r="H11" s="25"/>
      <c r="I11" s="25"/>
    </row>
    <row r="12" customFormat="false" ht="12.75" hidden="false" customHeight="false" outlineLevel="0" collapsed="false">
      <c r="A12" s="0" t="s">
        <v>27</v>
      </c>
      <c r="B12" s="26" t="n">
        <f aca="false">+A3</f>
        <v>36707</v>
      </c>
    </row>
    <row r="14" customFormat="false" ht="12.75" hidden="false" customHeight="false" outlineLevel="0" collapsed="false">
      <c r="A14" s="22" t="s">
        <v>28</v>
      </c>
    </row>
    <row r="15" customFormat="false" ht="12.75" hidden="false" customHeight="false" outlineLevel="0" collapsed="false">
      <c r="C15" s="10"/>
      <c r="D15" s="10"/>
      <c r="E15" s="10"/>
      <c r="G15" s="27"/>
      <c r="H15" s="27"/>
      <c r="I15" s="27"/>
      <c r="J15" s="27"/>
      <c r="K15" s="27"/>
      <c r="M15" s="27"/>
    </row>
    <row r="16" customFormat="false" ht="12.75" hidden="false" customHeight="false" outlineLevel="0" collapsed="false">
      <c r="B16" s="22" t="s">
        <v>29</v>
      </c>
      <c r="E16" s="27" t="n">
        <f aca="false">2000000-SUM(D17:D21)</f>
        <v>1103200</v>
      </c>
      <c r="G16" s="27"/>
      <c r="H16" s="27"/>
      <c r="I16" s="27"/>
      <c r="J16" s="27"/>
      <c r="K16" s="27"/>
      <c r="M16" s="27"/>
    </row>
    <row r="17" customFormat="false" ht="12.75" hidden="false" customHeight="false" outlineLevel="0" collapsed="false">
      <c r="B17" s="0" t="s">
        <v>30</v>
      </c>
      <c r="C17" s="10" t="n">
        <f aca="false">+'MLCO 6-28'!B16</f>
        <v>110100</v>
      </c>
      <c r="D17" s="10" t="n">
        <f aca="false">C17</f>
        <v>110100</v>
      </c>
      <c r="E17" s="10"/>
      <c r="G17" s="27" t="n">
        <f aca="false">+'MLCO 6-28'!E39</f>
        <v>-446725.25</v>
      </c>
      <c r="H17" s="27" t="n">
        <f aca="false">+'MLCO 6-28'!I39</f>
        <v>0</v>
      </c>
      <c r="I17" s="27" t="n">
        <f aca="false">+'MLCO 6-28'!M39</f>
        <v>0</v>
      </c>
      <c r="J17" s="27" t="n">
        <f aca="false">+K17-M17</f>
        <v>-446725.25</v>
      </c>
      <c r="K17" s="27" t="n">
        <f aca="false">+'MLCO 6-28'!O39</f>
        <v>-446725.25</v>
      </c>
      <c r="M17" s="27" t="n">
        <v>0</v>
      </c>
    </row>
    <row r="18" customFormat="false" ht="12.75" hidden="false" customHeight="false" outlineLevel="0" collapsed="false">
      <c r="C18" s="10"/>
      <c r="D18" s="10"/>
      <c r="E18" s="10"/>
      <c r="G18" s="27"/>
      <c r="H18" s="27"/>
      <c r="I18" s="27"/>
      <c r="J18" s="27"/>
      <c r="K18" s="27"/>
      <c r="M18" s="27"/>
    </row>
    <row r="19" customFormat="false" ht="12.75" hidden="false" customHeight="false" outlineLevel="0" collapsed="false">
      <c r="B19" s="0" t="s">
        <v>31</v>
      </c>
      <c r="C19" s="10" t="n">
        <f aca="false">+'MLCO 6-29'!B16</f>
        <v>150000</v>
      </c>
      <c r="D19" s="10" t="n">
        <f aca="false">C19</f>
        <v>150000</v>
      </c>
      <c r="E19" s="10"/>
      <c r="G19" s="27" t="n">
        <f aca="false">+'MLCO 6-29'!E39</f>
        <v>-606601.59</v>
      </c>
      <c r="H19" s="27" t="n">
        <f aca="false">+'MLCO 6-29'!I39</f>
        <v>0</v>
      </c>
      <c r="I19" s="27" t="n">
        <f aca="false">+'MLCO 6-29'!M39</f>
        <v>0</v>
      </c>
      <c r="J19" s="27" t="n">
        <f aca="false">+K19-M19</f>
        <v>-606601.59</v>
      </c>
      <c r="K19" s="27" t="n">
        <f aca="false">+'MLCO 6-29'!O39</f>
        <v>-606601.59</v>
      </c>
      <c r="M19" s="27" t="n">
        <v>0</v>
      </c>
    </row>
    <row r="20" customFormat="false" ht="12.75" hidden="false" customHeight="false" outlineLevel="0" collapsed="false">
      <c r="B20" s="22"/>
      <c r="C20" s="10"/>
      <c r="D20" s="10"/>
      <c r="E20" s="10"/>
      <c r="M20" s="27"/>
    </row>
    <row r="21" customFormat="false" ht="12.75" hidden="false" customHeight="false" outlineLevel="0" collapsed="false">
      <c r="B21" s="0" t="s">
        <v>32</v>
      </c>
      <c r="C21" s="10" t="n">
        <f aca="false">+'MLCO 6-29 (2)'!B16</f>
        <v>636700</v>
      </c>
      <c r="D21" s="10" t="n">
        <f aca="false">C21</f>
        <v>636700</v>
      </c>
      <c r="E21" s="10"/>
      <c r="G21" s="27" t="n">
        <f aca="false">+'MLCO 6-29 (2)'!E39</f>
        <v>-2461354.86</v>
      </c>
      <c r="H21" s="27" t="n">
        <f aca="false">+'MLCO 6-29 (2)'!I39</f>
        <v>0</v>
      </c>
      <c r="I21" s="27" t="n">
        <f aca="false">+'MLCO 6-29 (2)'!M39</f>
        <v>0</v>
      </c>
      <c r="J21" s="27" t="n">
        <f aca="false">+K21-M21</f>
        <v>-2461354.86</v>
      </c>
      <c r="K21" s="27" t="n">
        <f aca="false">+'MLCO 6-29 (2)'!O39</f>
        <v>-2461354.86</v>
      </c>
      <c r="M21" s="27" t="n">
        <v>0</v>
      </c>
    </row>
    <row r="22" customFormat="false" ht="12.75" hidden="false" customHeight="false" outlineLevel="0" collapsed="false">
      <c r="C22" s="10"/>
      <c r="D22" s="10"/>
    </row>
    <row r="23" customFormat="false" ht="12.75" hidden="false" customHeight="false" outlineLevel="0" collapsed="false">
      <c r="A23" s="22" t="s">
        <v>33</v>
      </c>
      <c r="C23" s="10"/>
      <c r="D23" s="10"/>
    </row>
    <row r="24" customFormat="false" ht="12.75" hidden="false" customHeight="false" outlineLevel="0" collapsed="false">
      <c r="C24" s="10"/>
      <c r="D24" s="10"/>
    </row>
    <row r="25" customFormat="false" ht="12.75" hidden="false" customHeight="false" outlineLevel="0" collapsed="false">
      <c r="B25" s="22" t="s">
        <v>34</v>
      </c>
      <c r="C25" s="10"/>
      <c r="D25" s="10"/>
      <c r="E25" s="28"/>
    </row>
    <row r="26" customFormat="false" ht="12.75" hidden="false" customHeight="false" outlineLevel="0" collapsed="false">
      <c r="B26" s="0" t="s">
        <v>35</v>
      </c>
      <c r="C26" s="10" t="n">
        <f aca="false">+'Credit Suisse 4-5'!B16</f>
        <v>790000</v>
      </c>
      <c r="D26" s="10" t="n">
        <f aca="false">C26</f>
        <v>790000</v>
      </c>
      <c r="G26" s="27" t="n">
        <f aca="false">ROUND(+'Credit Suisse 4-5'!E39,0)</f>
        <v>6946004</v>
      </c>
      <c r="J26" s="27" t="n">
        <f aca="false">+K26-M26</f>
        <v>0</v>
      </c>
      <c r="K26" s="27" t="n">
        <f aca="false">ROUND(+'Credit Suisse 4-5'!O39,0)</f>
        <v>6946004</v>
      </c>
      <c r="L26" s="0" t="n">
        <v>0</v>
      </c>
      <c r="M26" s="27" t="n">
        <v>6946004</v>
      </c>
    </row>
    <row r="27" customFormat="false" ht="12.75" hidden="false" customHeight="false" outlineLevel="0" collapsed="false">
      <c r="B27" s="0" t="s">
        <v>36</v>
      </c>
      <c r="C27" s="10"/>
      <c r="D27" s="10"/>
      <c r="M27" s="27"/>
    </row>
    <row r="28" customFormat="false" ht="12.75" hidden="false" customHeight="false" outlineLevel="0" collapsed="false">
      <c r="B28" s="0" t="s">
        <v>37</v>
      </c>
      <c r="C28" s="10" t="n">
        <f aca="false">+'Credit Suisse 4-6'!B16</f>
        <v>460000</v>
      </c>
      <c r="D28" s="10" t="n">
        <f aca="false">C28</f>
        <v>460000</v>
      </c>
      <c r="G28" s="27" t="n">
        <f aca="false">ROUND(+'Credit Suisse 4-6'!E39,0)</f>
        <v>3728188</v>
      </c>
      <c r="J28" s="27" t="n">
        <f aca="false">+K28-M28</f>
        <v>0</v>
      </c>
      <c r="K28" s="27" t="n">
        <f aca="false">ROUND(+'Credit Suisse 4-6'!O39,0)</f>
        <v>3728188</v>
      </c>
      <c r="L28" s="0" t="n">
        <v>0</v>
      </c>
      <c r="M28" s="27" t="n">
        <v>3728188</v>
      </c>
    </row>
    <row r="29" customFormat="false" ht="12.75" hidden="false" customHeight="false" outlineLevel="0" collapsed="false">
      <c r="B29" s="0" t="s">
        <v>36</v>
      </c>
      <c r="C29" s="10"/>
      <c r="D29" s="10"/>
      <c r="M29" s="27"/>
    </row>
    <row r="30" customFormat="false" ht="12.75" hidden="false" customHeight="false" outlineLevel="0" collapsed="false">
      <c r="B30" s="0" t="s">
        <v>38</v>
      </c>
      <c r="C30" s="10" t="n">
        <f aca="false">+'Credit Suisse 4-17'!B16</f>
        <v>511200</v>
      </c>
      <c r="D30" s="10" t="n">
        <f aca="false">C30</f>
        <v>511200</v>
      </c>
      <c r="G30" s="27" t="n">
        <f aca="false">ROUND(+'Credit Suisse 4-17'!E39,0)</f>
        <v>5650377</v>
      </c>
      <c r="J30" s="27" t="n">
        <f aca="false">+K30-M30</f>
        <v>0</v>
      </c>
      <c r="K30" s="27" t="n">
        <f aca="false">ROUND(+'Credit Suisse 4-17'!O39,0)</f>
        <v>5650377</v>
      </c>
      <c r="L30" s="0" t="n">
        <v>0</v>
      </c>
      <c r="M30" s="27" t="n">
        <v>5650377</v>
      </c>
    </row>
    <row r="31" customFormat="false" ht="12.75" hidden="false" customHeight="false" outlineLevel="0" collapsed="false">
      <c r="B31" s="0" t="s">
        <v>36</v>
      </c>
      <c r="C31" s="10"/>
      <c r="D31" s="10"/>
      <c r="M31" s="27"/>
    </row>
    <row r="32" customFormat="false" ht="12.75" hidden="false" customHeight="false" outlineLevel="0" collapsed="false">
      <c r="B32" s="0" t="s">
        <v>39</v>
      </c>
      <c r="C32" s="10" t="n">
        <f aca="false">+'CFSB 6-27'!B16</f>
        <v>750000</v>
      </c>
      <c r="D32" s="10" t="n">
        <f aca="false">C32</f>
        <v>750000</v>
      </c>
      <c r="E32" s="10"/>
      <c r="G32" s="27"/>
      <c r="H32" s="27" t="n">
        <f aca="false">+'CFSB 6-27'!I39</f>
        <v>0</v>
      </c>
      <c r="I32" s="27" t="n">
        <f aca="false">+'CFSB 6-27'!M39</f>
        <v>0</v>
      </c>
      <c r="J32" s="27" t="n">
        <f aca="false">+K32-M32</f>
        <v>-3013507.07</v>
      </c>
      <c r="K32" s="27" t="n">
        <f aca="false">+'CFSB 6-27'!O39</f>
        <v>-3013507.07</v>
      </c>
      <c r="M32" s="27" t="n">
        <v>0</v>
      </c>
    </row>
    <row r="33" customFormat="false" ht="12.75" hidden="false" customHeight="false" outlineLevel="0" collapsed="false">
      <c r="C33" s="10"/>
      <c r="D33" s="10"/>
      <c r="M33" s="27"/>
    </row>
    <row r="34" customFormat="false" ht="12.75" hidden="false" customHeight="false" outlineLevel="0" collapsed="false">
      <c r="B34" s="22" t="s">
        <v>29</v>
      </c>
      <c r="E34" s="28"/>
      <c r="M34" s="27"/>
    </row>
    <row r="35" customFormat="false" ht="12.75" hidden="false" customHeight="false" outlineLevel="0" collapsed="false">
      <c r="B35" s="0" t="s">
        <v>40</v>
      </c>
      <c r="M35" s="27"/>
    </row>
    <row r="36" customFormat="false" ht="12.75" hidden="false" customHeight="false" outlineLevel="0" collapsed="false">
      <c r="M36" s="27"/>
    </row>
    <row r="37" customFormat="false" ht="12.75" hidden="false" customHeight="false" outlineLevel="0" collapsed="false">
      <c r="B37" s="22" t="s">
        <v>41</v>
      </c>
      <c r="M37" s="27"/>
    </row>
    <row r="38" customFormat="false" ht="12.75" hidden="false" customHeight="false" outlineLevel="0" collapsed="false">
      <c r="B38" s="0" t="s">
        <v>42</v>
      </c>
      <c r="C38" s="10" t="n">
        <v>323000</v>
      </c>
      <c r="D38" s="10" t="n">
        <f aca="false">C38</f>
        <v>323000</v>
      </c>
      <c r="E38" s="28" t="n">
        <v>677000</v>
      </c>
      <c r="G38" s="27" t="n">
        <f aca="false">ROUND(+'Bear Stearns 5-24'!E39,0)</f>
        <v>2177032</v>
      </c>
      <c r="J38" s="27" t="n">
        <f aca="false">+K38-M38</f>
        <v>0</v>
      </c>
      <c r="K38" s="27" t="n">
        <f aca="false">ROUND(+'Bear Stearns 5-24'!O39,0)</f>
        <v>2177032</v>
      </c>
      <c r="L38" s="0" t="n">
        <v>0</v>
      </c>
      <c r="M38" s="27" t="n">
        <v>2177032</v>
      </c>
    </row>
    <row r="39" customFormat="false" ht="12.75" hidden="false" customHeight="false" outlineLevel="0" collapsed="false">
      <c r="B39" s="0" t="s">
        <v>43</v>
      </c>
      <c r="M39" s="27"/>
    </row>
    <row r="40" customFormat="false" ht="12.75" hidden="false" customHeight="false" outlineLevel="0" collapsed="false">
      <c r="B40" s="29" t="n">
        <v>36678</v>
      </c>
      <c r="M40" s="27"/>
    </row>
    <row r="41" customFormat="false" ht="12.75" hidden="false" customHeight="false" outlineLevel="0" collapsed="false">
      <c r="M41" s="27"/>
    </row>
    <row r="42" customFormat="false" ht="12.75" hidden="false" customHeight="false" outlineLevel="0" collapsed="false">
      <c r="B42" s="22" t="s">
        <v>44</v>
      </c>
      <c r="C42" s="10"/>
      <c r="D42" s="10"/>
      <c r="E42" s="30"/>
      <c r="M42" s="27"/>
    </row>
    <row r="43" customFormat="false" ht="12.75" hidden="false" customHeight="false" outlineLevel="0" collapsed="false">
      <c r="B43" s="0" t="s">
        <v>45</v>
      </c>
      <c r="C43" s="10" t="n">
        <f aca="false">+'DWR 1305741'!B10</f>
        <v>15000</v>
      </c>
      <c r="D43" s="10"/>
      <c r="F43" s="27" t="n">
        <f aca="false">ROUND(+'DWR 1305741'!E31,0)</f>
        <v>137354</v>
      </c>
      <c r="J43" s="27" t="n">
        <f aca="false">+K43-M43</f>
        <v>0</v>
      </c>
      <c r="K43" s="27" t="n">
        <f aca="false">ROUND(+'DWR 1305741'!I31,0)</f>
        <v>137354</v>
      </c>
      <c r="L43" s="0" t="n">
        <v>0</v>
      </c>
      <c r="M43" s="27" t="n">
        <v>137354</v>
      </c>
    </row>
    <row r="44" customFormat="false" ht="12.75" hidden="false" customHeight="false" outlineLevel="0" collapsed="false">
      <c r="B44" s="0" t="s">
        <v>46</v>
      </c>
      <c r="M44" s="27"/>
    </row>
    <row r="45" customFormat="false" ht="12.75" hidden="false" customHeight="false" outlineLevel="0" collapsed="false">
      <c r="M45" s="27"/>
    </row>
    <row r="46" customFormat="false" ht="12.75" hidden="false" customHeight="false" outlineLevel="0" collapsed="false">
      <c r="B46" s="22" t="s">
        <v>47</v>
      </c>
      <c r="E46" s="31" t="s">
        <v>48</v>
      </c>
      <c r="M46" s="27"/>
    </row>
    <row r="47" customFormat="false" ht="12.75" hidden="false" customHeight="false" outlineLevel="0" collapsed="false">
      <c r="B47" s="0" t="s">
        <v>49</v>
      </c>
      <c r="C47" s="10" t="n">
        <f aca="false">+'JEDI MTM'!A58</f>
        <v>12012804</v>
      </c>
      <c r="D47" s="10"/>
      <c r="F47" s="10" t="n">
        <f aca="false">ROUND(+AndyJeff!J18+AndyJeff!J27+AndyJeff!J22+AndyJeff!J34,0)</f>
        <v>85158000</v>
      </c>
      <c r="G47" s="10"/>
      <c r="J47" s="27" t="n">
        <f aca="false">+K47-M47</f>
        <v>0</v>
      </c>
      <c r="K47" s="10" t="n">
        <f aca="false">ROUND(+AndyJeff!J18+AndyJeff!J27+AndyJeff!J22+AndyJeff!J34,0)</f>
        <v>85158000</v>
      </c>
      <c r="L47" s="0" t="n">
        <v>0</v>
      </c>
      <c r="M47" s="27" t="n">
        <v>85158000</v>
      </c>
    </row>
    <row r="48" customFormat="false" ht="12.75" hidden="false" customHeight="false" outlineLevel="0" collapsed="false">
      <c r="B48" s="0" t="s">
        <v>50</v>
      </c>
      <c r="C48" s="10"/>
      <c r="D48" s="10"/>
      <c r="F48" s="10"/>
      <c r="G48" s="10"/>
      <c r="K48" s="10"/>
      <c r="M48" s="27"/>
    </row>
    <row r="49" customFormat="false" ht="12.75" hidden="false" customHeight="false" outlineLevel="0" collapsed="false">
      <c r="B49" s="32" t="s">
        <v>51</v>
      </c>
      <c r="C49" s="10" t="n">
        <f aca="false">+C47</f>
        <v>12012804</v>
      </c>
      <c r="D49" s="10"/>
      <c r="F49" s="30"/>
      <c r="G49" s="10"/>
      <c r="J49" s="27" t="n">
        <f aca="false">+K49-M49</f>
        <v>0</v>
      </c>
      <c r="K49" s="30" t="n">
        <v>0</v>
      </c>
      <c r="L49" s="0" t="n">
        <v>0</v>
      </c>
      <c r="M49" s="27" t="n">
        <v>0</v>
      </c>
    </row>
    <row r="50" customFormat="false" ht="12.75" hidden="false" customHeight="false" outlineLevel="0" collapsed="false">
      <c r="C50" s="10"/>
      <c r="D50" s="10"/>
      <c r="F50" s="10"/>
      <c r="G50" s="10"/>
      <c r="K50" s="10"/>
      <c r="M50" s="27"/>
    </row>
    <row r="51" customFormat="false" ht="12.75" hidden="false" customHeight="false" outlineLevel="0" collapsed="false">
      <c r="B51" s="22"/>
      <c r="C51" s="10"/>
      <c r="D51" s="10"/>
      <c r="F51" s="10"/>
      <c r="G51" s="10"/>
      <c r="K51" s="10"/>
      <c r="M51" s="27"/>
    </row>
    <row r="52" customFormat="false" ht="12.75" hidden="false" customHeight="false" outlineLevel="0" collapsed="false">
      <c r="B52" s="32"/>
      <c r="C52" s="10"/>
      <c r="D52" s="10"/>
      <c r="F52" s="10"/>
      <c r="G52" s="27"/>
      <c r="H52" s="27"/>
      <c r="I52" s="27"/>
      <c r="J52" s="27"/>
      <c r="K52" s="27"/>
      <c r="M52" s="27"/>
    </row>
    <row r="53" customFormat="false" ht="12.75" hidden="false" customHeight="false" outlineLevel="0" collapsed="false">
      <c r="C53" s="10"/>
      <c r="D53" s="10"/>
      <c r="F53" s="10"/>
      <c r="G53" s="10"/>
      <c r="K53" s="10"/>
      <c r="M53" s="27"/>
    </row>
    <row r="54" customFormat="false" ht="12.75" hidden="false" customHeight="false" outlineLevel="0" collapsed="false">
      <c r="C54" s="10"/>
      <c r="D54" s="10"/>
      <c r="F54" s="10"/>
      <c r="G54" s="10"/>
      <c r="K54" s="10"/>
      <c r="M54" s="27"/>
    </row>
    <row r="55" customFormat="false" ht="12.75" hidden="false" customHeight="false" outlineLevel="0" collapsed="false">
      <c r="A55" s="33" t="s">
        <v>52</v>
      </c>
      <c r="B55" s="34"/>
      <c r="C55" s="34"/>
      <c r="D55" s="35" t="n">
        <f aca="false">SUM(D14:D53)</f>
        <v>3731000</v>
      </c>
      <c r="E55" s="35" t="n">
        <f aca="false">SUM(E14:E53)</f>
        <v>1780200</v>
      </c>
      <c r="F55" s="35" t="n">
        <f aca="false">SUM(F14:F53)</f>
        <v>85295354</v>
      </c>
      <c r="G55" s="35" t="n">
        <f aca="false">SUM(G14:G53)</f>
        <v>14986919.3</v>
      </c>
      <c r="H55" s="36" t="n">
        <f aca="false">SUM(H9:H54)</f>
        <v>0</v>
      </c>
      <c r="I55" s="36" t="n">
        <f aca="false">SUM(I9:I54)</f>
        <v>0</v>
      </c>
      <c r="J55" s="36" t="n">
        <f aca="false">SUM(J9:J54)</f>
        <v>-6528188.77</v>
      </c>
      <c r="K55" s="36" t="n">
        <f aca="false">SUM(K9:K54)</f>
        <v>97268766.23</v>
      </c>
    </row>
    <row r="57" customFormat="false" ht="12.75" hidden="false" customHeight="false" outlineLevel="0" collapsed="false">
      <c r="B57" s="37" t="s">
        <v>53</v>
      </c>
      <c r="C57" s="38"/>
      <c r="D57" s="38"/>
      <c r="E57" s="38"/>
      <c r="F57" s="39"/>
      <c r="G57" s="17"/>
      <c r="H57" s="37" t="s">
        <v>54</v>
      </c>
      <c r="I57" s="38"/>
      <c r="J57" s="38"/>
      <c r="K57" s="39"/>
    </row>
    <row r="58" customFormat="false" ht="12.75" hidden="false" customHeight="false" outlineLevel="0" collapsed="false">
      <c r="B58" s="40" t="s">
        <v>55</v>
      </c>
      <c r="C58" s="17"/>
      <c r="D58" s="17"/>
      <c r="E58" s="17"/>
      <c r="F58" s="41"/>
      <c r="G58" s="17"/>
      <c r="H58" s="40"/>
      <c r="I58" s="17"/>
      <c r="J58" s="42" t="s">
        <v>56</v>
      </c>
      <c r="K58" s="43" t="s">
        <v>57</v>
      </c>
    </row>
    <row r="59" customFormat="false" ht="12.75" hidden="false" customHeight="false" outlineLevel="0" collapsed="false">
      <c r="B59" s="40" t="s">
        <v>58</v>
      </c>
      <c r="C59" s="17"/>
      <c r="D59" s="17"/>
      <c r="E59" s="17"/>
      <c r="F59" s="41"/>
      <c r="G59" s="17"/>
      <c r="H59" s="40" t="s">
        <v>59</v>
      </c>
      <c r="I59" s="17"/>
      <c r="J59" s="44" t="n">
        <v>10</v>
      </c>
      <c r="K59" s="45" t="n">
        <v>300</v>
      </c>
    </row>
    <row r="60" customFormat="false" ht="12.75" hidden="false" customHeight="false" outlineLevel="0" collapsed="false">
      <c r="B60" s="40" t="s">
        <v>60</v>
      </c>
      <c r="C60" s="17"/>
      <c r="D60" s="17"/>
      <c r="E60" s="17"/>
      <c r="F60" s="41"/>
      <c r="G60" s="17"/>
      <c r="H60" s="40" t="s">
        <v>61</v>
      </c>
      <c r="I60" s="17"/>
      <c r="J60" s="44" t="e">
        <f aca="false">VaR!B1/-1000000</f>
        <v>#NAME?</v>
      </c>
      <c r="K60" s="45" t="e">
        <f aca="false">VaR!H4/1000000</f>
        <v>#NAME?</v>
      </c>
    </row>
    <row r="61" customFormat="false" ht="12.75" hidden="false" customHeight="false" outlineLevel="0" collapsed="false">
      <c r="B61" s="46"/>
      <c r="C61" s="47"/>
      <c r="D61" s="47"/>
      <c r="E61" s="47"/>
      <c r="F61" s="48"/>
      <c r="G61" s="17"/>
      <c r="H61" s="46"/>
      <c r="I61" s="47"/>
      <c r="J61" s="47"/>
      <c r="K61" s="48"/>
    </row>
    <row r="63" customFormat="false" ht="12.75" hidden="false" customHeight="false" outlineLevel="0" collapsed="false">
      <c r="B63" s="37" t="s">
        <v>62</v>
      </c>
      <c r="C63" s="38"/>
      <c r="D63" s="38"/>
      <c r="E63" s="38"/>
      <c r="F63" s="39"/>
    </row>
    <row r="64" customFormat="false" ht="12.75" hidden="false" customHeight="false" outlineLevel="0" collapsed="false">
      <c r="B64" s="40" t="s">
        <v>63</v>
      </c>
      <c r="C64" s="17" t="s">
        <v>64</v>
      </c>
      <c r="D64" s="17"/>
      <c r="E64" s="17" t="s">
        <v>65</v>
      </c>
      <c r="F64" s="41"/>
    </row>
    <row r="65" customFormat="false" ht="12.75" hidden="false" customHeight="false" outlineLevel="0" collapsed="false">
      <c r="B65" s="40" t="s">
        <v>44</v>
      </c>
      <c r="C65" s="17" t="s">
        <v>66</v>
      </c>
      <c r="D65" s="17"/>
      <c r="E65" s="17" t="s">
        <v>67</v>
      </c>
      <c r="F65" s="41"/>
    </row>
    <row r="66" customFormat="false" ht="12.75" hidden="false" customHeight="false" outlineLevel="0" collapsed="false">
      <c r="B66" s="40" t="s">
        <v>29</v>
      </c>
      <c r="C66" s="17" t="s">
        <v>68</v>
      </c>
      <c r="D66" s="17"/>
      <c r="E66" s="17" t="s">
        <v>69</v>
      </c>
      <c r="F66" s="41"/>
    </row>
    <row r="67" customFormat="false" ht="12.75" hidden="false" customHeight="false" outlineLevel="0" collapsed="false">
      <c r="B67" s="40" t="s">
        <v>41</v>
      </c>
      <c r="C67" s="17" t="s">
        <v>70</v>
      </c>
      <c r="D67" s="17"/>
      <c r="E67" s="17" t="s">
        <v>71</v>
      </c>
      <c r="F67" s="41"/>
    </row>
    <row r="68" customFormat="false" ht="12.75" hidden="false" customHeight="false" outlineLevel="0" collapsed="false">
      <c r="B68" s="46" t="s">
        <v>72</v>
      </c>
      <c r="C68" s="47" t="s">
        <v>73</v>
      </c>
      <c r="D68" s="47"/>
      <c r="E68" s="47" t="s">
        <v>74</v>
      </c>
      <c r="F68" s="48"/>
    </row>
  </sheetData>
  <printOptions headings="false" gridLines="false" gridLinesSet="true" horizontalCentered="false" verticalCentered="false"/>
  <pageMargins left="0.747916666666667" right="0.747916666666667" top="0.75" bottom="0.7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&amp;L&amp;F  &amp;A&amp;R&amp;D  &amp;T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F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20" activeCellId="0" sqref="J20"/>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6" min="5" style="0" width="13.85"/>
  </cols>
  <sheetData>
    <row r="3" customFormat="false" ht="12.75" hidden="false" customHeight="false" outlineLevel="0" collapsed="false">
      <c r="A3" s="0" t="s">
        <v>341</v>
      </c>
    </row>
    <row r="4" customFormat="false" ht="12.75" hidden="false" customHeight="false" outlineLevel="0" collapsed="false">
      <c r="A4" s="0" t="s">
        <v>342</v>
      </c>
    </row>
    <row r="6" customFormat="false" ht="12.75" hidden="false" customHeight="false" outlineLevel="0" collapsed="false">
      <c r="A6" s="121"/>
      <c r="B6" s="121" t="s">
        <v>343</v>
      </c>
      <c r="C6" s="121" t="s">
        <v>89</v>
      </c>
      <c r="D6" s="121" t="s">
        <v>344</v>
      </c>
      <c r="E6" s="121" t="s">
        <v>345</v>
      </c>
      <c r="F6" s="121" t="s">
        <v>345</v>
      </c>
    </row>
    <row r="7" customFormat="false" ht="12.75" hidden="false" customHeight="false" outlineLevel="0" collapsed="false">
      <c r="A7" s="110" t="s">
        <v>2</v>
      </c>
      <c r="B7" s="110" t="s">
        <v>346</v>
      </c>
      <c r="C7" s="110" t="s">
        <v>347</v>
      </c>
      <c r="D7" s="110" t="s">
        <v>125</v>
      </c>
      <c r="E7" s="110" t="s">
        <v>348</v>
      </c>
      <c r="F7" s="110" t="s">
        <v>348</v>
      </c>
    </row>
    <row r="8" customFormat="false" ht="12.75" hidden="false" customHeight="false" outlineLevel="0" collapsed="false">
      <c r="A8" s="32" t="n">
        <v>36243</v>
      </c>
      <c r="B8" s="10" t="n">
        <v>1600000</v>
      </c>
      <c r="C8" s="165" t="n">
        <v>64</v>
      </c>
      <c r="D8" s="0" t="n">
        <v>24.8125</v>
      </c>
      <c r="E8" s="10" t="n">
        <f aca="false">+B8*D8</f>
        <v>39700000</v>
      </c>
      <c r="F8" s="10" t="n">
        <f aca="false">+B8*C8</f>
        <v>102400000</v>
      </c>
    </row>
    <row r="9" customFormat="false" ht="12.75" hidden="false" customHeight="false" outlineLevel="0" collapsed="false">
      <c r="A9" s="32" t="n">
        <v>36251</v>
      </c>
      <c r="B9" s="10" t="n">
        <v>200000</v>
      </c>
      <c r="C9" s="165" t="n">
        <v>63.44</v>
      </c>
      <c r="D9" s="0" t="n">
        <v>24.25</v>
      </c>
      <c r="E9" s="10" t="n">
        <f aca="false">+B9*D9</f>
        <v>4850000</v>
      </c>
      <c r="F9" s="10" t="n">
        <f aca="false">+B9*C9</f>
        <v>12688000</v>
      </c>
    </row>
    <row r="10" customFormat="false" ht="12.75" hidden="false" customHeight="false" outlineLevel="0" collapsed="false">
      <c r="A10" s="32" t="n">
        <v>36251</v>
      </c>
      <c r="B10" s="10" t="n">
        <v>100000</v>
      </c>
      <c r="C10" s="165" t="n">
        <v>64</v>
      </c>
      <c r="D10" s="0" t="n">
        <v>24.8125</v>
      </c>
      <c r="E10" s="10" t="n">
        <f aca="false">+B10*D10</f>
        <v>2481250</v>
      </c>
      <c r="F10" s="10" t="n">
        <f aca="false">+B10*C10</f>
        <v>6400000</v>
      </c>
    </row>
    <row r="11" customFormat="false" ht="12.75" hidden="false" customHeight="false" outlineLevel="0" collapsed="false">
      <c r="A11" s="32" t="n">
        <v>36255</v>
      </c>
      <c r="B11" s="10" t="n">
        <v>150000</v>
      </c>
      <c r="C11" s="165" t="n">
        <v>62.88</v>
      </c>
      <c r="D11" s="0" t="n">
        <v>23.6875</v>
      </c>
      <c r="E11" s="10" t="n">
        <f aca="false">+B11*D11</f>
        <v>3553125</v>
      </c>
      <c r="F11" s="10" t="n">
        <f aca="false">+B11*C11</f>
        <v>9432000</v>
      </c>
    </row>
    <row r="12" customFormat="false" ht="12.75" hidden="false" customHeight="false" outlineLevel="0" collapsed="false">
      <c r="A12" s="32" t="n">
        <v>36265</v>
      </c>
      <c r="B12" s="10" t="n">
        <v>750000</v>
      </c>
      <c r="C12" s="165" t="n">
        <v>67.06</v>
      </c>
      <c r="D12" s="0" t="n">
        <v>27.875</v>
      </c>
      <c r="E12" s="10" t="n">
        <f aca="false">+B12*D12</f>
        <v>20906250</v>
      </c>
      <c r="F12" s="10" t="n">
        <f aca="false">+B12*C12</f>
        <v>50295000</v>
      </c>
    </row>
    <row r="13" customFormat="false" ht="12.75" hidden="false" customHeight="false" outlineLevel="0" collapsed="false">
      <c r="A13" s="32" t="n">
        <v>36265</v>
      </c>
      <c r="B13" s="10" t="n">
        <v>400000</v>
      </c>
      <c r="C13" s="165" t="n">
        <v>68</v>
      </c>
      <c r="D13" s="0" t="n">
        <v>28.8125</v>
      </c>
      <c r="E13" s="10" t="n">
        <f aca="false">+B13*D13</f>
        <v>11525000</v>
      </c>
      <c r="F13" s="10" t="n">
        <f aca="false">+B13*C13</f>
        <v>27200000</v>
      </c>
    </row>
    <row r="14" customFormat="false" ht="13.5" hidden="false" customHeight="false" outlineLevel="0" collapsed="false">
      <c r="B14" s="289" t="n">
        <f aca="false">SUM(B8:B13)</f>
        <v>3200000</v>
      </c>
      <c r="C14" s="243" t="n">
        <f aca="false">+F14/B14</f>
        <v>65.1296875</v>
      </c>
      <c r="D14" s="290" t="n">
        <f aca="false">+E14/B14</f>
        <v>25.9423828125</v>
      </c>
      <c r="E14" s="289" t="n">
        <f aca="false">SUM(E8:E13)</f>
        <v>83015625</v>
      </c>
      <c r="F14" s="289" t="n">
        <f aca="false">SUM(F8:F13)</f>
        <v>208415000</v>
      </c>
    </row>
    <row r="15" customFormat="false" ht="13.5" hidden="false" customHeight="false" outlineLevel="0" collapsed="false">
      <c r="B15" s="10"/>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&amp;L&amp;F  &amp;A&amp;R&amp;D  &amp;T</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12.42"/>
    <col collapsed="false" customWidth="true" hidden="false" outlineLevel="0" max="3" min="3" style="0" width="13.41"/>
    <col collapsed="false" customWidth="true" hidden="false" outlineLevel="0" max="5" min="4" style="0" width="13.85"/>
    <col collapsed="false" customWidth="true" hidden="false" outlineLevel="0" max="6" min="6" style="0" width="9.7"/>
    <col collapsed="false" customWidth="true" hidden="false" outlineLevel="0" max="7" min="7" style="0" width="14.85"/>
    <col collapsed="false" customWidth="true" hidden="false" outlineLevel="0" max="8" min="8" style="0" width="14.99"/>
    <col collapsed="false" customWidth="true" hidden="false" outlineLevel="0" max="9" min="9" style="0" width="13.14"/>
  </cols>
  <sheetData>
    <row r="2" customFormat="false" ht="12.75" hidden="false" customHeight="false" outlineLevel="0" collapsed="false">
      <c r="B2" s="0" t="s">
        <v>349</v>
      </c>
    </row>
    <row r="3" customFormat="false" ht="12.75" hidden="false" customHeight="false" outlineLevel="0" collapsed="false">
      <c r="B3" s="32" t="s">
        <v>319</v>
      </c>
    </row>
    <row r="4" customFormat="false" ht="12.75" hidden="false" customHeight="false" outlineLevel="0" collapsed="false">
      <c r="B4" s="32" t="e">
        <f aca="false">#REF!</f>
        <v>#REF!</v>
      </c>
    </row>
    <row r="6" customFormat="false" ht="13.5" hidden="false" customHeight="true" outlineLevel="0" collapsed="false"/>
    <row r="7" customFormat="false" ht="13.5" hidden="false" customHeight="true" outlineLevel="0" collapsed="false">
      <c r="A7" s="110" t="s">
        <v>350</v>
      </c>
      <c r="B7" s="110" t="s">
        <v>351</v>
      </c>
      <c r="C7" s="110" t="s">
        <v>352</v>
      </c>
      <c r="D7" s="110" t="s">
        <v>353</v>
      </c>
      <c r="E7" s="110" t="s">
        <v>13</v>
      </c>
      <c r="F7" s="110" t="s">
        <v>354</v>
      </c>
      <c r="G7" s="110" t="s">
        <v>355</v>
      </c>
      <c r="H7" s="216" t="n">
        <v>36160</v>
      </c>
      <c r="I7" s="216" t="e">
        <f aca="false">#REF!</f>
        <v>#REF!</v>
      </c>
    </row>
    <row r="8" customFormat="false" ht="13.5" hidden="false" customHeight="true" outlineLevel="0" collapsed="false">
      <c r="A8" s="135" t="s">
        <v>356</v>
      </c>
      <c r="B8" s="109" t="n">
        <v>35775</v>
      </c>
      <c r="C8" s="109" t="n">
        <v>36507</v>
      </c>
      <c r="D8" s="291" t="s">
        <v>17</v>
      </c>
      <c r="E8" s="28" t="n">
        <v>1099773</v>
      </c>
      <c r="F8" s="135" t="n">
        <v>44.075</v>
      </c>
      <c r="G8" s="292" t="n">
        <f aca="false">F8*E8</f>
        <v>48472494.975</v>
      </c>
      <c r="H8" s="135" t="n">
        <v>57.0625</v>
      </c>
      <c r="I8" s="293" t="e">
        <f aca="false">#REF!</f>
        <v>#REF!</v>
      </c>
    </row>
    <row r="9" customFormat="false" ht="13.5" hidden="false" customHeight="true" outlineLevel="0" collapsed="false"/>
    <row r="10" customFormat="false" ht="13.5" hidden="false" customHeight="true" outlineLevel="0" collapsed="false">
      <c r="A10" s="32"/>
      <c r="B10" s="32" t="n">
        <v>36347</v>
      </c>
      <c r="D10" s="0" t="s">
        <v>17</v>
      </c>
      <c r="E10" s="28" t="n">
        <v>610325</v>
      </c>
      <c r="F10" s="0" t="n">
        <v>79.8177</v>
      </c>
      <c r="G10" s="292" t="n">
        <f aca="false">F10*E10</f>
        <v>48714737.7525</v>
      </c>
      <c r="I10" s="293" t="e">
        <f aca="false">#REF!</f>
        <v>#REF!</v>
      </c>
    </row>
    <row r="11" customFormat="false" ht="13.5" hidden="false" customHeight="true" outlineLevel="0" collapsed="false">
      <c r="A11" s="32"/>
      <c r="B11" s="32"/>
      <c r="E11" s="28"/>
      <c r="G11" s="292"/>
      <c r="I11" s="293"/>
    </row>
    <row r="12" customFormat="false" ht="13.5" hidden="false" customHeight="true" outlineLevel="0" collapsed="false">
      <c r="A12" s="32"/>
      <c r="B12" s="32" t="n">
        <v>36388</v>
      </c>
      <c r="E12" s="28" t="n">
        <f aca="false">+E10*2</f>
        <v>1220650</v>
      </c>
      <c r="F12" s="0" t="n">
        <f aca="false">+F10/2</f>
        <v>39.90885</v>
      </c>
      <c r="G12" s="292" t="n">
        <f aca="false">F12*E12</f>
        <v>48714737.7525</v>
      </c>
      <c r="I12" s="293" t="e">
        <f aca="false">+I10</f>
        <v>#REF!</v>
      </c>
    </row>
    <row r="14" customFormat="false" ht="12.75" hidden="false" customHeight="false" outlineLevel="0" collapsed="false">
      <c r="D14" s="32" t="e">
        <f aca="false">#REF!</f>
        <v>#REF!</v>
      </c>
      <c r="E14" s="0" t="s">
        <v>357</v>
      </c>
    </row>
    <row r="15" customFormat="false" ht="12.75" hidden="false" customHeight="false" outlineLevel="0" collapsed="false">
      <c r="C15" s="0" t="s">
        <v>319</v>
      </c>
      <c r="D15" s="10" t="e">
        <f aca="false">(I8-F8)*E8</f>
        <v>#REF!</v>
      </c>
    </row>
    <row r="17" customFormat="false" ht="12.75" hidden="false" customHeight="false" outlineLevel="0" collapsed="false">
      <c r="C17" s="32" t="s">
        <v>358</v>
      </c>
      <c r="D17" s="10" t="e">
        <f aca="false">(I10-F10)*E10</f>
        <v>#REF!</v>
      </c>
    </row>
    <row r="21" customFormat="false" ht="12.75" hidden="false" customHeight="false" outlineLevel="0" collapsed="false">
      <c r="B21" s="0" t="s">
        <v>359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3"/>
    <col collapsed="false" customWidth="true" hidden="false" outlineLevel="0" max="2" min="2" style="0" width="4.56"/>
    <col collapsed="false" customWidth="true" hidden="false" outlineLevel="0" max="3" min="3" style="0" width="1.13"/>
    <col collapsed="false" customWidth="true" hidden="false" outlineLevel="0" max="4" min="4" style="0" width="11.42"/>
    <col collapsed="false" customWidth="true" hidden="false" outlineLevel="0" max="5" min="5" style="0" width="1.13"/>
    <col collapsed="false" customWidth="true" hidden="false" outlineLevel="0" max="6" min="6" style="0" width="10.56"/>
    <col collapsed="false" customWidth="true" hidden="false" outlineLevel="0" max="7" min="7" style="0" width="1.13"/>
    <col collapsed="false" customWidth="true" hidden="false" outlineLevel="0" max="8" min="8" style="0" width="9.85"/>
    <col collapsed="false" customWidth="true" hidden="false" outlineLevel="0" max="9" min="9" style="0" width="0.99"/>
    <col collapsed="false" customWidth="true" hidden="false" outlineLevel="0" max="10" min="10" style="0" width="9.28"/>
    <col collapsed="false" customWidth="true" hidden="false" outlineLevel="0" max="11" min="11" style="0" width="1.13"/>
    <col collapsed="false" customWidth="true" hidden="false" outlineLevel="0" max="12" min="12" style="0" width="8.85"/>
    <col collapsed="false" customWidth="true" hidden="false" outlineLevel="0" max="13" min="13" style="0" width="1.13"/>
    <col collapsed="false" customWidth="true" hidden="false" outlineLevel="0" max="14" min="14" style="0" width="18.28"/>
    <col collapsed="false" customWidth="true" hidden="false" outlineLevel="0" max="15" min="15" style="0" width="0.99"/>
    <col collapsed="false" customWidth="true" hidden="false" outlineLevel="0" max="16" min="16" style="0" width="6.28"/>
    <col collapsed="false" customWidth="true" hidden="false" outlineLevel="0" max="17" min="17" style="0" width="1.13"/>
    <col collapsed="false" customWidth="true" hidden="false" outlineLevel="0" max="18" min="18" style="0" width="9.28"/>
    <col collapsed="false" customWidth="true" hidden="false" outlineLevel="0" max="19" min="19" style="0" width="1.13"/>
    <col collapsed="false" customWidth="true" hidden="false" outlineLevel="0" max="20" min="20" style="0" width="11.7"/>
    <col collapsed="false" customWidth="true" hidden="false" outlineLevel="0" max="21" min="21" style="0" width="1.13"/>
    <col collapsed="false" customWidth="true" hidden="false" outlineLevel="0" max="22" min="22" style="0" width="10.56"/>
    <col collapsed="false" customWidth="true" hidden="false" outlineLevel="0" max="23" min="23" style="0" width="1.13"/>
    <col collapsed="false" customWidth="true" hidden="false" outlineLevel="0" max="24" min="24" style="0" width="18.85"/>
    <col collapsed="false" customWidth="true" hidden="false" outlineLevel="0" max="25" min="25" style="0" width="0.99"/>
    <col collapsed="false" customWidth="true" hidden="false" outlineLevel="0" max="26" min="26" style="0" width="14.14"/>
  </cols>
  <sheetData>
    <row r="1" customFormat="false" ht="12" hidden="false" customHeight="true" outlineLevel="0" collapsed="false">
      <c r="B1" s="294"/>
      <c r="C1" s="294"/>
      <c r="D1" s="295" t="s">
        <v>360</v>
      </c>
      <c r="E1" s="296"/>
      <c r="F1" s="297"/>
      <c r="G1" s="297"/>
      <c r="H1" s="298"/>
      <c r="I1" s="298"/>
      <c r="J1" s="299"/>
      <c r="K1" s="298"/>
      <c r="L1" s="298"/>
      <c r="M1" s="298"/>
      <c r="N1" s="300"/>
      <c r="O1" s="300"/>
      <c r="P1" s="300"/>
      <c r="Q1" s="300"/>
      <c r="R1" s="300"/>
      <c r="S1" s="300"/>
      <c r="T1" s="300"/>
      <c r="U1" s="300"/>
      <c r="V1" s="300"/>
      <c r="W1" s="300"/>
      <c r="X1" s="296"/>
      <c r="Y1" s="301"/>
      <c r="Z1" s="302"/>
    </row>
    <row r="2" customFormat="false" ht="10.5" hidden="false" customHeight="true" outlineLevel="0" collapsed="false">
      <c r="A2" s="294"/>
      <c r="B2" s="294"/>
      <c r="C2" s="294"/>
      <c r="D2" s="301" t="s">
        <v>361</v>
      </c>
      <c r="E2" s="301"/>
      <c r="F2" s="294"/>
      <c r="G2" s="294"/>
      <c r="H2" s="298"/>
      <c r="I2" s="298"/>
      <c r="J2" s="299"/>
      <c r="K2" s="298"/>
      <c r="L2" s="298"/>
      <c r="M2" s="298"/>
      <c r="N2" s="300"/>
      <c r="O2" s="300"/>
      <c r="P2" s="300"/>
      <c r="Q2" s="300"/>
      <c r="R2" s="300"/>
      <c r="S2" s="300"/>
      <c r="T2" s="300"/>
      <c r="U2" s="300"/>
      <c r="V2" s="300" t="s">
        <v>362</v>
      </c>
      <c r="W2" s="300"/>
      <c r="X2" s="303" t="n">
        <f aca="true">NOW()</f>
        <v>45926.9275665501</v>
      </c>
      <c r="Y2" s="301"/>
      <c r="Z2" s="304" t="n">
        <f aca="true">NOW()</f>
        <v>45926.9275665502</v>
      </c>
    </row>
    <row r="3" customFormat="false" ht="10.5" hidden="false" customHeight="true" outlineLevel="0" collapsed="false">
      <c r="A3" s="294"/>
      <c r="B3" s="294"/>
      <c r="C3" s="294"/>
      <c r="D3" s="301"/>
      <c r="E3" s="305"/>
      <c r="F3" s="294"/>
      <c r="G3" s="294"/>
      <c r="H3" s="298"/>
      <c r="I3" s="298"/>
      <c r="J3" s="299"/>
      <c r="K3" s="298"/>
      <c r="L3" s="298"/>
      <c r="M3" s="298"/>
      <c r="N3" s="306" t="s">
        <v>363</v>
      </c>
      <c r="O3" s="307"/>
      <c r="P3" s="308"/>
      <c r="Q3" s="308"/>
      <c r="R3" s="309" t="n">
        <v>36353</v>
      </c>
      <c r="S3" s="300"/>
      <c r="T3" s="300"/>
      <c r="U3" s="300"/>
      <c r="V3" s="300" t="s">
        <v>364</v>
      </c>
      <c r="W3" s="300"/>
      <c r="X3" s="298" t="n">
        <f aca="false">+Z3*V48</f>
        <v>154509565.5</v>
      </c>
      <c r="Y3" s="310"/>
      <c r="Z3" s="302" t="n">
        <v>40.5</v>
      </c>
    </row>
    <row r="4" customFormat="false" ht="10.5" hidden="false" customHeight="true" outlineLevel="0" collapsed="false">
      <c r="A4" s="294"/>
      <c r="B4" s="294"/>
      <c r="C4" s="294"/>
      <c r="D4" s="300"/>
      <c r="E4" s="301"/>
      <c r="F4" s="294"/>
      <c r="G4" s="294"/>
      <c r="H4" s="298"/>
      <c r="I4" s="298"/>
      <c r="J4" s="299"/>
      <c r="K4" s="298"/>
      <c r="L4" s="298"/>
      <c r="M4" s="298"/>
      <c r="N4" s="296" t="s">
        <v>239</v>
      </c>
      <c r="O4" s="311"/>
      <c r="P4" s="300"/>
      <c r="Q4" s="300"/>
      <c r="R4" s="312" t="n">
        <v>0.0065</v>
      </c>
      <c r="S4" s="300"/>
      <c r="T4" s="300"/>
      <c r="U4" s="300"/>
      <c r="V4" s="300" t="s">
        <v>345</v>
      </c>
      <c r="W4" s="294"/>
      <c r="X4" s="313" t="n">
        <f aca="false">+X3-X48</f>
        <v>-143112613.284978</v>
      </c>
      <c r="Y4" s="294"/>
      <c r="Z4" s="302" t="n">
        <f aca="false">+Z3-Z48</f>
        <v>-37.512634375</v>
      </c>
    </row>
    <row r="5" customFormat="false" ht="10.5" hidden="false" customHeight="true" outlineLevel="0" collapsed="false">
      <c r="A5" s="294"/>
      <c r="B5" s="294"/>
      <c r="C5" s="294"/>
      <c r="D5" s="301"/>
      <c r="E5" s="301"/>
      <c r="F5" s="294"/>
      <c r="G5" s="294"/>
      <c r="H5" s="298"/>
      <c r="I5" s="298"/>
      <c r="J5" s="299"/>
      <c r="K5" s="298"/>
      <c r="L5" s="298"/>
      <c r="M5" s="298"/>
      <c r="N5" s="298"/>
      <c r="O5" s="294"/>
      <c r="P5" s="311"/>
      <c r="Q5" s="311"/>
      <c r="R5" s="314"/>
      <c r="S5" s="311"/>
      <c r="T5" s="300"/>
      <c r="U5" s="300"/>
      <c r="V5" s="300"/>
      <c r="W5" s="294"/>
      <c r="X5" s="296"/>
      <c r="Y5" s="305"/>
      <c r="Z5" s="302"/>
    </row>
    <row r="6" customFormat="false" ht="10.5" hidden="false" customHeight="true" outlineLevel="0" collapsed="false">
      <c r="A6" s="294"/>
      <c r="B6" s="294"/>
      <c r="C6" s="294"/>
      <c r="D6" s="301"/>
      <c r="E6" s="301"/>
      <c r="F6" s="294"/>
      <c r="G6" s="294"/>
      <c r="H6" s="298"/>
      <c r="I6" s="298"/>
      <c r="J6" s="299"/>
      <c r="K6" s="298"/>
      <c r="L6" s="298"/>
      <c r="M6" s="298"/>
      <c r="N6" s="298"/>
      <c r="O6" s="294"/>
      <c r="P6" s="311"/>
      <c r="Q6" s="311"/>
      <c r="R6" s="314"/>
      <c r="S6" s="311"/>
      <c r="T6" s="300"/>
      <c r="U6" s="300"/>
      <c r="V6" s="300"/>
      <c r="W6" s="294"/>
      <c r="X6" s="298"/>
      <c r="Y6" s="298"/>
      <c r="Z6" s="315"/>
    </row>
    <row r="7" customFormat="false" ht="10.5" hidden="false" customHeight="true" outlineLevel="0" collapsed="false">
      <c r="A7" s="294"/>
      <c r="B7" s="294"/>
      <c r="C7" s="294"/>
      <c r="D7" s="296"/>
      <c r="E7" s="316"/>
      <c r="F7" s="316"/>
      <c r="G7" s="316"/>
      <c r="H7" s="317"/>
      <c r="I7" s="317"/>
      <c r="J7" s="318"/>
      <c r="K7" s="317"/>
      <c r="L7" s="317"/>
      <c r="M7" s="317"/>
      <c r="N7" s="317"/>
      <c r="O7" s="316"/>
      <c r="P7" s="319"/>
      <c r="Q7" s="319"/>
      <c r="R7" s="320"/>
      <c r="S7" s="319"/>
      <c r="T7" s="300"/>
      <c r="U7" s="300"/>
      <c r="V7" s="300"/>
      <c r="W7" s="316"/>
      <c r="X7" s="317"/>
      <c r="Y7" s="317"/>
      <c r="Z7" s="321"/>
    </row>
    <row r="8" customFormat="false" ht="10.5" hidden="false" customHeight="true" outlineLevel="0" collapsed="false">
      <c r="A8" s="294"/>
      <c r="B8" s="294"/>
      <c r="C8" s="294"/>
      <c r="D8" s="316" t="s">
        <v>365</v>
      </c>
      <c r="E8" s="316"/>
      <c r="F8" s="316"/>
      <c r="G8" s="316"/>
      <c r="H8" s="317" t="s">
        <v>366</v>
      </c>
      <c r="I8" s="317"/>
      <c r="J8" s="318" t="s">
        <v>367</v>
      </c>
      <c r="K8" s="317"/>
      <c r="L8" s="317" t="s">
        <v>368</v>
      </c>
      <c r="M8" s="317"/>
      <c r="N8" s="317" t="s">
        <v>369</v>
      </c>
      <c r="O8" s="316"/>
      <c r="P8" s="319" t="s">
        <v>370</v>
      </c>
      <c r="Q8" s="319"/>
      <c r="R8" s="320"/>
      <c r="S8" s="319"/>
      <c r="T8" s="316" t="s">
        <v>371</v>
      </c>
      <c r="U8" s="316"/>
      <c r="V8" s="316" t="s">
        <v>372</v>
      </c>
      <c r="W8" s="316"/>
      <c r="X8" s="317" t="s">
        <v>373</v>
      </c>
      <c r="Y8" s="317"/>
      <c r="Z8" s="321" t="s">
        <v>374</v>
      </c>
    </row>
    <row r="9" customFormat="false" ht="10.5" hidden="false" customHeight="true" outlineLevel="0" collapsed="false">
      <c r="A9" s="294"/>
      <c r="B9" s="294"/>
      <c r="C9" s="294"/>
      <c r="D9" s="322" t="s">
        <v>375</v>
      </c>
      <c r="E9" s="316"/>
      <c r="F9" s="322" t="s">
        <v>376</v>
      </c>
      <c r="G9" s="316"/>
      <c r="H9" s="323" t="s">
        <v>377</v>
      </c>
      <c r="I9" s="317"/>
      <c r="J9" s="324" t="s">
        <v>378</v>
      </c>
      <c r="K9" s="317"/>
      <c r="L9" s="323" t="s">
        <v>379</v>
      </c>
      <c r="M9" s="317"/>
      <c r="N9" s="323" t="s">
        <v>380</v>
      </c>
      <c r="O9" s="316"/>
      <c r="P9" s="325" t="s">
        <v>381</v>
      </c>
      <c r="Q9" s="319"/>
      <c r="R9" s="326" t="s">
        <v>382</v>
      </c>
      <c r="S9" s="319"/>
      <c r="T9" s="322" t="s">
        <v>383</v>
      </c>
      <c r="U9" s="316"/>
      <c r="V9" s="322" t="s">
        <v>376</v>
      </c>
      <c r="W9" s="316"/>
      <c r="X9" s="323" t="s">
        <v>383</v>
      </c>
      <c r="Y9" s="317"/>
      <c r="Z9" s="327" t="s">
        <v>384</v>
      </c>
    </row>
    <row r="10" customFormat="false" ht="10.5" hidden="false" customHeight="true" outlineLevel="0" collapsed="false">
      <c r="A10" s="294"/>
      <c r="B10" s="297" t="s">
        <v>385</v>
      </c>
      <c r="C10" s="294"/>
      <c r="D10" s="328" t="n">
        <v>36323</v>
      </c>
      <c r="E10" s="316"/>
      <c r="F10" s="329" t="n">
        <f aca="false">'[2]June 1999'!$V$47</f>
        <v>6703300</v>
      </c>
      <c r="G10" s="330"/>
      <c r="H10" s="331"/>
      <c r="I10" s="331"/>
      <c r="J10" s="332" t="n">
        <f aca="false">'[2]June 1999'!$Z$47</f>
        <v>44.5463947202466</v>
      </c>
      <c r="K10" s="331"/>
      <c r="L10" s="331"/>
      <c r="M10" s="331"/>
      <c r="N10" s="333" t="n">
        <f aca="false">F10*J10</f>
        <v>298607847.728229</v>
      </c>
      <c r="O10" s="316"/>
      <c r="P10" s="334" t="n">
        <f aca="false">+$R$3-D10</f>
        <v>30</v>
      </c>
      <c r="Q10" s="319"/>
      <c r="R10" s="335" t="n">
        <v>0.0518125</v>
      </c>
      <c r="S10" s="319"/>
      <c r="T10" s="336" t="n">
        <f aca="false">+N10*(R10+$R$4)/360*P10</f>
        <v>1451047.51005436</v>
      </c>
      <c r="U10" s="316"/>
      <c r="V10" s="337" t="n">
        <f aca="false">+F10</f>
        <v>6703300</v>
      </c>
      <c r="W10" s="316"/>
      <c r="X10" s="338" t="n">
        <f aca="false">+N10+T10</f>
        <v>300058895.238284</v>
      </c>
      <c r="Y10" s="317"/>
      <c r="Z10" s="302" t="n">
        <f aca="false">+X10/V10</f>
        <v>44.7628623570903</v>
      </c>
    </row>
    <row r="11" customFormat="false" ht="10.5" hidden="false" customHeight="true" outlineLevel="0" collapsed="false">
      <c r="A11" s="294"/>
      <c r="B11" s="294"/>
      <c r="C11" s="294"/>
      <c r="D11" s="316"/>
      <c r="E11" s="316"/>
      <c r="F11" s="316"/>
      <c r="G11" s="316"/>
      <c r="H11" s="317"/>
      <c r="I11" s="317"/>
      <c r="J11" s="317"/>
      <c r="K11" s="317"/>
      <c r="L11" s="317"/>
      <c r="M11" s="317"/>
      <c r="N11" s="317"/>
      <c r="O11" s="316"/>
      <c r="P11" s="319"/>
      <c r="Q11" s="319"/>
      <c r="R11" s="339"/>
      <c r="S11" s="319"/>
      <c r="T11" s="340"/>
      <c r="U11" s="316"/>
      <c r="V11" s="316"/>
      <c r="W11" s="316"/>
      <c r="X11" s="341"/>
      <c r="Y11" s="317"/>
      <c r="Z11" s="321"/>
    </row>
    <row r="12" customFormat="false" ht="10.5" hidden="false" customHeight="true" outlineLevel="0" collapsed="false">
      <c r="A12" s="294"/>
      <c r="B12" s="294"/>
      <c r="C12" s="294"/>
      <c r="D12" s="342" t="n">
        <f aca="false">+D10+1</f>
        <v>36324</v>
      </c>
      <c r="E12" s="342"/>
      <c r="F12" s="343" t="n">
        <v>0</v>
      </c>
      <c r="G12" s="344"/>
      <c r="H12" s="345" t="n">
        <v>0</v>
      </c>
      <c r="I12" s="344"/>
      <c r="J12" s="346" t="n">
        <f aca="false">IF(F12=0,0,+H12/F12)</f>
        <v>0</v>
      </c>
      <c r="K12" s="344"/>
      <c r="L12" s="347" t="n">
        <v>0</v>
      </c>
      <c r="M12" s="344"/>
      <c r="N12" s="344" t="n">
        <f aca="false">+H12+(L12*V12)</f>
        <v>0</v>
      </c>
      <c r="O12" s="294"/>
      <c r="P12" s="334" t="n">
        <f aca="false">+$R$3-D12</f>
        <v>29</v>
      </c>
      <c r="Q12" s="334"/>
      <c r="R12" s="348" t="n">
        <f aca="false">+R10</f>
        <v>0.0518125</v>
      </c>
      <c r="S12" s="334"/>
      <c r="T12" s="336" t="n">
        <f aca="false">+N12*(R12+$R$4)/360*P12</f>
        <v>0</v>
      </c>
      <c r="U12" s="294"/>
      <c r="V12" s="349" t="n">
        <f aca="false">+F12+V10</f>
        <v>6703300</v>
      </c>
      <c r="W12" s="349"/>
      <c r="X12" s="338" t="n">
        <f aca="false">+N12+T12+X10</f>
        <v>300058895.238284</v>
      </c>
      <c r="Y12" s="298"/>
      <c r="Z12" s="302" t="n">
        <f aca="false">+X12/V12</f>
        <v>44.7628623570903</v>
      </c>
    </row>
    <row r="13" customFormat="false" ht="10.5" hidden="false" customHeight="true" outlineLevel="0" collapsed="false">
      <c r="A13" s="294"/>
      <c r="B13" s="294"/>
      <c r="C13" s="294"/>
      <c r="D13" s="342" t="n">
        <f aca="false">+D12+1</f>
        <v>36325</v>
      </c>
      <c r="E13" s="342"/>
      <c r="F13" s="343" t="n">
        <v>0</v>
      </c>
      <c r="G13" s="344"/>
      <c r="H13" s="345" t="n">
        <v>0</v>
      </c>
      <c r="I13" s="344"/>
      <c r="J13" s="346" t="n">
        <f aca="false">IF(F13=0,0,+H13/F13)</f>
        <v>0</v>
      </c>
      <c r="K13" s="344"/>
      <c r="L13" s="347" t="n">
        <v>0</v>
      </c>
      <c r="M13" s="344"/>
      <c r="N13" s="344" t="n">
        <f aca="false">+H13+(L13*V13)</f>
        <v>0</v>
      </c>
      <c r="O13" s="294"/>
      <c r="P13" s="334" t="n">
        <f aca="false">+$R$3-D13</f>
        <v>28</v>
      </c>
      <c r="Q13" s="334"/>
      <c r="R13" s="348" t="n">
        <f aca="false">+R12</f>
        <v>0.0518125</v>
      </c>
      <c r="S13" s="334"/>
      <c r="T13" s="336" t="n">
        <f aca="false">+N13*(R13+$R$4)/360*P13</f>
        <v>0</v>
      </c>
      <c r="U13" s="294"/>
      <c r="V13" s="349" t="n">
        <f aca="false">+V12+F13</f>
        <v>6703300</v>
      </c>
      <c r="W13" s="349"/>
      <c r="X13" s="338" t="n">
        <f aca="false">+X12+N13+T13</f>
        <v>300058895.238284</v>
      </c>
      <c r="Y13" s="298"/>
      <c r="Z13" s="302" t="n">
        <f aca="false">+X13/V13</f>
        <v>44.7628623570903</v>
      </c>
    </row>
    <row r="14" customFormat="false" ht="10.5" hidden="false" customHeight="true" outlineLevel="0" collapsed="false">
      <c r="A14" s="294"/>
      <c r="B14" s="294"/>
      <c r="C14" s="294"/>
      <c r="D14" s="342" t="n">
        <f aca="false">+D13+1</f>
        <v>36326</v>
      </c>
      <c r="E14" s="342"/>
      <c r="F14" s="343" t="n">
        <v>0</v>
      </c>
      <c r="G14" s="344"/>
      <c r="H14" s="345" t="n">
        <v>0</v>
      </c>
      <c r="I14" s="344"/>
      <c r="J14" s="346" t="n">
        <f aca="false">IF(F14=0,0,+H14/F14)</f>
        <v>0</v>
      </c>
      <c r="K14" s="344"/>
      <c r="L14" s="347" t="n">
        <v>0</v>
      </c>
      <c r="M14" s="344"/>
      <c r="N14" s="344" t="n">
        <f aca="false">+H14+(L14*V14)</f>
        <v>0</v>
      </c>
      <c r="O14" s="294"/>
      <c r="P14" s="334" t="n">
        <f aca="false">+$R$3-D14</f>
        <v>27</v>
      </c>
      <c r="Q14" s="334"/>
      <c r="R14" s="348" t="n">
        <f aca="false">+R13</f>
        <v>0.0518125</v>
      </c>
      <c r="S14" s="334"/>
      <c r="T14" s="336" t="n">
        <f aca="false">+N14*(R14+$R$4)/360*P14</f>
        <v>0</v>
      </c>
      <c r="U14" s="294"/>
      <c r="V14" s="349" t="n">
        <f aca="false">+V13+F14</f>
        <v>6703300</v>
      </c>
      <c r="W14" s="349"/>
      <c r="X14" s="338" t="n">
        <f aca="false">+X13+N14+T14</f>
        <v>300058895.238284</v>
      </c>
      <c r="Y14" s="298"/>
      <c r="Z14" s="302" t="n">
        <f aca="false">+X14/V14</f>
        <v>44.7628623570903</v>
      </c>
    </row>
    <row r="15" customFormat="false" ht="10.5" hidden="false" customHeight="true" outlineLevel="0" collapsed="false">
      <c r="A15" s="294"/>
      <c r="B15" s="294"/>
      <c r="C15" s="294"/>
      <c r="D15" s="342" t="n">
        <f aca="false">+D14+1</f>
        <v>36327</v>
      </c>
      <c r="E15" s="342"/>
      <c r="F15" s="343" t="n">
        <v>0</v>
      </c>
      <c r="G15" s="344"/>
      <c r="H15" s="345" t="n">
        <v>0</v>
      </c>
      <c r="I15" s="344"/>
      <c r="J15" s="346" t="n">
        <f aca="false">IF(F15=0,0,+H15/F15)</f>
        <v>0</v>
      </c>
      <c r="K15" s="344"/>
      <c r="L15" s="347" t="n">
        <v>0</v>
      </c>
      <c r="M15" s="344"/>
      <c r="N15" s="344" t="n">
        <f aca="false">+H15+(L15*V15)</f>
        <v>0</v>
      </c>
      <c r="O15" s="294"/>
      <c r="P15" s="334" t="n">
        <f aca="false">+$R$3-D15</f>
        <v>26</v>
      </c>
      <c r="Q15" s="334"/>
      <c r="R15" s="348" t="n">
        <f aca="false">+R14</f>
        <v>0.0518125</v>
      </c>
      <c r="S15" s="334"/>
      <c r="T15" s="336" t="n">
        <f aca="false">+N15*(R15+$R$4)/360*P15</f>
        <v>0</v>
      </c>
      <c r="U15" s="294"/>
      <c r="V15" s="349" t="n">
        <f aca="false">+V14+F15</f>
        <v>6703300</v>
      </c>
      <c r="W15" s="349"/>
      <c r="X15" s="338" t="n">
        <f aca="false">+X14+N15+T15</f>
        <v>300058895.238284</v>
      </c>
      <c r="Y15" s="298"/>
      <c r="Z15" s="302" t="n">
        <f aca="false">+X15/V15</f>
        <v>44.7628623570903</v>
      </c>
    </row>
    <row r="16" customFormat="false" ht="10.5" hidden="false" customHeight="true" outlineLevel="0" collapsed="false">
      <c r="A16" s="294"/>
      <c r="B16" s="294"/>
      <c r="C16" s="294"/>
      <c r="D16" s="342" t="n">
        <f aca="false">+D15+1</f>
        <v>36328</v>
      </c>
      <c r="E16" s="342"/>
      <c r="F16" s="343" t="n">
        <v>0</v>
      </c>
      <c r="G16" s="344"/>
      <c r="H16" s="345" t="n">
        <v>0</v>
      </c>
      <c r="I16" s="344"/>
      <c r="J16" s="346" t="n">
        <f aca="false">IF(F16=0,0,+H16/F16)</f>
        <v>0</v>
      </c>
      <c r="K16" s="344"/>
      <c r="L16" s="347" t="n">
        <v>0</v>
      </c>
      <c r="M16" s="344"/>
      <c r="N16" s="344" t="n">
        <f aca="false">+H16+(L16*V16)</f>
        <v>0</v>
      </c>
      <c r="O16" s="294"/>
      <c r="P16" s="334" t="n">
        <f aca="false">+$R$3-D16</f>
        <v>25</v>
      </c>
      <c r="Q16" s="334"/>
      <c r="R16" s="348" t="n">
        <f aca="false">+R15</f>
        <v>0.0518125</v>
      </c>
      <c r="S16" s="334"/>
      <c r="T16" s="336" t="n">
        <f aca="false">+N16*(R16+$R$4)/360*P16</f>
        <v>0</v>
      </c>
      <c r="U16" s="294"/>
      <c r="V16" s="349" t="n">
        <f aca="false">+V15+F16</f>
        <v>6703300</v>
      </c>
      <c r="W16" s="349"/>
      <c r="X16" s="338" t="n">
        <f aca="false">+X15+N16+T16</f>
        <v>300058895.238284</v>
      </c>
      <c r="Y16" s="298"/>
      <c r="Z16" s="302" t="n">
        <f aca="false">+X16/V16</f>
        <v>44.7628623570903</v>
      </c>
    </row>
    <row r="17" customFormat="false" ht="10.5" hidden="false" customHeight="true" outlineLevel="0" collapsed="false">
      <c r="A17" s="294"/>
      <c r="B17" s="294"/>
      <c r="C17" s="294"/>
      <c r="D17" s="342" t="n">
        <f aca="false">+D16+1</f>
        <v>36329</v>
      </c>
      <c r="E17" s="342"/>
      <c r="F17" s="343" t="n">
        <v>0</v>
      </c>
      <c r="G17" s="344"/>
      <c r="H17" s="345" t="n">
        <v>0</v>
      </c>
      <c r="I17" s="344"/>
      <c r="J17" s="346" t="n">
        <f aca="false">IF(F17=0,0,+H17/F17)</f>
        <v>0</v>
      </c>
      <c r="K17" s="344"/>
      <c r="L17" s="347" t="n">
        <v>0</v>
      </c>
      <c r="M17" s="344"/>
      <c r="N17" s="344" t="n">
        <f aca="false">+H17+(L17*V17)</f>
        <v>0</v>
      </c>
      <c r="O17" s="294"/>
      <c r="P17" s="334" t="n">
        <f aca="false">+$R$3-D17</f>
        <v>24</v>
      </c>
      <c r="Q17" s="334"/>
      <c r="R17" s="348" t="n">
        <f aca="false">+R16</f>
        <v>0.0518125</v>
      </c>
      <c r="S17" s="334"/>
      <c r="T17" s="336" t="n">
        <f aca="false">+N17*(R17+$R$4)/360*P17</f>
        <v>0</v>
      </c>
      <c r="U17" s="294"/>
      <c r="V17" s="349" t="n">
        <f aca="false">+V16+F17</f>
        <v>6703300</v>
      </c>
      <c r="W17" s="349"/>
      <c r="X17" s="338" t="n">
        <f aca="false">+X16+N17+T17</f>
        <v>300058895.238284</v>
      </c>
      <c r="Y17" s="298"/>
      <c r="Z17" s="302" t="n">
        <f aca="false">+X17/V17</f>
        <v>44.7628623570903</v>
      </c>
    </row>
    <row r="18" customFormat="false" ht="10.5" hidden="false" customHeight="true" outlineLevel="0" collapsed="false">
      <c r="A18" s="294"/>
      <c r="B18" s="294"/>
      <c r="C18" s="294"/>
      <c r="D18" s="342" t="n">
        <f aca="false">+D17+1</f>
        <v>36330</v>
      </c>
      <c r="E18" s="342"/>
      <c r="F18" s="343" t="n">
        <v>0</v>
      </c>
      <c r="G18" s="344"/>
      <c r="H18" s="345" t="n">
        <v>0</v>
      </c>
      <c r="I18" s="344"/>
      <c r="J18" s="346" t="n">
        <f aca="false">IF(F18=0,0,+H18/F18)</f>
        <v>0</v>
      </c>
      <c r="K18" s="344"/>
      <c r="L18" s="347" t="n">
        <v>0</v>
      </c>
      <c r="M18" s="344"/>
      <c r="N18" s="344" t="n">
        <f aca="false">+H18+(L18*V18)</f>
        <v>0</v>
      </c>
      <c r="O18" s="294"/>
      <c r="P18" s="334" t="n">
        <f aca="false">+$R$3-D18</f>
        <v>23</v>
      </c>
      <c r="Q18" s="334"/>
      <c r="R18" s="348" t="n">
        <f aca="false">+R17</f>
        <v>0.0518125</v>
      </c>
      <c r="S18" s="334"/>
      <c r="T18" s="336" t="n">
        <f aca="false">(N18*(R18+$R$4))/360*P18</f>
        <v>0</v>
      </c>
      <c r="U18" s="294"/>
      <c r="V18" s="349" t="n">
        <f aca="false">+V17+F18</f>
        <v>6703300</v>
      </c>
      <c r="W18" s="349"/>
      <c r="X18" s="338" t="n">
        <f aca="false">+X17+N18+T18</f>
        <v>300058895.238284</v>
      </c>
      <c r="Y18" s="298"/>
      <c r="Z18" s="302" t="n">
        <f aca="false">+X18/V18</f>
        <v>44.7628623570903</v>
      </c>
    </row>
    <row r="19" customFormat="false" ht="10.5" hidden="false" customHeight="true" outlineLevel="0" collapsed="false">
      <c r="A19" s="294"/>
      <c r="B19" s="294"/>
      <c r="C19" s="294"/>
      <c r="D19" s="342" t="n">
        <f aca="false">+D18+1</f>
        <v>36331</v>
      </c>
      <c r="E19" s="342"/>
      <c r="F19" s="343" t="n">
        <v>0</v>
      </c>
      <c r="G19" s="344"/>
      <c r="H19" s="345" t="n">
        <v>0</v>
      </c>
      <c r="I19" s="344"/>
      <c r="J19" s="346" t="n">
        <f aca="false">IF(F19=0,0,+H19/F19)</f>
        <v>0</v>
      </c>
      <c r="K19" s="344"/>
      <c r="L19" s="347" t="n">
        <v>0</v>
      </c>
      <c r="M19" s="344"/>
      <c r="N19" s="344" t="n">
        <f aca="false">+H19+(L19*'[3]Dec 1996'!V26)</f>
        <v>0</v>
      </c>
      <c r="O19" s="294"/>
      <c r="P19" s="334" t="n">
        <f aca="false">+$R$3-D19</f>
        <v>22</v>
      </c>
      <c r="Q19" s="334"/>
      <c r="R19" s="348" t="n">
        <f aca="false">+R18</f>
        <v>0.0518125</v>
      </c>
      <c r="S19" s="334"/>
      <c r="T19" s="336" t="n">
        <f aca="false">((+L19*'[3]Dec 1996'!V26*(0.0566016+$R$4))+N19*(R19+$R$4))/360*P19</f>
        <v>0</v>
      </c>
      <c r="U19" s="294"/>
      <c r="V19" s="349" t="n">
        <f aca="false">+V18+F19</f>
        <v>6703300</v>
      </c>
      <c r="W19" s="349"/>
      <c r="X19" s="338" t="n">
        <f aca="false">+X18+N19+T19</f>
        <v>300058895.238284</v>
      </c>
      <c r="Y19" s="298"/>
      <c r="Z19" s="302" t="n">
        <f aca="false">+X19/V19</f>
        <v>44.7628623570903</v>
      </c>
    </row>
    <row r="20" customFormat="false" ht="10.5" hidden="false" customHeight="true" outlineLevel="0" collapsed="false">
      <c r="A20" s="294"/>
      <c r="B20" s="294"/>
      <c r="C20" s="294"/>
      <c r="D20" s="342" t="n">
        <f aca="false">+D19+1</f>
        <v>36332</v>
      </c>
      <c r="E20" s="342"/>
      <c r="F20" s="343" t="n">
        <v>0</v>
      </c>
      <c r="G20" s="344"/>
      <c r="H20" s="345" t="n">
        <f aca="false">+F20*43.207</f>
        <v>0</v>
      </c>
      <c r="I20" s="344"/>
      <c r="J20" s="346" t="n">
        <f aca="false">IF(F20=0,0,+H20/F20)</f>
        <v>0</v>
      </c>
      <c r="K20" s="344"/>
      <c r="L20" s="347" t="n">
        <v>0</v>
      </c>
      <c r="M20" s="344"/>
      <c r="N20" s="344" t="n">
        <f aca="false">+H20+(L20*V20)</f>
        <v>0</v>
      </c>
      <c r="O20" s="294"/>
      <c r="P20" s="334" t="n">
        <f aca="false">+$R$3-D20</f>
        <v>21</v>
      </c>
      <c r="Q20" s="334"/>
      <c r="R20" s="348" t="n">
        <f aca="false">+R18</f>
        <v>0.0518125</v>
      </c>
      <c r="S20" s="334"/>
      <c r="T20" s="336" t="n">
        <f aca="false">+N20*(R20+$R$4)/360*P20</f>
        <v>0</v>
      </c>
      <c r="U20" s="294"/>
      <c r="V20" s="349" t="n">
        <f aca="false">+V19+F20</f>
        <v>6703300</v>
      </c>
      <c r="W20" s="349"/>
      <c r="X20" s="338" t="n">
        <f aca="false">+X19+N20+T20</f>
        <v>300058895.238284</v>
      </c>
      <c r="Y20" s="298"/>
      <c r="Z20" s="302" t="n">
        <f aca="false">+X20/V20</f>
        <v>44.7628623570903</v>
      </c>
    </row>
    <row r="21" customFormat="false" ht="10.5" hidden="false" customHeight="true" outlineLevel="0" collapsed="false">
      <c r="A21" s="294"/>
      <c r="B21" s="294"/>
      <c r="C21" s="294"/>
      <c r="D21" s="342" t="n">
        <f aca="false">+D20+1</f>
        <v>36333</v>
      </c>
      <c r="E21" s="342"/>
      <c r="F21" s="343" t="n">
        <v>0</v>
      </c>
      <c r="G21" s="344"/>
      <c r="H21" s="345" t="n">
        <f aca="false">+F21*42.48</f>
        <v>0</v>
      </c>
      <c r="I21" s="344"/>
      <c r="J21" s="346" t="n">
        <f aca="false">IF(F21=0,0,+H21/F21)</f>
        <v>0</v>
      </c>
      <c r="K21" s="344"/>
      <c r="L21" s="347" t="n">
        <v>0</v>
      </c>
      <c r="M21" s="344"/>
      <c r="N21" s="344" t="n">
        <f aca="false">+H21+(L21*V21)</f>
        <v>0</v>
      </c>
      <c r="O21" s="294"/>
      <c r="P21" s="334" t="n">
        <f aca="false">+$R$3-D21</f>
        <v>20</v>
      </c>
      <c r="Q21" s="334"/>
      <c r="R21" s="348" t="n">
        <f aca="false">+R20</f>
        <v>0.0518125</v>
      </c>
      <c r="S21" s="334"/>
      <c r="T21" s="336" t="n">
        <f aca="false">+N21*(R21+$R$4)/360*P21</f>
        <v>0</v>
      </c>
      <c r="U21" s="294"/>
      <c r="V21" s="349" t="n">
        <f aca="false">+V20+F21</f>
        <v>6703300</v>
      </c>
      <c r="W21" s="349"/>
      <c r="X21" s="338" t="n">
        <f aca="false">+X20+N21+T21</f>
        <v>300058895.238284</v>
      </c>
      <c r="Y21" s="298"/>
      <c r="Z21" s="302" t="n">
        <f aca="false">+X21/V21</f>
        <v>44.7628623570903</v>
      </c>
    </row>
    <row r="22" customFormat="false" ht="10.5" hidden="false" customHeight="true" outlineLevel="0" collapsed="false">
      <c r="A22" s="294"/>
      <c r="B22" s="294"/>
      <c r="C22" s="294"/>
      <c r="D22" s="342" t="n">
        <f aca="false">+D21+1</f>
        <v>36334</v>
      </c>
      <c r="E22" s="342"/>
      <c r="F22" s="343" t="n">
        <v>0</v>
      </c>
      <c r="G22" s="344"/>
      <c r="H22" s="345" t="n">
        <f aca="false">+F22*42.48</f>
        <v>0</v>
      </c>
      <c r="I22" s="344"/>
      <c r="J22" s="346" t="n">
        <f aca="false">IF(F22=0,0,+H22/F22)</f>
        <v>0</v>
      </c>
      <c r="K22" s="344"/>
      <c r="L22" s="347" t="n">
        <v>0</v>
      </c>
      <c r="M22" s="344"/>
      <c r="N22" s="344" t="n">
        <f aca="false">+H22+(L22*V22)</f>
        <v>0</v>
      </c>
      <c r="O22" s="294"/>
      <c r="P22" s="334" t="n">
        <f aca="false">+$R$3-D22</f>
        <v>19</v>
      </c>
      <c r="Q22" s="334"/>
      <c r="R22" s="348" t="n">
        <f aca="false">+R21</f>
        <v>0.0518125</v>
      </c>
      <c r="S22" s="334"/>
      <c r="T22" s="336" t="n">
        <f aca="false">+N22*(R22+$R$4)/360*P22</f>
        <v>0</v>
      </c>
      <c r="U22" s="294"/>
      <c r="V22" s="349" t="n">
        <f aca="false">+V21+F22</f>
        <v>6703300</v>
      </c>
      <c r="W22" s="349"/>
      <c r="X22" s="338" t="n">
        <f aca="false">+X21+N22+T22</f>
        <v>300058895.238284</v>
      </c>
      <c r="Y22" s="298"/>
      <c r="Z22" s="302" t="n">
        <f aca="false">+X22/V22</f>
        <v>44.7628623570903</v>
      </c>
    </row>
    <row r="23" customFormat="false" ht="10.5" hidden="false" customHeight="true" outlineLevel="0" collapsed="false">
      <c r="A23" s="294"/>
      <c r="B23" s="294"/>
      <c r="C23" s="294"/>
      <c r="D23" s="342" t="n">
        <f aca="false">+D22+1</f>
        <v>36335</v>
      </c>
      <c r="E23" s="342"/>
      <c r="F23" s="343" t="n">
        <v>0</v>
      </c>
      <c r="G23" s="344"/>
      <c r="H23" s="345" t="n">
        <v>0</v>
      </c>
      <c r="I23" s="344"/>
      <c r="J23" s="346" t="n">
        <f aca="false">IF(F23=0,0,+H23/F23)</f>
        <v>0</v>
      </c>
      <c r="K23" s="344"/>
      <c r="L23" s="347" t="n">
        <v>0</v>
      </c>
      <c r="M23" s="344"/>
      <c r="N23" s="344" t="n">
        <f aca="false">+H23+(L23*V23)</f>
        <v>0</v>
      </c>
      <c r="O23" s="294"/>
      <c r="P23" s="334" t="n">
        <f aca="false">+$R$3-D23</f>
        <v>18</v>
      </c>
      <c r="Q23" s="334"/>
      <c r="R23" s="348" t="n">
        <f aca="false">+R22</f>
        <v>0.0518125</v>
      </c>
      <c r="S23" s="334"/>
      <c r="T23" s="336" t="n">
        <f aca="false">+N23*(R23+$R$4)/360*P23</f>
        <v>0</v>
      </c>
      <c r="U23" s="294"/>
      <c r="V23" s="349" t="n">
        <f aca="false">+V22+F23</f>
        <v>6703300</v>
      </c>
      <c r="W23" s="349"/>
      <c r="X23" s="338" t="n">
        <f aca="false">+X22+N23+T23</f>
        <v>300058895.238284</v>
      </c>
      <c r="Y23" s="298"/>
      <c r="Z23" s="302" t="n">
        <f aca="false">+X23/V23</f>
        <v>44.7628623570903</v>
      </c>
    </row>
    <row r="24" customFormat="false" ht="10.5" hidden="false" customHeight="true" outlineLevel="0" collapsed="false">
      <c r="A24" s="294"/>
      <c r="B24" s="294"/>
      <c r="C24" s="294"/>
      <c r="D24" s="342" t="n">
        <f aca="false">+D23+1</f>
        <v>36336</v>
      </c>
      <c r="E24" s="342"/>
      <c r="F24" s="343" t="n">
        <v>0</v>
      </c>
      <c r="G24" s="344"/>
      <c r="H24" s="345" t="n">
        <v>0</v>
      </c>
      <c r="I24" s="344"/>
      <c r="J24" s="346" t="n">
        <f aca="false">IF(F24=0,0,+H24/F24)</f>
        <v>0</v>
      </c>
      <c r="K24" s="344"/>
      <c r="L24" s="347" t="n">
        <v>0</v>
      </c>
      <c r="M24" s="344"/>
      <c r="N24" s="344" t="n">
        <f aca="false">+H24+(L24*V24)</f>
        <v>0</v>
      </c>
      <c r="O24" s="294"/>
      <c r="P24" s="334" t="n">
        <f aca="false">+$R$3-D24</f>
        <v>17</v>
      </c>
      <c r="Q24" s="334"/>
      <c r="R24" s="348" t="n">
        <f aca="false">+R23</f>
        <v>0.0518125</v>
      </c>
      <c r="S24" s="334"/>
      <c r="T24" s="336" t="n">
        <f aca="false">+N24*(R24+$R$4)/360*P24</f>
        <v>0</v>
      </c>
      <c r="U24" s="294"/>
      <c r="V24" s="349" t="n">
        <f aca="false">+V23+F24</f>
        <v>6703300</v>
      </c>
      <c r="W24" s="349"/>
      <c r="X24" s="338" t="n">
        <f aca="false">+X23+N24+T24</f>
        <v>300058895.238284</v>
      </c>
      <c r="Y24" s="298"/>
      <c r="Z24" s="302" t="n">
        <f aca="false">+X24/V24</f>
        <v>44.7628623570903</v>
      </c>
    </row>
    <row r="25" customFormat="false" ht="10.5" hidden="false" customHeight="true" outlineLevel="0" collapsed="false">
      <c r="A25" s="294"/>
      <c r="B25" s="294"/>
      <c r="C25" s="294"/>
      <c r="D25" s="342" t="n">
        <f aca="false">+D24+1</f>
        <v>36337</v>
      </c>
      <c r="E25" s="342"/>
      <c r="F25" s="343" t="n">
        <v>0</v>
      </c>
      <c r="G25" s="344"/>
      <c r="H25" s="345" t="n">
        <f aca="false">+F25*41.746</f>
        <v>0</v>
      </c>
      <c r="I25" s="344"/>
      <c r="J25" s="346" t="n">
        <f aca="false">IF(F25=0,0,+H25/F25)</f>
        <v>0</v>
      </c>
      <c r="K25" s="344"/>
      <c r="L25" s="347" t="n">
        <v>0</v>
      </c>
      <c r="M25" s="344"/>
      <c r="N25" s="344" t="n">
        <f aca="false">+H25+(L25*V25)</f>
        <v>0</v>
      </c>
      <c r="O25" s="294"/>
      <c r="P25" s="334" t="n">
        <f aca="false">+$R$3-D25</f>
        <v>16</v>
      </c>
      <c r="Q25" s="334"/>
      <c r="R25" s="348" t="n">
        <f aca="false">+R24</f>
        <v>0.0518125</v>
      </c>
      <c r="S25" s="334"/>
      <c r="T25" s="336" t="n">
        <f aca="false">+N25*(R25+$R$4)/360*P25</f>
        <v>0</v>
      </c>
      <c r="U25" s="294"/>
      <c r="V25" s="349" t="n">
        <f aca="false">+V24+F25</f>
        <v>6703300</v>
      </c>
      <c r="W25" s="349"/>
      <c r="X25" s="338" t="n">
        <f aca="false">+X24+N25+T25</f>
        <v>300058895.238284</v>
      </c>
      <c r="Y25" s="298"/>
      <c r="Z25" s="302" t="n">
        <f aca="false">+X25/V25</f>
        <v>44.7628623570903</v>
      </c>
    </row>
    <row r="26" customFormat="false" ht="10.5" hidden="false" customHeight="true" outlineLevel="0" collapsed="false">
      <c r="A26" s="294"/>
      <c r="B26" s="294"/>
      <c r="C26" s="294"/>
      <c r="D26" s="342" t="n">
        <f aca="false">+D25+1</f>
        <v>36338</v>
      </c>
      <c r="E26" s="342"/>
      <c r="F26" s="343" t="n">
        <v>0</v>
      </c>
      <c r="G26" s="344"/>
      <c r="H26" s="345" t="n">
        <f aca="false">+F26*41.15</f>
        <v>0</v>
      </c>
      <c r="I26" s="344"/>
      <c r="J26" s="346" t="n">
        <f aca="false">IF(F26=0,0,+H26/F26)</f>
        <v>0</v>
      </c>
      <c r="K26" s="344"/>
      <c r="L26" s="347" t="n">
        <v>0</v>
      </c>
      <c r="M26" s="344"/>
      <c r="N26" s="344" t="n">
        <f aca="false">+H26+(L26*V26)</f>
        <v>0</v>
      </c>
      <c r="O26" s="294"/>
      <c r="P26" s="334" t="n">
        <f aca="false">+$R$3-D26</f>
        <v>15</v>
      </c>
      <c r="Q26" s="334"/>
      <c r="R26" s="348" t="n">
        <f aca="false">+R25</f>
        <v>0.0518125</v>
      </c>
      <c r="S26" s="334"/>
      <c r="T26" s="336" t="n">
        <f aca="false">+N26*(R26+$R$4)/360*P26</f>
        <v>0</v>
      </c>
      <c r="U26" s="294"/>
      <c r="V26" s="349" t="n">
        <f aca="false">+V25+F26</f>
        <v>6703300</v>
      </c>
      <c r="W26" s="349"/>
      <c r="X26" s="338" t="n">
        <f aca="false">+X25+N26+T26</f>
        <v>300058895.238284</v>
      </c>
      <c r="Y26" s="298"/>
      <c r="Z26" s="302" t="n">
        <f aca="false">+X26/V26</f>
        <v>44.7628623570903</v>
      </c>
    </row>
    <row r="27" customFormat="false" ht="10.5" hidden="false" customHeight="true" outlineLevel="0" collapsed="false">
      <c r="A27" s="294"/>
      <c r="B27" s="294"/>
      <c r="C27" s="294"/>
      <c r="D27" s="342" t="n">
        <f aca="false">+D26+1</f>
        <v>36339</v>
      </c>
      <c r="E27" s="342"/>
      <c r="F27" s="343" t="n">
        <v>0</v>
      </c>
      <c r="G27" s="344"/>
      <c r="H27" s="345" t="n">
        <f aca="false">+F27*41.029</f>
        <v>0</v>
      </c>
      <c r="I27" s="344"/>
      <c r="J27" s="346" t="n">
        <f aca="false">IF(F27=0,0,+H27/F27)</f>
        <v>0</v>
      </c>
      <c r="K27" s="344"/>
      <c r="L27" s="347" t="n">
        <v>0</v>
      </c>
      <c r="M27" s="344"/>
      <c r="N27" s="344" t="n">
        <f aca="false">+H27+(L27*V27)</f>
        <v>0</v>
      </c>
      <c r="O27" s="294"/>
      <c r="P27" s="334" t="n">
        <f aca="false">+$R$3-D27</f>
        <v>14</v>
      </c>
      <c r="Q27" s="334"/>
      <c r="R27" s="348" t="n">
        <f aca="false">+R26</f>
        <v>0.0518125</v>
      </c>
      <c r="S27" s="334"/>
      <c r="T27" s="336" t="n">
        <f aca="false">+N27*(R27+$R$4)/360*P27</f>
        <v>0</v>
      </c>
      <c r="U27" s="294"/>
      <c r="V27" s="349" t="n">
        <f aca="false">+V26+F27</f>
        <v>6703300</v>
      </c>
      <c r="W27" s="349"/>
      <c r="X27" s="338" t="n">
        <f aca="false">+X26+N27+T27</f>
        <v>300058895.238284</v>
      </c>
      <c r="Y27" s="298"/>
      <c r="Z27" s="302" t="n">
        <f aca="false">+X27/V27</f>
        <v>44.7628623570903</v>
      </c>
    </row>
    <row r="28" customFormat="false" ht="10.5" hidden="false" customHeight="true" outlineLevel="0" collapsed="false">
      <c r="A28" s="294"/>
      <c r="B28" s="294"/>
      <c r="C28" s="294"/>
      <c r="D28" s="342" t="n">
        <f aca="false">+D27+1</f>
        <v>36340</v>
      </c>
      <c r="E28" s="342"/>
      <c r="F28" s="343" t="n">
        <v>0</v>
      </c>
      <c r="G28" s="344"/>
      <c r="H28" s="345" t="n">
        <f aca="false">+F28*41.3452</f>
        <v>0</v>
      </c>
      <c r="I28" s="344"/>
      <c r="J28" s="346" t="n">
        <f aca="false">IF(F28=0,0,+H28/F28)</f>
        <v>0</v>
      </c>
      <c r="K28" s="344"/>
      <c r="L28" s="347" t="n">
        <v>0</v>
      </c>
      <c r="M28" s="344"/>
      <c r="N28" s="344" t="n">
        <f aca="false">+H28+(L28*V28)</f>
        <v>0</v>
      </c>
      <c r="O28" s="294"/>
      <c r="P28" s="334" t="n">
        <f aca="false">+$R$3-D28</f>
        <v>13</v>
      </c>
      <c r="Q28" s="334"/>
      <c r="R28" s="348" t="n">
        <f aca="false">+R27</f>
        <v>0.0518125</v>
      </c>
      <c r="S28" s="334"/>
      <c r="T28" s="336" t="n">
        <f aca="false">+N28*(R28+$R$4)/360*P28</f>
        <v>0</v>
      </c>
      <c r="U28" s="294"/>
      <c r="V28" s="349" t="n">
        <f aca="false">+V27+F28</f>
        <v>6703300</v>
      </c>
      <c r="W28" s="349"/>
      <c r="X28" s="338" t="n">
        <f aca="false">+X27+N28+T28</f>
        <v>300058895.238284</v>
      </c>
      <c r="Y28" s="298"/>
      <c r="Z28" s="302" t="n">
        <f aca="false">+X28/V28</f>
        <v>44.7628623570903</v>
      </c>
    </row>
    <row r="29" customFormat="false" ht="10.5" hidden="false" customHeight="true" outlineLevel="0" collapsed="false">
      <c r="A29" s="294"/>
      <c r="B29" s="294"/>
      <c r="C29" s="294"/>
      <c r="D29" s="342" t="n">
        <f aca="false">+D28+1</f>
        <v>36341</v>
      </c>
      <c r="E29" s="342"/>
      <c r="F29" s="343" t="n">
        <v>0</v>
      </c>
      <c r="G29" s="344"/>
      <c r="H29" s="345" t="n">
        <v>0</v>
      </c>
      <c r="I29" s="344"/>
      <c r="J29" s="346" t="n">
        <f aca="false">IF(F29=0,0,+H29/F29)</f>
        <v>0</v>
      </c>
      <c r="K29" s="344"/>
      <c r="L29" s="347" t="n">
        <v>0</v>
      </c>
      <c r="M29" s="344"/>
      <c r="N29" s="344" t="n">
        <f aca="false">+H29+(L29*V29)</f>
        <v>0</v>
      </c>
      <c r="O29" s="294"/>
      <c r="P29" s="334" t="n">
        <f aca="false">+$R$3-D29</f>
        <v>12</v>
      </c>
      <c r="Q29" s="334"/>
      <c r="R29" s="348" t="n">
        <f aca="false">+R28</f>
        <v>0.0518125</v>
      </c>
      <c r="S29" s="334"/>
      <c r="T29" s="336" t="n">
        <f aca="false">+N29*(R29+$R$4)/360*P29</f>
        <v>0</v>
      </c>
      <c r="U29" s="294"/>
      <c r="V29" s="349" t="n">
        <f aca="false">+V28+F29</f>
        <v>6703300</v>
      </c>
      <c r="W29" s="349"/>
      <c r="X29" s="338" t="n">
        <f aca="false">+X28+N29+T29</f>
        <v>300058895.238284</v>
      </c>
      <c r="Y29" s="298"/>
      <c r="Z29" s="302" t="n">
        <f aca="false">+X29/V29</f>
        <v>44.7628623570903</v>
      </c>
    </row>
    <row r="30" customFormat="false" ht="10.5" hidden="false" customHeight="true" outlineLevel="0" collapsed="false">
      <c r="A30" s="294"/>
      <c r="B30" s="294"/>
      <c r="C30" s="294"/>
      <c r="D30" s="342" t="n">
        <f aca="false">+D29+1</f>
        <v>36342</v>
      </c>
      <c r="E30" s="342"/>
      <c r="F30" s="343" t="n">
        <v>0</v>
      </c>
      <c r="G30" s="344"/>
      <c r="H30" s="345" t="n">
        <v>0</v>
      </c>
      <c r="I30" s="344"/>
      <c r="J30" s="346" t="n">
        <f aca="false">IF(F30=0,0,+H30/F30)</f>
        <v>0</v>
      </c>
      <c r="K30" s="344"/>
      <c r="L30" s="347" t="n">
        <v>0</v>
      </c>
      <c r="M30" s="344"/>
      <c r="N30" s="344" t="n">
        <f aca="false">+H30+(L30*V30)</f>
        <v>0</v>
      </c>
      <c r="O30" s="294"/>
      <c r="P30" s="334" t="n">
        <f aca="false">+$R$3-D30</f>
        <v>11</v>
      </c>
      <c r="Q30" s="334"/>
      <c r="R30" s="348" t="n">
        <f aca="false">+R29</f>
        <v>0.0518125</v>
      </c>
      <c r="S30" s="334"/>
      <c r="T30" s="336" t="n">
        <f aca="false">+N30*(R30+$R$4)/360*P30</f>
        <v>0</v>
      </c>
      <c r="U30" s="294"/>
      <c r="V30" s="349" t="n">
        <f aca="false">+V29+F30</f>
        <v>6703300</v>
      </c>
      <c r="W30" s="349"/>
      <c r="X30" s="338" t="n">
        <f aca="false">+X29+N30+T30</f>
        <v>300058895.238284</v>
      </c>
      <c r="Y30" s="298"/>
      <c r="Z30" s="302" t="n">
        <f aca="false">+X30/V30</f>
        <v>44.7628623570903</v>
      </c>
    </row>
    <row r="31" customFormat="false" ht="10.5" hidden="false" customHeight="true" outlineLevel="0" collapsed="false">
      <c r="A31" s="294"/>
      <c r="B31" s="294"/>
      <c r="C31" s="294"/>
      <c r="D31" s="342" t="n">
        <f aca="false">+D30+1</f>
        <v>36343</v>
      </c>
      <c r="E31" s="342"/>
      <c r="F31" s="343" t="n">
        <v>0</v>
      </c>
      <c r="G31" s="344"/>
      <c r="H31" s="345" t="n">
        <v>0</v>
      </c>
      <c r="I31" s="344"/>
      <c r="J31" s="346" t="n">
        <f aca="false">IF(F31=0,0,+H31/F31)</f>
        <v>0</v>
      </c>
      <c r="K31" s="344"/>
      <c r="L31" s="347" t="n">
        <v>0</v>
      </c>
      <c r="M31" s="344"/>
      <c r="N31" s="344" t="n">
        <f aca="false">+H31+(L31*V31)</f>
        <v>0</v>
      </c>
      <c r="O31" s="294"/>
      <c r="P31" s="334" t="n">
        <f aca="false">+$R$3-D31</f>
        <v>10</v>
      </c>
      <c r="Q31" s="334"/>
      <c r="R31" s="348" t="n">
        <f aca="false">+R30</f>
        <v>0.0518125</v>
      </c>
      <c r="S31" s="334"/>
      <c r="T31" s="336" t="n">
        <f aca="false">+N31*(R31+$R$4)/360*P31</f>
        <v>0</v>
      </c>
      <c r="U31" s="294"/>
      <c r="V31" s="349" t="n">
        <f aca="false">+V30+F31</f>
        <v>6703300</v>
      </c>
      <c r="W31" s="349"/>
      <c r="X31" s="338" t="n">
        <f aca="false">+X30+N31+T31</f>
        <v>300058895.238284</v>
      </c>
      <c r="Y31" s="298"/>
      <c r="Z31" s="302" t="n">
        <f aca="false">+X31/V31</f>
        <v>44.7628623570903</v>
      </c>
    </row>
    <row r="32" customFormat="false" ht="10.5" hidden="false" customHeight="true" outlineLevel="0" collapsed="false">
      <c r="A32" s="294"/>
      <c r="B32" s="294"/>
      <c r="C32" s="294"/>
      <c r="D32" s="342" t="n">
        <f aca="false">+D31+1</f>
        <v>36344</v>
      </c>
      <c r="E32" s="342"/>
      <c r="F32" s="343" t="n">
        <v>0</v>
      </c>
      <c r="G32" s="344"/>
      <c r="H32" s="345" t="n">
        <v>0</v>
      </c>
      <c r="I32" s="344"/>
      <c r="J32" s="346" t="n">
        <f aca="false">IF(F32=0,0,+H32/F32)</f>
        <v>0</v>
      </c>
      <c r="K32" s="344"/>
      <c r="L32" s="347" t="n">
        <v>0</v>
      </c>
      <c r="M32" s="344"/>
      <c r="N32" s="344" t="n">
        <f aca="false">+H32+(L32*V32)</f>
        <v>0</v>
      </c>
      <c r="O32" s="294"/>
      <c r="P32" s="334" t="n">
        <f aca="false">+$R$3-D32</f>
        <v>9</v>
      </c>
      <c r="Q32" s="334"/>
      <c r="R32" s="348" t="n">
        <f aca="false">+R31</f>
        <v>0.0518125</v>
      </c>
      <c r="S32" s="334"/>
      <c r="T32" s="336" t="n">
        <f aca="false">+N32*(R32+$R$4)/360*P32</f>
        <v>0</v>
      </c>
      <c r="U32" s="294"/>
      <c r="V32" s="349" t="n">
        <f aca="false">+V31+F32</f>
        <v>6703300</v>
      </c>
      <c r="W32" s="349"/>
      <c r="X32" s="338" t="n">
        <f aca="false">+X31+N32+T32</f>
        <v>300058895.238284</v>
      </c>
      <c r="Y32" s="298"/>
      <c r="Z32" s="302" t="n">
        <f aca="false">+X32/V32</f>
        <v>44.7628623570903</v>
      </c>
    </row>
    <row r="33" customFormat="false" ht="10.5" hidden="false" customHeight="true" outlineLevel="0" collapsed="false">
      <c r="A33" s="294"/>
      <c r="B33" s="294"/>
      <c r="C33" s="294"/>
      <c r="D33" s="342" t="n">
        <f aca="false">+D32+1</f>
        <v>36345</v>
      </c>
      <c r="E33" s="342"/>
      <c r="F33" s="343" t="n">
        <v>0</v>
      </c>
      <c r="G33" s="344"/>
      <c r="H33" s="345" t="n">
        <v>0</v>
      </c>
      <c r="I33" s="344"/>
      <c r="J33" s="346" t="n">
        <f aca="false">IF(F33=0,0,+H33/F33)</f>
        <v>0</v>
      </c>
      <c r="K33" s="344"/>
      <c r="L33" s="347" t="n">
        <v>0</v>
      </c>
      <c r="M33" s="344"/>
      <c r="N33" s="344" t="n">
        <f aca="false">+H33+(L33*V33)</f>
        <v>0</v>
      </c>
      <c r="O33" s="294"/>
      <c r="P33" s="334" t="n">
        <f aca="false">+$R$3-D33</f>
        <v>8</v>
      </c>
      <c r="Q33" s="334"/>
      <c r="R33" s="348" t="n">
        <f aca="false">+R32</f>
        <v>0.0518125</v>
      </c>
      <c r="S33" s="334"/>
      <c r="T33" s="336" t="n">
        <f aca="false">+N33*(R33+$R$4)/360*P33</f>
        <v>0</v>
      </c>
      <c r="U33" s="294"/>
      <c r="V33" s="349" t="n">
        <f aca="false">+V30+F33</f>
        <v>6703300</v>
      </c>
      <c r="W33" s="349"/>
      <c r="X33" s="338" t="n">
        <f aca="false">+X30+N33+T33</f>
        <v>300058895.238284</v>
      </c>
      <c r="Y33" s="298"/>
      <c r="Z33" s="302" t="n">
        <f aca="false">+X33/V33</f>
        <v>44.7628623570903</v>
      </c>
    </row>
    <row r="34" customFormat="false" ht="10.5" hidden="false" customHeight="true" outlineLevel="0" collapsed="false">
      <c r="A34" s="294"/>
      <c r="B34" s="294"/>
      <c r="C34" s="294"/>
      <c r="D34" s="342" t="n">
        <f aca="false">+D33+1</f>
        <v>36346</v>
      </c>
      <c r="E34" s="342"/>
      <c r="F34" s="343" t="n">
        <v>0</v>
      </c>
      <c r="G34" s="344"/>
      <c r="H34" s="345" t="n">
        <v>0</v>
      </c>
      <c r="I34" s="344"/>
      <c r="J34" s="346" t="n">
        <f aca="false">IF(F34=0,0,+H34/F34)</f>
        <v>0</v>
      </c>
      <c r="K34" s="344"/>
      <c r="L34" s="347" t="n">
        <v>0</v>
      </c>
      <c r="M34" s="344"/>
      <c r="N34" s="344" t="n">
        <f aca="false">+H34+(L34*V34)</f>
        <v>0</v>
      </c>
      <c r="O34" s="294"/>
      <c r="P34" s="334" t="n">
        <f aca="false">+$R$3-D34</f>
        <v>7</v>
      </c>
      <c r="Q34" s="334"/>
      <c r="R34" s="348" t="n">
        <f aca="false">+R33</f>
        <v>0.0518125</v>
      </c>
      <c r="S34" s="334"/>
      <c r="T34" s="336" t="n">
        <f aca="false">+N34*(R34+$R$4)/360*P34</f>
        <v>0</v>
      </c>
      <c r="U34" s="294"/>
      <c r="V34" s="349" t="n">
        <f aca="false">+V33+F34</f>
        <v>6703300</v>
      </c>
      <c r="W34" s="349"/>
      <c r="X34" s="338" t="n">
        <f aca="false">+X33+N34+T34</f>
        <v>300058895.238284</v>
      </c>
      <c r="Y34" s="298"/>
      <c r="Z34" s="302" t="n">
        <f aca="false">+X34/V34</f>
        <v>44.7628623570903</v>
      </c>
    </row>
    <row r="35" customFormat="false" ht="10.5" hidden="false" customHeight="true" outlineLevel="0" collapsed="false">
      <c r="A35" s="294"/>
      <c r="B35" s="294"/>
      <c r="C35" s="294"/>
      <c r="D35" s="342" t="n">
        <f aca="false">+D34+1</f>
        <v>36347</v>
      </c>
      <c r="E35" s="342"/>
      <c r="F35" s="343" t="n">
        <v>0</v>
      </c>
      <c r="G35" s="344"/>
      <c r="H35" s="345" t="n">
        <v>0</v>
      </c>
      <c r="I35" s="344"/>
      <c r="J35" s="346" t="n">
        <f aca="false">IF(F35=0,0,+H35/F35)</f>
        <v>0</v>
      </c>
      <c r="K35" s="344"/>
      <c r="L35" s="347" t="n">
        <v>0</v>
      </c>
      <c r="M35" s="344"/>
      <c r="N35" s="344" t="n">
        <f aca="false">+H35+(L35*V35)</f>
        <v>0</v>
      </c>
      <c r="O35" s="294"/>
      <c r="P35" s="334" t="n">
        <f aca="false">+$R$3-D35</f>
        <v>6</v>
      </c>
      <c r="Q35" s="334"/>
      <c r="R35" s="348" t="n">
        <f aca="false">+R34</f>
        <v>0.0518125</v>
      </c>
      <c r="S35" s="334"/>
      <c r="T35" s="336" t="n">
        <f aca="false">+N35*(R35+$R$4)/360*P35</f>
        <v>0</v>
      </c>
      <c r="U35" s="294"/>
      <c r="V35" s="349" t="n">
        <f aca="false">+V34+F35</f>
        <v>6703300</v>
      </c>
      <c r="W35" s="349"/>
      <c r="X35" s="338" t="n">
        <f aca="false">+X34+N35+T35</f>
        <v>300058895.238284</v>
      </c>
      <c r="Y35" s="298"/>
      <c r="Z35" s="302" t="n">
        <f aca="false">+X35/V35</f>
        <v>44.7628623570903</v>
      </c>
    </row>
    <row r="36" customFormat="false" ht="10.5" hidden="false" customHeight="true" outlineLevel="0" collapsed="false">
      <c r="A36" s="294"/>
      <c r="B36" s="294"/>
      <c r="C36" s="294"/>
      <c r="D36" s="342" t="n">
        <f aca="false">+D35+1</f>
        <v>36348</v>
      </c>
      <c r="E36" s="342"/>
      <c r="F36" s="343" t="n">
        <v>0</v>
      </c>
      <c r="G36" s="344"/>
      <c r="H36" s="345" t="n">
        <v>0</v>
      </c>
      <c r="I36" s="344"/>
      <c r="J36" s="346" t="n">
        <f aca="false">IF(F36=0,0,+H36/F36)</f>
        <v>0</v>
      </c>
      <c r="K36" s="344"/>
      <c r="L36" s="347" t="n">
        <v>0</v>
      </c>
      <c r="M36" s="344"/>
      <c r="N36" s="344" t="n">
        <f aca="false">+H36+(L36*V36)</f>
        <v>0</v>
      </c>
      <c r="O36" s="294"/>
      <c r="P36" s="334" t="n">
        <f aca="false">+$R$3-D36</f>
        <v>5</v>
      </c>
      <c r="Q36" s="334"/>
      <c r="R36" s="348" t="n">
        <f aca="false">+R35</f>
        <v>0.0518125</v>
      </c>
      <c r="S36" s="334"/>
      <c r="T36" s="336" t="n">
        <f aca="false">+N36*(R36+$R$4)/360*P36</f>
        <v>0</v>
      </c>
      <c r="U36" s="294"/>
      <c r="V36" s="349" t="n">
        <f aca="false">+V35+F36</f>
        <v>6703300</v>
      </c>
      <c r="W36" s="349"/>
      <c r="X36" s="338" t="n">
        <f aca="false">+X35+N36+T36</f>
        <v>300058895.238284</v>
      </c>
      <c r="Y36" s="298"/>
      <c r="Z36" s="302" t="n">
        <f aca="false">+X36/V36</f>
        <v>44.7628623570903</v>
      </c>
    </row>
    <row r="37" customFormat="false" ht="10.5" hidden="false" customHeight="true" outlineLevel="0" collapsed="false">
      <c r="A37" s="294"/>
      <c r="B37" s="294"/>
      <c r="C37" s="294"/>
      <c r="D37" s="342" t="n">
        <f aca="false">+D36+1</f>
        <v>36349</v>
      </c>
      <c r="E37" s="342"/>
      <c r="F37" s="343" t="n">
        <v>0</v>
      </c>
      <c r="G37" s="344"/>
      <c r="H37" s="345" t="n">
        <v>0</v>
      </c>
      <c r="I37" s="344"/>
      <c r="J37" s="346" t="n">
        <f aca="false">IF(F37=0,0,+H37/F37)</f>
        <v>0</v>
      </c>
      <c r="K37" s="344"/>
      <c r="L37" s="347" t="n">
        <v>0</v>
      </c>
      <c r="M37" s="344"/>
      <c r="N37" s="344" t="n">
        <f aca="false">+H37+(L37*V37)</f>
        <v>0</v>
      </c>
      <c r="O37" s="294"/>
      <c r="P37" s="334" t="n">
        <f aca="false">+$R$3-D37</f>
        <v>4</v>
      </c>
      <c r="Q37" s="334"/>
      <c r="R37" s="348" t="n">
        <f aca="false">+R36</f>
        <v>0.0518125</v>
      </c>
      <c r="S37" s="334"/>
      <c r="T37" s="336" t="n">
        <f aca="false">+N37*(R37+$R$4)/360*P37</f>
        <v>0</v>
      </c>
      <c r="U37" s="294"/>
      <c r="V37" s="349" t="n">
        <f aca="false">+V36+F37</f>
        <v>6703300</v>
      </c>
      <c r="W37" s="349"/>
      <c r="X37" s="338" t="n">
        <f aca="false">+X36+N37+T37</f>
        <v>300058895.238284</v>
      </c>
      <c r="Y37" s="298"/>
      <c r="Z37" s="302" t="n">
        <f aca="false">+X37/V37</f>
        <v>44.7628623570903</v>
      </c>
    </row>
    <row r="38" customFormat="false" ht="10.5" hidden="false" customHeight="true" outlineLevel="0" collapsed="false">
      <c r="A38" s="294"/>
      <c r="B38" s="294"/>
      <c r="C38" s="294"/>
      <c r="D38" s="342" t="n">
        <f aca="false">+D37+1</f>
        <v>36350</v>
      </c>
      <c r="E38" s="342"/>
      <c r="F38" s="343" t="n">
        <v>0</v>
      </c>
      <c r="G38" s="344"/>
      <c r="H38" s="345" t="n">
        <v>0</v>
      </c>
      <c r="I38" s="344"/>
      <c r="J38" s="346" t="n">
        <f aca="false">IF(F38=0,0,+H38/F38)</f>
        <v>0</v>
      </c>
      <c r="K38" s="344"/>
      <c r="L38" s="347" t="n">
        <v>0</v>
      </c>
      <c r="M38" s="344"/>
      <c r="N38" s="344" t="n">
        <f aca="false">+H38+(L38*V38)</f>
        <v>0</v>
      </c>
      <c r="O38" s="294"/>
      <c r="P38" s="334" t="n">
        <f aca="false">+$R$3-D38</f>
        <v>3</v>
      </c>
      <c r="Q38" s="334"/>
      <c r="R38" s="348" t="n">
        <f aca="false">+R37</f>
        <v>0.0518125</v>
      </c>
      <c r="S38" s="334"/>
      <c r="T38" s="336" t="n">
        <f aca="false">+N38*(R38+$R$4)/360*P38</f>
        <v>0</v>
      </c>
      <c r="U38" s="294"/>
      <c r="V38" s="349" t="n">
        <f aca="false">+V37+F38</f>
        <v>6703300</v>
      </c>
      <c r="W38" s="349"/>
      <c r="X38" s="338" t="n">
        <f aca="false">+X37+N38+T38</f>
        <v>300058895.238284</v>
      </c>
      <c r="Y38" s="298"/>
      <c r="Z38" s="302" t="n">
        <f aca="false">+X38/V38</f>
        <v>44.7628623570903</v>
      </c>
    </row>
    <row r="39" customFormat="false" ht="10.5" hidden="false" customHeight="true" outlineLevel="0" collapsed="false">
      <c r="A39" s="294"/>
      <c r="B39" s="294"/>
      <c r="C39" s="294"/>
      <c r="D39" s="342" t="n">
        <f aca="false">+D38+1</f>
        <v>36351</v>
      </c>
      <c r="E39" s="342"/>
      <c r="F39" s="343" t="n">
        <v>0</v>
      </c>
      <c r="G39" s="344"/>
      <c r="H39" s="345" t="n">
        <v>0</v>
      </c>
      <c r="I39" s="344"/>
      <c r="J39" s="346" t="n">
        <f aca="false">IF(F39=0,0,+H39/F39)</f>
        <v>0</v>
      </c>
      <c r="K39" s="344"/>
      <c r="L39" s="347" t="n">
        <v>0</v>
      </c>
      <c r="M39" s="344"/>
      <c r="N39" s="344" t="n">
        <f aca="false">+H39+(L39*V39)</f>
        <v>0</v>
      </c>
      <c r="O39" s="294"/>
      <c r="P39" s="334" t="n">
        <f aca="false">+$R$3-D39</f>
        <v>2</v>
      </c>
      <c r="Q39" s="334"/>
      <c r="R39" s="348" t="n">
        <f aca="false">+R38</f>
        <v>0.0518125</v>
      </c>
      <c r="S39" s="334"/>
      <c r="T39" s="336" t="n">
        <f aca="false">+N39*(R39+$R$4)/360*P39</f>
        <v>0</v>
      </c>
      <c r="U39" s="294"/>
      <c r="V39" s="349" t="n">
        <f aca="false">+V38+F39</f>
        <v>6703300</v>
      </c>
      <c r="W39" s="349"/>
      <c r="X39" s="338" t="n">
        <f aca="false">+X38+N39+T39</f>
        <v>300058895.238284</v>
      </c>
      <c r="Y39" s="298"/>
      <c r="Z39" s="302" t="n">
        <f aca="false">+X39/V39</f>
        <v>44.7628623570903</v>
      </c>
    </row>
    <row r="40" customFormat="false" ht="10.5" hidden="false" customHeight="true" outlineLevel="0" collapsed="false">
      <c r="A40" s="294"/>
      <c r="B40" s="294"/>
      <c r="C40" s="294"/>
      <c r="D40" s="342" t="n">
        <f aca="false">+D39+1</f>
        <v>36352</v>
      </c>
      <c r="E40" s="342"/>
      <c r="F40" s="343" t="n">
        <v>0</v>
      </c>
      <c r="G40" s="344"/>
      <c r="H40" s="345" t="n">
        <v>0</v>
      </c>
      <c r="I40" s="344"/>
      <c r="J40" s="346" t="n">
        <f aca="false">IF(F40=0,0,+H40/F40)</f>
        <v>0</v>
      </c>
      <c r="K40" s="344"/>
      <c r="L40" s="347" t="n">
        <v>0</v>
      </c>
      <c r="M40" s="344"/>
      <c r="N40" s="344" t="n">
        <f aca="false">+H40+(L40*V40)</f>
        <v>0</v>
      </c>
      <c r="O40" s="294"/>
      <c r="P40" s="334" t="n">
        <f aca="false">+$R$3-D40</f>
        <v>1</v>
      </c>
      <c r="Q40" s="334"/>
      <c r="R40" s="348" t="n">
        <f aca="false">+R39</f>
        <v>0.0518125</v>
      </c>
      <c r="S40" s="334"/>
      <c r="T40" s="336" t="n">
        <f aca="false">+N40*(R40+$R$4)/360*P40</f>
        <v>0</v>
      </c>
      <c r="U40" s="294"/>
      <c r="V40" s="349" t="n">
        <f aca="false">+V39+F40</f>
        <v>6703300</v>
      </c>
      <c r="W40" s="349"/>
      <c r="X40" s="338" t="n">
        <f aca="false">+X39+N40+T40</f>
        <v>300058895.238284</v>
      </c>
      <c r="Y40" s="298"/>
      <c r="Z40" s="302" t="n">
        <f aca="false">+X40/V40</f>
        <v>44.7628623570903</v>
      </c>
    </row>
    <row r="41" customFormat="false" ht="10.5" hidden="false" customHeight="true" outlineLevel="0" collapsed="false">
      <c r="A41" s="294"/>
      <c r="B41" s="294"/>
      <c r="C41" s="294"/>
      <c r="D41" s="342" t="n">
        <f aca="false">+D40+1</f>
        <v>36353</v>
      </c>
      <c r="E41" s="342"/>
      <c r="F41" s="350" t="n">
        <v>-2888249</v>
      </c>
      <c r="G41" s="344"/>
      <c r="H41" s="345" t="n">
        <v>0</v>
      </c>
      <c r="I41" s="344"/>
      <c r="J41" s="351" t="n">
        <v>44.546</v>
      </c>
      <c r="K41" s="344"/>
      <c r="L41" s="347" t="n">
        <v>0</v>
      </c>
      <c r="M41" s="344"/>
      <c r="N41" s="333" t="n">
        <f aca="false">F41*J41</f>
        <v>-128659939.954</v>
      </c>
      <c r="O41" s="294"/>
      <c r="P41" s="334" t="n">
        <f aca="false">+$R$3-D41</f>
        <v>0</v>
      </c>
      <c r="Q41" s="334"/>
      <c r="R41" s="348" t="n">
        <f aca="false">+R40</f>
        <v>0.0518125</v>
      </c>
      <c r="S41" s="334"/>
      <c r="T41" s="336" t="n">
        <f aca="false">+N41*(R41+$R$4)/360*P41</f>
        <v>-0</v>
      </c>
      <c r="U41" s="294"/>
      <c r="V41" s="349" t="n">
        <f aca="false">+V40+F41</f>
        <v>3815051</v>
      </c>
      <c r="W41" s="349"/>
      <c r="X41" s="338" t="n">
        <f aca="false">+X40+N41+T41</f>
        <v>171398955.284284</v>
      </c>
      <c r="Y41" s="298"/>
      <c r="Z41" s="302" t="n">
        <f aca="false">+X41/V41</f>
        <v>44.9270416789405</v>
      </c>
    </row>
    <row r="42" customFormat="false" ht="10.5" hidden="false" customHeight="true" outlineLevel="0" collapsed="false">
      <c r="A42" s="294"/>
      <c r="B42" s="294"/>
      <c r="C42" s="294"/>
      <c r="D42" s="342" t="n">
        <f aca="false">+D40+1</f>
        <v>36353</v>
      </c>
      <c r="E42" s="342"/>
      <c r="F42" s="329" t="n">
        <v>3815051</v>
      </c>
      <c r="G42" s="344"/>
      <c r="H42" s="352" t="n">
        <v>0</v>
      </c>
      <c r="I42" s="344"/>
      <c r="J42" s="351" t="n">
        <v>78</v>
      </c>
      <c r="K42" s="344"/>
      <c r="L42" s="353" t="n">
        <v>0</v>
      </c>
      <c r="M42" s="344"/>
      <c r="N42" s="333" t="n">
        <f aca="false">F42*J42</f>
        <v>297573978</v>
      </c>
      <c r="O42" s="294"/>
      <c r="P42" s="334" t="n">
        <v>1</v>
      </c>
      <c r="Q42" s="334"/>
      <c r="R42" s="348" t="n">
        <f aca="false">+R40</f>
        <v>0.0518125</v>
      </c>
      <c r="S42" s="334"/>
      <c r="T42" s="354" t="n">
        <f aca="false">+N42*(R42+$R$4)/360*P42</f>
        <v>48200.784978125</v>
      </c>
      <c r="U42" s="294"/>
      <c r="V42" s="355" t="n">
        <f aca="false">+F42</f>
        <v>3815051</v>
      </c>
      <c r="W42" s="349"/>
      <c r="X42" s="338" t="n">
        <f aca="false">+N42+T42</f>
        <v>297622178.784978</v>
      </c>
      <c r="Y42" s="298"/>
      <c r="Z42" s="302" t="n">
        <f aca="false">+X42/V42</f>
        <v>78.012634375</v>
      </c>
    </row>
    <row r="43" customFormat="false" ht="10.5" hidden="false" customHeight="true" outlineLevel="0" collapsed="false">
      <c r="A43" s="294"/>
      <c r="B43" s="356" t="s">
        <v>386</v>
      </c>
      <c r="C43" s="300"/>
      <c r="D43" s="300"/>
      <c r="E43" s="342"/>
      <c r="F43" s="357" t="n">
        <v>0</v>
      </c>
      <c r="G43" s="344"/>
      <c r="H43" s="344" t="n">
        <f aca="false">SUM(H12:H39)</f>
        <v>0</v>
      </c>
      <c r="I43" s="344"/>
      <c r="J43" s="346" t="n">
        <f aca="false">IF(F43=0,0,+H43/F43)</f>
        <v>0</v>
      </c>
      <c r="K43" s="344"/>
      <c r="L43" s="344"/>
      <c r="M43" s="344"/>
      <c r="N43" s="358"/>
      <c r="O43" s="300"/>
      <c r="P43" s="300"/>
      <c r="Q43" s="300"/>
      <c r="R43" s="300"/>
      <c r="S43" s="300"/>
      <c r="T43" s="359"/>
      <c r="U43" s="300"/>
      <c r="V43" s="300"/>
      <c r="W43" s="300"/>
      <c r="X43" s="360"/>
      <c r="Y43" s="300"/>
      <c r="Z43" s="361"/>
    </row>
    <row r="44" customFormat="false" ht="10.5" hidden="false" customHeight="true" outlineLevel="0" collapsed="false">
      <c r="A44" s="300"/>
      <c r="F44" s="362"/>
      <c r="G44" s="362"/>
      <c r="H44" s="362"/>
      <c r="I44" s="362"/>
      <c r="J44" s="363"/>
      <c r="K44" s="358"/>
      <c r="L44" s="364" t="n">
        <f aca="false">SUM(L12:L43)</f>
        <v>0</v>
      </c>
      <c r="M44" s="358"/>
      <c r="N44" s="365" t="n">
        <f aca="false">SUM(N10:N42)</f>
        <v>467521885.774229</v>
      </c>
      <c r="O44" s="294"/>
      <c r="P44" s="334"/>
      <c r="Q44" s="334"/>
      <c r="R44" s="339"/>
      <c r="S44" s="334"/>
      <c r="T44" s="366" t="n">
        <f aca="false">SUM(T10:T42)</f>
        <v>1499248.29503249</v>
      </c>
      <c r="U44" s="294"/>
      <c r="V44" s="349"/>
      <c r="W44" s="349"/>
      <c r="X44" s="360" t="n">
        <f aca="false">+X42</f>
        <v>297622178.784978</v>
      </c>
      <c r="Y44" s="298"/>
      <c r="Z44" s="302"/>
    </row>
    <row r="45" customFormat="false" ht="10.5" hidden="false" customHeight="true" outlineLevel="0" collapsed="false">
      <c r="A45" s="294"/>
      <c r="B45" s="367" t="s">
        <v>387</v>
      </c>
      <c r="C45" s="300"/>
      <c r="D45" s="300"/>
      <c r="E45" s="300"/>
      <c r="F45" s="358"/>
      <c r="G45" s="358"/>
      <c r="H45" s="368" t="n">
        <v>0</v>
      </c>
      <c r="I45" s="358"/>
      <c r="J45" s="369" t="n">
        <f aca="false">IF(F43=0,0,H45/F43)</f>
        <v>0</v>
      </c>
      <c r="K45" s="344"/>
      <c r="L45" s="344"/>
      <c r="M45" s="344"/>
      <c r="N45" s="358"/>
      <c r="O45" s="300"/>
      <c r="P45" s="300"/>
      <c r="Q45" s="300"/>
      <c r="R45" s="370"/>
      <c r="S45" s="300"/>
      <c r="T45" s="300"/>
      <c r="U45" s="300"/>
      <c r="V45" s="300"/>
      <c r="W45" s="300"/>
      <c r="X45" s="371" t="n">
        <f aca="false">+H45</f>
        <v>0</v>
      </c>
      <c r="Y45" s="300"/>
      <c r="Z45" s="302"/>
    </row>
    <row r="46" customFormat="false" ht="10.5" hidden="false" customHeight="true" outlineLevel="0" collapsed="false">
      <c r="A46" s="294"/>
      <c r="B46" s="301" t="s">
        <v>388</v>
      </c>
      <c r="C46" s="300"/>
      <c r="D46" s="300"/>
      <c r="E46" s="301"/>
      <c r="F46" s="344"/>
      <c r="G46" s="344"/>
      <c r="H46" s="365" t="n">
        <f aca="false">+H45+H43+H10</f>
        <v>0</v>
      </c>
      <c r="I46" s="344"/>
      <c r="J46" s="346" t="n">
        <f aca="false">IF(F43=0,0,+H46/F43)</f>
        <v>0</v>
      </c>
      <c r="K46" s="344"/>
      <c r="L46" s="344"/>
      <c r="M46" s="344"/>
      <c r="N46" s="358"/>
      <c r="O46" s="300"/>
      <c r="P46" s="300"/>
      <c r="Q46" s="300"/>
      <c r="R46" s="370"/>
      <c r="S46" s="300"/>
      <c r="T46" s="300"/>
      <c r="U46" s="300"/>
      <c r="V46" s="300"/>
      <c r="W46" s="300"/>
      <c r="X46" s="372"/>
      <c r="Y46" s="300"/>
      <c r="Z46" s="302"/>
    </row>
    <row r="47" customFormat="false" ht="10.5" hidden="false" customHeight="true" outlineLevel="0" collapsed="false">
      <c r="A47" s="294"/>
      <c r="Z47" s="247"/>
    </row>
    <row r="48" customFormat="false" ht="18.75" hidden="false" customHeight="true" outlineLevel="0" collapsed="false">
      <c r="A48" s="300"/>
      <c r="B48" s="308" t="s">
        <v>389</v>
      </c>
      <c r="C48" s="300"/>
      <c r="D48" s="300"/>
      <c r="E48" s="300"/>
      <c r="F48" s="300"/>
      <c r="G48" s="373"/>
      <c r="H48" s="299"/>
      <c r="I48" s="298"/>
      <c r="J48" s="299"/>
      <c r="K48" s="298"/>
      <c r="L48" s="298"/>
      <c r="M48" s="298"/>
      <c r="N48" s="298"/>
      <c r="O48" s="294"/>
      <c r="P48" s="311"/>
      <c r="Q48" s="311"/>
      <c r="R48" s="314"/>
      <c r="S48" s="311"/>
      <c r="T48" s="294"/>
      <c r="U48" s="294"/>
      <c r="V48" s="374" t="n">
        <f aca="false">+V42</f>
        <v>3815051</v>
      </c>
      <c r="W48" s="375"/>
      <c r="X48" s="376" t="n">
        <f aca="false">+X45+X44</f>
        <v>297622178.784978</v>
      </c>
      <c r="Y48" s="377"/>
      <c r="Z48" s="378" t="n">
        <f aca="false">+X48/V48</f>
        <v>78.012634375</v>
      </c>
    </row>
    <row r="49" customFormat="false" ht="13.5" hidden="false" customHeight="false" outlineLevel="0" collapsed="false">
      <c r="X49" s="165"/>
    </row>
    <row r="50" customFormat="false" ht="12.75" hidden="false" customHeight="false" outlineLevel="0" collapsed="false">
      <c r="Z50" s="247"/>
    </row>
    <row r="51" customFormat="false" ht="12.75" hidden="false" customHeight="false" outlineLevel="0" collapsed="false">
      <c r="T51" s="0" t="s">
        <v>312</v>
      </c>
      <c r="V51" s="379" t="e">
        <f aca="false">#REF!</f>
        <v>#REF!</v>
      </c>
      <c r="X51" s="292" t="e">
        <f aca="false">(V51-Z48)*V48</f>
        <v>#REF!</v>
      </c>
    </row>
  </sheetData>
  <printOptions headings="false" gridLines="false" gridLinesSet="true" horizontalCentered="false" verticalCentered="false"/>
  <pageMargins left="0.2" right="0.747916666666667" top="0.390277777777778" bottom="0.25"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21.13671875" defaultRowHeight="15.75" customHeight="true" zeroHeight="false" outlineLevelRow="0" outlineLevelCol="0"/>
  <cols>
    <col collapsed="false" customWidth="true" hidden="false" outlineLevel="0" max="1" min="1" style="0" width="2.28"/>
    <col collapsed="false" customWidth="true" hidden="false" outlineLevel="0" max="2" min="2" style="0" width="12.56"/>
    <col collapsed="false" customWidth="true" hidden="false" outlineLevel="0" max="3" min="3" style="0" width="7.42"/>
    <col collapsed="false" customWidth="true" hidden="false" outlineLevel="0" max="4" min="4" style="0" width="16.42"/>
    <col collapsed="false" customWidth="true" hidden="false" outlineLevel="0" max="5" min="5" style="0" width="2.28"/>
    <col collapsed="false" customWidth="true" hidden="false" outlineLevel="0" max="6" min="6" style="380" width="8.7"/>
    <col collapsed="false" customWidth="true" hidden="false" outlineLevel="0" max="7" min="7" style="0" width="2.28"/>
    <col collapsed="false" customWidth="true" hidden="false" outlineLevel="0" max="8" min="8" style="0" width="17.14"/>
    <col collapsed="false" customWidth="true" hidden="false" outlineLevel="0" max="9" min="9" style="0" width="2.28"/>
    <col collapsed="false" customWidth="true" hidden="false" outlineLevel="0" max="10" min="10" style="0" width="16.42"/>
    <col collapsed="false" customWidth="true" hidden="false" outlineLevel="0" max="11" min="11" style="0" width="2.42"/>
    <col collapsed="false" customWidth="true" hidden="false" outlineLevel="0" max="12" min="12" style="10" width="13.85"/>
    <col collapsed="false" customWidth="true" hidden="false" outlineLevel="0" max="13" min="13" style="0" width="2.28"/>
    <col collapsed="false" customWidth="true" hidden="false" outlineLevel="0" max="14" min="14" style="0" width="13.85"/>
    <col collapsed="false" customWidth="true" hidden="false" outlineLevel="0" max="15" min="15" style="0" width="2.28"/>
    <col collapsed="false" customWidth="true" hidden="false" outlineLevel="0" max="16" min="16" style="0" width="18.99"/>
    <col collapsed="false" customWidth="true" hidden="true" outlineLevel="0" max="17" min="17" style="0" width="2.28"/>
    <col collapsed="false" customWidth="true" hidden="true" outlineLevel="0" max="18" min="18" style="0" width="16.42"/>
    <col collapsed="false" customWidth="true" hidden="true" outlineLevel="0" max="19" min="19" style="0" width="2.28"/>
    <col collapsed="false" customWidth="true" hidden="true" outlineLevel="0" max="20" min="20" style="0" width="19.28"/>
    <col collapsed="false" customWidth="true" hidden="true" outlineLevel="0" max="21" min="21" style="0" width="2.28"/>
    <col collapsed="false" customWidth="false" hidden="false" outlineLevel="0" max="22" min="22" style="165" width="21.13"/>
  </cols>
  <sheetData>
    <row r="1" customFormat="false" ht="15.75" hidden="false" customHeight="false" outlineLevel="0" collapsed="false">
      <c r="A1" s="381"/>
      <c r="B1" s="382"/>
      <c r="C1" s="383"/>
      <c r="D1" s="381"/>
      <c r="E1" s="381"/>
      <c r="F1" s="384"/>
      <c r="G1" s="381"/>
      <c r="H1" s="381"/>
      <c r="I1" s="381"/>
      <c r="J1" s="381"/>
      <c r="K1" s="381"/>
      <c r="L1" s="385"/>
      <c r="M1" s="381"/>
      <c r="N1" s="381"/>
      <c r="O1" s="381"/>
      <c r="P1" s="386" t="n">
        <f aca="true">NOW()</f>
        <v>45926.927566577</v>
      </c>
      <c r="Q1" s="381"/>
      <c r="R1" s="381"/>
      <c r="S1" s="381"/>
      <c r="U1" s="381"/>
    </row>
    <row r="2" customFormat="false" ht="15.75" hidden="false" customHeight="false" outlineLevel="0" collapsed="false">
      <c r="A2" s="381"/>
      <c r="B2" s="382" t="s">
        <v>390</v>
      </c>
      <c r="C2" s="383"/>
      <c r="D2" s="381"/>
      <c r="E2" s="381"/>
      <c r="F2" s="384"/>
      <c r="G2" s="381"/>
      <c r="H2" s="381"/>
      <c r="I2" s="381"/>
      <c r="J2" s="381"/>
      <c r="K2" s="381"/>
      <c r="L2" s="385"/>
      <c r="M2" s="381"/>
      <c r="N2" s="381"/>
      <c r="O2" s="381"/>
      <c r="P2" s="387" t="n">
        <f aca="true">NOW()</f>
        <v>45926.9275665771</v>
      </c>
      <c r="Q2" s="381"/>
      <c r="R2" s="381"/>
      <c r="S2" s="381"/>
      <c r="U2" s="381"/>
    </row>
    <row r="3" customFormat="false" ht="15.75" hidden="false" customHeight="false" outlineLevel="0" collapsed="false">
      <c r="A3" s="381"/>
      <c r="B3" s="388" t="n">
        <v>1999</v>
      </c>
      <c r="C3" s="388"/>
      <c r="D3" s="389"/>
      <c r="E3" s="389"/>
      <c r="F3" s="390"/>
      <c r="G3" s="389"/>
      <c r="H3" s="389"/>
      <c r="I3" s="381"/>
      <c r="J3" s="381"/>
      <c r="K3" s="381"/>
      <c r="L3" s="385"/>
      <c r="M3" s="381"/>
      <c r="N3" s="381"/>
      <c r="O3" s="381"/>
      <c r="P3" s="381"/>
      <c r="Q3" s="381"/>
      <c r="R3" s="381"/>
      <c r="S3" s="381"/>
      <c r="U3" s="381"/>
    </row>
    <row r="4" customFormat="false" ht="15.75" hidden="false" customHeight="false" outlineLevel="0" collapsed="false">
      <c r="A4" s="381"/>
      <c r="B4" s="391" t="e">
        <f aca="false">#REF!</f>
        <v>#REF!</v>
      </c>
      <c r="C4" s="392"/>
      <c r="D4" s="392"/>
      <c r="E4" s="392"/>
      <c r="F4" s="393"/>
      <c r="G4" s="394"/>
      <c r="H4" s="391"/>
      <c r="I4" s="395"/>
      <c r="J4" s="381"/>
      <c r="K4" s="381"/>
      <c r="L4" s="385"/>
      <c r="M4" s="381"/>
      <c r="N4" s="381"/>
      <c r="O4" s="381"/>
      <c r="P4" s="381"/>
      <c r="Q4" s="381"/>
      <c r="R4" s="381"/>
      <c r="S4" s="381"/>
      <c r="T4" s="381"/>
      <c r="U4" s="381"/>
    </row>
    <row r="5" customFormat="false" ht="15.75" hidden="false" customHeight="false" outlineLevel="0" collapsed="false">
      <c r="A5" s="381"/>
      <c r="B5" s="383"/>
      <c r="C5" s="396"/>
      <c r="D5" s="381"/>
      <c r="E5" s="381"/>
      <c r="F5" s="384"/>
      <c r="G5" s="381"/>
      <c r="H5" s="381"/>
      <c r="I5" s="381"/>
      <c r="J5" s="381"/>
      <c r="K5" s="381"/>
      <c r="L5" s="385"/>
      <c r="M5" s="381"/>
      <c r="N5" s="381"/>
      <c r="O5" s="381"/>
      <c r="P5" s="381"/>
      <c r="Q5" s="381"/>
      <c r="R5" s="381"/>
      <c r="S5" s="381"/>
      <c r="T5" s="381"/>
      <c r="U5" s="381"/>
    </row>
    <row r="6" customFormat="false" ht="15.75" hidden="false" customHeight="false" outlineLevel="0" collapsed="false">
      <c r="A6" s="381"/>
      <c r="B6" s="396"/>
      <c r="C6" s="396"/>
      <c r="D6" s="396"/>
      <c r="E6" s="381"/>
      <c r="F6" s="381"/>
      <c r="G6" s="384"/>
      <c r="H6" s="381"/>
      <c r="I6" s="381"/>
      <c r="J6" s="381"/>
      <c r="K6" s="381"/>
      <c r="L6" s="385"/>
      <c r="M6" s="381"/>
      <c r="N6" s="381"/>
      <c r="O6" s="381"/>
      <c r="P6" s="381"/>
      <c r="Q6" s="381"/>
      <c r="R6" s="381"/>
      <c r="S6" s="381"/>
      <c r="T6" s="381"/>
      <c r="U6" s="381"/>
    </row>
    <row r="7" customFormat="false" ht="15.75" hidden="false" customHeight="false" outlineLevel="0" collapsed="false">
      <c r="A7" s="381"/>
      <c r="B7" s="396"/>
      <c r="C7" s="396"/>
      <c r="D7" s="381"/>
      <c r="E7" s="381"/>
      <c r="F7" s="384"/>
      <c r="G7" s="381"/>
      <c r="H7" s="381"/>
      <c r="I7" s="381"/>
      <c r="J7" s="381"/>
      <c r="K7" s="381"/>
      <c r="L7" s="385"/>
      <c r="M7" s="381"/>
      <c r="N7" s="381"/>
      <c r="O7" s="381"/>
      <c r="P7" s="381"/>
      <c r="Q7" s="381"/>
      <c r="R7" s="381"/>
      <c r="S7" s="381"/>
      <c r="T7" s="381"/>
      <c r="U7" s="381"/>
    </row>
    <row r="8" customFormat="false" ht="15.75" hidden="false" customHeight="false" outlineLevel="0" collapsed="false">
      <c r="A8" s="381"/>
      <c r="B8" s="381"/>
      <c r="C8" s="381"/>
      <c r="D8" s="381"/>
      <c r="E8" s="381"/>
      <c r="F8" s="384"/>
      <c r="G8" s="381"/>
      <c r="H8" s="381"/>
      <c r="I8" s="381"/>
      <c r="J8" s="381"/>
      <c r="K8" s="381"/>
      <c r="L8" s="385"/>
      <c r="M8" s="381"/>
      <c r="N8" s="381"/>
      <c r="O8" s="381"/>
      <c r="P8" s="381"/>
      <c r="Q8" s="381"/>
      <c r="R8" s="381"/>
      <c r="S8" s="381"/>
      <c r="T8" s="381"/>
      <c r="U8" s="381"/>
    </row>
    <row r="9" customFormat="false" ht="15.75" hidden="false" customHeight="false" outlineLevel="0" collapsed="false">
      <c r="A9" s="381"/>
      <c r="B9" s="396" t="s">
        <v>391</v>
      </c>
      <c r="C9" s="396"/>
      <c r="D9" s="397" t="e">
        <f aca="false">#REF!</f>
        <v>#REF!</v>
      </c>
      <c r="E9" s="398"/>
      <c r="F9" s="399"/>
      <c r="G9" s="398"/>
      <c r="H9" s="381"/>
      <c r="I9" s="381"/>
      <c r="J9" s="381"/>
      <c r="K9" s="381"/>
      <c r="L9" s="385"/>
      <c r="M9" s="381"/>
      <c r="N9" s="381"/>
      <c r="O9" s="381"/>
      <c r="P9" s="381"/>
      <c r="Q9" s="381"/>
      <c r="R9" s="381"/>
      <c r="S9" s="381"/>
      <c r="T9" s="381"/>
      <c r="U9" s="381"/>
    </row>
    <row r="10" customFormat="false" ht="15.75" hidden="true" customHeight="false" outlineLevel="0" collapsed="false">
      <c r="A10" s="381"/>
      <c r="B10" s="396" t="s">
        <v>392</v>
      </c>
      <c r="C10" s="396"/>
      <c r="D10" s="400" t="n">
        <v>0</v>
      </c>
      <c r="E10" s="398"/>
      <c r="F10" s="399"/>
      <c r="G10" s="398"/>
      <c r="H10" s="381"/>
      <c r="I10" s="381"/>
      <c r="J10" s="381"/>
      <c r="K10" s="381"/>
      <c r="L10" s="385"/>
      <c r="M10" s="381"/>
      <c r="N10" s="381"/>
      <c r="O10" s="381"/>
      <c r="P10" s="381"/>
      <c r="Q10" s="381"/>
      <c r="R10" s="381"/>
      <c r="S10" s="381"/>
      <c r="T10" s="381"/>
      <c r="U10" s="381"/>
    </row>
    <row r="12" customFormat="false" ht="15.75" hidden="false" customHeight="false" outlineLevel="0" collapsed="false">
      <c r="B12" s="401" t="s">
        <v>393</v>
      </c>
      <c r="C12" s="401"/>
    </row>
    <row r="13" customFormat="false" ht="15.75" hidden="false" customHeight="false" outlineLevel="0" collapsed="false">
      <c r="N13" s="179" t="s">
        <v>394</v>
      </c>
      <c r="O13" s="179"/>
      <c r="P13" s="179"/>
      <c r="R13" s="179" t="s">
        <v>395</v>
      </c>
      <c r="S13" s="179"/>
      <c r="T13" s="179"/>
    </row>
    <row r="14" customFormat="false" ht="15.75" hidden="false" customHeight="false" outlineLevel="0" collapsed="false">
      <c r="L14" s="402" t="s">
        <v>396</v>
      </c>
      <c r="M14" s="23"/>
      <c r="N14" s="23" t="s">
        <v>396</v>
      </c>
      <c r="O14" s="23"/>
      <c r="P14" s="23"/>
      <c r="Q14" s="23"/>
      <c r="R14" s="23" t="s">
        <v>396</v>
      </c>
      <c r="S14" s="23"/>
    </row>
    <row r="15" customFormat="false" ht="15.75" hidden="false" customHeight="false" outlineLevel="0" collapsed="false">
      <c r="F15" s="403" t="s">
        <v>344</v>
      </c>
      <c r="H15" s="23" t="s">
        <v>397</v>
      </c>
      <c r="I15" s="23"/>
      <c r="J15" s="23" t="s">
        <v>396</v>
      </c>
      <c r="K15" s="23"/>
      <c r="L15" s="402" t="s">
        <v>398</v>
      </c>
      <c r="M15" s="23"/>
      <c r="N15" s="23" t="s">
        <v>398</v>
      </c>
      <c r="O15" s="23"/>
      <c r="P15" s="23" t="s">
        <v>229</v>
      </c>
      <c r="Q15" s="23"/>
      <c r="R15" s="23" t="s">
        <v>398</v>
      </c>
      <c r="S15" s="23"/>
      <c r="T15" s="23" t="s">
        <v>229</v>
      </c>
    </row>
    <row r="16" customFormat="false" ht="15.75" hidden="false" customHeight="false" outlineLevel="0" collapsed="false">
      <c r="B16" s="0" t="s">
        <v>399</v>
      </c>
      <c r="D16" s="110" t="s">
        <v>2</v>
      </c>
      <c r="E16" s="121"/>
      <c r="F16" s="404" t="s">
        <v>400</v>
      </c>
      <c r="G16" s="121"/>
      <c r="H16" s="110" t="s">
        <v>401</v>
      </c>
      <c r="I16" s="23"/>
      <c r="J16" s="110" t="s">
        <v>176</v>
      </c>
      <c r="K16" s="23"/>
      <c r="L16" s="405" t="s">
        <v>402</v>
      </c>
      <c r="M16" s="23"/>
      <c r="N16" s="110" t="s">
        <v>402</v>
      </c>
      <c r="O16" s="23"/>
      <c r="P16" s="110" t="s">
        <v>315</v>
      </c>
      <c r="Q16" s="23"/>
      <c r="R16" s="110" t="s">
        <v>402</v>
      </c>
      <c r="S16" s="23"/>
      <c r="T16" s="110" t="s">
        <v>315</v>
      </c>
      <c r="V16" s="406" t="s">
        <v>403</v>
      </c>
    </row>
    <row r="17" customFormat="false" ht="8.1" hidden="false" customHeight="true" outlineLevel="0" collapsed="false">
      <c r="D17" s="407"/>
      <c r="E17" s="407"/>
      <c r="F17" s="408"/>
      <c r="G17" s="407"/>
      <c r="H17" s="407"/>
      <c r="I17" s="407"/>
      <c r="J17" s="407"/>
      <c r="K17" s="407"/>
      <c r="L17" s="409"/>
      <c r="M17" s="407"/>
      <c r="N17" s="407"/>
      <c r="O17" s="407"/>
      <c r="P17" s="407"/>
      <c r="Q17" s="407"/>
      <c r="R17" s="407"/>
      <c r="S17" s="407"/>
      <c r="T17" s="407"/>
    </row>
    <row r="18" customFormat="false" ht="15.75" hidden="false" customHeight="false" outlineLevel="0" collapsed="false">
      <c r="D18" s="410" t="s">
        <v>404</v>
      </c>
      <c r="E18" s="411"/>
      <c r="F18" s="412"/>
      <c r="G18" s="413"/>
      <c r="H18" s="413"/>
      <c r="J18" s="414" t="n">
        <v>47.58776423</v>
      </c>
      <c r="L18" s="415" t="n">
        <v>0</v>
      </c>
      <c r="N18" s="416" t="e">
        <f aca="false">IF(J18&gt;$D$9,L18,0)</f>
        <v>#REF!</v>
      </c>
      <c r="O18" s="417"/>
      <c r="P18" s="418" t="e">
        <f aca="false">IF(J18&gt;$D$9,J18*L18,0)</f>
        <v>#REF!</v>
      </c>
      <c r="R18" s="416"/>
      <c r="T18" s="418"/>
    </row>
    <row r="19" customFormat="false" ht="15.75" hidden="false" customHeight="false" outlineLevel="0" collapsed="false">
      <c r="D19" s="410" t="n">
        <v>35123</v>
      </c>
      <c r="E19" s="411"/>
      <c r="F19" s="412"/>
      <c r="G19" s="413"/>
      <c r="H19" s="413"/>
      <c r="J19" s="419" t="n">
        <v>57.89</v>
      </c>
      <c r="L19" s="415" t="n">
        <v>0</v>
      </c>
      <c r="N19" s="416" t="e">
        <f aca="false">IF(J19&gt;$D$9,L19,0)</f>
        <v>#REF!</v>
      </c>
      <c r="O19" s="417"/>
      <c r="P19" s="418" t="e">
        <f aca="false">IF(J19&gt;$D$9,J19*L19,0)</f>
        <v>#REF!</v>
      </c>
      <c r="R19" s="416"/>
      <c r="T19" s="418"/>
    </row>
    <row r="20" customFormat="false" ht="15.75" hidden="false" customHeight="false" outlineLevel="0" collapsed="false">
      <c r="D20" s="410" t="n">
        <v>35155</v>
      </c>
      <c r="E20" s="411"/>
      <c r="F20" s="412"/>
      <c r="G20" s="413"/>
      <c r="H20" s="413"/>
      <c r="J20" s="419" t="n">
        <v>58.61</v>
      </c>
      <c r="L20" s="415" t="n">
        <v>0</v>
      </c>
      <c r="N20" s="416" t="e">
        <f aca="false">IF(J20&gt;$D$9,L20,0)</f>
        <v>#REF!</v>
      </c>
      <c r="O20" s="417"/>
      <c r="P20" s="418" t="e">
        <f aca="false">IF(J20&gt;$D$9,J20*L20,0)</f>
        <v>#REF!</v>
      </c>
      <c r="R20" s="416"/>
      <c r="T20" s="418"/>
    </row>
    <row r="21" customFormat="false" ht="15.75" hidden="false" customHeight="false" outlineLevel="0" collapsed="false">
      <c r="D21" s="410" t="n">
        <v>35246</v>
      </c>
      <c r="E21" s="411"/>
      <c r="F21" s="412"/>
      <c r="G21" s="413"/>
      <c r="H21" s="413"/>
      <c r="J21" s="419" t="n">
        <v>64.17</v>
      </c>
      <c r="L21" s="415" t="n">
        <v>0</v>
      </c>
      <c r="N21" s="416" t="e">
        <f aca="false">IF(J21&gt;$D$9,L21,0)</f>
        <v>#REF!</v>
      </c>
      <c r="O21" s="417"/>
      <c r="P21" s="418" t="e">
        <f aca="false">IF(J21&gt;$D$9,J21*L21,0)</f>
        <v>#REF!</v>
      </c>
      <c r="R21" s="416"/>
      <c r="T21" s="418"/>
    </row>
    <row r="22" customFormat="false" ht="15.75" hidden="false" customHeight="false" outlineLevel="0" collapsed="false">
      <c r="B22" s="411" t="n">
        <v>36509</v>
      </c>
      <c r="C22" s="0" t="s">
        <v>405</v>
      </c>
      <c r="D22" s="410" t="n">
        <v>35775</v>
      </c>
      <c r="E22" s="411"/>
      <c r="F22" s="412" t="n">
        <v>135</v>
      </c>
      <c r="G22" s="413"/>
      <c r="H22" s="413" t="s">
        <v>406</v>
      </c>
      <c r="J22" s="419"/>
      <c r="L22" s="415" t="n">
        <v>0</v>
      </c>
      <c r="N22" s="416" t="e">
        <f aca="false">IF(J22&gt;$D$9,L22,0)</f>
        <v>#REF!</v>
      </c>
      <c r="O22" s="417"/>
      <c r="P22" s="418" t="e">
        <f aca="false">IF(J22&gt;$D$9,J22*L22,0)</f>
        <v>#REF!</v>
      </c>
      <c r="R22" s="416"/>
      <c r="T22" s="418"/>
      <c r="V22" s="420" t="n">
        <f aca="false">6.49*L22</f>
        <v>0</v>
      </c>
    </row>
    <row r="23" customFormat="false" ht="15.75" hidden="false" customHeight="false" outlineLevel="0" collapsed="false">
      <c r="B23" s="411" t="n">
        <v>36600</v>
      </c>
      <c r="C23" s="0" t="s">
        <v>405</v>
      </c>
      <c r="D23" s="410" t="n">
        <v>35775</v>
      </c>
      <c r="E23" s="411"/>
      <c r="F23" s="412" t="n">
        <v>136</v>
      </c>
      <c r="G23" s="413"/>
      <c r="H23" s="413" t="s">
        <v>406</v>
      </c>
      <c r="J23" s="419"/>
      <c r="L23" s="415" t="n">
        <v>0</v>
      </c>
      <c r="N23" s="416" t="e">
        <f aca="false">IF(J23&gt;$D$9,L23,0)</f>
        <v>#REF!</v>
      </c>
      <c r="O23" s="417"/>
      <c r="P23" s="418" t="e">
        <f aca="false">IF(J23&gt;$D$9,J23*L23,0)</f>
        <v>#REF!</v>
      </c>
      <c r="R23" s="416"/>
      <c r="T23" s="418"/>
      <c r="V23" s="420" t="n">
        <f aca="false">8.23*L23</f>
        <v>0</v>
      </c>
    </row>
    <row r="24" customFormat="false" ht="15.75" hidden="false" customHeight="false" outlineLevel="0" collapsed="false">
      <c r="B24" s="411" t="n">
        <v>36631</v>
      </c>
      <c r="C24" s="0" t="s">
        <v>405</v>
      </c>
      <c r="D24" s="410" t="n">
        <v>35775</v>
      </c>
      <c r="E24" s="411"/>
      <c r="F24" s="412" t="n">
        <v>137</v>
      </c>
      <c r="G24" s="413"/>
      <c r="H24" s="413" t="s">
        <v>406</v>
      </c>
      <c r="J24" s="419"/>
      <c r="L24" s="415" t="n">
        <v>0</v>
      </c>
      <c r="N24" s="416" t="e">
        <f aca="false">IF(J24&gt;$D$9,L24,0)</f>
        <v>#REF!</v>
      </c>
      <c r="O24" s="417"/>
      <c r="P24" s="418" t="e">
        <f aca="false">IF(J24&gt;$D$9,J24*L24,0)</f>
        <v>#REF!</v>
      </c>
      <c r="R24" s="416"/>
      <c r="T24" s="418"/>
      <c r="V24" s="420" t="n">
        <f aca="false">6.74*L24</f>
        <v>0</v>
      </c>
    </row>
    <row r="25" customFormat="false" ht="15.75" hidden="false" customHeight="false" outlineLevel="0" collapsed="false">
      <c r="B25" s="411" t="n">
        <v>36662</v>
      </c>
      <c r="C25" s="0" t="s">
        <v>405</v>
      </c>
      <c r="D25" s="410" t="n">
        <v>35775</v>
      </c>
      <c r="E25" s="411"/>
      <c r="F25" s="412" t="n">
        <v>138</v>
      </c>
      <c r="G25" s="413"/>
      <c r="H25" s="413" t="s">
        <v>406</v>
      </c>
      <c r="J25" s="419"/>
      <c r="L25" s="415" t="n">
        <v>0</v>
      </c>
      <c r="N25" s="416" t="e">
        <f aca="false">IF(J25&gt;$D$9,L25,0)</f>
        <v>#REF!</v>
      </c>
      <c r="O25" s="417"/>
      <c r="P25" s="418" t="e">
        <f aca="false">IF(J25&gt;$D$9,J25*L25,0)</f>
        <v>#REF!</v>
      </c>
      <c r="R25" s="416"/>
      <c r="T25" s="418"/>
      <c r="V25" s="420" t="n">
        <f aca="false">5.35*L25</f>
        <v>0</v>
      </c>
    </row>
    <row r="26" customFormat="false" ht="15.75" hidden="false" customHeight="false" outlineLevel="0" collapsed="false">
      <c r="B26" s="411" t="n">
        <v>36697</v>
      </c>
      <c r="C26" s="0" t="s">
        <v>405</v>
      </c>
      <c r="D26" s="410" t="n">
        <v>35775</v>
      </c>
      <c r="E26" s="411"/>
      <c r="F26" s="412" t="n">
        <v>139</v>
      </c>
      <c r="G26" s="413"/>
      <c r="H26" s="413" t="s">
        <v>406</v>
      </c>
      <c r="J26" s="419"/>
      <c r="L26" s="415" t="n">
        <v>0</v>
      </c>
      <c r="N26" s="416" t="e">
        <f aca="false">IF(J26&gt;$D$9,L26,0)</f>
        <v>#REF!</v>
      </c>
      <c r="O26" s="417"/>
      <c r="P26" s="418" t="e">
        <f aca="false">IF(J26&gt;$D$9,J26*L26,0)</f>
        <v>#REF!</v>
      </c>
      <c r="R26" s="416"/>
      <c r="T26" s="418"/>
      <c r="V26" s="420" t="n">
        <f aca="false">6.61*L26</f>
        <v>0</v>
      </c>
    </row>
    <row r="27" customFormat="false" ht="15.75" hidden="false" customHeight="false" outlineLevel="0" collapsed="false">
      <c r="B27" s="411" t="n">
        <v>36784</v>
      </c>
      <c r="C27" s="0" t="s">
        <v>405</v>
      </c>
      <c r="D27" s="410" t="n">
        <v>35775</v>
      </c>
      <c r="E27" s="411"/>
      <c r="F27" s="412" t="n">
        <v>140</v>
      </c>
      <c r="G27" s="413"/>
      <c r="H27" s="413" t="s">
        <v>406</v>
      </c>
      <c r="J27" s="419"/>
      <c r="L27" s="415" t="n">
        <v>0</v>
      </c>
      <c r="N27" s="416" t="e">
        <f aca="false">IF(J27&gt;$D$9,L27,0)</f>
        <v>#REF!</v>
      </c>
      <c r="O27" s="417"/>
      <c r="P27" s="418" t="e">
        <f aca="false">IF(J27&gt;$D$9,J27*L27,0)</f>
        <v>#REF!</v>
      </c>
      <c r="R27" s="416"/>
      <c r="T27" s="418"/>
      <c r="V27" s="420" t="n">
        <f aca="false">5.84*L27</f>
        <v>0</v>
      </c>
    </row>
    <row r="28" customFormat="false" ht="15.75" hidden="false" customHeight="false" outlineLevel="0" collapsed="false">
      <c r="B28" s="411" t="n">
        <v>36875</v>
      </c>
      <c r="C28" s="0" t="s">
        <v>405</v>
      </c>
      <c r="D28" s="410" t="n">
        <v>35774</v>
      </c>
      <c r="E28" s="411"/>
      <c r="F28" s="412" t="n">
        <v>141</v>
      </c>
      <c r="G28" s="413"/>
      <c r="H28" s="413" t="s">
        <v>406</v>
      </c>
      <c r="J28" s="419"/>
      <c r="L28" s="415" t="n">
        <v>0</v>
      </c>
      <c r="N28" s="416" t="e">
        <f aca="false">IF(J28&gt;$D$9,L28,0)</f>
        <v>#REF!</v>
      </c>
      <c r="O28" s="417"/>
      <c r="P28" s="418" t="e">
        <f aca="false">IF(J28&gt;$D$9,J28*L28,0)</f>
        <v>#REF!</v>
      </c>
      <c r="R28" s="416"/>
      <c r="T28" s="418"/>
      <c r="V28" s="420" t="n">
        <f aca="false">4.92*L28</f>
        <v>0</v>
      </c>
    </row>
    <row r="29" customFormat="false" ht="15.75" hidden="false" customHeight="false" outlineLevel="0" collapsed="false">
      <c r="B29" s="411" t="n">
        <v>37149</v>
      </c>
      <c r="C29" s="0" t="s">
        <v>405</v>
      </c>
      <c r="D29" s="410" t="n">
        <v>35775</v>
      </c>
      <c r="E29" s="411"/>
      <c r="F29" s="412" t="n">
        <v>142</v>
      </c>
      <c r="G29" s="413"/>
      <c r="H29" s="413" t="s">
        <v>406</v>
      </c>
      <c r="J29" s="419"/>
      <c r="L29" s="415" t="n">
        <v>0</v>
      </c>
      <c r="N29" s="416" t="e">
        <f aca="false">IF(J29&gt;$D$9,L29,0)</f>
        <v>#REF!</v>
      </c>
      <c r="O29" s="417"/>
      <c r="P29" s="418" t="e">
        <f aca="false">IF(J29&gt;$D$9,J29*L29,0)</f>
        <v>#REF!</v>
      </c>
      <c r="R29" s="416"/>
      <c r="T29" s="418"/>
      <c r="V29" s="420" t="n">
        <f aca="false">8.51*L29</f>
        <v>0</v>
      </c>
    </row>
    <row r="30" customFormat="false" ht="15.75" hidden="false" customHeight="false" outlineLevel="0" collapsed="false">
      <c r="B30" s="411" t="n">
        <v>37302</v>
      </c>
      <c r="C30" s="0" t="s">
        <v>405</v>
      </c>
      <c r="D30" s="410" t="n">
        <v>35775</v>
      </c>
      <c r="E30" s="411"/>
      <c r="F30" s="412" t="n">
        <v>143</v>
      </c>
      <c r="G30" s="413"/>
      <c r="H30" s="413" t="s">
        <v>406</v>
      </c>
      <c r="J30" s="419"/>
      <c r="L30" s="415" t="n">
        <v>0</v>
      </c>
      <c r="N30" s="416" t="e">
        <f aca="false">IF(J30&gt;$D$9,L30,0)</f>
        <v>#REF!</v>
      </c>
      <c r="O30" s="417"/>
      <c r="P30" s="418" t="e">
        <f aca="false">IF(J30&gt;$D$9,J30*L30,0)</f>
        <v>#REF!</v>
      </c>
      <c r="R30" s="416"/>
      <c r="T30" s="418"/>
      <c r="V30" s="420" t="n">
        <f aca="false">11.59*L30</f>
        <v>0</v>
      </c>
    </row>
    <row r="31" customFormat="false" ht="15.75" hidden="false" customHeight="false" outlineLevel="0" collapsed="false">
      <c r="B31" s="411" t="n">
        <v>37330</v>
      </c>
      <c r="C31" s="0" t="s">
        <v>405</v>
      </c>
      <c r="D31" s="410" t="n">
        <v>35776</v>
      </c>
      <c r="E31" s="411"/>
      <c r="F31" s="412" t="n">
        <v>144</v>
      </c>
      <c r="G31" s="413"/>
      <c r="H31" s="413" t="s">
        <v>406</v>
      </c>
      <c r="J31" s="419"/>
      <c r="L31" s="415" t="n">
        <v>0</v>
      </c>
      <c r="N31" s="416" t="e">
        <f aca="false">IF(J31&gt;$D$9,L31,0)</f>
        <v>#REF!</v>
      </c>
      <c r="O31" s="417"/>
      <c r="P31" s="418" t="e">
        <f aca="false">IF(J31&gt;$D$9,J31*L31,0)</f>
        <v>#REF!</v>
      </c>
      <c r="R31" s="416"/>
      <c r="T31" s="418"/>
      <c r="V31" s="420" t="n">
        <f aca="false">12.29*L31</f>
        <v>0</v>
      </c>
    </row>
    <row r="32" customFormat="false" ht="15.75" hidden="false" customHeight="false" outlineLevel="0" collapsed="false">
      <c r="B32" s="411" t="n">
        <v>37424</v>
      </c>
      <c r="C32" s="0" t="s">
        <v>405</v>
      </c>
      <c r="D32" s="410" t="n">
        <v>35779</v>
      </c>
      <c r="E32" s="411"/>
      <c r="F32" s="412" t="n">
        <v>145</v>
      </c>
      <c r="G32" s="413"/>
      <c r="H32" s="413" t="s">
        <v>406</v>
      </c>
      <c r="J32" s="419"/>
      <c r="L32" s="415" t="n">
        <v>0</v>
      </c>
      <c r="N32" s="416" t="e">
        <f aca="false">IF(J32&gt;$D$9,L32,0)</f>
        <v>#REF!</v>
      </c>
      <c r="O32" s="417"/>
      <c r="P32" s="418" t="e">
        <f aca="false">IF(J32&gt;$D$9,J32*L32,0)</f>
        <v>#REF!</v>
      </c>
      <c r="R32" s="416"/>
      <c r="T32" s="418"/>
      <c r="V32" s="420" t="n">
        <f aca="false">14.95*L32</f>
        <v>0</v>
      </c>
      <c r="W32" s="236" t="n">
        <f aca="false">SUM(V22:V32)</f>
        <v>0</v>
      </c>
    </row>
    <row r="33" customFormat="false" ht="15.75" hidden="false" customHeight="false" outlineLevel="0" collapsed="false">
      <c r="B33" s="411" t="n">
        <v>37816</v>
      </c>
      <c r="C33" s="0" t="s">
        <v>47</v>
      </c>
      <c r="D33" s="410" t="n">
        <v>35989</v>
      </c>
      <c r="E33" s="411"/>
      <c r="F33" s="412" t="n">
        <v>147</v>
      </c>
      <c r="G33" s="413"/>
      <c r="H33" s="413" t="s">
        <v>407</v>
      </c>
      <c r="J33" s="419" t="e">
        <f aca="false">#REF!</f>
        <v>#REF!</v>
      </c>
      <c r="L33" s="415" t="n">
        <v>6006402</v>
      </c>
      <c r="N33" s="416" t="e">
        <f aca="false">IF(J33&gt;$D$9,L33,0)</f>
        <v>#REF!</v>
      </c>
      <c r="O33" s="417"/>
      <c r="P33" s="418" t="e">
        <f aca="false">IF(J33&gt;$D$9,J33*L33,0)</f>
        <v>#REF!</v>
      </c>
      <c r="R33" s="416"/>
      <c r="T33" s="418"/>
      <c r="V33" s="162" t="n">
        <v>59343251.16</v>
      </c>
    </row>
    <row r="34" customFormat="false" ht="15.75" hidden="false" customHeight="false" outlineLevel="0" collapsed="false">
      <c r="B34" s="119"/>
      <c r="C34" s="119"/>
      <c r="J34" s="421"/>
      <c r="K34" s="421"/>
      <c r="L34" s="422"/>
      <c r="M34" s="417"/>
      <c r="N34" s="423"/>
      <c r="O34" s="417"/>
      <c r="P34" s="424"/>
    </row>
    <row r="35" customFormat="false" ht="16.5" hidden="false" customHeight="false" outlineLevel="0" collapsed="false">
      <c r="B35" s="23" t="s">
        <v>389</v>
      </c>
      <c r="C35" s="23"/>
      <c r="D35" s="425"/>
      <c r="E35" s="425"/>
      <c r="J35" s="426"/>
      <c r="K35" s="426"/>
      <c r="L35" s="427" t="n">
        <f aca="false">SUM(L18:L34)</f>
        <v>6006402</v>
      </c>
      <c r="N35" s="428" t="e">
        <f aca="false">SUM(N18:N34)</f>
        <v>#REF!</v>
      </c>
      <c r="P35" s="429" t="e">
        <f aca="false">SUM(P18:P34)</f>
        <v>#REF!</v>
      </c>
      <c r="R35" s="47"/>
      <c r="T35" s="430" t="n">
        <f aca="false">D10</f>
        <v>0</v>
      </c>
      <c r="V35" s="431" t="n">
        <f aca="false">SUM(V22:V34)</f>
        <v>59343251.16</v>
      </c>
    </row>
    <row r="36" customFormat="false" ht="17.25" hidden="false" customHeight="false" outlineLevel="0" collapsed="false">
      <c r="R36" s="17"/>
      <c r="T36" s="290" t="e">
        <f aca="false">#REF!/T35</f>
        <v>#REF!</v>
      </c>
    </row>
    <row r="37" customFormat="false" ht="16.5" hidden="false" customHeight="false" outlineLevel="0" collapsed="false">
      <c r="I37" s="432" t="s">
        <v>408</v>
      </c>
      <c r="J37" s="433" t="e">
        <f aca="false">D9</f>
        <v>#REF!</v>
      </c>
      <c r="N37" s="10" t="e">
        <f aca="false">N35</f>
        <v>#REF!</v>
      </c>
      <c r="P37" s="434" t="e">
        <f aca="false">N37*J37</f>
        <v>#REF!</v>
      </c>
    </row>
    <row r="38" customFormat="false" ht="15.75" hidden="false" customHeight="false" outlineLevel="0" collapsed="false">
      <c r="I38" s="432" t="s">
        <v>409</v>
      </c>
      <c r="J38" s="433" t="n">
        <f aca="false">D10</f>
        <v>0</v>
      </c>
      <c r="L38" s="435"/>
      <c r="N38" s="47"/>
      <c r="P38" s="47"/>
    </row>
    <row r="39" customFormat="false" ht="15.75" hidden="false" customHeight="false" outlineLevel="0" collapsed="false">
      <c r="I39" s="432" t="s">
        <v>410</v>
      </c>
      <c r="P39" s="165" t="e">
        <f aca="false">P35-P37</f>
        <v>#REF!</v>
      </c>
    </row>
    <row r="40" customFormat="false" ht="15.75" hidden="false" customHeight="false" outlineLevel="0" collapsed="false">
      <c r="B40" s="0" t="s">
        <v>411</v>
      </c>
      <c r="I40" s="432"/>
    </row>
    <row r="41" customFormat="false" ht="15.75" hidden="false" customHeight="false" outlineLevel="0" collapsed="false">
      <c r="I41" s="432" t="s">
        <v>408</v>
      </c>
      <c r="P41" s="436" t="e">
        <f aca="false">D9</f>
        <v>#REF!</v>
      </c>
    </row>
    <row r="42" customFormat="false" ht="15.75" hidden="false" customHeight="false" outlineLevel="0" collapsed="false">
      <c r="I42" s="432" t="s">
        <v>409</v>
      </c>
      <c r="L42" s="435"/>
      <c r="N42" s="47"/>
      <c r="P42" s="47"/>
    </row>
    <row r="43" customFormat="false" ht="16.5" hidden="false" customHeight="false" outlineLevel="0" collapsed="false">
      <c r="I43" s="437" t="s">
        <v>412</v>
      </c>
      <c r="M43" s="17"/>
      <c r="N43" s="17"/>
      <c r="P43" s="438" t="e">
        <f aca="false">P39/P41</f>
        <v>#REF!</v>
      </c>
    </row>
    <row r="44" customFormat="false" ht="16.5" hidden="false" customHeight="false" outlineLevel="0" collapsed="false"/>
    <row r="47" customFormat="false" ht="15.75" hidden="false" customHeight="false" outlineLevel="0" collapsed="false">
      <c r="B47" s="0" t="s">
        <v>413</v>
      </c>
    </row>
    <row r="53" customFormat="false" ht="15.75" hidden="false" customHeight="false" outlineLevel="0" collapsed="false">
      <c r="B53" s="22" t="s">
        <v>414</v>
      </c>
      <c r="R53" s="179" t="s">
        <v>395</v>
      </c>
      <c r="S53" s="179"/>
      <c r="T53" s="179"/>
    </row>
    <row r="54" customFormat="false" ht="15.75" hidden="false" customHeight="false" outlineLevel="0" collapsed="false">
      <c r="L54" s="402" t="s">
        <v>396</v>
      </c>
      <c r="M54" s="23"/>
      <c r="Q54" s="23"/>
      <c r="R54" s="23" t="s">
        <v>396</v>
      </c>
      <c r="S54" s="23"/>
    </row>
    <row r="55" customFormat="false" ht="15.75" hidden="false" customHeight="false" outlineLevel="0" collapsed="false">
      <c r="F55" s="403" t="s">
        <v>344</v>
      </c>
      <c r="H55" s="23" t="s">
        <v>397</v>
      </c>
      <c r="I55" s="23"/>
      <c r="J55" s="23" t="s">
        <v>396</v>
      </c>
      <c r="K55" s="23"/>
      <c r="L55" s="402" t="s">
        <v>398</v>
      </c>
      <c r="M55" s="23"/>
      <c r="Q55" s="23"/>
      <c r="R55" s="23" t="s">
        <v>398</v>
      </c>
      <c r="S55" s="23"/>
      <c r="T55" s="23" t="s">
        <v>229</v>
      </c>
    </row>
    <row r="56" customFormat="false" ht="15.75" hidden="false" customHeight="false" outlineLevel="0" collapsed="false">
      <c r="B56" s="0" t="s">
        <v>399</v>
      </c>
      <c r="D56" s="110" t="s">
        <v>351</v>
      </c>
      <c r="E56" s="121"/>
      <c r="F56" s="404" t="s">
        <v>400</v>
      </c>
      <c r="G56" s="121"/>
      <c r="H56" s="110" t="s">
        <v>401</v>
      </c>
      <c r="I56" s="23"/>
      <c r="J56" s="110" t="s">
        <v>176</v>
      </c>
      <c r="K56" s="23"/>
      <c r="L56" s="405" t="s">
        <v>402</v>
      </c>
      <c r="M56" s="23"/>
      <c r="P56" s="406" t="s">
        <v>415</v>
      </c>
      <c r="Q56" s="23"/>
      <c r="R56" s="110" t="s">
        <v>402</v>
      </c>
      <c r="S56" s="23"/>
      <c r="T56" s="110" t="s">
        <v>315</v>
      </c>
    </row>
    <row r="57" customFormat="false" ht="15.75" hidden="false" customHeight="false" outlineLevel="0" collapsed="false">
      <c r="D57" s="407"/>
      <c r="E57" s="407"/>
      <c r="F57" s="408"/>
      <c r="G57" s="407"/>
      <c r="H57" s="407"/>
      <c r="I57" s="407"/>
      <c r="J57" s="407"/>
      <c r="K57" s="407"/>
      <c r="L57" s="409"/>
      <c r="M57" s="407"/>
      <c r="P57" s="165"/>
      <c r="Q57" s="407"/>
      <c r="R57" s="407"/>
      <c r="S57" s="407"/>
      <c r="T57" s="407"/>
    </row>
    <row r="58" customFormat="false" ht="15.75" hidden="false" customHeight="false" outlineLevel="0" collapsed="false">
      <c r="B58" s="411" t="n">
        <v>36509</v>
      </c>
      <c r="C58" s="0" t="s">
        <v>416</v>
      </c>
      <c r="D58" s="410" t="n">
        <v>34318</v>
      </c>
      <c r="E58" s="411"/>
      <c r="F58" s="412"/>
      <c r="G58" s="413"/>
      <c r="H58" s="413" t="s">
        <v>406</v>
      </c>
      <c r="J58" s="419" t="n">
        <v>47.4</v>
      </c>
      <c r="L58" s="415" t="n">
        <v>70187</v>
      </c>
      <c r="P58" s="162" t="n">
        <v>717781.2</v>
      </c>
      <c r="R58" s="416"/>
      <c r="T58" s="418"/>
    </row>
    <row r="59" customFormat="false" ht="15.75" hidden="false" customHeight="false" outlineLevel="0" collapsed="false">
      <c r="B59" s="411" t="n">
        <v>36600</v>
      </c>
      <c r="C59" s="0" t="s">
        <v>416</v>
      </c>
      <c r="D59" s="410" t="n">
        <v>34408</v>
      </c>
      <c r="E59" s="411"/>
      <c r="F59" s="412"/>
      <c r="G59" s="413"/>
      <c r="H59" s="413" t="s">
        <v>406</v>
      </c>
      <c r="J59" s="419" t="n">
        <v>50.38</v>
      </c>
      <c r="L59" s="415" t="n">
        <v>67551</v>
      </c>
      <c r="P59" s="162" t="n">
        <v>642524.63</v>
      </c>
      <c r="R59" s="416"/>
      <c r="T59" s="418"/>
    </row>
    <row r="60" customFormat="false" ht="15.75" hidden="false" customHeight="false" outlineLevel="0" collapsed="false">
      <c r="B60" s="411" t="n">
        <v>36631</v>
      </c>
      <c r="C60" s="0" t="s">
        <v>416</v>
      </c>
      <c r="D60" s="410" t="n">
        <v>34439</v>
      </c>
      <c r="E60" s="411"/>
      <c r="F60" s="412"/>
      <c r="G60" s="413"/>
      <c r="H60" s="413" t="s">
        <v>406</v>
      </c>
      <c r="J60" s="419" t="n">
        <v>48.16</v>
      </c>
      <c r="L60" s="415" t="n">
        <v>71073</v>
      </c>
      <c r="P60" s="162" t="n">
        <v>589905.9</v>
      </c>
      <c r="R60" s="416"/>
      <c r="T60" s="418"/>
    </row>
    <row r="61" customFormat="false" ht="15.75" hidden="false" customHeight="false" outlineLevel="0" collapsed="false">
      <c r="B61" s="411" t="n">
        <v>36662</v>
      </c>
      <c r="C61" s="0" t="s">
        <v>416</v>
      </c>
      <c r="D61" s="410" t="n">
        <v>34470</v>
      </c>
      <c r="E61" s="411"/>
      <c r="F61" s="412"/>
      <c r="G61" s="413"/>
      <c r="H61" s="413" t="s">
        <v>406</v>
      </c>
      <c r="J61" s="419" t="n">
        <v>45.88</v>
      </c>
      <c r="L61" s="415" t="n">
        <v>74654</v>
      </c>
      <c r="P61" s="162" t="n">
        <v>556172.3</v>
      </c>
      <c r="R61" s="416"/>
      <c r="T61" s="418"/>
    </row>
    <row r="62" customFormat="false" ht="15.75" hidden="false" customHeight="false" outlineLevel="0" collapsed="false">
      <c r="B62" s="411" t="n">
        <v>36697</v>
      </c>
      <c r="C62" s="0" t="s">
        <v>416</v>
      </c>
      <c r="D62" s="410" t="n">
        <v>34505</v>
      </c>
      <c r="E62" s="411"/>
      <c r="F62" s="412"/>
      <c r="G62" s="413"/>
      <c r="H62" s="413" t="s">
        <v>406</v>
      </c>
      <c r="J62" s="419" t="n">
        <v>48.13</v>
      </c>
      <c r="L62" s="415" t="n">
        <v>71212</v>
      </c>
      <c r="P62" s="162" t="n">
        <v>576438.35</v>
      </c>
      <c r="R62" s="416"/>
      <c r="T62" s="418"/>
    </row>
    <row r="63" customFormat="false" ht="15.75" hidden="false" customHeight="false" outlineLevel="0" collapsed="false">
      <c r="B63" s="411" t="n">
        <v>36784</v>
      </c>
      <c r="C63" s="0" t="s">
        <v>416</v>
      </c>
      <c r="D63" s="410" t="n">
        <v>34592</v>
      </c>
      <c r="E63" s="411"/>
      <c r="F63" s="412"/>
      <c r="G63" s="413"/>
      <c r="H63" s="413" t="s">
        <v>406</v>
      </c>
      <c r="J63" s="419" t="n">
        <v>47.05</v>
      </c>
      <c r="L63" s="415" t="n">
        <v>425268</v>
      </c>
      <c r="P63" s="162" t="n">
        <v>4045030.14</v>
      </c>
      <c r="R63" s="416"/>
      <c r="T63" s="418"/>
    </row>
    <row r="64" customFormat="false" ht="15.75" hidden="false" customHeight="false" outlineLevel="0" collapsed="false">
      <c r="B64" s="411" t="n">
        <v>36875</v>
      </c>
      <c r="C64" s="0" t="s">
        <v>416</v>
      </c>
      <c r="D64" s="410" t="n">
        <v>34683</v>
      </c>
      <c r="E64" s="411"/>
      <c r="F64" s="412"/>
      <c r="G64" s="413"/>
      <c r="H64" s="413" t="s">
        <v>406</v>
      </c>
      <c r="J64" s="419" t="n">
        <v>44.05</v>
      </c>
      <c r="L64" s="415" t="n">
        <v>227650</v>
      </c>
      <c r="P64" s="162" t="n">
        <v>1880084.84</v>
      </c>
      <c r="R64" s="416"/>
      <c r="T64" s="418"/>
    </row>
    <row r="65" customFormat="false" ht="15.75" hidden="false" customHeight="false" outlineLevel="0" collapsed="false">
      <c r="B65" s="411" t="n">
        <v>37149</v>
      </c>
      <c r="C65" s="0" t="s">
        <v>416</v>
      </c>
      <c r="D65" s="410" t="n">
        <v>34957</v>
      </c>
      <c r="E65" s="411"/>
      <c r="F65" s="412"/>
      <c r="G65" s="413"/>
      <c r="H65" s="413" t="s">
        <v>406</v>
      </c>
      <c r="J65" s="419" t="n">
        <v>52.53</v>
      </c>
      <c r="L65" s="415" t="n">
        <v>187083</v>
      </c>
      <c r="P65" s="162" t="n">
        <v>2351680.08</v>
      </c>
      <c r="R65" s="416"/>
      <c r="T65" s="418"/>
    </row>
    <row r="66" customFormat="false" ht="15.75" hidden="false" customHeight="false" outlineLevel="0" collapsed="false">
      <c r="B66" s="411" t="n">
        <v>37302</v>
      </c>
      <c r="C66" s="0" t="s">
        <v>416</v>
      </c>
      <c r="D66" s="410" t="n">
        <v>35110</v>
      </c>
      <c r="E66" s="411"/>
      <c r="F66" s="412"/>
      <c r="G66" s="413"/>
      <c r="H66" s="413" t="s">
        <v>406</v>
      </c>
      <c r="J66" s="419" t="n">
        <v>57.889</v>
      </c>
      <c r="L66" s="415" t="n">
        <v>568718</v>
      </c>
      <c r="P66" s="162" t="n">
        <v>8057067.72</v>
      </c>
      <c r="R66" s="416"/>
      <c r="T66" s="418"/>
    </row>
    <row r="67" customFormat="false" ht="15.75" hidden="false" customHeight="false" outlineLevel="0" collapsed="false">
      <c r="B67" s="411" t="n">
        <v>37330</v>
      </c>
      <c r="C67" s="0" t="s">
        <v>416</v>
      </c>
      <c r="D67" s="410" t="n">
        <v>35139</v>
      </c>
      <c r="E67" s="411"/>
      <c r="F67" s="412"/>
      <c r="G67" s="413"/>
      <c r="H67" s="413" t="s">
        <v>406</v>
      </c>
      <c r="J67" s="419" t="n">
        <v>58.61</v>
      </c>
      <c r="L67" s="415" t="n">
        <v>171854</v>
      </c>
      <c r="P67" s="162" t="n">
        <v>2180409.65</v>
      </c>
      <c r="R67" s="416"/>
      <c r="T67" s="418"/>
    </row>
    <row r="68" customFormat="false" ht="15.75" hidden="false" customHeight="false" outlineLevel="0" collapsed="false">
      <c r="B68" s="411" t="n">
        <v>37424</v>
      </c>
      <c r="C68" s="0" t="s">
        <v>416</v>
      </c>
      <c r="D68" s="410" t="n">
        <v>35233</v>
      </c>
      <c r="E68" s="411"/>
      <c r="F68" s="412"/>
      <c r="G68" s="413"/>
      <c r="H68" s="413" t="s">
        <v>406</v>
      </c>
      <c r="J68" s="419" t="n">
        <v>64.168</v>
      </c>
      <c r="L68" s="415" t="n">
        <v>1067953</v>
      </c>
      <c r="P68" s="162" t="n">
        <v>13487285.23</v>
      </c>
      <c r="R68" s="416"/>
      <c r="T68" s="418"/>
      <c r="W68" s="236"/>
    </row>
    <row r="69" customFormat="false" ht="15.75" hidden="false" customHeight="false" outlineLevel="0" collapsed="false">
      <c r="B69" s="119"/>
      <c r="C69" s="119"/>
      <c r="J69" s="421"/>
      <c r="K69" s="421"/>
      <c r="L69" s="422"/>
      <c r="M69" s="417"/>
      <c r="P69" s="165"/>
    </row>
    <row r="70" customFormat="false" ht="16.5" hidden="false" customHeight="false" outlineLevel="0" collapsed="false">
      <c r="B70" s="23" t="s">
        <v>389</v>
      </c>
      <c r="C70" s="23"/>
      <c r="D70" s="425"/>
      <c r="E70" s="425"/>
      <c r="J70" s="426"/>
      <c r="K70" s="426"/>
      <c r="L70" s="427" t="n">
        <f aca="false">SUM(L58:L69)</f>
        <v>3003203</v>
      </c>
      <c r="P70" s="431" t="n">
        <f aca="false">SUM(P58:P69)</f>
        <v>35084380.04</v>
      </c>
      <c r="R70" s="47"/>
      <c r="T70" s="430" t="n">
        <f aca="false">D50</f>
        <v>0</v>
      </c>
    </row>
    <row r="71" customFormat="false" ht="16.5" hidden="false" customHeight="false" outlineLevel="0" collapsed="false">
      <c r="J71" s="27"/>
      <c r="P71" s="165"/>
    </row>
    <row r="72" customFormat="false" ht="12.75" hidden="false" customHeight="false" outlineLevel="0" collapsed="false">
      <c r="F72" s="0"/>
      <c r="L72" s="0"/>
      <c r="V72" s="0"/>
    </row>
    <row r="73" customFormat="false" ht="12.75" hidden="false" customHeight="false" outlineLevel="0" collapsed="false">
      <c r="F73" s="0"/>
      <c r="L73" s="0"/>
      <c r="V73" s="0"/>
    </row>
    <row r="74" customFormat="false" ht="12.75" hidden="false" customHeight="false" outlineLevel="0" collapsed="false">
      <c r="F74" s="0"/>
      <c r="L74" s="0"/>
      <c r="V74" s="0"/>
    </row>
    <row r="75" customFormat="false" ht="12.75" hidden="false" customHeight="false" outlineLevel="0" collapsed="false">
      <c r="F75" s="0"/>
      <c r="L75" s="0"/>
      <c r="V75" s="0"/>
    </row>
    <row r="76" customFormat="false" ht="12.75" hidden="false" customHeight="false" outlineLevel="0" collapsed="false">
      <c r="F76" s="0"/>
      <c r="L76" s="0"/>
      <c r="V76" s="0"/>
      <c r="W76" s="236"/>
    </row>
    <row r="77" customFormat="false" ht="12.75" hidden="false" customHeight="false" outlineLevel="0" collapsed="false">
      <c r="F77" s="0"/>
      <c r="L77" s="0"/>
      <c r="V77" s="0"/>
    </row>
    <row r="78" customFormat="false" ht="12.75" hidden="false" customHeight="false" outlineLevel="0" collapsed="false">
      <c r="F78" s="0"/>
      <c r="L78" s="0"/>
      <c r="V78" s="0"/>
    </row>
  </sheetData>
  <mergeCells count="3">
    <mergeCell ref="N13:P13"/>
    <mergeCell ref="R13:T13"/>
    <mergeCell ref="R53:T53"/>
  </mergeCells>
  <printOptions headings="false" gridLines="false" gridLinesSet="true" horizontalCentered="false" verticalCentered="false"/>
  <pageMargins left="0.747916666666667" right="0.509722222222222" top="0.5" bottom="0.3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4" activeCellId="0" sqref="D24"/>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6.42"/>
    <col collapsed="false" customWidth="true" hidden="false" outlineLevel="0" max="3" min="3" style="0" width="16.7"/>
    <col collapsed="false" customWidth="true" hidden="false" outlineLevel="0" max="4" min="4" style="0" width="14.41"/>
    <col collapsed="false" customWidth="true" hidden="false" outlineLevel="0" max="8" min="6" style="0" width="17.28"/>
  </cols>
  <sheetData>
    <row r="2" customFormat="false" ht="12.75" hidden="false" customHeight="false" outlineLevel="0" collapsed="false">
      <c r="A2" s="22" t="s">
        <v>417</v>
      </c>
    </row>
    <row r="4" customFormat="false" ht="12.75" hidden="false" customHeight="false" outlineLevel="0" collapsed="false">
      <c r="A4" s="22" t="s">
        <v>418</v>
      </c>
    </row>
    <row r="5" customFormat="false" ht="12.75" hidden="false" customHeight="false" outlineLevel="0" collapsed="false">
      <c r="A5" s="32" t="n">
        <v>35989</v>
      </c>
      <c r="B5" s="162" t="n">
        <v>22824327</v>
      </c>
    </row>
    <row r="6" customFormat="false" ht="12.75" hidden="false" customHeight="false" outlineLevel="0" collapsed="false">
      <c r="A6" s="32" t="n">
        <v>36172</v>
      </c>
      <c r="B6" s="162" t="n">
        <v>23184711.72</v>
      </c>
    </row>
    <row r="7" customFormat="false" ht="12.75" hidden="false" customHeight="false" outlineLevel="0" collapsed="false">
      <c r="A7" s="32" t="n">
        <v>36230</v>
      </c>
      <c r="B7" s="162" t="n">
        <v>13334212.44</v>
      </c>
    </row>
    <row r="8" customFormat="false" ht="12.75" hidden="false" customHeight="false" outlineLevel="0" collapsed="false">
      <c r="A8" s="31" t="s">
        <v>419</v>
      </c>
      <c r="B8" s="196" t="n">
        <f aca="false">SUM(B5:B7)</f>
        <v>59343251.16</v>
      </c>
    </row>
    <row r="10" customFormat="false" ht="12.75" hidden="false" customHeight="false" outlineLevel="0" collapsed="false">
      <c r="A10" s="22" t="s">
        <v>420</v>
      </c>
      <c r="C10" s="0" t="s">
        <v>421</v>
      </c>
    </row>
    <row r="11" customFormat="false" ht="12.75" hidden="false" customHeight="false" outlineLevel="0" collapsed="false">
      <c r="A11" s="32" t="n">
        <v>35998</v>
      </c>
      <c r="B11" s="162" t="n">
        <v>-22824327</v>
      </c>
      <c r="C11" s="0" t="s">
        <v>422</v>
      </c>
      <c r="D11" s="0" t="s">
        <v>423</v>
      </c>
    </row>
    <row r="12" customFormat="false" ht="12.75" hidden="false" customHeight="false" outlineLevel="0" collapsed="false">
      <c r="A12" s="32" t="n">
        <v>36341</v>
      </c>
      <c r="B12" s="162" t="n">
        <v>-8750000</v>
      </c>
      <c r="C12" s="0" t="s">
        <v>422</v>
      </c>
      <c r="D12" s="0" t="s">
        <v>423</v>
      </c>
    </row>
    <row r="13" customFormat="false" ht="12.75" hidden="false" customHeight="false" outlineLevel="0" collapsed="false">
      <c r="A13" s="32" t="n">
        <v>36363</v>
      </c>
      <c r="B13" s="162" t="n">
        <v>-1500000</v>
      </c>
      <c r="C13" s="0" t="s">
        <v>424</v>
      </c>
      <c r="D13" s="0" t="s">
        <v>425</v>
      </c>
    </row>
    <row r="14" customFormat="false" ht="12.75" hidden="false" customHeight="false" outlineLevel="0" collapsed="false">
      <c r="A14" s="32" t="n">
        <v>36508</v>
      </c>
      <c r="B14" s="162" t="n">
        <v>-15215255</v>
      </c>
      <c r="C14" s="0" t="s">
        <v>424</v>
      </c>
      <c r="D14" s="0" t="s">
        <v>425</v>
      </c>
    </row>
    <row r="15" customFormat="false" ht="12.75" hidden="false" customHeight="false" outlineLevel="0" collapsed="false">
      <c r="B15" s="162"/>
    </row>
    <row r="16" customFormat="false" ht="12.75" hidden="false" customHeight="false" outlineLevel="0" collapsed="false">
      <c r="B16" s="162"/>
    </row>
    <row r="17" customFormat="false" ht="12.75" hidden="false" customHeight="false" outlineLevel="0" collapsed="false">
      <c r="B17" s="162"/>
    </row>
    <row r="18" customFormat="false" ht="12.75" hidden="false" customHeight="false" outlineLevel="0" collapsed="false">
      <c r="B18" s="439" t="n">
        <f aca="false">SUM(B11:B17)</f>
        <v>-48289582</v>
      </c>
    </row>
    <row r="20" customFormat="false" ht="13.5" hidden="false" customHeight="false" outlineLevel="0" collapsed="false">
      <c r="A20" s="22" t="s">
        <v>426</v>
      </c>
      <c r="B20" s="243" t="n">
        <f aca="false">+B8+B18</f>
        <v>11053669.16</v>
      </c>
    </row>
    <row r="21" customFormat="false" ht="13.5" hidden="false" customHeight="false" outlineLevel="0" collapsed="false"/>
    <row r="22" customFormat="false" ht="12.75" hidden="false" customHeight="false" outlineLevel="0" collapsed="false">
      <c r="A22" s="22" t="s">
        <v>418</v>
      </c>
    </row>
    <row r="23" customFormat="false" ht="12.75" hidden="false" customHeight="false" outlineLevel="0" collapsed="false">
      <c r="A23" s="32" t="n">
        <v>36536</v>
      </c>
      <c r="B23" s="162" t="n">
        <v>56719353.22</v>
      </c>
    </row>
    <row r="25" customFormat="false" ht="12.75" hidden="false" customHeight="false" outlineLevel="0" collapsed="false">
      <c r="A25" s="22" t="s">
        <v>420</v>
      </c>
      <c r="C25" s="0" t="s">
        <v>421</v>
      </c>
    </row>
    <row r="26" customFormat="false" ht="12.75" hidden="false" customHeight="false" outlineLevel="0" collapsed="false">
      <c r="A26" s="51" t="s">
        <v>427</v>
      </c>
      <c r="B26" s="162" t="n">
        <v>-49873051</v>
      </c>
      <c r="C26" s="0" t="s">
        <v>424</v>
      </c>
      <c r="D26" s="0" t="s">
        <v>425</v>
      </c>
    </row>
    <row r="27" customFormat="false" ht="12.75" hidden="false" customHeight="false" outlineLevel="0" collapsed="false">
      <c r="A27" s="32" t="s">
        <v>428</v>
      </c>
      <c r="B27" s="162" t="n">
        <v>-17900024.02</v>
      </c>
      <c r="C27" s="0" t="s">
        <v>424</v>
      </c>
      <c r="D27" s="0" t="s">
        <v>425</v>
      </c>
    </row>
    <row r="28" customFormat="false" ht="12.75" hidden="false" customHeight="false" outlineLevel="0" collapsed="false">
      <c r="B28" s="439" t="n">
        <f aca="false">SUM(B23:B27)</f>
        <v>-11053721.8</v>
      </c>
    </row>
    <row r="29" customFormat="false" ht="13.5" hidden="false" customHeight="false" outlineLevel="0" collapsed="false">
      <c r="A29" s="22" t="s">
        <v>426</v>
      </c>
      <c r="B29" s="243" t="n">
        <f aca="false">+B20+B28</f>
        <v>-52.6400000005961</v>
      </c>
    </row>
    <row r="30" customFormat="false" ht="13.5" hidden="false" customHeight="false" outlineLevel="0" collapsed="false"/>
    <row r="31" customFormat="false" ht="12.75" hidden="false" customHeight="false" outlineLevel="0" collapsed="false">
      <c r="A31" s="0" t="s">
        <v>429</v>
      </c>
    </row>
    <row r="32" customFormat="false" ht="12.75" hidden="false" customHeight="false" outlineLevel="0" collapsed="false">
      <c r="A32" s="0" t="s">
        <v>430</v>
      </c>
    </row>
    <row r="34" customFormat="false" ht="12.75" hidden="false" customHeight="false" outlineLevel="0" collapsed="false">
      <c r="B34" s="22" t="s">
        <v>431</v>
      </c>
    </row>
    <row r="35" customFormat="false" ht="12.75" hidden="false" customHeight="false" outlineLevel="0" collapsed="false">
      <c r="F35" s="22" t="s">
        <v>432</v>
      </c>
    </row>
    <row r="37" customFormat="false" ht="12.75" hidden="false" customHeight="false" outlineLevel="0" collapsed="false">
      <c r="A37" s="32" t="n">
        <v>35989</v>
      </c>
      <c r="B37" s="0" t="s">
        <v>433</v>
      </c>
      <c r="C37" s="165" t="n">
        <v>22824327</v>
      </c>
      <c r="F37" s="0" t="s">
        <v>433</v>
      </c>
      <c r="G37" s="165" t="n">
        <v>22824327</v>
      </c>
    </row>
    <row r="38" customFormat="false" ht="12.75" hidden="false" customHeight="false" outlineLevel="0" collapsed="false">
      <c r="B38" s="0" t="s">
        <v>434</v>
      </c>
      <c r="D38" s="165" t="n">
        <v>-22824327</v>
      </c>
      <c r="F38" s="0" t="s">
        <v>434</v>
      </c>
      <c r="H38" s="165" t="n">
        <v>-22824327</v>
      </c>
    </row>
    <row r="40" customFormat="false" ht="12.75" hidden="false" customHeight="false" outlineLevel="0" collapsed="false">
      <c r="A40" s="32" t="n">
        <v>36172</v>
      </c>
      <c r="C40" s="165"/>
      <c r="D40" s="165"/>
      <c r="F40" s="0" t="s">
        <v>435</v>
      </c>
      <c r="G40" s="165" t="n">
        <v>23184711.72</v>
      </c>
      <c r="H40" s="165"/>
    </row>
    <row r="41" customFormat="false" ht="12.75" hidden="false" customHeight="false" outlineLevel="0" collapsed="false">
      <c r="C41" s="165"/>
      <c r="D41" s="165"/>
      <c r="F41" s="0" t="s">
        <v>434</v>
      </c>
      <c r="G41" s="165"/>
      <c r="H41" s="165" t="n">
        <v>-23184711.72</v>
      </c>
    </row>
    <row r="43" customFormat="false" ht="12.75" hidden="false" customHeight="false" outlineLevel="0" collapsed="false">
      <c r="A43" s="32" t="n">
        <v>36230</v>
      </c>
      <c r="C43" s="165"/>
      <c r="D43" s="165"/>
      <c r="F43" s="0" t="s">
        <v>435</v>
      </c>
      <c r="G43" s="165" t="n">
        <v>13334212.44</v>
      </c>
      <c r="H43" s="165"/>
    </row>
    <row r="44" customFormat="false" ht="12.75" hidden="false" customHeight="false" outlineLevel="0" collapsed="false">
      <c r="C44" s="165"/>
      <c r="D44" s="165"/>
      <c r="F44" s="0" t="s">
        <v>434</v>
      </c>
      <c r="G44" s="165"/>
      <c r="H44" s="165" t="n">
        <v>-13334212.44</v>
      </c>
    </row>
    <row r="46" customFormat="false" ht="12.75" hidden="false" customHeight="false" outlineLevel="0" collapsed="false">
      <c r="A46" s="32" t="n">
        <v>36341</v>
      </c>
      <c r="B46" s="0" t="s">
        <v>433</v>
      </c>
      <c r="C46" s="165" t="n">
        <v>8750000</v>
      </c>
      <c r="D46" s="165"/>
      <c r="F46" s="0" t="s">
        <v>433</v>
      </c>
      <c r="G46" s="165" t="n">
        <v>8750000</v>
      </c>
      <c r="H46" s="165"/>
    </row>
    <row r="47" customFormat="false" ht="12.75" hidden="false" customHeight="false" outlineLevel="0" collapsed="false">
      <c r="B47" s="0" t="s">
        <v>434</v>
      </c>
      <c r="C47" s="165"/>
      <c r="D47" s="165" t="n">
        <v>-8750000</v>
      </c>
      <c r="F47" s="0" t="s">
        <v>436</v>
      </c>
      <c r="G47" s="165"/>
      <c r="H47" s="165" t="n">
        <v>-8750000</v>
      </c>
    </row>
    <row r="49" customFormat="false" ht="12.75" hidden="false" customHeight="false" outlineLevel="0" collapsed="false">
      <c r="A49" s="32" t="n">
        <v>36363</v>
      </c>
      <c r="B49" s="0" t="s">
        <v>433</v>
      </c>
      <c r="C49" s="165" t="n">
        <v>1500000</v>
      </c>
      <c r="D49" s="165"/>
      <c r="F49" s="0" t="s">
        <v>433</v>
      </c>
      <c r="G49" s="165" t="n">
        <v>1500000</v>
      </c>
      <c r="H49" s="165"/>
    </row>
    <row r="50" customFormat="false" ht="12.75" hidden="false" customHeight="false" outlineLevel="0" collapsed="false">
      <c r="B50" s="0" t="s">
        <v>434</v>
      </c>
      <c r="C50" s="165"/>
      <c r="D50" s="165" t="n">
        <v>-1500000</v>
      </c>
      <c r="F50" s="0" t="s">
        <v>436</v>
      </c>
      <c r="G50" s="165"/>
      <c r="H50" s="165" t="n">
        <v>-1500000</v>
      </c>
    </row>
    <row r="52" customFormat="false" ht="12.75" hidden="false" customHeight="false" outlineLevel="0" collapsed="false">
      <c r="A52" s="32" t="n">
        <v>36508</v>
      </c>
      <c r="B52" s="0" t="s">
        <v>433</v>
      </c>
      <c r="C52" s="165" t="n">
        <v>15215255</v>
      </c>
      <c r="D52" s="165"/>
      <c r="F52" s="0" t="s">
        <v>433</v>
      </c>
      <c r="G52" s="165" t="n">
        <v>15215255</v>
      </c>
      <c r="H52" s="165"/>
    </row>
    <row r="53" customFormat="false" ht="12.75" hidden="false" customHeight="false" outlineLevel="0" collapsed="false">
      <c r="B53" s="0" t="s">
        <v>436</v>
      </c>
      <c r="C53" s="165"/>
      <c r="D53" s="165" t="n">
        <v>-15215255</v>
      </c>
      <c r="F53" s="0" t="s">
        <v>436</v>
      </c>
      <c r="G53" s="165"/>
      <c r="H53" s="165" t="n">
        <v>-15215255</v>
      </c>
    </row>
    <row r="55" customFormat="false" ht="12.75" hidden="false" customHeight="false" outlineLevel="0" collapsed="false">
      <c r="A55" s="32" t="n">
        <v>36508</v>
      </c>
      <c r="B55" s="0" t="s">
        <v>437</v>
      </c>
      <c r="C55" s="165" t="n">
        <v>52275302</v>
      </c>
      <c r="D55" s="165"/>
      <c r="F55" s="0" t="s">
        <v>437</v>
      </c>
      <c r="G55" s="165" t="n">
        <v>52275302</v>
      </c>
      <c r="H55" s="165"/>
    </row>
    <row r="56" customFormat="false" ht="12.75" hidden="false" customHeight="false" outlineLevel="0" collapsed="false">
      <c r="B56" s="0" t="s">
        <v>438</v>
      </c>
      <c r="C56" s="165"/>
      <c r="D56" s="165" t="n">
        <v>-52275302</v>
      </c>
      <c r="F56" s="0" t="s">
        <v>438</v>
      </c>
      <c r="G56" s="165"/>
      <c r="H56" s="165" t="n">
        <v>-52275302</v>
      </c>
    </row>
  </sheetData>
  <printOptions headings="false" gridLines="false" gridLinesSet="true" horizontalCentered="false" verticalCentered="false"/>
  <pageMargins left="1.25" right="0.747916666666667" top="0.984027777777778" bottom="0.984027777777778" header="0.511811023622047" footer="0.5"/>
  <pageSetup paperSize="1" scale="68" fitToWidth="1" fitToHeight="1" pageOrder="downThenOver" orientation="portrait" blackAndWhite="false" draft="false" cellComments="none" horizontalDpi="300" verticalDpi="300" copies="1"/>
  <headerFooter differentFirst="false" differentOddEven="false">
    <oddHeader/>
    <oddFooter>&amp;L&amp;F  &amp;A&amp;R&amp;D  &amp;T</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25.56"/>
    <col collapsed="false" customWidth="true" hidden="false" outlineLevel="0" max="2" min="2" style="1" width="18.85"/>
    <col collapsed="false" customWidth="true" hidden="false" outlineLevel="0" max="3" min="3" style="1" width="11.56"/>
    <col collapsed="false" customWidth="true" hidden="false" outlineLevel="0" max="4" min="4" style="1" width="10.71"/>
    <col collapsed="false" customWidth="true" hidden="false" outlineLevel="0" max="5" min="5" style="1" width="15.7"/>
    <col collapsed="false" customWidth="true" hidden="false" outlineLevel="0" max="6" min="6" style="1" width="13.41"/>
    <col collapsed="false" customWidth="true" hidden="false" outlineLevel="0" max="7" min="7" style="1" width="12.56"/>
    <col collapsed="false" customWidth="true" hidden="false" outlineLevel="0" max="8" min="8" style="1" width="14.99"/>
    <col collapsed="false" customWidth="true" hidden="false" outlineLevel="0" max="9" min="9" style="1" width="11.56"/>
    <col collapsed="false" customWidth="true" hidden="false" outlineLevel="0" max="10" min="10" style="1" width="14.7"/>
    <col collapsed="false" customWidth="true" hidden="false" outlineLevel="0" max="11" min="11" style="1" width="17.99"/>
    <col collapsed="false" customWidth="true" hidden="false" outlineLevel="0" max="13" min="12" style="1" width="11.56"/>
    <col collapsed="false" customWidth="true" hidden="false" outlineLevel="0" max="14" min="14" style="2" width="10.41"/>
    <col collapsed="false" customWidth="true" hidden="false" outlineLevel="0" max="15" min="15" style="2" width="9.7"/>
    <col collapsed="false" customWidth="true" hidden="false" outlineLevel="0" max="16" min="16" style="2" width="12.28"/>
    <col collapsed="false" customWidth="true" hidden="false" outlineLevel="0" max="17" min="17" style="2" width="13.85"/>
    <col collapsed="false" customWidth="true" hidden="false" outlineLevel="0" max="18" min="18" style="2" width="15.41"/>
    <col collapsed="false" customWidth="true" hidden="false" outlineLevel="0" max="19" min="19" style="2" width="14.99"/>
    <col collapsed="false" customWidth="true" hidden="false" outlineLevel="0" max="25" min="20" style="2" width="11.99"/>
    <col collapsed="false" customWidth="false" hidden="false" outlineLevel="0" max="257" min="26" style="2" width="9.14"/>
  </cols>
  <sheetData>
    <row r="1" customFormat="false" ht="12.75" hidden="false" customHeight="false" outlineLevel="0" collapsed="false">
      <c r="A1" s="440" t="s">
        <v>439</v>
      </c>
      <c r="B1" s="441" t="e">
        <f aca="false">-E4*F7*M7/SQRT(B5)*1.645</f>
        <v>#NAME?</v>
      </c>
      <c r="C1" s="442"/>
      <c r="D1" s="443"/>
      <c r="E1" s="444"/>
      <c r="F1" s="2"/>
      <c r="Q1" s="440" t="s">
        <v>440</v>
      </c>
      <c r="R1" s="441" t="n">
        <f aca="false">+R7+R11+R12+R13+R14+R15+R17+R18+R19+R20+R21</f>
        <v>-106218600</v>
      </c>
    </row>
    <row r="2" customFormat="false" ht="12.75" hidden="false" customHeight="false" outlineLevel="0" collapsed="false">
      <c r="A2" s="440" t="s">
        <v>441</v>
      </c>
      <c r="B2" s="441" t="e">
        <f aca="false">-E5*F7*M7/SQRT(B5)*1.645</f>
        <v>#NAME?</v>
      </c>
      <c r="D2" s="443"/>
      <c r="E2" s="444"/>
      <c r="F2" s="2"/>
      <c r="Q2" s="445"/>
    </row>
    <row r="3" customFormat="false" ht="18" hidden="false" customHeight="false" outlineLevel="0" collapsed="false">
      <c r="A3" s="446" t="s">
        <v>442</v>
      </c>
      <c r="B3" s="447" t="n">
        <f aca="false">'JEDI MTM'!A18</f>
        <v>36707</v>
      </c>
      <c r="D3" s="2"/>
      <c r="E3" s="444" t="s">
        <v>443</v>
      </c>
      <c r="F3" s="443" t="s">
        <v>444</v>
      </c>
      <c r="G3" s="448"/>
      <c r="H3" s="448" t="s">
        <v>445</v>
      </c>
      <c r="I3" s="448"/>
      <c r="K3" s="449" t="s">
        <v>446</v>
      </c>
    </row>
    <row r="4" customFormat="false" ht="12.75" hidden="false" customHeight="false" outlineLevel="0" collapsed="false">
      <c r="A4" s="446" t="s">
        <v>447</v>
      </c>
      <c r="B4" s="450" t="n">
        <v>0.0594</v>
      </c>
      <c r="D4" s="2"/>
      <c r="E4" s="451" t="e">
        <f aca="false">SUMPRODUCT($K$7:$K$21,$N$7:$N$21,$J$7:$J$21)</f>
        <v>#NAME?</v>
      </c>
      <c r="F4" s="451" t="e">
        <f aca="false">SUMPRODUCT($O$7:$O$21,$K$7:$K$21,$J$7:$J$21)</f>
        <v>#NAME?</v>
      </c>
      <c r="H4" s="452" t="e">
        <f aca="false">E4*F7</f>
        <v>#NAME?</v>
      </c>
      <c r="K4" s="453"/>
    </row>
    <row r="5" customFormat="false" ht="12.75" hidden="false" customHeight="false" outlineLevel="0" collapsed="false">
      <c r="A5" s="454" t="s">
        <v>448</v>
      </c>
      <c r="B5" s="454" t="n">
        <v>365.25</v>
      </c>
      <c r="D5" s="455" t="s">
        <v>449</v>
      </c>
      <c r="E5" s="451" t="e">
        <f aca="false">SUMPRODUCT($K$7:$K$21,$N$7:$N$21,$Q$7:$Q$21)</f>
        <v>#NAME?</v>
      </c>
      <c r="F5" s="451" t="e">
        <f aca="false">SUMPRODUCT($O$7:$O$21,$K$7:$K$21,$Q$7:$Q$21)</f>
        <v>#NAME?</v>
      </c>
      <c r="R5" s="445"/>
      <c r="S5" s="456"/>
    </row>
    <row r="6" customFormat="false" ht="67.5" hidden="false" customHeight="false" outlineLevel="0" collapsed="false">
      <c r="A6" s="457" t="s">
        <v>113</v>
      </c>
      <c r="B6" s="457" t="s">
        <v>450</v>
      </c>
      <c r="C6" s="457" t="s">
        <v>227</v>
      </c>
      <c r="D6" s="457" t="s">
        <v>222</v>
      </c>
      <c r="E6" s="457" t="s">
        <v>350</v>
      </c>
      <c r="F6" s="457" t="s">
        <v>451</v>
      </c>
      <c r="G6" s="457" t="s">
        <v>452</v>
      </c>
      <c r="H6" s="457" t="s">
        <v>453</v>
      </c>
      <c r="I6" s="457" t="s">
        <v>454</v>
      </c>
      <c r="J6" s="457" t="s">
        <v>455</v>
      </c>
      <c r="K6" s="457" t="s">
        <v>456</v>
      </c>
      <c r="L6" s="457" t="s">
        <v>457</v>
      </c>
      <c r="M6" s="458" t="s">
        <v>458</v>
      </c>
      <c r="N6" s="458" t="s">
        <v>459</v>
      </c>
      <c r="O6" s="458" t="s">
        <v>460</v>
      </c>
      <c r="P6" s="459" t="s">
        <v>461</v>
      </c>
      <c r="Q6" s="460"/>
      <c r="R6" s="459" t="s">
        <v>4</v>
      </c>
      <c r="S6" s="461"/>
      <c r="T6" s="461"/>
      <c r="U6" s="461"/>
      <c r="V6" s="461"/>
      <c r="W6" s="461"/>
      <c r="X6" s="462"/>
      <c r="Y6" s="462"/>
      <c r="Z6" s="462"/>
      <c r="AA6" s="462"/>
      <c r="AB6" s="462"/>
      <c r="AC6" s="462"/>
      <c r="AD6" s="462"/>
      <c r="AE6" s="462"/>
      <c r="AF6" s="462"/>
      <c r="AG6" s="462"/>
      <c r="AH6" s="462"/>
      <c r="AI6" s="462"/>
      <c r="AJ6" s="462"/>
      <c r="AK6" s="462"/>
      <c r="AL6" s="462"/>
      <c r="AM6" s="462"/>
      <c r="AN6" s="462"/>
      <c r="AO6" s="462"/>
      <c r="AP6" s="462"/>
      <c r="AQ6" s="462"/>
      <c r="AR6" s="463"/>
      <c r="AS6" s="463"/>
      <c r="AT6" s="463"/>
      <c r="AU6" s="463"/>
      <c r="AV6" s="463"/>
      <c r="AW6" s="463"/>
      <c r="AX6" s="463"/>
      <c r="AY6" s="463"/>
      <c r="AZ6" s="463"/>
      <c r="BA6" s="463"/>
      <c r="BB6" s="463"/>
      <c r="BC6" s="463"/>
      <c r="BD6" s="463"/>
      <c r="BE6" s="463"/>
      <c r="BF6" s="463"/>
      <c r="BG6" s="463"/>
      <c r="BH6" s="463"/>
      <c r="BI6" s="463"/>
      <c r="BJ6" s="463"/>
      <c r="BK6" s="463"/>
      <c r="BL6" s="463"/>
      <c r="BM6" s="463"/>
      <c r="BN6" s="463"/>
      <c r="BO6" s="463"/>
      <c r="BP6" s="463"/>
      <c r="BQ6" s="463"/>
      <c r="BR6" s="463"/>
      <c r="BS6" s="463"/>
      <c r="BT6" s="463"/>
      <c r="BU6" s="463"/>
      <c r="BV6" s="463"/>
      <c r="BW6" s="463"/>
      <c r="BX6" s="463"/>
      <c r="BY6" s="463"/>
      <c r="BZ6" s="463"/>
      <c r="CA6" s="463"/>
      <c r="CB6" s="463"/>
      <c r="CC6" s="463"/>
      <c r="CD6" s="463"/>
      <c r="CE6" s="463"/>
      <c r="CF6" s="463"/>
      <c r="CG6" s="463"/>
      <c r="CH6" s="463"/>
      <c r="CI6" s="463"/>
      <c r="CJ6" s="463"/>
      <c r="CK6" s="463"/>
      <c r="CL6" s="463"/>
      <c r="CM6" s="463"/>
      <c r="CN6" s="463"/>
      <c r="CO6" s="463"/>
      <c r="CP6" s="463"/>
      <c r="CQ6" s="463"/>
      <c r="CR6" s="463"/>
      <c r="CS6" s="463"/>
      <c r="CT6" s="463"/>
      <c r="CU6" s="463"/>
      <c r="CV6" s="463"/>
      <c r="CW6" s="463"/>
      <c r="CX6" s="463"/>
      <c r="CY6" s="463"/>
      <c r="CZ6" s="463"/>
      <c r="DA6" s="463"/>
      <c r="DB6" s="463"/>
      <c r="DC6" s="463"/>
      <c r="DD6" s="463"/>
      <c r="DE6" s="463"/>
      <c r="DF6" s="463"/>
      <c r="DG6" s="463"/>
      <c r="DH6" s="463"/>
      <c r="DI6" s="463"/>
      <c r="DJ6" s="463"/>
      <c r="DK6" s="463"/>
      <c r="DL6" s="463"/>
      <c r="DM6" s="463"/>
      <c r="DN6" s="463"/>
      <c r="DO6" s="463"/>
      <c r="DP6" s="463"/>
      <c r="DQ6" s="463"/>
      <c r="DR6" s="463"/>
      <c r="DS6" s="463"/>
      <c r="DT6" s="463"/>
      <c r="DU6" s="463"/>
      <c r="DV6" s="463"/>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3"/>
      <c r="FD6" s="463"/>
      <c r="FE6" s="463"/>
      <c r="FF6" s="463"/>
      <c r="FG6" s="463"/>
      <c r="FH6" s="463"/>
      <c r="FI6" s="463"/>
      <c r="FJ6" s="463"/>
      <c r="FK6" s="463"/>
      <c r="FL6" s="463"/>
      <c r="FM6" s="463"/>
      <c r="FN6" s="463"/>
      <c r="FO6" s="463"/>
      <c r="FP6" s="463"/>
      <c r="FQ6" s="463"/>
      <c r="FR6" s="463"/>
      <c r="FS6" s="463"/>
      <c r="FT6" s="463"/>
      <c r="FU6" s="463"/>
      <c r="FV6" s="463"/>
      <c r="FW6" s="463"/>
      <c r="FX6" s="463"/>
      <c r="FY6" s="463"/>
      <c r="FZ6" s="463"/>
      <c r="GA6" s="463"/>
      <c r="GB6" s="463"/>
      <c r="GC6" s="463"/>
      <c r="GD6" s="463"/>
      <c r="GE6" s="463"/>
      <c r="GF6" s="463"/>
      <c r="GG6" s="463"/>
      <c r="GH6" s="463"/>
      <c r="GI6" s="463"/>
      <c r="GJ6" s="463"/>
      <c r="GK6" s="463"/>
      <c r="GL6" s="463"/>
      <c r="GM6" s="463"/>
      <c r="GN6" s="463"/>
      <c r="GO6" s="463"/>
      <c r="GP6" s="463"/>
      <c r="GQ6" s="463"/>
      <c r="GR6" s="463"/>
      <c r="GS6" s="463"/>
      <c r="GT6" s="463"/>
      <c r="GU6" s="463"/>
      <c r="GV6" s="463"/>
      <c r="GW6" s="463"/>
      <c r="GX6" s="463"/>
      <c r="GY6" s="463"/>
      <c r="GZ6" s="463"/>
      <c r="HA6" s="463"/>
      <c r="HB6" s="463"/>
      <c r="HC6" s="463"/>
      <c r="HD6" s="463"/>
      <c r="HE6" s="463"/>
      <c r="HF6" s="463"/>
      <c r="HG6" s="463"/>
      <c r="HH6" s="463"/>
      <c r="HI6" s="463"/>
      <c r="HJ6" s="463"/>
      <c r="HK6" s="463"/>
      <c r="HL6" s="463"/>
      <c r="HM6" s="463"/>
      <c r="HN6" s="463"/>
      <c r="HO6" s="463"/>
      <c r="HP6" s="463"/>
      <c r="HQ6" s="463"/>
      <c r="HR6" s="463"/>
      <c r="HS6" s="463"/>
      <c r="HT6" s="463"/>
      <c r="HU6" s="463"/>
      <c r="HV6" s="463"/>
      <c r="HW6" s="463"/>
      <c r="HX6" s="463"/>
      <c r="HY6" s="463"/>
      <c r="HZ6" s="463"/>
      <c r="IA6" s="463"/>
      <c r="IB6" s="463"/>
      <c r="IC6" s="463"/>
      <c r="ID6" s="463"/>
      <c r="IE6" s="463"/>
      <c r="IF6" s="463"/>
      <c r="IG6" s="463"/>
      <c r="IH6" s="463"/>
      <c r="II6" s="463"/>
      <c r="IJ6" s="463"/>
      <c r="IK6" s="463"/>
      <c r="IL6" s="463"/>
      <c r="IM6" s="463"/>
      <c r="IN6" s="463"/>
      <c r="IO6" s="463"/>
      <c r="IP6" s="463"/>
      <c r="IQ6" s="463"/>
      <c r="IR6" s="463"/>
      <c r="IS6" s="463"/>
      <c r="IT6" s="463"/>
      <c r="IU6" s="463"/>
      <c r="IV6" s="463"/>
      <c r="IW6" s="463"/>
    </row>
    <row r="7" customFormat="false" ht="12.75" hidden="false" customHeight="false" outlineLevel="0" collapsed="false">
      <c r="A7" s="464" t="s">
        <v>462</v>
      </c>
      <c r="B7" s="465" t="s">
        <v>17</v>
      </c>
      <c r="C7" s="466"/>
      <c r="D7" s="466"/>
      <c r="E7" s="466"/>
      <c r="F7" s="467" t="n">
        <f aca="false">+$F$26</f>
        <v>64.5</v>
      </c>
      <c r="G7" s="468" t="n">
        <v>0.0138</v>
      </c>
      <c r="H7" s="465" t="s">
        <v>463</v>
      </c>
      <c r="I7" s="465" t="s">
        <v>48</v>
      </c>
      <c r="J7" s="465" t="n">
        <v>1</v>
      </c>
      <c r="K7" s="453" t="n">
        <v>12012804</v>
      </c>
      <c r="L7" s="465" t="n">
        <v>71</v>
      </c>
      <c r="M7" s="469" t="n">
        <v>0.39</v>
      </c>
      <c r="N7" s="470" t="n">
        <v>1</v>
      </c>
      <c r="O7" s="470" t="n">
        <v>0</v>
      </c>
      <c r="P7" s="471" t="n">
        <f aca="false">-1.645*ABS(N7)*M7/SQRT($B$5)*F7*$K7</f>
        <v>-26009949.1331446</v>
      </c>
      <c r="Q7" s="2" t="n">
        <v>1</v>
      </c>
      <c r="R7" s="471" t="n">
        <f aca="false">K7*F7*N7</f>
        <v>774825858</v>
      </c>
      <c r="S7" s="14"/>
    </row>
    <row r="8" customFormat="false" ht="12.75" hidden="false" customHeight="false" outlineLevel="0" collapsed="false">
      <c r="A8" s="472" t="s">
        <v>319</v>
      </c>
      <c r="B8" s="465" t="s">
        <v>349</v>
      </c>
      <c r="C8" s="466" t="n">
        <v>36564</v>
      </c>
      <c r="D8" s="466" t="n">
        <v>36690</v>
      </c>
      <c r="E8" s="466" t="s">
        <v>464</v>
      </c>
      <c r="F8" s="467" t="n">
        <f aca="false">+$F$26</f>
        <v>64.5</v>
      </c>
      <c r="G8" s="468" t="n">
        <f aca="false">G7</f>
        <v>0.0138</v>
      </c>
      <c r="H8" s="465" t="s">
        <v>465</v>
      </c>
      <c r="I8" s="465" t="s">
        <v>48</v>
      </c>
      <c r="J8" s="465" t="n">
        <v>0</v>
      </c>
      <c r="K8" s="473" t="n">
        <v>1220650</v>
      </c>
      <c r="L8" s="465" t="n">
        <v>41.0449</v>
      </c>
      <c r="M8" s="469" t="n">
        <f aca="false">M7</f>
        <v>0.39</v>
      </c>
      <c r="N8" s="470" t="n">
        <f aca="false">EXP(-($B$4-G8)*(D8-$B$3)/$B$5)</f>
        <v>1.00212463577694</v>
      </c>
      <c r="O8" s="470" t="n">
        <v>0</v>
      </c>
      <c r="P8" s="471" t="n">
        <f aca="false">-1.645*ABS(N8)*M8/SQRT($B$5)*F8*$K8</f>
        <v>-2648548.96200827</v>
      </c>
      <c r="Q8" s="2" t="n">
        <v>0</v>
      </c>
      <c r="R8" s="471" t="n">
        <f aca="false">K8*F8*N8</f>
        <v>78899201.6646423</v>
      </c>
      <c r="S8" s="14"/>
    </row>
    <row r="9" customFormat="false" ht="51" hidden="false" customHeight="false" outlineLevel="0" collapsed="false">
      <c r="A9" s="472" t="s">
        <v>319</v>
      </c>
      <c r="B9" s="465" t="s">
        <v>405</v>
      </c>
      <c r="C9" s="466" t="n">
        <v>35167</v>
      </c>
      <c r="D9" s="466" t="n">
        <v>36993</v>
      </c>
      <c r="E9" s="474" t="s">
        <v>466</v>
      </c>
      <c r="F9" s="467" t="n">
        <f aca="false">+$F$26</f>
        <v>64.5</v>
      </c>
      <c r="G9" s="468" t="n">
        <f aca="false">G8</f>
        <v>0.0138</v>
      </c>
      <c r="H9" s="465" t="s">
        <v>465</v>
      </c>
      <c r="I9" s="465" t="s">
        <v>48</v>
      </c>
      <c r="J9" s="465" t="n">
        <v>0</v>
      </c>
      <c r="K9" s="473" t="n">
        <f aca="false">+(6703300-2888249)*2</f>
        <v>7630102</v>
      </c>
      <c r="L9" s="465" t="n">
        <f aca="false">78/2</f>
        <v>39</v>
      </c>
      <c r="M9" s="469" t="n">
        <v>0.39</v>
      </c>
      <c r="N9" s="470" t="n">
        <f aca="false">EXP(-($B$4-G9)*(D9-$B$3)/$B$5)</f>
        <v>0.964923983013311</v>
      </c>
      <c r="O9" s="470" t="n">
        <v>0</v>
      </c>
      <c r="P9" s="471" t="n">
        <f aca="false">-1.645*ABS(N9)*M9/SQRT($B$5)*F9*$K9</f>
        <v>-15941109.9113158</v>
      </c>
      <c r="Q9" s="2" t="n">
        <v>0</v>
      </c>
      <c r="R9" s="471" t="n">
        <f aca="false">K9*F9*N9</f>
        <v>474879212.61514</v>
      </c>
      <c r="S9" s="14"/>
    </row>
    <row r="10" customFormat="false" ht="12.75" hidden="false" customHeight="false" outlineLevel="0" collapsed="false">
      <c r="A10" s="472" t="s">
        <v>467</v>
      </c>
      <c r="B10" s="465" t="s">
        <v>17</v>
      </c>
      <c r="C10" s="466" t="n">
        <v>36244</v>
      </c>
      <c r="D10" s="466" t="n">
        <v>39425</v>
      </c>
      <c r="E10" s="465" t="s">
        <v>464</v>
      </c>
      <c r="F10" s="467" t="n">
        <f aca="false">+$F$26</f>
        <v>64.5</v>
      </c>
      <c r="G10" s="468" t="n">
        <f aca="false">G9</f>
        <v>0.0138</v>
      </c>
      <c r="H10" s="465" t="n">
        <v>1</v>
      </c>
      <c r="I10" s="465" t="s">
        <v>468</v>
      </c>
      <c r="J10" s="465" t="n">
        <v>0</v>
      </c>
      <c r="K10" s="473"/>
      <c r="L10" s="465" t="n">
        <f aca="false">39.1875/2</f>
        <v>19.59375</v>
      </c>
      <c r="M10" s="469" t="n">
        <v>0.39</v>
      </c>
      <c r="N10" s="470" t="e">
        <f aca="false">EURO($F10,$L10,$B$4,$G10,$M10,$D10-$B$3,$H10,1)</f>
        <v>#NAME?</v>
      </c>
      <c r="O10" s="470" t="e">
        <f aca="false">EURO($F10,$L10,$B$4,$G10,$M10,$D10-$B$3,$H10,2)</f>
        <v>#NAME?</v>
      </c>
      <c r="P10" s="471" t="e">
        <f aca="false">-1.645*ABS(N10)*M10/SQRT($B$5)*F10*$K10</f>
        <v>#NAME?</v>
      </c>
      <c r="Q10" s="2" t="n">
        <v>0</v>
      </c>
      <c r="R10" s="471" t="e">
        <f aca="false">K10*F10*N10</f>
        <v>#NAME?</v>
      </c>
      <c r="S10" s="14"/>
    </row>
    <row r="11" customFormat="false" ht="12.75" hidden="false" customHeight="false" outlineLevel="0" collapsed="false">
      <c r="A11" s="472" t="s">
        <v>469</v>
      </c>
      <c r="B11" s="465"/>
      <c r="C11" s="466" t="n">
        <v>36546</v>
      </c>
      <c r="D11" s="466" t="n">
        <v>36780</v>
      </c>
      <c r="E11" s="465"/>
      <c r="F11" s="467" t="n">
        <f aca="false">+$F$26</f>
        <v>64.5</v>
      </c>
      <c r="G11" s="468" t="n">
        <f aca="false">G10</f>
        <v>0.0138</v>
      </c>
      <c r="H11" s="465" t="s">
        <v>463</v>
      </c>
      <c r="I11" s="465" t="s">
        <v>48</v>
      </c>
      <c r="J11" s="465" t="n">
        <v>-1</v>
      </c>
      <c r="K11" s="453" t="n">
        <f aca="false">K7</f>
        <v>12012804</v>
      </c>
      <c r="L11" s="465" t="n">
        <v>71</v>
      </c>
      <c r="M11" s="469" t="n">
        <v>0.39</v>
      </c>
      <c r="N11" s="470" t="n">
        <v>1</v>
      </c>
      <c r="O11" s="470" t="n">
        <v>0</v>
      </c>
      <c r="P11" s="471" t="n">
        <f aca="false">-1.645*ABS(N11)*M11/SQRT($B$5)*F11*$K11</f>
        <v>-26009949.1331446</v>
      </c>
      <c r="Q11" s="2" t="n">
        <v>1</v>
      </c>
      <c r="R11" s="471" t="n">
        <f aca="false">K11*F11*N11*-1</f>
        <v>-774825858</v>
      </c>
      <c r="S11" s="14"/>
    </row>
    <row r="12" customFormat="false" ht="12.75" hidden="false" customHeight="false" outlineLevel="0" collapsed="false">
      <c r="A12" s="464" t="s">
        <v>470</v>
      </c>
      <c r="B12" s="465"/>
      <c r="C12" s="466" t="n">
        <f aca="false">+'DWR 1304771'!F7</f>
        <v>0</v>
      </c>
      <c r="D12" s="466" t="n">
        <f aca="false">+'DWR 1304771'!F8</f>
        <v>0</v>
      </c>
      <c r="E12" s="465"/>
      <c r="F12" s="467" t="n">
        <f aca="false">+$F$26</f>
        <v>64.5</v>
      </c>
      <c r="G12" s="468" t="n">
        <v>0.0138</v>
      </c>
      <c r="H12" s="465" t="s">
        <v>463</v>
      </c>
      <c r="I12" s="465" t="s">
        <v>48</v>
      </c>
      <c r="J12" s="465" t="n">
        <v>1</v>
      </c>
      <c r="K12" s="475" t="n">
        <v>0</v>
      </c>
      <c r="L12" s="476" t="n">
        <v>0</v>
      </c>
      <c r="M12" s="469" t="n">
        <f aca="false">M9</f>
        <v>0.39</v>
      </c>
      <c r="N12" s="470" t="n">
        <v>1</v>
      </c>
      <c r="O12" s="470" t="n">
        <v>0</v>
      </c>
      <c r="P12" s="471" t="n">
        <f aca="false">-1.645*ABS(N12)*M12/SQRT($B$5)*F12*$K12</f>
        <v>-0</v>
      </c>
      <c r="Q12" s="2" t="n">
        <v>1</v>
      </c>
      <c r="R12" s="471" t="n">
        <f aca="false">K12*F12*N12*-1</f>
        <v>-0</v>
      </c>
      <c r="S12" s="14"/>
    </row>
    <row r="13" customFormat="false" ht="12.75" hidden="false" customHeight="false" outlineLevel="0" collapsed="false">
      <c r="A13" s="464" t="s">
        <v>471</v>
      </c>
      <c r="B13" s="465"/>
      <c r="C13" s="466" t="n">
        <f aca="false">+'Bear Stearns 5-24'!D9</f>
        <v>36670</v>
      </c>
      <c r="D13" s="466" t="n">
        <f aca="false">+'Bear Stearns 5-24'!D10</f>
        <v>36678</v>
      </c>
      <c r="E13" s="465"/>
      <c r="F13" s="467" t="n">
        <f aca="false">+$F$26</f>
        <v>64.5</v>
      </c>
      <c r="G13" s="468" t="n">
        <v>0.0138</v>
      </c>
      <c r="H13" s="465" t="s">
        <v>463</v>
      </c>
      <c r="I13" s="465" t="s">
        <v>48</v>
      </c>
      <c r="J13" s="465" t="n">
        <v>1</v>
      </c>
      <c r="K13" s="475" t="n">
        <v>0</v>
      </c>
      <c r="L13" s="476" t="n">
        <f aca="false">+'Bear Stearns 5-24'!B17</f>
        <v>66.8998</v>
      </c>
      <c r="M13" s="469" t="n">
        <f aca="false">M9</f>
        <v>0.39</v>
      </c>
      <c r="N13" s="470" t="n">
        <v>1</v>
      </c>
      <c r="O13" s="470" t="n">
        <v>0</v>
      </c>
      <c r="P13" s="471" t="n">
        <f aca="false">-1.645*ABS(N13)*M13/SQRT($B$5)*F13*$K13</f>
        <v>-0</v>
      </c>
      <c r="Q13" s="2" t="n">
        <v>1</v>
      </c>
      <c r="R13" s="471" t="n">
        <f aca="false">K13*F13*N13*-1</f>
        <v>-0</v>
      </c>
      <c r="S13" s="14"/>
    </row>
    <row r="14" customFormat="false" ht="12.75" hidden="false" customHeight="false" outlineLevel="0" collapsed="false">
      <c r="A14" s="464" t="s">
        <v>472</v>
      </c>
      <c r="B14" s="465"/>
      <c r="C14" s="466" t="n">
        <f aca="false">+'Credit Suisse 4-5'!D9</f>
        <v>36621</v>
      </c>
      <c r="D14" s="466" t="n">
        <f aca="false">+'Credit Suisse 4-5'!D10</f>
        <v>36654</v>
      </c>
      <c r="E14" s="465"/>
      <c r="F14" s="467" t="n">
        <f aca="false">+$F$26</f>
        <v>64.5</v>
      </c>
      <c r="G14" s="468" t="n">
        <v>0.0138</v>
      </c>
      <c r="H14" s="465" t="s">
        <v>463</v>
      </c>
      <c r="I14" s="465" t="s">
        <v>48</v>
      </c>
      <c r="J14" s="465" t="n">
        <v>1</v>
      </c>
      <c r="K14" s="475" t="n">
        <v>0</v>
      </c>
      <c r="L14" s="476" t="n">
        <v>0</v>
      </c>
      <c r="M14" s="469" t="n">
        <f aca="false">M10</f>
        <v>0.39</v>
      </c>
      <c r="N14" s="470" t="n">
        <v>1</v>
      </c>
      <c r="O14" s="470" t="n">
        <v>0</v>
      </c>
      <c r="P14" s="471" t="n">
        <f aca="false">-1.645*ABS(N14)*M14/SQRT($B$5)*F14*$K14</f>
        <v>-0</v>
      </c>
      <c r="Q14" s="2" t="n">
        <v>1</v>
      </c>
      <c r="R14" s="471" t="n">
        <f aca="false">K14*F14*N14*-1</f>
        <v>-0</v>
      </c>
      <c r="S14" s="14"/>
    </row>
    <row r="15" customFormat="false" ht="12.75" hidden="false" customHeight="false" outlineLevel="0" collapsed="false">
      <c r="A15" s="464" t="s">
        <v>473</v>
      </c>
      <c r="B15" s="465"/>
      <c r="C15" s="466" t="n">
        <f aca="false">+'Credit Suisse 4-6'!D9</f>
        <v>36622</v>
      </c>
      <c r="D15" s="466" t="n">
        <f aca="false">+'Credit Suisse 4-6'!D10</f>
        <v>36654</v>
      </c>
      <c r="E15" s="465"/>
      <c r="F15" s="467" t="n">
        <f aca="false">+$F$26</f>
        <v>64.5</v>
      </c>
      <c r="G15" s="468" t="n">
        <v>0.0138</v>
      </c>
      <c r="H15" s="465" t="s">
        <v>463</v>
      </c>
      <c r="I15" s="465" t="s">
        <v>48</v>
      </c>
      <c r="J15" s="465" t="n">
        <v>1</v>
      </c>
      <c r="K15" s="475" t="n">
        <v>0</v>
      </c>
      <c r="L15" s="476" t="n">
        <v>0</v>
      </c>
      <c r="M15" s="469" t="n">
        <f aca="false">M10</f>
        <v>0.39</v>
      </c>
      <c r="N15" s="470" t="n">
        <v>1</v>
      </c>
      <c r="O15" s="470" t="n">
        <v>0</v>
      </c>
      <c r="P15" s="471" t="n">
        <f aca="false">-1.645*ABS(N15)*M15/SQRT($B$5)*F15*$K15</f>
        <v>-0</v>
      </c>
      <c r="Q15" s="2" t="n">
        <v>1</v>
      </c>
      <c r="R15" s="471" t="n">
        <f aca="false">K15*F15*N15*-1</f>
        <v>-0</v>
      </c>
      <c r="S15" s="14"/>
    </row>
    <row r="16" customFormat="false" ht="12.75" hidden="false" customHeight="false" outlineLevel="0" collapsed="false">
      <c r="A16" s="464" t="s">
        <v>474</v>
      </c>
      <c r="B16" s="465"/>
      <c r="C16" s="466" t="n">
        <v>36633</v>
      </c>
      <c r="D16" s="466" t="n">
        <v>36997</v>
      </c>
      <c r="E16" s="465"/>
      <c r="F16" s="467" t="n">
        <f aca="false">+$F$26</f>
        <v>64.5</v>
      </c>
      <c r="G16" s="468" t="n">
        <v>0.0138</v>
      </c>
      <c r="H16" s="465" t="s">
        <v>463</v>
      </c>
      <c r="I16" s="465" t="s">
        <v>48</v>
      </c>
      <c r="J16" s="465" t="n">
        <v>1</v>
      </c>
      <c r="K16" s="475" t="n">
        <v>0</v>
      </c>
      <c r="L16" s="476" t="n">
        <v>0</v>
      </c>
      <c r="M16" s="469" t="n">
        <f aca="false">M8</f>
        <v>0.39</v>
      </c>
      <c r="N16" s="470" t="n">
        <v>1</v>
      </c>
      <c r="O16" s="470" t="n">
        <v>0</v>
      </c>
      <c r="P16" s="471" t="n">
        <f aca="false">-1.645*ABS(N16)*M16/SQRT($B$5)*F16*$K16</f>
        <v>-0</v>
      </c>
      <c r="Q16" s="2" t="n">
        <v>1</v>
      </c>
      <c r="R16" s="471" t="n">
        <f aca="false">K16*F16*N16*-1</f>
        <v>-0</v>
      </c>
      <c r="S16" s="14"/>
      <c r="T16" s="14"/>
      <c r="U16" s="14"/>
    </row>
    <row r="17" customFormat="false" ht="12.75" hidden="false" customHeight="false" outlineLevel="0" collapsed="false">
      <c r="A17" s="464" t="s">
        <v>475</v>
      </c>
      <c r="B17" s="465"/>
      <c r="C17" s="466" t="n">
        <v>36704</v>
      </c>
      <c r="D17" s="466" t="n">
        <v>37071</v>
      </c>
      <c r="E17" s="465"/>
      <c r="F17" s="467" t="n">
        <f aca="false">+$F$26</f>
        <v>64.5</v>
      </c>
      <c r="G17" s="468" t="n">
        <v>0.0138</v>
      </c>
      <c r="H17" s="465" t="s">
        <v>463</v>
      </c>
      <c r="I17" s="465" t="s">
        <v>48</v>
      </c>
      <c r="J17" s="465" t="n">
        <v>1</v>
      </c>
      <c r="K17" s="475" t="n">
        <f aca="false">+'CFSB 6-27'!B16</f>
        <v>750000</v>
      </c>
      <c r="L17" s="476" t="n">
        <f aca="false">+'CFSB 6-27'!B17</f>
        <v>68.4743</v>
      </c>
      <c r="M17" s="469" t="n">
        <f aca="false">M9</f>
        <v>0.39</v>
      </c>
      <c r="N17" s="470" t="n">
        <v>1</v>
      </c>
      <c r="O17" s="470" t="n">
        <v>0</v>
      </c>
      <c r="P17" s="471" t="n">
        <f aca="false">-1.645*ABS(N17)*M17/SQRT($B$5)*F17*$K17</f>
        <v>-1623889.13111863</v>
      </c>
      <c r="Q17" s="2" t="n">
        <v>1</v>
      </c>
      <c r="R17" s="471" t="n">
        <f aca="false">K17*F17*N17*-1</f>
        <v>-48375000</v>
      </c>
      <c r="S17" s="14"/>
      <c r="T17" s="14"/>
      <c r="U17" s="14"/>
    </row>
    <row r="18" customFormat="false" ht="12.75" hidden="false" customHeight="false" outlineLevel="0" collapsed="false">
      <c r="A18" s="464" t="s">
        <v>476</v>
      </c>
      <c r="B18" s="465"/>
      <c r="C18" s="466" t="n">
        <v>36705</v>
      </c>
      <c r="D18" s="466" t="n">
        <f aca="false">+'MLCO 6-28'!D10</f>
        <v>37062</v>
      </c>
      <c r="E18" s="465"/>
      <c r="F18" s="467" t="n">
        <f aca="false">+$F$26</f>
        <v>64.5</v>
      </c>
      <c r="G18" s="468" t="n">
        <v>0.0138</v>
      </c>
      <c r="H18" s="465" t="s">
        <v>463</v>
      </c>
      <c r="I18" s="465" t="s">
        <v>48</v>
      </c>
      <c r="J18" s="465" t="n">
        <v>1</v>
      </c>
      <c r="K18" s="475" t="n">
        <f aca="false">+'MLCO 6-28'!B16</f>
        <v>110100</v>
      </c>
      <c r="L18" s="476" t="n">
        <f aca="false">+'MLCO 6-28'!B17</f>
        <v>68.53</v>
      </c>
      <c r="M18" s="469" t="n">
        <f aca="false">M10</f>
        <v>0.39</v>
      </c>
      <c r="N18" s="470" t="n">
        <v>1</v>
      </c>
      <c r="O18" s="470" t="n">
        <v>0</v>
      </c>
      <c r="P18" s="471" t="n">
        <f aca="false">-1.645*ABS(N18)*M18/SQRT($B$5)*F18*$K18</f>
        <v>-238386.924448216</v>
      </c>
      <c r="Q18" s="2" t="n">
        <v>1</v>
      </c>
      <c r="R18" s="471" t="n">
        <f aca="false">K18*F18*N18*-1</f>
        <v>-7101450</v>
      </c>
      <c r="S18" s="14"/>
      <c r="T18" s="14"/>
      <c r="U18" s="14"/>
    </row>
    <row r="19" customFormat="false" ht="12.75" hidden="false" customHeight="false" outlineLevel="0" collapsed="false">
      <c r="A19" s="464" t="s">
        <v>477</v>
      </c>
      <c r="B19" s="465"/>
      <c r="C19" s="466" t="n">
        <v>36706</v>
      </c>
      <c r="D19" s="466" t="n">
        <f aca="false">+'MLCO 6-29'!D9</f>
        <v>36706</v>
      </c>
      <c r="E19" s="465"/>
      <c r="F19" s="467" t="n">
        <f aca="false">+$F$26</f>
        <v>64.5</v>
      </c>
      <c r="G19" s="468" t="n">
        <v>0.0138</v>
      </c>
      <c r="H19" s="465" t="s">
        <v>463</v>
      </c>
      <c r="I19" s="465" t="s">
        <v>48</v>
      </c>
      <c r="J19" s="465" t="n">
        <v>1</v>
      </c>
      <c r="K19" s="475" t="n">
        <f aca="false">+'MLCO 6-29'!B16</f>
        <v>150000</v>
      </c>
      <c r="L19" s="476" t="n">
        <f aca="false">+'MLCO 6-29'!B17</f>
        <v>68.53</v>
      </c>
      <c r="M19" s="469" t="n">
        <f aca="false">M10</f>
        <v>0.39</v>
      </c>
      <c r="N19" s="470" t="n">
        <v>1</v>
      </c>
      <c r="O19" s="470" t="n">
        <v>0</v>
      </c>
      <c r="P19" s="471" t="n">
        <f aca="false">-1.645*ABS(N19)*M19/SQRT($B$5)*F19*$K19</f>
        <v>-324777.826223727</v>
      </c>
      <c r="Q19" s="2" t="n">
        <v>1</v>
      </c>
      <c r="R19" s="471" t="n">
        <f aca="false">K19*F19*N19*-1</f>
        <v>-9675000</v>
      </c>
      <c r="S19" s="14"/>
      <c r="T19" s="14"/>
      <c r="U19" s="14"/>
    </row>
    <row r="20" customFormat="false" ht="12.75" hidden="false" customHeight="false" outlineLevel="0" collapsed="false">
      <c r="A20" s="464"/>
      <c r="B20" s="465"/>
      <c r="C20" s="466"/>
      <c r="D20" s="466"/>
      <c r="E20" s="465"/>
      <c r="F20" s="467" t="n">
        <f aca="false">+$F$26</f>
        <v>64.5</v>
      </c>
      <c r="G20" s="468" t="n">
        <v>0.0138</v>
      </c>
      <c r="H20" s="465" t="s">
        <v>463</v>
      </c>
      <c r="I20" s="465" t="s">
        <v>48</v>
      </c>
      <c r="J20" s="465" t="n">
        <v>1</v>
      </c>
      <c r="K20" s="475"/>
      <c r="L20" s="476"/>
      <c r="M20" s="469" t="n">
        <v>0.39</v>
      </c>
      <c r="N20" s="470" t="n">
        <v>1</v>
      </c>
      <c r="O20" s="470" t="n">
        <v>0</v>
      </c>
      <c r="P20" s="471" t="n">
        <f aca="false">-1.645*ABS(N20)*M20/SQRT($B$5)*F20*$K20</f>
        <v>-0</v>
      </c>
      <c r="R20" s="471" t="n">
        <f aca="false">K20*F20*N20*-1</f>
        <v>-0</v>
      </c>
      <c r="S20" s="14"/>
      <c r="T20" s="14"/>
      <c r="U20" s="14"/>
    </row>
    <row r="21" customFormat="false" ht="12.75" hidden="false" customHeight="false" outlineLevel="0" collapsed="false">
      <c r="A21" s="464"/>
      <c r="B21" s="465"/>
      <c r="C21" s="466" t="n">
        <v>36707</v>
      </c>
      <c r="D21" s="466" t="n">
        <f aca="false">+'MLCO 6-29 (2)'!D10</f>
        <v>37072</v>
      </c>
      <c r="E21" s="465"/>
      <c r="F21" s="467" t="n">
        <f aca="false">+$F$26</f>
        <v>64.5</v>
      </c>
      <c r="G21" s="468" t="n">
        <v>0.0138</v>
      </c>
      <c r="H21" s="465" t="s">
        <v>463</v>
      </c>
      <c r="I21" s="465" t="s">
        <v>48</v>
      </c>
      <c r="J21" s="465" t="n">
        <v>1</v>
      </c>
      <c r="K21" s="475" t="n">
        <f aca="false">+'MLCO 6-29 (2)'!B16</f>
        <v>636700</v>
      </c>
      <c r="L21" s="476" t="n">
        <f aca="false">+'MLCO 6-29 (2)'!B17</f>
        <v>68.3658</v>
      </c>
      <c r="M21" s="469" t="n">
        <f aca="false">M11</f>
        <v>0.39</v>
      </c>
      <c r="N21" s="470" t="n">
        <v>1</v>
      </c>
      <c r="O21" s="470" t="n">
        <v>0</v>
      </c>
      <c r="P21" s="471" t="n">
        <f aca="false">-1.645*ABS(N21)*M21/SQRT($B$5)*F21*$K21</f>
        <v>-1378573.61304431</v>
      </c>
      <c r="Q21" s="2" t="n">
        <v>1</v>
      </c>
      <c r="R21" s="471" t="n">
        <f aca="false">K21*F21*N21*-1</f>
        <v>-41067150</v>
      </c>
      <c r="S21" s="14"/>
      <c r="T21" s="14"/>
      <c r="U21" s="14"/>
      <c r="V21" s="14"/>
      <c r="W21" s="14"/>
      <c r="X21" s="14"/>
      <c r="Y21" s="14"/>
    </row>
    <row r="22" customFormat="false" ht="12.75" hidden="false" customHeight="false" outlineLevel="0" collapsed="false">
      <c r="A22" s="477" t="s">
        <v>478</v>
      </c>
      <c r="F22" s="478" t="s">
        <v>479</v>
      </c>
      <c r="G22" s="478" t="s">
        <v>480</v>
      </c>
      <c r="L22" s="478" t="s">
        <v>481</v>
      </c>
      <c r="M22" s="478" t="s">
        <v>482</v>
      </c>
    </row>
    <row r="23" customFormat="false" ht="12.75" hidden="false" customHeight="false" outlineLevel="0" collapsed="false">
      <c r="N23" s="479"/>
    </row>
    <row r="24" customFormat="false" ht="12.75" hidden="false" customHeight="false" outlineLevel="0" collapsed="false">
      <c r="J24" s="480"/>
      <c r="K24" s="480"/>
      <c r="L24" s="480"/>
    </row>
    <row r="25" customFormat="false" ht="12.75" hidden="false" customHeight="false" outlineLevel="0" collapsed="false">
      <c r="J25" s="480"/>
      <c r="K25" s="481"/>
      <c r="L25" s="480"/>
    </row>
    <row r="26" customFormat="false" ht="12.75" hidden="false" customHeight="false" outlineLevel="0" collapsed="false">
      <c r="E26" s="1" t="s">
        <v>451</v>
      </c>
      <c r="F26" s="1" t="n">
        <f aca="false">LOOKUP(B3,Input!A20:A826,Input!B20:B826)</f>
        <v>64.5</v>
      </c>
      <c r="J26" s="480"/>
      <c r="K26" s="481"/>
      <c r="L26" s="480"/>
    </row>
    <row r="27" customFormat="false" ht="12.75" hidden="false" customHeight="false" outlineLevel="0" collapsed="false">
      <c r="J27" s="480"/>
      <c r="K27" s="481"/>
      <c r="L27" s="480"/>
    </row>
    <row r="28" customFormat="false" ht="12.75" hidden="false" customHeight="false" outlineLevel="0" collapsed="false">
      <c r="J28" s="480"/>
      <c r="K28" s="481"/>
      <c r="L28" s="480"/>
    </row>
    <row r="29" customFormat="false" ht="12.75" hidden="false" customHeight="false" outlineLevel="0" collapsed="false">
      <c r="J29" s="480"/>
      <c r="K29" s="481"/>
      <c r="L29" s="480"/>
    </row>
    <row r="30" customFormat="false" ht="12.75" hidden="false" customHeight="false" outlineLevel="0" collapsed="false">
      <c r="J30" s="480"/>
      <c r="K30" s="480"/>
      <c r="L30" s="480"/>
    </row>
    <row r="31" customFormat="false" ht="12.75" hidden="false" customHeight="false" outlineLevel="0" collapsed="false">
      <c r="J31" s="480"/>
      <c r="K31" s="480"/>
      <c r="L31" s="480"/>
      <c r="Q31" s="445" t="e">
        <f aca="false">P38+P42-P41</f>
        <v>#NAME?</v>
      </c>
    </row>
    <row r="32" customFormat="false" ht="12.75" hidden="false" customHeight="false" outlineLevel="0" collapsed="false">
      <c r="A32" s="440" t="s">
        <v>439</v>
      </c>
      <c r="B32" s="441" t="e">
        <f aca="false">-E35*F38*M38/SQRT(B36)*1.645</f>
        <v>#NAME?</v>
      </c>
      <c r="C32" s="442" t="s">
        <v>483</v>
      </c>
      <c r="D32" s="443"/>
      <c r="E32" s="444"/>
      <c r="F32" s="2"/>
      <c r="Q32" s="440" t="s">
        <v>440</v>
      </c>
      <c r="R32" s="441" t="e">
        <f aca="false">R38+R42-R41</f>
        <v>#NAME?</v>
      </c>
    </row>
    <row r="33" customFormat="false" ht="12.75" hidden="false" customHeight="false" outlineLevel="0" collapsed="false">
      <c r="A33" s="440" t="s">
        <v>441</v>
      </c>
      <c r="B33" s="441" t="e">
        <f aca="false">-E36*F38*M38/SQRT(B36)*1.645</f>
        <v>#NAME?</v>
      </c>
      <c r="D33" s="443"/>
      <c r="E33" s="444"/>
      <c r="F33" s="2"/>
    </row>
    <row r="34" customFormat="false" ht="18" hidden="false" customHeight="false" outlineLevel="0" collapsed="false">
      <c r="A34" s="446" t="s">
        <v>442</v>
      </c>
      <c r="B34" s="447" t="n">
        <f aca="false">B3</f>
        <v>36707</v>
      </c>
      <c r="D34" s="2"/>
      <c r="E34" s="444" t="s">
        <v>443</v>
      </c>
      <c r="F34" s="443" t="s">
        <v>444</v>
      </c>
      <c r="G34" s="448"/>
      <c r="H34" s="448" t="s">
        <v>445</v>
      </c>
      <c r="I34" s="448"/>
      <c r="K34" s="449" t="s">
        <v>484</v>
      </c>
    </row>
    <row r="35" customFormat="false" ht="12.75" hidden="false" customHeight="false" outlineLevel="0" collapsed="false">
      <c r="A35" s="446" t="s">
        <v>447</v>
      </c>
      <c r="B35" s="450" t="n">
        <v>0.0594</v>
      </c>
      <c r="D35" s="2"/>
      <c r="E35" s="451" t="e">
        <f aca="false">SUMPRODUCT($K$38:$K$43,$N$38:$N$43,$J$38:$J$43)</f>
        <v>#NAME?</v>
      </c>
      <c r="F35" s="451" t="e">
        <f aca="false">SUMPRODUCT($O$38:$O$43,$K$38:$K$43,$J$38:$J$43)</f>
        <v>#NAME?</v>
      </c>
      <c r="H35" s="452" t="e">
        <f aca="false">E35*F38</f>
        <v>#NAME?</v>
      </c>
      <c r="K35" s="453"/>
    </row>
    <row r="36" customFormat="false" ht="12.75" hidden="false" customHeight="false" outlineLevel="0" collapsed="false">
      <c r="A36" s="454" t="s">
        <v>448</v>
      </c>
      <c r="B36" s="454" t="n">
        <v>365.25</v>
      </c>
      <c r="D36" s="455" t="s">
        <v>449</v>
      </c>
      <c r="E36" s="451" t="e">
        <f aca="false">SUMPRODUCT($K$38:$K$43,$N$38:$N$43,$Q$38:$Q$43)</f>
        <v>#NAME?</v>
      </c>
      <c r="F36" s="451" t="e">
        <f aca="false">SUMPRODUCT($O$38:$O$43,$K$38:$K$43,$Q$38:$Q$43)</f>
        <v>#NAME?</v>
      </c>
    </row>
    <row r="37" customFormat="false" ht="67.5" hidden="false" customHeight="false" outlineLevel="0" collapsed="false">
      <c r="A37" s="457" t="s">
        <v>113</v>
      </c>
      <c r="B37" s="457" t="s">
        <v>450</v>
      </c>
      <c r="C37" s="457" t="s">
        <v>227</v>
      </c>
      <c r="D37" s="457" t="s">
        <v>222</v>
      </c>
      <c r="E37" s="457" t="s">
        <v>350</v>
      </c>
      <c r="F37" s="457" t="s">
        <v>451</v>
      </c>
      <c r="G37" s="457" t="s">
        <v>452</v>
      </c>
      <c r="H37" s="457" t="s">
        <v>453</v>
      </c>
      <c r="I37" s="457" t="s">
        <v>454</v>
      </c>
      <c r="J37" s="457" t="s">
        <v>455</v>
      </c>
      <c r="K37" s="457" t="s">
        <v>456</v>
      </c>
      <c r="L37" s="457" t="s">
        <v>457</v>
      </c>
      <c r="M37" s="458" t="s">
        <v>458</v>
      </c>
      <c r="N37" s="458" t="s">
        <v>459</v>
      </c>
      <c r="O37" s="458" t="s">
        <v>460</v>
      </c>
      <c r="P37" s="459" t="s">
        <v>461</v>
      </c>
      <c r="Q37" s="460"/>
      <c r="R37" s="459" t="s">
        <v>4</v>
      </c>
    </row>
    <row r="38" customFormat="false" ht="12.75" hidden="false" customHeight="false" outlineLevel="0" collapsed="false">
      <c r="A38" s="464" t="s">
        <v>485</v>
      </c>
      <c r="B38" s="465"/>
      <c r="C38" s="466"/>
      <c r="D38" s="466"/>
      <c r="E38" s="466"/>
      <c r="F38" s="482" t="n">
        <f aca="false">F7</f>
        <v>64.5</v>
      </c>
      <c r="G38" s="468" t="n">
        <v>0.0138</v>
      </c>
      <c r="H38" s="465" t="s">
        <v>463</v>
      </c>
      <c r="I38" s="465" t="s">
        <v>48</v>
      </c>
      <c r="J38" s="465" t="n">
        <v>1</v>
      </c>
      <c r="K38" s="453" t="n">
        <v>3986222</v>
      </c>
      <c r="L38" s="465" t="n">
        <f aca="false">35.7810767536039/2</f>
        <v>17.890538376802</v>
      </c>
      <c r="M38" s="469" t="n">
        <v>0.39</v>
      </c>
      <c r="N38" s="470" t="n">
        <v>1</v>
      </c>
      <c r="O38" s="470" t="n">
        <v>0</v>
      </c>
      <c r="P38" s="471" t="n">
        <f aca="false">-1.645*ABS(N38)*M38/SQRT($B$5)*F38*$K38</f>
        <v>-8630910.10670131</v>
      </c>
      <c r="Q38" s="2" t="n">
        <v>1</v>
      </c>
      <c r="R38" s="471" t="n">
        <f aca="false">K38*F38*N38</f>
        <v>257111319</v>
      </c>
    </row>
    <row r="39" customFormat="false" ht="12.75" hidden="false" customHeight="false" outlineLevel="0" collapsed="false">
      <c r="A39" s="472" t="s">
        <v>319</v>
      </c>
      <c r="B39" s="465" t="s">
        <v>349</v>
      </c>
      <c r="C39" s="466" t="n">
        <v>35775</v>
      </c>
      <c r="D39" s="466" t="n">
        <v>36507</v>
      </c>
      <c r="E39" s="466" t="s">
        <v>464</v>
      </c>
      <c r="F39" s="482" t="n">
        <f aca="false">F38</f>
        <v>64.5</v>
      </c>
      <c r="G39" s="468" t="n">
        <f aca="false">G38</f>
        <v>0.0138</v>
      </c>
      <c r="H39" s="465" t="s">
        <v>465</v>
      </c>
      <c r="I39" s="465" t="s">
        <v>48</v>
      </c>
      <c r="J39" s="465" t="n">
        <v>0</v>
      </c>
      <c r="K39" s="473" t="n">
        <f aca="false">1099773*2</f>
        <v>2199546</v>
      </c>
      <c r="L39" s="465" t="n">
        <f aca="false">44.075/2</f>
        <v>22.0375</v>
      </c>
      <c r="M39" s="469" t="n">
        <f aca="false">M38</f>
        <v>0.39</v>
      </c>
      <c r="N39" s="470" t="n">
        <f aca="false">EXP(-($B$4-G39)*(D39-$B$3)/$B$5)</f>
        <v>1.02528354046292</v>
      </c>
      <c r="O39" s="470" t="n">
        <v>0</v>
      </c>
      <c r="P39" s="471" t="n">
        <f aca="false">-1.645*ABS(N39)*M39/SQRT($B$5)*F39*$K39</f>
        <v>-4882836.09204466</v>
      </c>
      <c r="Q39" s="2" t="n">
        <v>0</v>
      </c>
      <c r="R39" s="471" t="n">
        <f aca="false">K39*F39*N39</f>
        <v>145457711.013773</v>
      </c>
    </row>
    <row r="40" customFormat="false" ht="51" hidden="false" customHeight="false" outlineLevel="0" collapsed="false">
      <c r="A40" s="472" t="s">
        <v>319</v>
      </c>
      <c r="B40" s="465" t="s">
        <v>405</v>
      </c>
      <c r="C40" s="466" t="n">
        <v>35167</v>
      </c>
      <c r="D40" s="466" t="n">
        <v>36993</v>
      </c>
      <c r="E40" s="474" t="s">
        <v>466</v>
      </c>
      <c r="F40" s="482" t="n">
        <f aca="false">F39</f>
        <v>64.5</v>
      </c>
      <c r="G40" s="468" t="n">
        <f aca="false">G39</f>
        <v>0.0138</v>
      </c>
      <c r="H40" s="465" t="s">
        <v>465</v>
      </c>
      <c r="I40" s="465" t="s">
        <v>48</v>
      </c>
      <c r="J40" s="465" t="n">
        <v>0</v>
      </c>
      <c r="K40" s="473" t="n">
        <f aca="false">+(6703300-2888249)*2</f>
        <v>7630102</v>
      </c>
      <c r="L40" s="465" t="n">
        <f aca="false">78/2</f>
        <v>39</v>
      </c>
      <c r="M40" s="469" t="n">
        <f aca="false">M39</f>
        <v>0.39</v>
      </c>
      <c r="N40" s="470" t="n">
        <f aca="false">EXP(-($B$4-G40)*(D40-$B$3)/$B$5)</f>
        <v>0.964923983013311</v>
      </c>
      <c r="O40" s="470" t="n">
        <v>0</v>
      </c>
      <c r="P40" s="471" t="n">
        <f aca="false">-1.645*ABS(N40)*M40/SQRT($B$5)*F40*$K40</f>
        <v>-15941109.9113158</v>
      </c>
      <c r="Q40" s="2" t="n">
        <v>0</v>
      </c>
      <c r="R40" s="470" t="n">
        <f aca="false">K40*F40*N40</f>
        <v>474879212.61514</v>
      </c>
    </row>
    <row r="41" customFormat="false" ht="12.75" hidden="false" customHeight="false" outlineLevel="0" collapsed="false">
      <c r="A41" s="472" t="s">
        <v>467</v>
      </c>
      <c r="B41" s="465" t="s">
        <v>17</v>
      </c>
      <c r="C41" s="466" t="n">
        <v>36244</v>
      </c>
      <c r="D41" s="466" t="n">
        <v>39425</v>
      </c>
      <c r="E41" s="465" t="s">
        <v>464</v>
      </c>
      <c r="F41" s="482" t="n">
        <f aca="false">F40</f>
        <v>64.5</v>
      </c>
      <c r="G41" s="468" t="n">
        <f aca="false">G40</f>
        <v>0.0138</v>
      </c>
      <c r="H41" s="465" t="n">
        <v>1</v>
      </c>
      <c r="I41" s="465" t="s">
        <v>468</v>
      </c>
      <c r="J41" s="465" t="n">
        <v>0</v>
      </c>
      <c r="K41" s="473" t="n">
        <f aca="false">3200000*2</f>
        <v>6400000</v>
      </c>
      <c r="L41" s="465" t="n">
        <f aca="false">39.1875/2</f>
        <v>19.59375</v>
      </c>
      <c r="M41" s="469" t="n">
        <f aca="false">M40</f>
        <v>0.39</v>
      </c>
      <c r="N41" s="470" t="e">
        <f aca="false">EURO($F41,$L41,$B$4,$G41,$M41,$D41-$B$3,$H41,1)</f>
        <v>#NAME?</v>
      </c>
      <c r="O41" s="470" t="e">
        <f aca="false">EURO($F41,$L41,$B$4,$G41,$M41,$D41-$B$3,$H41,2)</f>
        <v>#NAME?</v>
      </c>
      <c r="P41" s="471" t="e">
        <f aca="false">-1.645*ABS(N41)*M41/SQRT($B$5)*F41*$K41</f>
        <v>#NAME?</v>
      </c>
      <c r="Q41" s="2" t="n">
        <v>0</v>
      </c>
      <c r="R41" s="470" t="e">
        <f aca="false">K41*F41*N41</f>
        <v>#NAME?</v>
      </c>
    </row>
    <row r="42" customFormat="false" ht="12.75" hidden="false" customHeight="false" outlineLevel="0" collapsed="false">
      <c r="A42" s="472" t="s">
        <v>142</v>
      </c>
      <c r="B42" s="465" t="s">
        <v>17</v>
      </c>
      <c r="C42" s="466" t="n">
        <v>36536</v>
      </c>
      <c r="D42" s="466" t="n">
        <v>36780</v>
      </c>
      <c r="E42" s="465" t="s">
        <v>464</v>
      </c>
      <c r="F42" s="482" t="n">
        <f aca="false">F38</f>
        <v>64.5</v>
      </c>
      <c r="G42" s="468" t="n">
        <f aca="false">G41</f>
        <v>0.0138</v>
      </c>
      <c r="H42" s="465" t="n">
        <v>0</v>
      </c>
      <c r="I42" s="465" t="s">
        <v>486</v>
      </c>
      <c r="J42" s="465" t="n">
        <v>1</v>
      </c>
      <c r="K42" s="453" t="n">
        <f aca="false">K38</f>
        <v>3986222</v>
      </c>
      <c r="L42" s="465" t="n">
        <v>47.625</v>
      </c>
      <c r="M42" s="469" t="n">
        <f aca="false">M41</f>
        <v>0.39</v>
      </c>
      <c r="N42" s="470" t="e">
        <f aca="false">AMER(F42,L42,B35,G42,M42,D42-B34,H42,1)</f>
        <v>#NAME?</v>
      </c>
      <c r="O42" s="470" t="e">
        <f aca="false">AMER($F42,$L42,$B$4,$G42,$M42,$D42-$B$3,$H42,2)</f>
        <v>#NAME?</v>
      </c>
      <c r="P42" s="471" t="e">
        <f aca="false">-1.645*ABS(N42)*M42/SQRT($B$5)*F42*$K42</f>
        <v>#NAME?</v>
      </c>
      <c r="Q42" s="2" t="n">
        <v>0</v>
      </c>
      <c r="R42" s="470" t="e">
        <f aca="false">K42*F42*N42</f>
        <v>#NAME?</v>
      </c>
    </row>
    <row r="43" customFormat="false" ht="12.75" hidden="false" customHeight="false" outlineLevel="0" collapsed="false">
      <c r="A43" s="464"/>
      <c r="B43" s="465"/>
      <c r="C43" s="466"/>
      <c r="D43" s="466"/>
      <c r="E43" s="465"/>
      <c r="F43" s="482"/>
      <c r="G43" s="468"/>
      <c r="H43" s="465"/>
      <c r="I43" s="465"/>
      <c r="J43" s="465"/>
      <c r="K43" s="473"/>
      <c r="L43" s="465"/>
      <c r="M43" s="469"/>
      <c r="N43" s="470"/>
      <c r="O43" s="470"/>
      <c r="P43" s="471"/>
      <c r="R43" s="471"/>
    </row>
    <row r="44" customFormat="false" ht="12.75" hidden="false" customHeight="false" outlineLevel="0" collapsed="false">
      <c r="A44" s="477" t="s">
        <v>478</v>
      </c>
      <c r="F44" s="478" t="s">
        <v>479</v>
      </c>
      <c r="G44" s="478" t="s">
        <v>480</v>
      </c>
      <c r="L44" s="478" t="s">
        <v>481</v>
      </c>
      <c r="M44" s="478" t="s">
        <v>482</v>
      </c>
    </row>
    <row r="45" customFormat="false" ht="12.75" hidden="false" customHeight="false" outlineLevel="0" collapsed="false">
      <c r="N45" s="479"/>
    </row>
    <row r="46" customFormat="false" ht="12.75" hidden="false" customHeight="false" outlineLevel="0" collapsed="false">
      <c r="J46" s="480"/>
      <c r="K46" s="480"/>
      <c r="L46" s="480"/>
    </row>
    <row r="47" customFormat="false" ht="12.75" hidden="false" customHeight="false" outlineLevel="0" collapsed="false">
      <c r="J47" s="480"/>
      <c r="K47" s="481"/>
      <c r="L47" s="480"/>
    </row>
    <row r="48" customFormat="false" ht="12.75" hidden="false" customHeight="false" outlineLevel="0" collapsed="false">
      <c r="J48" s="480"/>
      <c r="K48" s="481"/>
      <c r="L48" s="480"/>
    </row>
    <row r="49" customFormat="false" ht="12.75" hidden="false" customHeight="false" outlineLevel="0" collapsed="false">
      <c r="J49" s="480"/>
      <c r="K49" s="481"/>
      <c r="L49" s="480"/>
    </row>
    <row r="50" customFormat="false" ht="12.75" hidden="false" customHeight="false" outlineLevel="0" collapsed="false">
      <c r="J50" s="480"/>
      <c r="K50" s="481"/>
      <c r="L50" s="480"/>
    </row>
    <row r="51" customFormat="false" ht="12.75" hidden="false" customHeight="false" outlineLevel="0" collapsed="false">
      <c r="J51" s="480"/>
      <c r="K51" s="481"/>
      <c r="L51" s="480"/>
    </row>
    <row r="52" customFormat="false" ht="12.75" hidden="false" customHeight="false" outlineLevel="0" collapsed="false">
      <c r="J52" s="480"/>
      <c r="K52" s="480"/>
      <c r="L52" s="480"/>
    </row>
    <row r="53" customFormat="false" ht="12.75" hidden="false" customHeight="false" outlineLevel="0" collapsed="false">
      <c r="J53" s="480"/>
      <c r="K53" s="480"/>
      <c r="L53" s="480"/>
    </row>
  </sheetData>
  <printOptions headings="false" gridLines="false" gridLinesSet="true" horizontalCentered="false" verticalCentered="false"/>
  <pageMargins left="0" right="0" top="0" bottom="0" header="0.511811023622047" footer="0.511811023622047"/>
  <pageSetup paperSize="1" scale="6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9.13671875" defaultRowHeight="15" customHeight="true" zeroHeight="false" outlineLevelRow="0" outlineLevelCol="0"/>
  <cols>
    <col collapsed="false" customWidth="false" hidden="false" outlineLevel="0" max="1" min="1" style="49" width="9.14"/>
    <col collapsed="false" customWidth="true" hidden="false" outlineLevel="0" max="2" min="2" style="50" width="28.85"/>
    <col collapsed="false" customWidth="true" hidden="false" outlineLevel="0" max="3" min="3" style="49" width="16.28"/>
    <col collapsed="false" customWidth="true" hidden="false" outlineLevel="0" max="4" min="4" style="49" width="15.99"/>
    <col collapsed="false" customWidth="true" hidden="false" outlineLevel="0" max="5" min="5" style="16" width="16.56"/>
    <col collapsed="false" customWidth="true" hidden="false" outlineLevel="0" max="6" min="6" style="16" width="2.84"/>
    <col collapsed="false" customWidth="true" hidden="false" outlineLevel="0" max="7" min="7" style="16" width="17.14"/>
    <col collapsed="false" customWidth="true" hidden="false" outlineLevel="0" max="8" min="8" style="16" width="17.99"/>
    <col collapsed="false" customWidth="true" hidden="false" outlineLevel="0" max="9" min="9" style="13" width="16.56"/>
    <col collapsed="false" customWidth="true" hidden="false" outlineLevel="0" max="10" min="10" style="13" width="16.13"/>
    <col collapsed="false" customWidth="true" hidden="false" outlineLevel="0" max="11" min="11" style="13" width="15.41"/>
    <col collapsed="false" customWidth="true" hidden="false" outlineLevel="0" max="12" min="12" style="49" width="3.99"/>
    <col collapsed="false" customWidth="true" hidden="false" outlineLevel="0" max="13" min="13" style="49" width="15.41"/>
    <col collapsed="false" customWidth="true" hidden="false" outlineLevel="0" max="14" min="14" style="49" width="4.99"/>
    <col collapsed="false" customWidth="true" hidden="false" outlineLevel="0" max="15" min="15" style="13" width="6.41"/>
    <col collapsed="false" customWidth="true" hidden="false" outlineLevel="0" max="16" min="16" style="49" width="16.28"/>
    <col collapsed="false" customWidth="true" hidden="false" outlineLevel="0" max="17" min="17" style="49" width="15.41"/>
    <col collapsed="false" customWidth="false" hidden="false" outlineLevel="0" max="18" min="18" style="49" width="9.14"/>
    <col collapsed="false" customWidth="true" hidden="false" outlineLevel="0" max="19" min="19" style="49" width="14.56"/>
    <col collapsed="false" customWidth="false" hidden="false" outlineLevel="0" max="257" min="20" style="49" width="9.14"/>
  </cols>
  <sheetData>
    <row r="1" customFormat="false" ht="12.75" hidden="false" customHeight="true" outlineLevel="0" collapsed="false">
      <c r="A1" s="51"/>
      <c r="B1" s="52" t="s">
        <v>75</v>
      </c>
      <c r="C1" s="53" t="s">
        <v>76</v>
      </c>
      <c r="D1" s="51"/>
      <c r="E1" s="54" t="s">
        <v>77</v>
      </c>
      <c r="F1" s="55"/>
      <c r="G1" s="55"/>
      <c r="H1" s="55"/>
      <c r="I1" s="56"/>
      <c r="J1" s="56"/>
      <c r="K1" s="56"/>
      <c r="L1" s="51"/>
      <c r="M1" s="51"/>
    </row>
    <row r="2" customFormat="false" ht="12.75" hidden="false" customHeight="true" outlineLevel="0" collapsed="false">
      <c r="A2" s="51"/>
      <c r="B2" s="57" t="s">
        <v>78</v>
      </c>
      <c r="C2" s="58" t="s">
        <v>79</v>
      </c>
      <c r="D2" s="51"/>
      <c r="E2" s="55"/>
      <c r="F2" s="55"/>
      <c r="G2" s="55"/>
      <c r="H2" s="55"/>
      <c r="I2" s="56"/>
      <c r="J2" s="56"/>
      <c r="K2" s="56"/>
      <c r="L2" s="51"/>
      <c r="M2" s="51"/>
    </row>
    <row r="3" customFormat="false" ht="12.75" hidden="false" customHeight="true" outlineLevel="0" collapsed="false">
      <c r="A3" s="51"/>
      <c r="B3" s="57" t="s">
        <v>80</v>
      </c>
      <c r="C3" s="58" t="s">
        <v>81</v>
      </c>
      <c r="D3" s="51"/>
      <c r="E3" s="55"/>
      <c r="F3" s="55"/>
      <c r="G3" s="55"/>
      <c r="H3" s="55"/>
      <c r="I3" s="56"/>
      <c r="J3" s="56"/>
      <c r="K3" s="56"/>
      <c r="L3" s="51"/>
      <c r="M3" s="51"/>
    </row>
    <row r="4" customFormat="false" ht="12.75" hidden="false" customHeight="true" outlineLevel="0" collapsed="false">
      <c r="A4" s="51"/>
      <c r="B4" s="57" t="s">
        <v>82</v>
      </c>
      <c r="C4" s="58" t="s">
        <v>83</v>
      </c>
      <c r="D4" s="51"/>
      <c r="E4" s="55"/>
      <c r="F4" s="55"/>
      <c r="G4" s="55"/>
      <c r="H4" s="55"/>
      <c r="I4" s="56"/>
      <c r="J4" s="56"/>
      <c r="K4" s="56"/>
      <c r="L4" s="51"/>
      <c r="M4" s="51"/>
    </row>
    <row r="5" customFormat="false" ht="12.75" hidden="false" customHeight="true" outlineLevel="0" collapsed="false">
      <c r="A5" s="51"/>
      <c r="B5" s="59" t="s">
        <v>84</v>
      </c>
      <c r="C5" s="60"/>
      <c r="D5" s="51"/>
      <c r="E5" s="55"/>
      <c r="F5" s="55"/>
      <c r="G5" s="55"/>
      <c r="H5" s="55"/>
      <c r="I5" s="56"/>
      <c r="J5" s="56"/>
      <c r="K5" s="56"/>
      <c r="L5" s="51"/>
      <c r="M5" s="51"/>
    </row>
    <row r="6" customFormat="false" ht="12.75" hidden="false" customHeight="true" outlineLevel="0" collapsed="false">
      <c r="A6" s="51"/>
      <c r="B6" s="61"/>
      <c r="C6" s="51"/>
      <c r="D6" s="62" t="s">
        <v>85</v>
      </c>
      <c r="E6" s="55"/>
      <c r="F6" s="55"/>
      <c r="G6" s="55"/>
      <c r="H6" s="55"/>
      <c r="I6" s="56"/>
      <c r="J6" s="56"/>
      <c r="K6" s="56"/>
      <c r="L6" s="51"/>
      <c r="M6" s="51"/>
    </row>
    <row r="7" customFormat="false" ht="12.75" hidden="false" customHeight="true" outlineLevel="0" collapsed="false">
      <c r="A7" s="51"/>
      <c r="B7" s="62" t="s">
        <v>86</v>
      </c>
      <c r="C7" s="22" t="s">
        <v>87</v>
      </c>
      <c r="D7" s="51"/>
      <c r="E7" s="55"/>
      <c r="F7" s="55"/>
      <c r="G7" s="55"/>
      <c r="H7" s="55"/>
      <c r="I7" s="56"/>
      <c r="J7" s="56"/>
      <c r="K7" s="56"/>
      <c r="L7" s="51"/>
      <c r="M7" s="51"/>
    </row>
    <row r="8" customFormat="false" ht="12.75" hidden="false" customHeight="true" outlineLevel="0" collapsed="false">
      <c r="A8" s="51"/>
      <c r="B8" s="61" t="s">
        <v>88</v>
      </c>
      <c r="C8" s="51"/>
      <c r="E8" s="55"/>
      <c r="F8" s="55"/>
      <c r="G8" s="55"/>
      <c r="H8" s="55"/>
      <c r="I8" s="56"/>
      <c r="J8" s="56"/>
      <c r="K8" s="56"/>
      <c r="L8" s="51"/>
      <c r="M8" s="51"/>
    </row>
    <row r="9" customFormat="false" ht="12.75" hidden="false" customHeight="true" outlineLevel="0" collapsed="false">
      <c r="A9" s="51"/>
      <c r="B9" s="63" t="n">
        <f aca="false">Input!B16</f>
        <v>36707</v>
      </c>
      <c r="C9" s="51"/>
      <c r="D9" s="51"/>
      <c r="E9" s="55"/>
      <c r="F9" s="55"/>
      <c r="G9" s="55"/>
      <c r="H9" s="55"/>
      <c r="I9" s="56"/>
      <c r="J9" s="56"/>
      <c r="K9" s="56"/>
      <c r="L9" s="51"/>
      <c r="M9" s="51"/>
    </row>
    <row r="10" customFormat="false" ht="12.75" hidden="true" customHeight="true" outlineLevel="0" collapsed="false">
      <c r="A10" s="51" t="s">
        <v>89</v>
      </c>
      <c r="B10" s="64" t="n">
        <f aca="false">+LOOKUP(B$9,Input!A20:A825,Input!B20:B825)</f>
        <v>64.5</v>
      </c>
      <c r="C10" s="51"/>
      <c r="D10" s="51"/>
      <c r="E10" s="55"/>
      <c r="F10" s="55"/>
      <c r="G10" s="55"/>
      <c r="H10" s="55"/>
      <c r="I10" s="56"/>
      <c r="J10" s="56"/>
      <c r="K10" s="56"/>
      <c r="L10" s="51"/>
      <c r="M10" s="51"/>
      <c r="O10" s="49"/>
    </row>
    <row r="11" customFormat="false" ht="12.75" hidden="false" customHeight="true" outlineLevel="0" collapsed="false">
      <c r="A11" s="51"/>
      <c r="B11" s="64"/>
      <c r="C11" s="55" t="s">
        <v>90</v>
      </c>
      <c r="D11" s="55"/>
      <c r="E11" s="56"/>
      <c r="F11" s="56"/>
      <c r="G11" s="56"/>
      <c r="H11" s="56"/>
      <c r="I11" s="51"/>
      <c r="J11" s="51"/>
      <c r="K11" s="51"/>
      <c r="L11" s="51"/>
      <c r="M11" s="51"/>
      <c r="O11" s="49"/>
    </row>
    <row r="12" customFormat="false" ht="12.75" hidden="false" customHeight="true" outlineLevel="0" collapsed="false">
      <c r="A12" s="51"/>
      <c r="B12" s="61"/>
      <c r="C12" s="65" t="s">
        <v>17</v>
      </c>
      <c r="D12" s="66" t="s">
        <v>91</v>
      </c>
      <c r="E12" s="66" t="s">
        <v>92</v>
      </c>
      <c r="F12" s="66"/>
      <c r="G12" s="66" t="s">
        <v>93</v>
      </c>
      <c r="H12" s="66" t="s">
        <v>94</v>
      </c>
      <c r="I12" s="66" t="s">
        <v>24</v>
      </c>
      <c r="J12" s="66" t="s">
        <v>7</v>
      </c>
      <c r="K12" s="66" t="s">
        <v>95</v>
      </c>
      <c r="L12" s="56"/>
      <c r="M12" s="51"/>
      <c r="O12" s="49"/>
    </row>
    <row r="13" customFormat="false" ht="12.75" hidden="false" customHeight="true" outlineLevel="0" collapsed="false">
      <c r="A13" s="51"/>
      <c r="B13" s="51" t="s">
        <v>96</v>
      </c>
      <c r="C13" s="67"/>
      <c r="D13" s="68" t="n">
        <f aca="false">+'JEDI MTM'!J21</f>
        <v>44.375</v>
      </c>
      <c r="E13" s="68" t="n">
        <f aca="false">IF(E14=0,0,D14)</f>
        <v>74.875</v>
      </c>
      <c r="F13" s="68"/>
      <c r="G13" s="68" t="n">
        <f aca="false">+E14</f>
        <v>64.5</v>
      </c>
      <c r="H13" s="68" t="n">
        <f aca="false">+G14</f>
        <v>0</v>
      </c>
      <c r="I13" s="69"/>
      <c r="J13" s="51"/>
      <c r="K13" s="69"/>
      <c r="L13" s="56"/>
      <c r="M13" s="70"/>
      <c r="O13" s="49"/>
    </row>
    <row r="14" customFormat="false" ht="12.75" hidden="false" customHeight="true" outlineLevel="0" collapsed="false">
      <c r="A14" s="51"/>
      <c r="B14" s="51" t="s">
        <v>97</v>
      </c>
      <c r="C14" s="67"/>
      <c r="D14" s="68" t="n">
        <f aca="false">+'JEDI MTM'!M21</f>
        <v>74.875</v>
      </c>
      <c r="E14" s="68" t="n">
        <f aca="false">IF($B$9&lt;='JEDI MTM'!M20,0,'JEDI MTM'!N21)</f>
        <v>64.5</v>
      </c>
      <c r="F14" s="68"/>
      <c r="G14" s="68" t="n">
        <f aca="false">IF($B$9&lt;='JEDI MTM'!N20,0,'JEDI MTM'!O21)</f>
        <v>0</v>
      </c>
      <c r="H14" s="68" t="n">
        <f aca="false">IF($B$9&lt;='JEDI MTM'!O20,0,'JEDI MTM'!P21)</f>
        <v>0</v>
      </c>
      <c r="I14" s="56"/>
      <c r="J14" s="51"/>
      <c r="K14" s="56"/>
      <c r="L14" s="56"/>
      <c r="M14" s="70"/>
      <c r="O14" s="49"/>
    </row>
    <row r="15" customFormat="false" ht="12.75" hidden="false" customHeight="true" outlineLevel="0" collapsed="false">
      <c r="A15" s="22" t="s">
        <v>98</v>
      </c>
      <c r="B15" s="51"/>
      <c r="C15" s="67"/>
      <c r="D15" s="68"/>
      <c r="E15" s="68"/>
      <c r="F15" s="68"/>
      <c r="G15" s="68"/>
      <c r="H15" s="68"/>
      <c r="I15" s="56"/>
      <c r="J15" s="51"/>
      <c r="K15" s="56"/>
      <c r="L15" s="56"/>
      <c r="M15" s="70"/>
      <c r="O15" s="49"/>
      <c r="P15" s="49" t="s">
        <v>24</v>
      </c>
      <c r="Q15" s="49" t="s">
        <v>7</v>
      </c>
    </row>
    <row r="16" customFormat="false" ht="12.75" hidden="false" customHeight="true" outlineLevel="0" collapsed="false">
      <c r="A16" s="51"/>
      <c r="B16" s="51" t="s">
        <v>99</v>
      </c>
      <c r="C16" s="71" t="n">
        <f aca="false">ROUND(+C20*0.6,0)</f>
        <v>7207682</v>
      </c>
      <c r="D16" s="72" t="n">
        <f aca="false">+'JEDI MTM'!M46+'JEDI MTM'!M52</f>
        <v>196409345.4</v>
      </c>
      <c r="E16" s="72" t="n">
        <f aca="false">+'JEDI MTM'!N46+'JEDI MTM'!N52</f>
        <v>-74779704.9</v>
      </c>
      <c r="F16" s="72"/>
      <c r="G16" s="72" t="n">
        <f aca="false">+'JEDI MTM'!O46+'JEDI MTM'!O52</f>
        <v>0</v>
      </c>
      <c r="H16" s="72" t="n">
        <f aca="false">+'JEDI MTM'!P46+'JEDI MTM'!P52</f>
        <v>0</v>
      </c>
      <c r="I16" s="70" t="n">
        <f aca="false">+K16-M16</f>
        <v>-39191773.05</v>
      </c>
      <c r="J16" s="70" t="n">
        <f aca="false">+'JEDI MTM'!Q46+'JEDI MTM'!Q52</f>
        <v>121629640.5</v>
      </c>
      <c r="K16" s="70" t="n">
        <f aca="false">+'JEDI MTM'!Y46+'JEDI MTM'!Y52</f>
        <v>121629640.5</v>
      </c>
      <c r="L16" s="56"/>
      <c r="M16" s="70" t="n">
        <v>160821413.55</v>
      </c>
      <c r="O16" s="49"/>
      <c r="P16" s="73" t="n">
        <f aca="false">+I20+I36+I42</f>
        <v>1204549.06</v>
      </c>
      <c r="Q16" s="73" t="n">
        <f aca="false">+J16+J25+J32+J38+J40</f>
        <v>97815346.594</v>
      </c>
    </row>
    <row r="17" customFormat="false" ht="12.75" hidden="false" customHeight="true" outlineLevel="0" collapsed="false">
      <c r="A17" s="51"/>
      <c r="B17" s="51" t="s">
        <v>100</v>
      </c>
      <c r="C17" s="74" t="n">
        <f aca="false">ROUND(C20*0.3612,0)</f>
        <v>4339025</v>
      </c>
      <c r="D17" s="74" t="n">
        <f aca="false">ROUND(D20*0.3612,0)</f>
        <v>118238426</v>
      </c>
      <c r="E17" s="74" t="n">
        <f aca="false">ROUND(E20*0.3612,0)</f>
        <v>-45017382</v>
      </c>
      <c r="F17" s="74"/>
      <c r="G17" s="74" t="n">
        <f aca="false">ROUND(G20*0.3612,0)</f>
        <v>0</v>
      </c>
      <c r="H17" s="74" t="n">
        <f aca="false">ROUND(H20*0.3612,0)</f>
        <v>0</v>
      </c>
      <c r="I17" s="74" t="n">
        <f aca="false">ROUND(I20*0.3612,0)</f>
        <v>-23593447</v>
      </c>
      <c r="J17" s="74" t="n">
        <f aca="false">ROUND(J20*0.3612,0)</f>
        <v>73221044</v>
      </c>
      <c r="K17" s="74" t="n">
        <f aca="false">ROUND(K20*0.3612,0)</f>
        <v>73221044</v>
      </c>
      <c r="L17" s="56"/>
      <c r="M17" s="70" t="n">
        <v>96814491</v>
      </c>
      <c r="O17" s="49"/>
    </row>
    <row r="18" customFormat="false" ht="12.75" hidden="false" customHeight="true" outlineLevel="0" collapsed="false">
      <c r="A18" s="51"/>
      <c r="B18" s="51" t="s">
        <v>101</v>
      </c>
      <c r="C18" s="75" t="n">
        <f aca="false">SUM(C16:C17)</f>
        <v>11546707</v>
      </c>
      <c r="D18" s="75" t="n">
        <f aca="false">SUM(D16:D17)</f>
        <v>314647771.4</v>
      </c>
      <c r="E18" s="75" t="n">
        <f aca="false">SUM(E16:E17)</f>
        <v>-119797086.9</v>
      </c>
      <c r="F18" s="75"/>
      <c r="G18" s="75" t="n">
        <f aca="false">SUM(G16:G17)</f>
        <v>0</v>
      </c>
      <c r="H18" s="75" t="n">
        <f aca="false">SUM(H16:H17)</f>
        <v>0</v>
      </c>
      <c r="I18" s="75" t="n">
        <f aca="false">SUM(I16:I17)</f>
        <v>-62785220.05</v>
      </c>
      <c r="J18" s="75" t="n">
        <f aca="false">SUM(J16:J17)</f>
        <v>194850684.5</v>
      </c>
      <c r="K18" s="75" t="n">
        <f aca="false">SUM(K16:K17)</f>
        <v>194850684.5</v>
      </c>
      <c r="L18" s="56"/>
      <c r="M18" s="75" t="n">
        <v>257635904.55</v>
      </c>
      <c r="O18" s="49"/>
    </row>
    <row r="19" customFormat="false" ht="12.75" hidden="false" customHeight="true" outlineLevel="0" collapsed="false">
      <c r="A19" s="51"/>
      <c r="B19" s="61" t="s">
        <v>102</v>
      </c>
      <c r="C19" s="71" t="n">
        <f aca="false">+C20-C18</f>
        <v>466097</v>
      </c>
      <c r="D19" s="71" t="n">
        <f aca="false">+D20-D18</f>
        <v>12701137.6</v>
      </c>
      <c r="E19" s="71" t="n">
        <f aca="false">+E20-E18</f>
        <v>-4835754.60000001</v>
      </c>
      <c r="F19" s="71"/>
      <c r="G19" s="71" t="n">
        <f aca="false">+G20-G18</f>
        <v>0</v>
      </c>
      <c r="H19" s="71" t="n">
        <f aca="false">+H20-H18</f>
        <v>0</v>
      </c>
      <c r="I19" s="71" t="n">
        <f aca="false">+I20-I18</f>
        <v>-2534401.70000002</v>
      </c>
      <c r="J19" s="71" t="n">
        <f aca="false">+J20-J18</f>
        <v>7865383</v>
      </c>
      <c r="K19" s="71" t="n">
        <f aca="false">+K20-K18</f>
        <v>7865383</v>
      </c>
      <c r="L19" s="56"/>
      <c r="M19" s="70" t="n">
        <v>10399784.7</v>
      </c>
      <c r="O19" s="49"/>
      <c r="Q19" s="49" t="s">
        <v>6</v>
      </c>
    </row>
    <row r="20" customFormat="false" ht="12.75" hidden="false" customHeight="true" outlineLevel="0" collapsed="false">
      <c r="A20" s="51"/>
      <c r="B20" s="51" t="s">
        <v>103</v>
      </c>
      <c r="C20" s="75" t="n">
        <f aca="false">+'JEDI MTM'!A52</f>
        <v>12012804</v>
      </c>
      <c r="D20" s="76" t="n">
        <f aca="false">+'JEDI MTM'!M45+'JEDI MTM'!M51</f>
        <v>327348909</v>
      </c>
      <c r="E20" s="76" t="n">
        <f aca="false">+'JEDI MTM'!N45+'JEDI MTM'!N51</f>
        <v>-124632841.5</v>
      </c>
      <c r="F20" s="76"/>
      <c r="G20" s="76" t="n">
        <f aca="false">+'JEDI MTM'!O45+'JEDI MTM'!O51</f>
        <v>0</v>
      </c>
      <c r="H20" s="76" t="n">
        <f aca="false">+'JEDI MTM'!P45+'JEDI MTM'!P51</f>
        <v>0</v>
      </c>
      <c r="I20" s="77" t="n">
        <f aca="false">+K20-M20</f>
        <v>-65319621.75</v>
      </c>
      <c r="J20" s="77" t="n">
        <f aca="false">+'JEDI MTM'!Q45+'JEDI MTM'!Q51</f>
        <v>202716067.5</v>
      </c>
      <c r="K20" s="77" t="n">
        <f aca="false">+'JEDI MTM'!Y45+'JEDI MTM'!Y51</f>
        <v>202716067.5</v>
      </c>
      <c r="L20" s="56"/>
      <c r="M20" s="77" t="n">
        <v>268035689.25</v>
      </c>
      <c r="O20" s="49"/>
      <c r="P20" s="73"/>
      <c r="Q20" s="73" t="n">
        <f aca="false">+E16+E25+E32+E38+E40</f>
        <v>18501600.98</v>
      </c>
    </row>
    <row r="21" customFormat="false" ht="12.75" hidden="false" customHeight="true" outlineLevel="0" collapsed="false">
      <c r="A21" s="51"/>
      <c r="B21" s="51"/>
      <c r="C21" s="71"/>
      <c r="D21" s="72"/>
      <c r="E21" s="72"/>
      <c r="F21" s="72"/>
      <c r="G21" s="72"/>
      <c r="H21" s="72"/>
      <c r="I21" s="70"/>
      <c r="J21" s="70"/>
      <c r="K21" s="70"/>
      <c r="L21" s="56"/>
      <c r="M21" s="70"/>
      <c r="O21" s="49"/>
      <c r="P21" s="73"/>
      <c r="Q21" s="73"/>
    </row>
    <row r="22" customFormat="false" ht="12.75" hidden="false" customHeight="true" outlineLevel="0" collapsed="false">
      <c r="A22" s="22" t="s">
        <v>104</v>
      </c>
      <c r="B22" s="51"/>
      <c r="C22" s="71"/>
      <c r="D22" s="78" t="n">
        <f aca="false">-126840579+85158000</f>
        <v>-41682579</v>
      </c>
      <c r="E22" s="78" t="n">
        <v>0</v>
      </c>
      <c r="F22" s="78"/>
      <c r="G22" s="72"/>
      <c r="H22" s="72"/>
      <c r="I22" s="70"/>
      <c r="J22" s="70" t="n">
        <f aca="false">SUM(D22:H22)</f>
        <v>-41682579</v>
      </c>
      <c r="K22" s="70" t="n">
        <f aca="false">+J22</f>
        <v>-41682579</v>
      </c>
      <c r="L22" s="56"/>
      <c r="M22" s="70" t="n">
        <v>-41682579</v>
      </c>
      <c r="O22" s="49"/>
      <c r="P22" s="73"/>
      <c r="Q22" s="73"/>
    </row>
    <row r="23" customFormat="false" ht="12.75" hidden="false" customHeight="true" outlineLevel="0" collapsed="false">
      <c r="A23" s="51"/>
      <c r="B23" s="51"/>
      <c r="C23" s="79"/>
      <c r="D23" s="72"/>
      <c r="E23" s="72"/>
      <c r="F23" s="72"/>
      <c r="G23" s="72"/>
      <c r="H23" s="72"/>
      <c r="I23" s="70"/>
      <c r="J23" s="70"/>
      <c r="K23" s="70"/>
      <c r="L23" s="56"/>
      <c r="M23" s="70"/>
      <c r="O23" s="49"/>
    </row>
    <row r="24" customFormat="false" ht="12.75" hidden="false" customHeight="true" outlineLevel="0" collapsed="false">
      <c r="A24" s="22" t="s">
        <v>105</v>
      </c>
      <c r="B24" s="51"/>
      <c r="C24" s="71"/>
      <c r="D24" s="72"/>
      <c r="E24" s="72"/>
      <c r="F24" s="72"/>
      <c r="G24" s="72"/>
      <c r="H24" s="72"/>
      <c r="I24" s="70"/>
      <c r="J24" s="70"/>
      <c r="K24" s="70"/>
      <c r="L24" s="56"/>
      <c r="M24" s="70"/>
      <c r="O24" s="49"/>
    </row>
    <row r="25" customFormat="false" ht="12.75" hidden="false" customHeight="true" outlineLevel="0" collapsed="false">
      <c r="A25" s="51"/>
      <c r="B25" s="51" t="s">
        <v>99</v>
      </c>
      <c r="C25" s="71" t="n">
        <f aca="false">ROUND(+C29*0.6,0)</f>
        <v>0</v>
      </c>
      <c r="D25" s="72" t="n">
        <f aca="false">+'JEDI MTM'!M99</f>
        <v>-17226360.936</v>
      </c>
      <c r="E25" s="72" t="n">
        <f aca="false">+'JEDI MTM'!N99</f>
        <v>0</v>
      </c>
      <c r="F25" s="72"/>
      <c r="G25" s="72" t="n">
        <f aca="false">+'JEDI MTM'!O99</f>
        <v>0</v>
      </c>
      <c r="H25" s="72" t="n">
        <f aca="false">+'JEDI MTM'!P99</f>
        <v>0</v>
      </c>
      <c r="I25" s="70" t="n">
        <f aca="false">+K25-M25</f>
        <v>0</v>
      </c>
      <c r="J25" s="70" t="n">
        <f aca="false">+'JEDI MTM'!Q99</f>
        <v>-17226360.936</v>
      </c>
      <c r="K25" s="80" t="n">
        <f aca="false">+J25</f>
        <v>-17226360.936</v>
      </c>
      <c r="L25" s="56"/>
      <c r="M25" s="70" t="n">
        <v>-17226360.936</v>
      </c>
      <c r="O25" s="49"/>
    </row>
    <row r="26" customFormat="false" ht="12.75" hidden="false" customHeight="true" outlineLevel="0" collapsed="false">
      <c r="A26" s="51"/>
      <c r="B26" s="51" t="s">
        <v>100</v>
      </c>
      <c r="C26" s="74" t="n">
        <f aca="false">ROUND(C29*0.3612,0)</f>
        <v>0</v>
      </c>
      <c r="D26" s="74" t="n">
        <f aca="false">ROUND(D29*0.3612,0)</f>
        <v>-10370269</v>
      </c>
      <c r="E26" s="74" t="n">
        <f aca="false">ROUND(E29*0.3612,0)</f>
        <v>0</v>
      </c>
      <c r="F26" s="74"/>
      <c r="G26" s="74" t="n">
        <f aca="false">ROUND(G29*0.3612,0)</f>
        <v>0</v>
      </c>
      <c r="H26" s="74" t="n">
        <f aca="false">ROUND(H29*0.3612,0)</f>
        <v>0</v>
      </c>
      <c r="I26" s="74" t="n">
        <f aca="false">ROUND(I29*0.3612,0)</f>
        <v>0</v>
      </c>
      <c r="J26" s="74" t="n">
        <f aca="false">ROUND(J29*0.3612,0)</f>
        <v>-10370269</v>
      </c>
      <c r="K26" s="74" t="n">
        <f aca="false">ROUND(K29*0.3612,0)</f>
        <v>-10370269</v>
      </c>
      <c r="L26" s="56"/>
      <c r="M26" s="70" t="n">
        <v>-10370269</v>
      </c>
      <c r="O26" s="49"/>
    </row>
    <row r="27" customFormat="false" ht="12.75" hidden="false" customHeight="true" outlineLevel="0" collapsed="false">
      <c r="A27" s="51"/>
      <c r="B27" s="51" t="s">
        <v>101</v>
      </c>
      <c r="C27" s="75" t="n">
        <f aca="false">SUM(C25:C26)</f>
        <v>0</v>
      </c>
      <c r="D27" s="75" t="n">
        <f aca="false">SUM(D25:D26)</f>
        <v>-27596629.936</v>
      </c>
      <c r="E27" s="75" t="n">
        <f aca="false">SUM(E25:E26)</f>
        <v>0</v>
      </c>
      <c r="F27" s="75"/>
      <c r="G27" s="75" t="n">
        <f aca="false">SUM(G25:G26)</f>
        <v>0</v>
      </c>
      <c r="H27" s="75" t="n">
        <f aca="false">SUM(H25:H26)</f>
        <v>0</v>
      </c>
      <c r="I27" s="75" t="n">
        <f aca="false">SUM(I25:I26)</f>
        <v>0</v>
      </c>
      <c r="J27" s="75" t="n">
        <f aca="false">SUM(J25:J26)</f>
        <v>-27596629.936</v>
      </c>
      <c r="K27" s="75" t="n">
        <f aca="false">SUM(K25:K26)</f>
        <v>-27596629.936</v>
      </c>
      <c r="L27" s="56"/>
      <c r="M27" s="75" t="n">
        <v>-27596629.936</v>
      </c>
      <c r="O27" s="49"/>
    </row>
    <row r="28" customFormat="false" ht="12.75" hidden="false" customHeight="true" outlineLevel="0" collapsed="false">
      <c r="A28" s="51"/>
      <c r="B28" s="61" t="s">
        <v>102</v>
      </c>
      <c r="C28" s="71" t="n">
        <f aca="false">+C29-C27</f>
        <v>0</v>
      </c>
      <c r="D28" s="71" t="n">
        <f aca="false">+D29-D27</f>
        <v>-1113971.624</v>
      </c>
      <c r="E28" s="71" t="n">
        <f aca="false">+E29-E27</f>
        <v>0</v>
      </c>
      <c r="F28" s="71"/>
      <c r="G28" s="71" t="n">
        <f aca="false">+G29-G27</f>
        <v>0</v>
      </c>
      <c r="H28" s="71" t="n">
        <f aca="false">+H29-H27</f>
        <v>0</v>
      </c>
      <c r="I28" s="71" t="n">
        <f aca="false">+I29-I27</f>
        <v>0</v>
      </c>
      <c r="J28" s="71" t="n">
        <f aca="false">+J29-J27</f>
        <v>-1113971.624</v>
      </c>
      <c r="K28" s="71" t="n">
        <f aca="false">+K29-K27</f>
        <v>-1113971.624</v>
      </c>
      <c r="L28" s="56"/>
      <c r="M28" s="70" t="n">
        <v>-1113971.624</v>
      </c>
      <c r="O28" s="49"/>
    </row>
    <row r="29" customFormat="false" ht="12.75" hidden="false" customHeight="true" outlineLevel="0" collapsed="false">
      <c r="A29" s="51"/>
      <c r="B29" s="51" t="s">
        <v>103</v>
      </c>
      <c r="C29" s="81" t="n">
        <v>0</v>
      </c>
      <c r="D29" s="76" t="n">
        <f aca="false">+'JEDI MTM'!M98</f>
        <v>-28710601.56</v>
      </c>
      <c r="E29" s="76" t="n">
        <f aca="false">+'JEDI MTM'!N98</f>
        <v>0</v>
      </c>
      <c r="F29" s="76"/>
      <c r="G29" s="76" t="n">
        <f aca="false">+'JEDI MTM'!O98</f>
        <v>0</v>
      </c>
      <c r="H29" s="76" t="n">
        <f aca="false">+'JEDI MTM'!P98</f>
        <v>0</v>
      </c>
      <c r="I29" s="77" t="n">
        <f aca="false">+K29-M29</f>
        <v>0</v>
      </c>
      <c r="J29" s="77" t="n">
        <f aca="false">+Put</f>
        <v>-28710601.56</v>
      </c>
      <c r="K29" s="77" t="n">
        <f aca="false">+Put</f>
        <v>-28710601.56</v>
      </c>
      <c r="L29" s="56"/>
      <c r="M29" s="77" t="n">
        <v>-28710601.56</v>
      </c>
      <c r="O29" s="49"/>
    </row>
    <row r="30" customFormat="false" ht="12.75" hidden="false" customHeight="true" outlineLevel="0" collapsed="false">
      <c r="A30" s="51"/>
      <c r="B30" s="51"/>
      <c r="C30" s="71"/>
      <c r="D30" s="72"/>
      <c r="E30" s="72"/>
      <c r="F30" s="72"/>
      <c r="G30" s="72"/>
      <c r="H30" s="72"/>
      <c r="I30" s="70"/>
      <c r="J30" s="70"/>
      <c r="K30" s="70"/>
      <c r="L30" s="56"/>
      <c r="M30" s="70"/>
      <c r="O30" s="49"/>
    </row>
    <row r="31" customFormat="false" ht="12.75" hidden="false" customHeight="true" outlineLevel="0" collapsed="false">
      <c r="A31" s="22" t="s">
        <v>106</v>
      </c>
      <c r="B31" s="51"/>
      <c r="C31" s="71"/>
      <c r="D31" s="72"/>
      <c r="E31" s="72"/>
      <c r="F31" s="72"/>
      <c r="G31" s="72"/>
      <c r="H31" s="72"/>
      <c r="I31" s="70"/>
      <c r="J31" s="70"/>
      <c r="K31" s="70"/>
      <c r="L31" s="56"/>
      <c r="M31" s="70"/>
      <c r="O31" s="49"/>
    </row>
    <row r="32" customFormat="false" ht="12.75" hidden="false" customHeight="true" outlineLevel="0" collapsed="false">
      <c r="A32" s="51"/>
      <c r="B32" s="51" t="s">
        <v>99</v>
      </c>
      <c r="C32" s="71" t="n">
        <f aca="false">ROUND(+C36*0.6,0)</f>
        <v>-7207682</v>
      </c>
      <c r="D32" s="72" t="n">
        <f aca="false">+'JEDI MTM'!M58</f>
        <v>-100006593.3</v>
      </c>
      <c r="E32" s="72" t="n">
        <f aca="false">+'JEDI MTM'!N58</f>
        <v>74779704.9</v>
      </c>
      <c r="F32" s="74" t="s">
        <v>107</v>
      </c>
      <c r="G32" s="72" t="n">
        <f aca="false">+'JEDI MTM'!O58</f>
        <v>0</v>
      </c>
      <c r="H32" s="72" t="n">
        <f aca="false">+'JEDI MTM'!P58</f>
        <v>0</v>
      </c>
      <c r="I32" s="70" t="n">
        <f aca="false">+K32-M32</f>
        <v>39191773.05</v>
      </c>
      <c r="J32" s="70" t="n">
        <f aca="false">+'JEDI MTM'!Y58</f>
        <v>-25226888.4</v>
      </c>
      <c r="K32" s="80" t="n">
        <f aca="false">+J32</f>
        <v>-25226888.4</v>
      </c>
      <c r="L32" s="56"/>
      <c r="M32" s="70" t="n">
        <v>-64418661.45</v>
      </c>
      <c r="O32" s="49"/>
    </row>
    <row r="33" customFormat="false" ht="12.75" hidden="false" customHeight="true" outlineLevel="0" collapsed="false">
      <c r="A33" s="51"/>
      <c r="B33" s="51" t="s">
        <v>100</v>
      </c>
      <c r="C33" s="74" t="n">
        <f aca="false">ROUND(C36*0.3612,0)</f>
        <v>-4339025</v>
      </c>
      <c r="D33" s="74" t="n">
        <f aca="false">ROUND(D36*0.3612,0)</f>
        <v>-60203969</v>
      </c>
      <c r="E33" s="74" t="n">
        <f aca="false">ROUND(E36*0.3612,0)</f>
        <v>45017382</v>
      </c>
      <c r="F33" s="74"/>
      <c r="G33" s="74" t="n">
        <f aca="false">ROUND(G36*0.3612,0)</f>
        <v>0</v>
      </c>
      <c r="H33" s="74" t="n">
        <f aca="false">ROUND(H36*0.3612,0)</f>
        <v>0</v>
      </c>
      <c r="I33" s="74" t="n">
        <f aca="false">ROUND(I36*0.3612,0)</f>
        <v>23593447</v>
      </c>
      <c r="J33" s="74" t="n">
        <f aca="false">ROUND(J36*0.3612,0)</f>
        <v>-15186587</v>
      </c>
      <c r="K33" s="74" t="n">
        <f aca="false">ROUND(K36*0.3612,0)</f>
        <v>-15186587</v>
      </c>
      <c r="L33" s="56"/>
      <c r="M33" s="70" t="n">
        <v>-38780034</v>
      </c>
      <c r="O33" s="49"/>
    </row>
    <row r="34" customFormat="false" ht="12.75" hidden="false" customHeight="true" outlineLevel="0" collapsed="false">
      <c r="A34" s="51"/>
      <c r="B34" s="51" t="s">
        <v>101</v>
      </c>
      <c r="C34" s="75" t="n">
        <f aca="false">SUM(C32:C33)</f>
        <v>-11546707</v>
      </c>
      <c r="D34" s="75" t="n">
        <f aca="false">SUM(D32:D33)</f>
        <v>-160210562.3</v>
      </c>
      <c r="E34" s="75" t="n">
        <f aca="false">SUM(E32:E33)</f>
        <v>119797086.9</v>
      </c>
      <c r="F34" s="75"/>
      <c r="G34" s="75" t="n">
        <f aca="false">SUM(G32:G33)</f>
        <v>0</v>
      </c>
      <c r="H34" s="75" t="n">
        <f aca="false">SUM(H32:H33)</f>
        <v>0</v>
      </c>
      <c r="I34" s="75" t="n">
        <f aca="false">SUM(I32:I33)</f>
        <v>62785220.05</v>
      </c>
      <c r="J34" s="75" t="n">
        <f aca="false">SUM(J32:J33)</f>
        <v>-40413475.4</v>
      </c>
      <c r="K34" s="75" t="n">
        <f aca="false">SUM(K32:K33)</f>
        <v>-40413475.4</v>
      </c>
      <c r="L34" s="56"/>
      <c r="M34" s="75" t="n">
        <v>-103198695.45</v>
      </c>
      <c r="O34" s="49"/>
    </row>
    <row r="35" customFormat="false" ht="12.75" hidden="false" customHeight="true" outlineLevel="0" collapsed="false">
      <c r="A35" s="51"/>
      <c r="B35" s="61" t="s">
        <v>102</v>
      </c>
      <c r="C35" s="71" t="n">
        <f aca="false">+C36-C34</f>
        <v>-466097</v>
      </c>
      <c r="D35" s="71" t="n">
        <f aca="false">+D36-D34</f>
        <v>-6467093.19999999</v>
      </c>
      <c r="E35" s="71" t="n">
        <f aca="false">+E36-E34</f>
        <v>4835754.60000001</v>
      </c>
      <c r="F35" s="71"/>
      <c r="G35" s="71" t="n">
        <f aca="false">+G36-G34</f>
        <v>0</v>
      </c>
      <c r="H35" s="71" t="n">
        <f aca="false">+H36-H34</f>
        <v>0</v>
      </c>
      <c r="I35" s="71" t="n">
        <f aca="false">+I36-I34</f>
        <v>2534401.70000001</v>
      </c>
      <c r="J35" s="71" t="n">
        <f aca="false">+J36-J34</f>
        <v>-1631338.59999999</v>
      </c>
      <c r="K35" s="71" t="n">
        <f aca="false">+K36-K34</f>
        <v>-1631338.59999999</v>
      </c>
      <c r="L35" s="56"/>
      <c r="M35" s="70" t="n">
        <v>-4165740.30000001</v>
      </c>
      <c r="O35" s="49"/>
    </row>
    <row r="36" customFormat="false" ht="12.75" hidden="false" customHeight="true" outlineLevel="0" collapsed="false">
      <c r="A36" s="51"/>
      <c r="B36" s="51" t="s">
        <v>103</v>
      </c>
      <c r="C36" s="75" t="n">
        <f aca="false">-C20</f>
        <v>-12012804</v>
      </c>
      <c r="D36" s="76" t="n">
        <f aca="false">+'JEDI MTM'!M57</f>
        <v>-166677655.5</v>
      </c>
      <c r="E36" s="76" t="n">
        <f aca="false">+'JEDI MTM'!N57</f>
        <v>124632841.5</v>
      </c>
      <c r="F36" s="76"/>
      <c r="G36" s="76" t="n">
        <f aca="false">+'JEDI MTM'!O57</f>
        <v>0</v>
      </c>
      <c r="H36" s="76" t="n">
        <f aca="false">+'JEDI MTM'!P57</f>
        <v>0</v>
      </c>
      <c r="I36" s="77" t="n">
        <f aca="false">+K36-M36</f>
        <v>65319621.75</v>
      </c>
      <c r="J36" s="77" t="n">
        <f aca="false">+'JEDI MTM'!Y57</f>
        <v>-42044814</v>
      </c>
      <c r="K36" s="77" t="n">
        <f aca="false">+'JEDI MTM'!Y57</f>
        <v>-42044814</v>
      </c>
      <c r="L36" s="56"/>
      <c r="M36" s="77" t="n">
        <v>-107364435.75</v>
      </c>
      <c r="O36" s="49"/>
    </row>
    <row r="37" customFormat="false" ht="12.75" hidden="false" customHeight="true" outlineLevel="0" collapsed="false">
      <c r="A37" s="51"/>
      <c r="B37" s="51"/>
      <c r="C37" s="71"/>
      <c r="D37" s="72"/>
      <c r="E37" s="72"/>
      <c r="F37" s="72"/>
      <c r="G37" s="72"/>
      <c r="H37" s="72"/>
      <c r="I37" s="70"/>
      <c r="J37" s="70"/>
      <c r="K37" s="70"/>
      <c r="L37" s="56"/>
      <c r="M37" s="70"/>
      <c r="O37" s="49"/>
    </row>
    <row r="38" customFormat="false" ht="12.75" hidden="false" customHeight="true" outlineLevel="0" collapsed="false">
      <c r="A38" s="22" t="s">
        <v>108</v>
      </c>
      <c r="B38" s="51"/>
      <c r="C38" s="71" t="n">
        <v>0</v>
      </c>
      <c r="D38" s="72" t="n">
        <f aca="false">+'DWR 1305741'!E31</f>
        <v>137354.45</v>
      </c>
      <c r="E38" s="72" t="n">
        <f aca="false">+'DWR 1305741'!F31</f>
        <v>0</v>
      </c>
      <c r="F38" s="72"/>
      <c r="G38" s="72" t="n">
        <f aca="false">+'DWR 1305741'!G31</f>
        <v>0</v>
      </c>
      <c r="H38" s="72" t="n">
        <f aca="false">+'DWR 1305741'!H31</f>
        <v>0</v>
      </c>
      <c r="I38" s="70" t="n">
        <f aca="false">+K38-M38</f>
        <v>0</v>
      </c>
      <c r="J38" s="70" t="n">
        <f aca="false">+'DWR 1305741'!I31</f>
        <v>137354.45</v>
      </c>
      <c r="K38" s="70" t="n">
        <f aca="false">+'DWR 1305741'!K31</f>
        <v>137354.45</v>
      </c>
      <c r="L38" s="56"/>
      <c r="M38" s="70" t="n">
        <v>137354.45</v>
      </c>
      <c r="O38" s="49"/>
    </row>
    <row r="39" customFormat="false" ht="12.75" hidden="false" customHeight="true" outlineLevel="0" collapsed="false">
      <c r="A39" s="22"/>
      <c r="B39" s="51"/>
      <c r="C39" s="71"/>
      <c r="D39" s="72"/>
      <c r="E39" s="72"/>
      <c r="F39" s="72"/>
      <c r="G39" s="72"/>
      <c r="H39" s="72"/>
      <c r="I39" s="70"/>
      <c r="J39" s="70"/>
      <c r="K39" s="70"/>
      <c r="L39" s="56"/>
      <c r="M39" s="70"/>
      <c r="O39" s="49"/>
    </row>
    <row r="40" customFormat="false" ht="12.75" hidden="false" customHeight="true" outlineLevel="0" collapsed="false">
      <c r="A40" s="22" t="s">
        <v>109</v>
      </c>
      <c r="B40" s="51"/>
      <c r="C40" s="71" t="n">
        <f aca="false">+'Bear Stearns 5-24'!B16</f>
        <v>323000</v>
      </c>
      <c r="D40" s="72"/>
      <c r="E40" s="72" t="n">
        <f aca="false">+'Credit Suisse 4-5'!E39+'Credit Suisse 4-6'!E39+'Credit Suisse 4-17'!E39+'Bear Stearns 5-24'!E39</f>
        <v>18501600.98</v>
      </c>
      <c r="F40" s="72"/>
      <c r="G40" s="72" t="n">
        <f aca="false">+'Credit Suisse 4-5'!I39+'Credit Suisse 4-6'!I39+'Credit Suisse 4-17'!I39+'Bear Stearns 5-24'!I39</f>
        <v>0</v>
      </c>
      <c r="H40" s="72" t="n">
        <f aca="false">+'Credit Suisse 4-5'!M39+'Credit Suisse 4-6'!M39+'Credit Suisse 4-17'!M39+'Bear Stearns 5-24'!M39</f>
        <v>0</v>
      </c>
      <c r="I40" s="70" t="n">
        <f aca="false">+K40-M40</f>
        <v>1204549.06</v>
      </c>
      <c r="J40" s="70" t="n">
        <f aca="false">+'Credit Suisse 4-5'!O39+'Credit Suisse 4-6'!O39+'Credit Suisse 4-17'!O39+'Bear Stearns 5-24'!O39</f>
        <v>18501600.98</v>
      </c>
      <c r="K40" s="70" t="n">
        <f aca="false">+'Credit Suisse 4-5'!AA39+'Credit Suisse 4-6'!AA39+'Credit Suisse 4-17'!AA39+'Bear Stearns 5-24'!AA39</f>
        <v>18501600.98</v>
      </c>
      <c r="L40" s="56"/>
      <c r="M40" s="70" t="n">
        <v>17297051.92</v>
      </c>
      <c r="O40" s="49"/>
    </row>
    <row r="41" customFormat="false" ht="12.75" hidden="false" customHeight="true" outlineLevel="0" collapsed="false">
      <c r="A41" s="51"/>
      <c r="B41" s="51"/>
      <c r="C41" s="67"/>
      <c r="D41" s="67"/>
      <c r="E41" s="56"/>
      <c r="F41" s="56"/>
      <c r="G41" s="56"/>
      <c r="H41" s="51"/>
      <c r="I41" s="56"/>
      <c r="J41" s="51"/>
      <c r="K41" s="56"/>
      <c r="L41" s="56"/>
      <c r="M41" s="70"/>
      <c r="O41" s="49"/>
    </row>
    <row r="42" customFormat="false" ht="12.75" hidden="false" customHeight="true" outlineLevel="0" collapsed="false">
      <c r="A42" s="51"/>
      <c r="B42" s="51" t="s">
        <v>101</v>
      </c>
      <c r="C42" s="82" t="n">
        <f aca="false">+C18+C34+C38+C40</f>
        <v>323000</v>
      </c>
      <c r="D42" s="82" t="n">
        <f aca="false">+D18+D27+D34+D38+D40</f>
        <v>126977933.614</v>
      </c>
      <c r="E42" s="82" t="n">
        <f aca="false">+E18+E27+E34+E38+E40</f>
        <v>18501600.98</v>
      </c>
      <c r="F42" s="82"/>
      <c r="G42" s="82" t="n">
        <f aca="false">+G18+G27+G34+G38+G40</f>
        <v>0</v>
      </c>
      <c r="H42" s="82" t="n">
        <f aca="false">+H18+H27+H34+H38+H40</f>
        <v>0</v>
      </c>
      <c r="I42" s="82" t="n">
        <f aca="false">+I18+I27+I34+I38+I40</f>
        <v>1204549.06</v>
      </c>
      <c r="J42" s="82" t="n">
        <f aca="false">+J18+J27+J34+J38+J40</f>
        <v>145479534.594</v>
      </c>
      <c r="K42" s="82" t="n">
        <f aca="false">+K18+K27+K34+K38+K40</f>
        <v>145479534.594</v>
      </c>
      <c r="L42" s="56"/>
      <c r="M42" s="82" t="n">
        <v>144274985.534</v>
      </c>
      <c r="O42" s="49"/>
    </row>
    <row r="43" customFormat="false" ht="12.75" hidden="false" customHeight="true" outlineLevel="0" collapsed="false">
      <c r="A43" s="51"/>
      <c r="B43" s="55"/>
      <c r="C43" s="55"/>
      <c r="D43" s="71"/>
      <c r="E43" s="71"/>
      <c r="F43" s="71"/>
      <c r="G43" s="71"/>
      <c r="H43" s="70"/>
      <c r="I43" s="83"/>
      <c r="J43" s="51"/>
      <c r="K43" s="56"/>
      <c r="L43" s="51"/>
      <c r="M43" s="70"/>
      <c r="O43" s="49"/>
    </row>
    <row r="44" customFormat="false" ht="12.75" hidden="false" customHeight="true" outlineLevel="0" collapsed="false">
      <c r="A44" s="51"/>
      <c r="B44" s="51"/>
      <c r="C44" s="71"/>
      <c r="D44" s="71"/>
      <c r="E44" s="71"/>
      <c r="F44" s="71"/>
      <c r="G44" s="71"/>
      <c r="H44" s="71"/>
      <c r="I44" s="71"/>
      <c r="J44" s="71"/>
      <c r="K44" s="71"/>
      <c r="L44" s="56"/>
      <c r="M44" s="71"/>
      <c r="N44" s="84"/>
      <c r="O44" s="12"/>
    </row>
    <row r="45" customFormat="false" ht="12.75" hidden="false" customHeight="true" outlineLevel="0" collapsed="false">
      <c r="A45" s="51"/>
      <c r="B45" s="51"/>
      <c r="C45" s="71"/>
      <c r="D45" s="71"/>
      <c r="E45" s="71"/>
      <c r="F45" s="71"/>
      <c r="G45" s="71"/>
      <c r="H45" s="71"/>
      <c r="I45" s="71"/>
      <c r="J45" s="71"/>
      <c r="K45" s="71"/>
      <c r="L45" s="56"/>
      <c r="M45" s="71"/>
      <c r="N45" s="84"/>
      <c r="O45" s="12"/>
    </row>
    <row r="46" customFormat="false" ht="12.75" hidden="false" customHeight="true" outlineLevel="0" collapsed="false">
      <c r="A46" s="51"/>
      <c r="B46" s="61"/>
      <c r="C46" s="51"/>
      <c r="D46" s="51"/>
      <c r="E46" s="55"/>
      <c r="F46" s="55"/>
      <c r="G46" s="55"/>
      <c r="H46" s="55"/>
      <c r="I46" s="71"/>
      <c r="J46" s="71"/>
      <c r="K46" s="71"/>
      <c r="L46" s="70"/>
      <c r="M46" s="85"/>
      <c r="N46" s="84"/>
      <c r="O46" s="12"/>
    </row>
    <row r="47" customFormat="false" ht="12.75" hidden="false" customHeight="true" outlineLevel="0" collapsed="false">
      <c r="A47" s="51"/>
      <c r="B47" s="51"/>
      <c r="C47" s="21"/>
      <c r="D47" s="51"/>
      <c r="E47" s="51"/>
      <c r="F47" s="51"/>
      <c r="G47" s="51"/>
      <c r="H47" s="79"/>
      <c r="I47" s="51"/>
      <c r="J47" s="83"/>
      <c r="K47" s="83"/>
      <c r="L47" s="86"/>
      <c r="M47" s="51"/>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48" customFormat="false" ht="12.75" hidden="false" customHeight="true" outlineLevel="0" collapsed="false">
      <c r="A48" s="51"/>
      <c r="B48" s="51"/>
      <c r="C48" s="21"/>
      <c r="D48" s="51"/>
      <c r="E48" s="51"/>
      <c r="F48" s="51"/>
      <c r="G48" s="51"/>
      <c r="I48" s="87" t="s">
        <v>110</v>
      </c>
      <c r="J48" s="88"/>
      <c r="K48" s="89"/>
      <c r="L48" s="51"/>
      <c r="M48" s="51"/>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row>
    <row r="49" customFormat="false" ht="15.75" hidden="false" customHeight="false" outlineLevel="0" collapsed="false">
      <c r="A49" s="51"/>
      <c r="B49" s="51"/>
      <c r="C49" s="21"/>
      <c r="D49" s="51"/>
      <c r="E49" s="51"/>
      <c r="F49" s="51"/>
      <c r="G49" s="51"/>
      <c r="I49" s="90" t="s">
        <v>111</v>
      </c>
      <c r="J49" s="91"/>
      <c r="K49" s="92"/>
      <c r="L49" s="51"/>
      <c r="M49" s="51"/>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row r="50" customFormat="false" ht="15" hidden="false" customHeight="false" outlineLevel="0" collapsed="false">
      <c r="A50" s="51"/>
      <c r="B50" s="51"/>
      <c r="C50" s="51"/>
      <c r="D50" s="51"/>
      <c r="E50" s="51"/>
      <c r="F50" s="51"/>
      <c r="G50" s="51"/>
      <c r="I50" s="93"/>
      <c r="J50" s="94"/>
      <c r="K50" s="95"/>
      <c r="L50" s="51"/>
      <c r="M50" s="51"/>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row r="51" customFormat="false" ht="15" hidden="false" customHeight="false" outlineLevel="0" collapsed="false">
      <c r="A51" s="51"/>
      <c r="B51" s="51"/>
      <c r="C51" s="51"/>
      <c r="D51" s="51"/>
      <c r="E51" s="51"/>
      <c r="F51" s="51"/>
      <c r="G51" s="51"/>
      <c r="I51" s="96"/>
      <c r="J51" s="88"/>
      <c r="K51" s="89"/>
      <c r="L51" s="51"/>
      <c r="M51" s="51"/>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5" hidden="false" customHeight="false" outlineLevel="0" collapsed="false">
      <c r="A52" s="51"/>
      <c r="B52" s="51"/>
      <c r="C52" s="51"/>
      <c r="D52" s="51"/>
      <c r="E52" s="51"/>
      <c r="F52" s="51"/>
      <c r="G52" s="51"/>
      <c r="I52" s="97" t="s">
        <v>56</v>
      </c>
      <c r="J52" s="98" t="s">
        <v>112</v>
      </c>
      <c r="K52" s="99" t="n">
        <v>10</v>
      </c>
      <c r="L52" s="51"/>
      <c r="M52" s="100"/>
      <c r="N52" s="101"/>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row>
    <row r="53" customFormat="false" ht="15" hidden="false" customHeight="false" outlineLevel="0" collapsed="false">
      <c r="A53" s="51"/>
      <c r="B53" s="51"/>
      <c r="C53" s="51"/>
      <c r="D53" s="51"/>
      <c r="E53" s="51"/>
      <c r="F53" s="51"/>
      <c r="G53" s="51"/>
      <c r="I53" s="102"/>
      <c r="J53" s="98" t="s">
        <v>113</v>
      </c>
      <c r="K53" s="99" t="e">
        <f aca="false">VaR!B1/-1000000</f>
        <v>#NAME?</v>
      </c>
      <c r="L53" s="51"/>
      <c r="M53" s="51"/>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row>
    <row r="54" customFormat="false" ht="15" hidden="false" customHeight="false" outlineLevel="0" collapsed="false">
      <c r="A54" s="51"/>
      <c r="B54" s="51"/>
      <c r="C54" s="51"/>
      <c r="D54" s="51"/>
      <c r="E54" s="51"/>
      <c r="F54" s="51"/>
      <c r="G54" s="51"/>
      <c r="I54" s="97" t="s">
        <v>114</v>
      </c>
      <c r="J54" s="91"/>
      <c r="K54" s="99"/>
      <c r="L54" s="51"/>
      <c r="M54" s="51"/>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row>
    <row r="55" customFormat="false" ht="15" hidden="false" customHeight="false" outlineLevel="0" collapsed="false">
      <c r="A55" s="51"/>
      <c r="B55" s="51"/>
      <c r="C55" s="51"/>
      <c r="D55" s="51"/>
      <c r="E55" s="51"/>
      <c r="F55" s="51"/>
      <c r="G55" s="51"/>
      <c r="I55" s="103"/>
      <c r="J55" s="98" t="s">
        <v>112</v>
      </c>
      <c r="K55" s="99" t="n">
        <v>300</v>
      </c>
      <c r="L55" s="51"/>
      <c r="M55" s="51"/>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row>
    <row r="56" customFormat="false" ht="15" hidden="false" customHeight="false" outlineLevel="0" collapsed="false">
      <c r="A56" s="51"/>
      <c r="B56" s="51"/>
      <c r="C56" s="51"/>
      <c r="D56" s="51"/>
      <c r="E56" s="51"/>
      <c r="F56" s="51"/>
      <c r="G56" s="51"/>
      <c r="I56" s="103"/>
      <c r="J56" s="98" t="s">
        <v>115</v>
      </c>
      <c r="K56" s="99" t="e">
        <f aca="false">VaR!H4/1000000</f>
        <v>#NAME?</v>
      </c>
      <c r="L56" s="51"/>
      <c r="M56" s="51"/>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row>
    <row r="57" customFormat="false" ht="15" hidden="false" customHeight="false" outlineLevel="0" collapsed="false">
      <c r="A57" s="51"/>
      <c r="B57" s="51"/>
      <c r="C57" s="51"/>
      <c r="D57" s="51"/>
      <c r="E57" s="51"/>
      <c r="F57" s="51"/>
      <c r="G57" s="51"/>
      <c r="I57" s="104"/>
      <c r="J57" s="94"/>
      <c r="K57" s="95"/>
      <c r="L57" s="51"/>
      <c r="M57" s="51"/>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row>
    <row r="58" customFormat="false" ht="12.75" hidden="false" customHeight="false" outlineLevel="0" collapsed="false">
      <c r="A58" s="51"/>
      <c r="B58" s="51"/>
      <c r="C58" s="51"/>
      <c r="D58" s="51"/>
      <c r="E58" s="51"/>
      <c r="F58" s="51"/>
      <c r="G58" s="51"/>
      <c r="H58" s="51"/>
      <c r="I58" s="51"/>
      <c r="J58" s="51"/>
      <c r="K58" s="51"/>
      <c r="L58" s="51"/>
      <c r="M58" s="51"/>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5" hidden="false" customHeight="false" outlineLevel="0" collapsed="false">
      <c r="A59" s="51"/>
      <c r="C59" s="51"/>
      <c r="D59" s="51"/>
      <c r="E59" s="55"/>
      <c r="F59" s="55"/>
      <c r="G59" s="55"/>
      <c r="H59" s="55"/>
      <c r="I59" s="56"/>
      <c r="J59" s="56"/>
      <c r="K59" s="56"/>
      <c r="L59" s="51"/>
      <c r="M59" s="51"/>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row>
    <row r="60" customFormat="false" ht="15" hidden="false" customHeight="false" outlineLevel="0" collapsed="false">
      <c r="A60" s="51"/>
      <c r="C60" s="51"/>
      <c r="D60" s="22"/>
      <c r="E60" s="55"/>
      <c r="F60" s="55"/>
      <c r="G60" s="55"/>
      <c r="H60" s="55"/>
      <c r="I60" s="56"/>
      <c r="J60" s="56"/>
      <c r="K60" s="56"/>
      <c r="L60" s="51"/>
      <c r="M60" s="51"/>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row>
    <row r="61" customFormat="false" ht="12.75" hidden="false" customHeight="false" outlineLevel="0" collapsed="false">
      <c r="A61" s="51"/>
      <c r="B61" s="62" t="s">
        <v>116</v>
      </c>
      <c r="C61" s="22" t="str">
        <f aca="false">+C7</f>
        <v>REVISED</v>
      </c>
      <c r="D61" s="51"/>
      <c r="E61" s="55"/>
      <c r="F61" s="55"/>
      <c r="G61" s="55"/>
      <c r="H61" s="55"/>
      <c r="I61" s="56"/>
      <c r="J61" s="56"/>
      <c r="K61" s="56"/>
      <c r="L61" s="51"/>
      <c r="M61" s="51"/>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row>
    <row r="62" customFormat="false" ht="12.75" hidden="false" customHeight="false" outlineLevel="0" collapsed="false">
      <c r="A62" s="51"/>
      <c r="B62" s="61" t="s">
        <v>88</v>
      </c>
      <c r="C62" s="51"/>
      <c r="D62" s="51"/>
      <c r="E62" s="55"/>
      <c r="F62" s="55"/>
      <c r="G62" s="55"/>
      <c r="H62" s="55"/>
      <c r="I62" s="56"/>
      <c r="J62" s="56"/>
      <c r="K62" s="56"/>
      <c r="L62" s="51"/>
      <c r="M62" s="51"/>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row>
    <row r="63" customFormat="false" ht="12.75" hidden="false" customHeight="false" outlineLevel="0" collapsed="false">
      <c r="A63" s="51"/>
      <c r="B63" s="63" t="n">
        <f aca="false">+B9</f>
        <v>36707</v>
      </c>
      <c r="C63" s="55" t="s">
        <v>90</v>
      </c>
      <c r="D63" s="55"/>
      <c r="E63" s="56"/>
      <c r="F63" s="56"/>
      <c r="G63" s="56"/>
      <c r="H63" s="56"/>
      <c r="I63" s="51"/>
      <c r="J63" s="51"/>
      <c r="K63" s="51"/>
      <c r="L63" s="51"/>
      <c r="M63" s="10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row>
    <row r="64" customFormat="false" ht="12.75" hidden="false" customHeight="false" outlineLevel="0" collapsed="false">
      <c r="A64" s="51"/>
      <c r="B64" s="61"/>
      <c r="C64" s="65" t="s">
        <v>17</v>
      </c>
      <c r="D64" s="66" t="s">
        <v>91</v>
      </c>
      <c r="E64" s="66" t="s">
        <v>92</v>
      </c>
      <c r="F64" s="66"/>
      <c r="G64" s="66" t="s">
        <v>93</v>
      </c>
      <c r="H64" s="66" t="s">
        <v>94</v>
      </c>
      <c r="I64" s="66" t="s">
        <v>24</v>
      </c>
      <c r="J64" s="66" t="s">
        <v>7</v>
      </c>
      <c r="K64" s="66" t="s">
        <v>95</v>
      </c>
      <c r="L64" s="51"/>
      <c r="M64" s="51"/>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row>
    <row r="65" customFormat="false" ht="12.75" hidden="false" customHeight="false" outlineLevel="0" collapsed="false">
      <c r="A65" s="51" t="s">
        <v>117</v>
      </c>
      <c r="B65" s="61"/>
      <c r="C65" s="67"/>
      <c r="D65" s="105" t="n">
        <f aca="false">+D14</f>
        <v>74.875</v>
      </c>
      <c r="E65" s="105" t="n">
        <f aca="false">+E14</f>
        <v>64.5</v>
      </c>
      <c r="F65" s="105"/>
      <c r="G65" s="105" t="n">
        <f aca="false">+G14</f>
        <v>0</v>
      </c>
      <c r="H65" s="105" t="n">
        <f aca="false">+H14</f>
        <v>0</v>
      </c>
      <c r="I65" s="69"/>
      <c r="J65" s="69"/>
      <c r="K65" s="69"/>
      <c r="L65" s="51"/>
      <c r="M65" s="51"/>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row>
    <row r="66" customFormat="false" ht="12.75" hidden="false" customHeight="false" outlineLevel="0" collapsed="false">
      <c r="A66" s="51"/>
      <c r="B66" s="51"/>
      <c r="C66" s="51"/>
      <c r="D66" s="51"/>
      <c r="E66" s="51"/>
      <c r="F66" s="51"/>
      <c r="G66" s="51"/>
      <c r="H66" s="51"/>
      <c r="I66" s="51"/>
      <c r="J66" s="51"/>
      <c r="K66" s="51"/>
      <c r="L66" s="51"/>
      <c r="M66" s="51"/>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row>
    <row r="67" customFormat="false" ht="12.75" hidden="false" customHeight="false" outlineLevel="0" collapsed="false">
      <c r="A67" s="22" t="s">
        <v>47</v>
      </c>
      <c r="B67" s="51"/>
      <c r="C67" s="83" t="n">
        <f aca="false">+C18+C27+C34</f>
        <v>0</v>
      </c>
      <c r="D67" s="83" t="n">
        <f aca="false">+D18+D27+D34+D22</f>
        <v>85158000.164</v>
      </c>
      <c r="E67" s="83" t="n">
        <f aca="false">+E18+E27+E34+E22</f>
        <v>0</v>
      </c>
      <c r="F67" s="83"/>
      <c r="G67" s="83" t="n">
        <f aca="false">+G18+G27+G34+G22</f>
        <v>0</v>
      </c>
      <c r="H67" s="83" t="n">
        <f aca="false">+H18+H27+H34+H22</f>
        <v>0</v>
      </c>
      <c r="I67" s="83" t="n">
        <f aca="false">+I18+I27+I34+I22</f>
        <v>0</v>
      </c>
      <c r="J67" s="83" t="n">
        <f aca="false">+J18+J27+J34+J22</f>
        <v>85158000.164</v>
      </c>
      <c r="K67" s="83" t="n">
        <f aca="false">+K18+K27+K34+K22</f>
        <v>85158000.164</v>
      </c>
      <c r="L67" s="51"/>
      <c r="M67" s="51"/>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row>
    <row r="68" customFormat="false" ht="12.75" hidden="false" customHeight="false" outlineLevel="0" collapsed="false">
      <c r="A68" s="0"/>
      <c r="B68" s="0"/>
      <c r="C68" s="0"/>
      <c r="D68" s="0"/>
      <c r="E68" s="0"/>
      <c r="F68" s="0"/>
      <c r="G68" s="0"/>
      <c r="H68" s="0"/>
      <c r="I68" s="0"/>
      <c r="J68" s="0"/>
      <c r="K68" s="0"/>
      <c r="L68" s="0"/>
      <c r="M68" s="51"/>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row>
    <row r="69" customFormat="false" ht="15" hidden="false" customHeight="false" outlineLevel="0" collapsed="false">
      <c r="A69" s="22" t="s">
        <v>108</v>
      </c>
      <c r="B69" s="51"/>
      <c r="C69" s="71" t="n">
        <f aca="false">+C38</f>
        <v>0</v>
      </c>
      <c r="D69" s="71" t="n">
        <f aca="false">+D38</f>
        <v>137354.45</v>
      </c>
      <c r="E69" s="71" t="n">
        <f aca="false">+E38</f>
        <v>0</v>
      </c>
      <c r="F69" s="71"/>
      <c r="G69" s="71" t="n">
        <f aca="false">+G38</f>
        <v>0</v>
      </c>
      <c r="H69" s="71" t="n">
        <f aca="false">+H38</f>
        <v>0</v>
      </c>
      <c r="I69" s="71" t="n">
        <f aca="false">+I38</f>
        <v>0</v>
      </c>
      <c r="J69" s="71" t="n">
        <f aca="false">+J38</f>
        <v>137354.45</v>
      </c>
      <c r="K69" s="71" t="n">
        <f aca="false">+K38</f>
        <v>137354.45</v>
      </c>
      <c r="L69" s="56"/>
      <c r="M69" s="51"/>
      <c r="O69" s="49"/>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row>
    <row r="70" customFormat="false" ht="15" hidden="false" customHeight="false" outlineLevel="0" collapsed="false">
      <c r="A70" s="22"/>
      <c r="B70" s="51"/>
      <c r="C70" s="71"/>
      <c r="D70" s="71"/>
      <c r="E70" s="71"/>
      <c r="F70" s="71"/>
      <c r="G70" s="71"/>
      <c r="H70" s="71"/>
      <c r="I70" s="71"/>
      <c r="J70" s="71"/>
      <c r="K70" s="71"/>
      <c r="L70" s="56"/>
      <c r="M70" s="51"/>
      <c r="O70" s="49"/>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row>
    <row r="71" customFormat="false" ht="11.25" hidden="false" customHeight="true" outlineLevel="0" collapsed="false">
      <c r="A71" s="22" t="s">
        <v>109</v>
      </c>
      <c r="B71" s="51"/>
      <c r="C71" s="71" t="n">
        <f aca="false">+C40</f>
        <v>323000</v>
      </c>
      <c r="D71" s="71" t="n">
        <f aca="false">+D40</f>
        <v>0</v>
      </c>
      <c r="E71" s="71" t="n">
        <f aca="false">+E40</f>
        <v>18501600.98</v>
      </c>
      <c r="F71" s="71"/>
      <c r="G71" s="71" t="n">
        <f aca="false">+G40</f>
        <v>0</v>
      </c>
      <c r="H71" s="71" t="n">
        <f aca="false">+H40</f>
        <v>0</v>
      </c>
      <c r="I71" s="71" t="n">
        <f aca="false">+I40</f>
        <v>1204549.06</v>
      </c>
      <c r="J71" s="71" t="n">
        <f aca="false">+J40</f>
        <v>18501600.98</v>
      </c>
      <c r="K71" s="71" t="n">
        <f aca="false">+K40</f>
        <v>18501600.98</v>
      </c>
      <c r="L71" s="56"/>
      <c r="M71" s="51"/>
      <c r="O71" s="49"/>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row>
    <row r="72" customFormat="false" ht="15" hidden="false" customHeight="true" outlineLevel="0" collapsed="false">
      <c r="A72" s="51"/>
      <c r="B72" s="51"/>
      <c r="C72" s="67"/>
      <c r="D72" s="67"/>
      <c r="E72" s="67"/>
      <c r="F72" s="67"/>
      <c r="G72" s="67"/>
      <c r="H72" s="67"/>
      <c r="I72" s="67"/>
      <c r="J72" s="67"/>
      <c r="K72" s="67"/>
      <c r="L72" s="56"/>
      <c r="M72" s="51"/>
      <c r="O72" s="49"/>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row>
    <row r="73" customFormat="false" ht="15.75" hidden="false" customHeight="false" outlineLevel="0" collapsed="false">
      <c r="A73" s="51"/>
      <c r="B73" s="51" t="s">
        <v>101</v>
      </c>
      <c r="C73" s="82" t="n">
        <f aca="false">SUM(C66:C72)</f>
        <v>323000</v>
      </c>
      <c r="D73" s="82" t="n">
        <f aca="false">SUM(D66:D72)</f>
        <v>85295354.614</v>
      </c>
      <c r="E73" s="82" t="n">
        <f aca="false">SUM(E66:E72)</f>
        <v>18501600.98</v>
      </c>
      <c r="F73" s="82"/>
      <c r="G73" s="82" t="n">
        <f aca="false">SUM(G66:G72)</f>
        <v>0</v>
      </c>
      <c r="H73" s="82" t="n">
        <f aca="false">SUM(H66:H72)</f>
        <v>0</v>
      </c>
      <c r="I73" s="82" t="n">
        <f aca="false">SUM(I66:I72)</f>
        <v>1204549.06</v>
      </c>
      <c r="J73" s="82" t="n">
        <f aca="false">SUM(J66:J72)</f>
        <v>103796955.594</v>
      </c>
      <c r="K73" s="82" t="n">
        <f aca="false">SUM(K66:K72)</f>
        <v>103796955.594</v>
      </c>
      <c r="L73" s="56"/>
      <c r="M73" s="51"/>
      <c r="O73" s="49"/>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row>
    <row r="74" customFormat="false" ht="15.75" hidden="false" customHeight="false" outlineLevel="0" collapsed="false">
      <c r="A74" s="51"/>
      <c r="B74" s="55"/>
      <c r="C74" s="55"/>
      <c r="D74" s="55"/>
      <c r="E74" s="55"/>
      <c r="F74" s="55"/>
      <c r="G74" s="55"/>
      <c r="H74" s="55"/>
      <c r="I74" s="55"/>
      <c r="J74" s="55"/>
      <c r="K74" s="55"/>
      <c r="L74" s="51"/>
      <c r="M74" s="51"/>
      <c r="O74" s="49"/>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row>
    <row r="75" customFormat="false" ht="12.75" hidden="false" customHeight="false" outlineLevel="0" collapsed="false">
      <c r="A75" s="51"/>
      <c r="B75" s="0"/>
      <c r="C75" s="0"/>
      <c r="D75" s="0"/>
      <c r="E75" s="0"/>
      <c r="F75" s="0"/>
      <c r="G75" s="0"/>
      <c r="H75" s="0"/>
      <c r="I75" s="0"/>
      <c r="J75" s="0"/>
      <c r="K75" s="0"/>
      <c r="L75" s="0"/>
      <c r="M75" s="51"/>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row>
    <row r="76" customFormat="false" ht="12.75" hidden="false" customHeight="false" outlineLevel="0" collapsed="false">
      <c r="A76" s="0"/>
      <c r="B76" s="0"/>
      <c r="C76" s="0"/>
      <c r="D76" s="0"/>
      <c r="E76" s="0"/>
      <c r="F76" s="0"/>
      <c r="G76" s="0"/>
      <c r="H76" s="0"/>
      <c r="I76" s="0"/>
      <c r="J76" s="0"/>
      <c r="K76" s="0"/>
      <c r="L76" s="0"/>
      <c r="M76" s="51"/>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row>
    <row r="77" customFormat="false" ht="12.75" hidden="false" customHeight="false" outlineLevel="0" collapsed="false">
      <c r="A77" s="0"/>
      <c r="B77" s="0"/>
      <c r="C77" s="0"/>
      <c r="D77" s="0"/>
      <c r="E77" s="0"/>
      <c r="F77" s="0"/>
      <c r="G77" s="0"/>
      <c r="H77" s="0"/>
      <c r="I77" s="0"/>
      <c r="J77" s="0"/>
      <c r="K77" s="0"/>
      <c r="L77" s="0"/>
      <c r="M77" s="51"/>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row>
    <row r="78" customFormat="false" ht="12.75" hidden="false" customHeight="false" outlineLevel="0" collapsed="false">
      <c r="A78" s="0"/>
      <c r="B78" s="0"/>
      <c r="C78" s="0"/>
      <c r="D78" s="0"/>
      <c r="E78" s="0"/>
      <c r="F78" s="0"/>
      <c r="G78" s="0"/>
      <c r="H78" s="0"/>
      <c r="I78" s="0"/>
      <c r="J78" s="0"/>
      <c r="K78" s="0"/>
      <c r="L78" s="0"/>
      <c r="M78" s="51"/>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row>
    <row r="79" customFormat="false" ht="15" hidden="false" customHeight="false" outlineLevel="0" collapsed="false">
      <c r="A79" s="0"/>
      <c r="B79" s="0"/>
      <c r="C79" s="0"/>
      <c r="D79" s="0"/>
      <c r="E79" s="0"/>
      <c r="F79" s="0"/>
      <c r="G79" s="0"/>
      <c r="H79" s="0"/>
      <c r="I79" s="87" t="s">
        <v>110</v>
      </c>
      <c r="J79" s="88"/>
      <c r="K79" s="89"/>
      <c r="M79" s="51"/>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row>
    <row r="80" customFormat="false" ht="15" hidden="false" customHeight="false" outlineLevel="0" collapsed="false">
      <c r="A80" s="0"/>
      <c r="B80" s="0"/>
      <c r="C80" s="0"/>
      <c r="D80" s="0"/>
      <c r="E80" s="0"/>
      <c r="F80" s="0"/>
      <c r="G80" s="0"/>
      <c r="H80" s="0"/>
      <c r="I80" s="90" t="s">
        <v>111</v>
      </c>
      <c r="J80" s="91"/>
      <c r="K80" s="92"/>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row>
    <row r="81" customFormat="false" ht="15" hidden="false" customHeight="false" outlineLevel="0" collapsed="false">
      <c r="A81" s="0"/>
      <c r="B81" s="0"/>
      <c r="C81" s="0"/>
      <c r="D81" s="0"/>
      <c r="E81" s="0"/>
      <c r="F81" s="0"/>
      <c r="G81" s="0"/>
      <c r="H81" s="0"/>
      <c r="I81" s="93"/>
      <c r="J81" s="94"/>
      <c r="K81" s="95"/>
      <c r="L81" s="17"/>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5" hidden="false" customHeight="false" outlineLevel="0" collapsed="false">
      <c r="A82" s="0"/>
      <c r="B82" s="0"/>
      <c r="C82" s="0"/>
      <c r="D82" s="0"/>
      <c r="E82" s="0"/>
      <c r="F82" s="0"/>
      <c r="G82" s="0"/>
      <c r="H82" s="0"/>
      <c r="I82" s="96"/>
      <c r="J82" s="88"/>
      <c r="K82" s="89"/>
      <c r="L82" s="0"/>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row>
    <row r="83" customFormat="false" ht="12.75" hidden="false" customHeight="false" outlineLevel="0" collapsed="false">
      <c r="A83" s="0"/>
      <c r="B83" s="0"/>
      <c r="C83" s="0"/>
      <c r="D83" s="0"/>
      <c r="E83" s="0"/>
      <c r="F83" s="0"/>
      <c r="G83" s="0"/>
      <c r="H83" s="0"/>
      <c r="I83" s="97" t="s">
        <v>56</v>
      </c>
      <c r="J83" s="98" t="s">
        <v>112</v>
      </c>
      <c r="K83" s="99" t="n">
        <f aca="false">+K52</f>
        <v>10</v>
      </c>
      <c r="L83" s="0"/>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row>
    <row r="84" customFormat="false" ht="15" hidden="false" customHeight="false" outlineLevel="0" collapsed="false">
      <c r="A84" s="0"/>
      <c r="B84" s="0"/>
      <c r="C84" s="0"/>
      <c r="D84" s="0"/>
      <c r="E84" s="0"/>
      <c r="F84" s="0"/>
      <c r="G84" s="0"/>
      <c r="H84" s="0"/>
      <c r="I84" s="102"/>
      <c r="J84" s="98" t="s">
        <v>113</v>
      </c>
      <c r="K84" s="99" t="e">
        <f aca="false">+K53</f>
        <v>#NAME?</v>
      </c>
      <c r="L84" s="0"/>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row>
    <row r="85" customFormat="false" ht="15" hidden="false" customHeight="false" outlineLevel="0" collapsed="false">
      <c r="A85" s="0"/>
      <c r="B85" s="0"/>
      <c r="C85" s="0"/>
      <c r="D85" s="0"/>
      <c r="E85" s="0"/>
      <c r="F85" s="0"/>
      <c r="G85" s="0"/>
      <c r="H85" s="0"/>
      <c r="I85" s="97" t="s">
        <v>114</v>
      </c>
      <c r="J85" s="91"/>
      <c r="K85" s="99"/>
      <c r="L85" s="0"/>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row>
    <row r="86" customFormat="false" ht="12.75" hidden="false" customHeight="false" outlineLevel="0" collapsed="false">
      <c r="A86" s="0"/>
      <c r="B86" s="0"/>
      <c r="C86" s="0"/>
      <c r="D86" s="0"/>
      <c r="E86" s="0"/>
      <c r="F86" s="0"/>
      <c r="G86" s="0"/>
      <c r="H86" s="0"/>
      <c r="I86" s="103"/>
      <c r="J86" s="98" t="s">
        <v>112</v>
      </c>
      <c r="K86" s="99" t="n">
        <f aca="false">+K55</f>
        <v>300</v>
      </c>
      <c r="L86" s="0"/>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row>
    <row r="87" customFormat="false" ht="12.75" hidden="false" customHeight="false" outlineLevel="0" collapsed="false">
      <c r="A87" s="0"/>
      <c r="B87" s="0"/>
      <c r="C87" s="0"/>
      <c r="D87" s="0"/>
      <c r="E87" s="0"/>
      <c r="F87" s="0"/>
      <c r="G87" s="0"/>
      <c r="H87" s="0"/>
      <c r="I87" s="103"/>
      <c r="J87" s="98" t="s">
        <v>115</v>
      </c>
      <c r="K87" s="99" t="e">
        <f aca="false">+K56</f>
        <v>#NAME?</v>
      </c>
      <c r="L87" s="0"/>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row>
    <row r="88" customFormat="false" ht="15" hidden="false" customHeight="false" outlineLevel="0" collapsed="false">
      <c r="A88" s="0"/>
      <c r="B88" s="0"/>
      <c r="C88" s="0"/>
      <c r="D88" s="0"/>
      <c r="E88" s="0"/>
      <c r="F88" s="0"/>
      <c r="G88" s="0"/>
      <c r="H88" s="0"/>
      <c r="I88" s="104"/>
      <c r="J88" s="94"/>
      <c r="K88" s="95"/>
      <c r="L88" s="0"/>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row>
    <row r="89" customFormat="false" ht="12.75" hidden="false" customHeight="false" outlineLevel="0" collapsed="false">
      <c r="A89" s="0"/>
      <c r="B89" s="0"/>
      <c r="C89" s="0"/>
      <c r="D89" s="0"/>
      <c r="E89" s="0"/>
      <c r="F89" s="0"/>
      <c r="G89" s="0"/>
      <c r="H89" s="0"/>
      <c r="I89" s="0"/>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row>
    <row r="90" customFormat="false" ht="12.75" hidden="false" customHeight="false" outlineLevel="0" collapsed="false">
      <c r="A90" s="0"/>
      <c r="B90" s="0"/>
      <c r="C90" s="0"/>
      <c r="D90" s="0"/>
      <c r="E90" s="0"/>
      <c r="F90" s="0"/>
      <c r="G90" s="0"/>
      <c r="H90" s="0"/>
      <c r="I90" s="0"/>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row>
    <row r="91" customFormat="false" ht="12.75" hidden="false" customHeight="false" outlineLevel="0" collapsed="false">
      <c r="A91" s="0"/>
      <c r="B91" s="0"/>
      <c r="C91" s="0"/>
      <c r="D91" s="0"/>
      <c r="E91" s="0"/>
      <c r="F91" s="0"/>
      <c r="G91" s="0"/>
      <c r="H91" s="0"/>
      <c r="I91" s="0"/>
      <c r="J91" s="0"/>
      <c r="K91" s="0"/>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row>
    <row r="92" customFormat="false" ht="12.75" hidden="false" customHeight="false" outlineLevel="0" collapsed="false">
      <c r="A92" s="0"/>
      <c r="B92" s="0"/>
      <c r="C92" s="0"/>
      <c r="D92" s="0"/>
      <c r="E92" s="0"/>
      <c r="F92" s="0"/>
      <c r="G92" s="0"/>
      <c r="H92" s="0"/>
      <c r="I92" s="0"/>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row>
    <row r="93" customFormat="false" ht="12.75" hidden="false" customHeight="false" outlineLevel="0" collapsed="false">
      <c r="A93" s="0"/>
      <c r="B93" s="0"/>
      <c r="C93" s="0"/>
      <c r="D93" s="0"/>
      <c r="E93" s="0"/>
      <c r="F93" s="0"/>
      <c r="G93" s="0"/>
      <c r="H93" s="0"/>
      <c r="I93" s="0"/>
      <c r="J93" s="0"/>
      <c r="K93" s="0"/>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row>
    <row r="94" customFormat="false" ht="12.75" hidden="false" customHeight="false" outlineLevel="0" collapsed="false">
      <c r="A94" s="0"/>
      <c r="B94" s="0"/>
      <c r="C94" s="0"/>
      <c r="D94" s="0"/>
      <c r="E94" s="0"/>
      <c r="F94" s="0"/>
      <c r="G94" s="0"/>
      <c r="H94" s="0"/>
      <c r="I94" s="0"/>
      <c r="J94" s="0"/>
      <c r="K94" s="0"/>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row>
    <row r="95" customFormat="false" ht="12.75" hidden="false" customHeight="false" outlineLevel="0" collapsed="false">
      <c r="A95" s="0"/>
      <c r="B95" s="0"/>
      <c r="C95" s="0"/>
      <c r="D95" s="0"/>
      <c r="E95" s="0"/>
      <c r="F95" s="0"/>
      <c r="G95" s="0"/>
      <c r="H95" s="0"/>
      <c r="I95" s="0"/>
      <c r="J95" s="0"/>
      <c r="K95" s="0"/>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row>
    <row r="96" customFormat="false" ht="12.75" hidden="false" customHeight="false" outlineLevel="0" collapsed="false">
      <c r="A96" s="0"/>
      <c r="B96" s="0"/>
      <c r="C96" s="0"/>
      <c r="D96" s="0"/>
      <c r="E96" s="0"/>
      <c r="F96" s="0"/>
      <c r="G96" s="0"/>
      <c r="H96" s="0"/>
      <c r="I96" s="0"/>
      <c r="J96" s="0"/>
      <c r="K96" s="0"/>
      <c r="L96" s="0"/>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row>
    <row r="97" customFormat="false" ht="12.75" hidden="false" customHeight="false" outlineLevel="0" collapsed="false">
      <c r="A97" s="0"/>
      <c r="B97" s="0"/>
      <c r="C97" s="0"/>
      <c r="D97" s="0"/>
      <c r="E97" s="0"/>
      <c r="F97" s="0"/>
      <c r="G97" s="0"/>
      <c r="H97" s="0"/>
      <c r="I97" s="0"/>
      <c r="J97" s="0"/>
      <c r="K97" s="0"/>
      <c r="L97" s="0"/>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row>
    <row r="98" customFormat="false" ht="12.75" hidden="false" customHeight="false" outlineLevel="0" collapsed="false">
      <c r="A98" s="0"/>
      <c r="B98" s="0"/>
      <c r="C98" s="0"/>
      <c r="D98" s="0"/>
      <c r="E98" s="0"/>
      <c r="F98" s="0"/>
      <c r="G98" s="0"/>
      <c r="H98" s="0"/>
      <c r="I98" s="0"/>
      <c r="J98" s="0"/>
      <c r="K98" s="0"/>
      <c r="L98" s="0"/>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0"/>
      <c r="B100" s="0"/>
      <c r="C100" s="0"/>
      <c r="D100" s="0"/>
      <c r="E100" s="0"/>
      <c r="F100" s="0"/>
      <c r="G100" s="0"/>
      <c r="H100" s="0"/>
      <c r="I100" s="0"/>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2.75" hidden="false" customHeight="false" outlineLevel="0" collapsed="false">
      <c r="A101" s="0"/>
      <c r="B101" s="0"/>
      <c r="C101" s="0"/>
      <c r="D101" s="0"/>
      <c r="E101" s="0"/>
      <c r="F101" s="0"/>
      <c r="G101" s="0"/>
      <c r="H101" s="0"/>
      <c r="I101" s="0"/>
      <c r="J101" s="0"/>
      <c r="K101" s="0"/>
      <c r="L101" s="0"/>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row>
    <row r="102" customFormat="false" ht="12.75" hidden="false" customHeight="false" outlineLevel="0" collapsed="false">
      <c r="A102" s="0"/>
      <c r="B102" s="0"/>
      <c r="C102" s="0"/>
      <c r="D102" s="0"/>
      <c r="E102" s="0"/>
      <c r="F102" s="0"/>
      <c r="G102" s="0"/>
      <c r="H102" s="0"/>
      <c r="I102" s="0"/>
      <c r="J102" s="0"/>
      <c r="K102" s="0"/>
      <c r="L102" s="0"/>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0"/>
      <c r="B104" s="0"/>
      <c r="C104" s="0"/>
      <c r="D104" s="0"/>
      <c r="E104" s="0"/>
      <c r="F104" s="0"/>
      <c r="G104" s="0"/>
      <c r="H104" s="0"/>
      <c r="I104" s="0"/>
      <c r="J104" s="0"/>
      <c r="K104" s="0"/>
      <c r="L104" s="0"/>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row>
    <row r="105" customFormat="false" ht="12.75" hidden="false" customHeight="false" outlineLevel="0" collapsed="false">
      <c r="A105" s="0"/>
      <c r="B105" s="0"/>
      <c r="C105" s="0"/>
      <c r="D105" s="0"/>
      <c r="E105" s="0"/>
      <c r="F105" s="0"/>
      <c r="G105" s="0"/>
      <c r="H105" s="0"/>
      <c r="I105" s="0"/>
      <c r="J105" s="0"/>
      <c r="K105" s="0"/>
      <c r="L105" s="0"/>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row>
    <row r="106" customFormat="false" ht="12.75" hidden="false" customHeight="false" outlineLevel="0" collapsed="false">
      <c r="A106" s="0"/>
      <c r="B106" s="0"/>
      <c r="C106" s="0"/>
      <c r="D106" s="0"/>
      <c r="E106" s="0"/>
      <c r="F106" s="0"/>
      <c r="G106" s="0"/>
      <c r="H106" s="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12.75" hidden="false" customHeight="false" outlineLevel="0" collapsed="false">
      <c r="A107" s="0"/>
      <c r="B107" s="0"/>
      <c r="C107" s="0"/>
      <c r="D107" s="0"/>
      <c r="E107" s="0"/>
      <c r="F107" s="0"/>
      <c r="G107" s="0"/>
      <c r="H107" s="0"/>
      <c r="I107" s="0"/>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0"/>
      <c r="B109" s="0"/>
      <c r="C109" s="0"/>
      <c r="D109" s="0"/>
      <c r="E109" s="0"/>
      <c r="F109" s="0"/>
      <c r="G109" s="0"/>
      <c r="H109" s="0"/>
      <c r="I109" s="0"/>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12.75" hidden="false" customHeight="false" outlineLevel="0" collapsed="false">
      <c r="A110" s="0"/>
      <c r="B110" s="0"/>
      <c r="C110" s="0"/>
      <c r="D110" s="0"/>
      <c r="E110" s="0"/>
      <c r="F110" s="0"/>
      <c r="G110" s="0"/>
      <c r="H110" s="0"/>
      <c r="I110" s="0"/>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2.75" hidden="false" customHeight="false" outlineLevel="0" collapsed="false">
      <c r="A111" s="0"/>
      <c r="B111" s="0"/>
      <c r="C111" s="0"/>
      <c r="D111" s="0"/>
      <c r="E111" s="0"/>
      <c r="F111" s="0"/>
      <c r="G111" s="0"/>
      <c r="H111" s="0"/>
      <c r="I111" s="0"/>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2.75" hidden="false" customHeight="false" outlineLevel="0" collapsed="false">
      <c r="A112" s="0"/>
      <c r="B112" s="0"/>
      <c r="C112" s="0"/>
      <c r="D112" s="0"/>
      <c r="E112" s="0"/>
      <c r="F112" s="0"/>
      <c r="G112" s="0"/>
      <c r="H112" s="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12.75" hidden="false" customHeight="false" outlineLevel="0" collapsed="false">
      <c r="A113" s="0"/>
      <c r="B113" s="0"/>
      <c r="C113" s="0"/>
      <c r="D113" s="0"/>
      <c r="E113" s="0"/>
      <c r="F113" s="0"/>
      <c r="G113" s="0"/>
      <c r="H113" s="0"/>
      <c r="I113" s="0"/>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2.75" hidden="false" customHeight="false" outlineLevel="0" collapsed="false">
      <c r="A114" s="0"/>
      <c r="B114" s="0"/>
      <c r="C114" s="0"/>
      <c r="D114" s="0"/>
      <c r="E114" s="0"/>
      <c r="F114" s="0"/>
      <c r="G114" s="0"/>
      <c r="H114" s="0"/>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2.75" hidden="false" customHeight="false" outlineLevel="0" collapsed="false">
      <c r="A115" s="0"/>
      <c r="B115" s="0"/>
      <c r="C115" s="0"/>
      <c r="D115" s="0"/>
      <c r="E115" s="0"/>
      <c r="F115" s="0"/>
      <c r="G115" s="0"/>
      <c r="H115" s="0"/>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2.75" hidden="false" customHeight="false" outlineLevel="0" collapsed="false">
      <c r="A116" s="0"/>
      <c r="B116" s="0"/>
      <c r="C116" s="0"/>
      <c r="D116" s="0"/>
      <c r="E116" s="0"/>
      <c r="F116" s="0"/>
      <c r="G116" s="0"/>
      <c r="H116" s="0"/>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2.75" hidden="false" customHeight="false" outlineLevel="0" collapsed="false">
      <c r="A117" s="0"/>
      <c r="B117" s="0"/>
      <c r="C117" s="0"/>
      <c r="D117" s="0"/>
      <c r="E117" s="0"/>
      <c r="F117" s="0"/>
      <c r="G117" s="0"/>
      <c r="H117" s="0"/>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2.75" hidden="false" customHeight="false" outlineLevel="0" collapsed="false">
      <c r="A118" s="0"/>
      <c r="B118" s="0"/>
      <c r="C118" s="0"/>
      <c r="D118" s="0"/>
      <c r="E118" s="0"/>
      <c r="F118" s="0"/>
      <c r="G118" s="0"/>
      <c r="H118" s="0"/>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2.75" hidden="false" customHeight="false" outlineLevel="0" collapsed="false">
      <c r="A119" s="0"/>
      <c r="B119" s="0"/>
      <c r="C119" s="0"/>
      <c r="D119" s="0"/>
      <c r="E119" s="0"/>
      <c r="F119" s="0"/>
      <c r="G119" s="0"/>
      <c r="H119" s="0"/>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2.75" hidden="false" customHeight="false" outlineLevel="0" collapsed="false">
      <c r="A120" s="0"/>
      <c r="B120" s="0"/>
      <c r="C120" s="0"/>
      <c r="D120" s="0"/>
      <c r="E120" s="0"/>
      <c r="F120" s="0"/>
      <c r="G120" s="0"/>
      <c r="H120" s="0"/>
      <c r="I120" s="0"/>
      <c r="J120" s="0"/>
      <c r="K120" s="0"/>
      <c r="L120" s="0"/>
      <c r="M120" s="0"/>
      <c r="N120" s="0"/>
      <c r="O120" s="0"/>
      <c r="P120" s="0"/>
      <c r="Q120" s="0"/>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row>
    <row r="121" customFormat="false" ht="12.75" hidden="false" customHeight="false" outlineLevel="0" collapsed="false">
      <c r="A121" s="0"/>
      <c r="B121" s="0"/>
      <c r="C121" s="0"/>
      <c r="D121" s="0"/>
      <c r="E121" s="0"/>
      <c r="F121" s="0"/>
      <c r="G121" s="0"/>
      <c r="H121" s="0"/>
      <c r="I121" s="0"/>
      <c r="J121" s="0"/>
      <c r="K121" s="0"/>
      <c r="L121" s="0"/>
      <c r="M121" s="0"/>
      <c r="N121" s="0"/>
      <c r="O121" s="0"/>
      <c r="P121" s="0"/>
      <c r="Q121" s="0"/>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row>
    <row r="122" customFormat="false" ht="12.75" hidden="false" customHeight="false" outlineLevel="0" collapsed="false">
      <c r="A122" s="0"/>
      <c r="B122" s="0"/>
      <c r="C122" s="0"/>
      <c r="D122" s="0"/>
      <c r="E122" s="0"/>
      <c r="F122" s="0"/>
      <c r="G122" s="0"/>
      <c r="H122" s="0"/>
      <c r="I122" s="0"/>
      <c r="J122" s="0"/>
      <c r="K122" s="0"/>
      <c r="L122" s="0"/>
      <c r="M122" s="0"/>
      <c r="N122" s="0"/>
      <c r="O122" s="0"/>
      <c r="P122" s="0"/>
      <c r="Q122" s="0"/>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c r="IW122" s="0"/>
    </row>
    <row r="123" customFormat="false" ht="12.75" hidden="false" customHeight="false" outlineLevel="0" collapsed="false">
      <c r="A123" s="0"/>
      <c r="B123" s="0"/>
      <c r="C123" s="0"/>
      <c r="D123" s="0"/>
      <c r="E123" s="0"/>
      <c r="F123" s="0"/>
      <c r="G123" s="0"/>
      <c r="H123" s="0"/>
      <c r="I123" s="0"/>
      <c r="J123" s="0"/>
      <c r="K123" s="0"/>
      <c r="L123" s="0"/>
      <c r="M123" s="0"/>
      <c r="N123" s="0"/>
      <c r="O123" s="0"/>
      <c r="P123" s="0"/>
      <c r="Q123" s="0"/>
      <c r="R123" s="0"/>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c r="IW123" s="0"/>
    </row>
    <row r="124" customFormat="false" ht="12.75" hidden="false" customHeight="false" outlineLevel="0" collapsed="false">
      <c r="A124" s="0"/>
      <c r="B124" s="0"/>
      <c r="C124" s="0"/>
      <c r="D124" s="0"/>
      <c r="E124" s="0"/>
      <c r="F124" s="0"/>
      <c r="G124" s="0"/>
      <c r="H124" s="0"/>
      <c r="I124" s="0"/>
      <c r="J124" s="0"/>
      <c r="K124" s="0"/>
      <c r="L124" s="0"/>
      <c r="M124" s="0"/>
      <c r="N124" s="0"/>
      <c r="O124" s="0"/>
      <c r="P124" s="0"/>
      <c r="Q124" s="0"/>
      <c r="R124" s="0"/>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c r="IW124" s="0"/>
    </row>
    <row r="125" customFormat="false" ht="12.75" hidden="false" customHeight="false" outlineLevel="0" collapsed="false">
      <c r="A125" s="0"/>
      <c r="B125" s="0"/>
      <c r="C125" s="0"/>
      <c r="D125" s="0"/>
      <c r="E125" s="0"/>
      <c r="F125" s="0"/>
      <c r="G125" s="0"/>
      <c r="H125" s="0"/>
      <c r="I125" s="0"/>
      <c r="J125" s="0"/>
      <c r="K125" s="0"/>
      <c r="L125" s="0"/>
      <c r="M125" s="0"/>
      <c r="N125" s="0"/>
      <c r="O125" s="0"/>
      <c r="P125" s="0"/>
      <c r="Q125" s="0"/>
      <c r="R125" s="0"/>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c r="IW125" s="0"/>
    </row>
    <row r="126" customFormat="false" ht="12.75" hidden="false" customHeight="false" outlineLevel="0" collapsed="false">
      <c r="A126" s="0"/>
      <c r="B126" s="0"/>
      <c r="C126" s="0"/>
      <c r="D126" s="0"/>
      <c r="E126" s="0"/>
      <c r="F126" s="0"/>
      <c r="G126" s="0"/>
      <c r="H126" s="0"/>
      <c r="I126" s="0"/>
      <c r="J126" s="0"/>
      <c r="K126" s="0"/>
      <c r="L126" s="0"/>
      <c r="M126" s="0"/>
      <c r="N126" s="0"/>
      <c r="O126" s="0"/>
      <c r="P126" s="0"/>
      <c r="Q126" s="0"/>
      <c r="R126" s="0"/>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c r="IW126" s="0"/>
    </row>
    <row r="127" customFormat="false" ht="12.75" hidden="false" customHeight="false" outlineLevel="0" collapsed="false">
      <c r="A127" s="0"/>
      <c r="B127" s="0"/>
      <c r="C127" s="0"/>
      <c r="D127" s="0"/>
      <c r="E127" s="0"/>
      <c r="F127" s="0"/>
      <c r="G127" s="0"/>
      <c r="H127" s="0"/>
      <c r="I127" s="0"/>
      <c r="J127" s="0"/>
      <c r="K127" s="0"/>
      <c r="L127" s="0"/>
      <c r="M127" s="0"/>
      <c r="N127" s="0"/>
      <c r="O127" s="0"/>
      <c r="P127" s="0"/>
      <c r="Q127" s="0"/>
      <c r="R127" s="0"/>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c r="IW127" s="0"/>
    </row>
    <row r="128" customFormat="false" ht="12.75" hidden="false" customHeight="false" outlineLevel="0" collapsed="false">
      <c r="A128" s="0"/>
      <c r="B128" s="0"/>
      <c r="C128" s="0"/>
      <c r="D128" s="0"/>
      <c r="E128" s="0"/>
      <c r="F128" s="0"/>
      <c r="G128" s="0"/>
      <c r="H128" s="0"/>
      <c r="I128" s="0"/>
      <c r="J128" s="0"/>
      <c r="K128" s="0"/>
      <c r="L128" s="0"/>
      <c r="M128" s="0"/>
      <c r="N128" s="0"/>
      <c r="O128" s="0"/>
      <c r="P128" s="0"/>
      <c r="Q128" s="0"/>
      <c r="R128" s="0"/>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c r="IW128" s="0"/>
    </row>
    <row r="129" customFormat="false" ht="12.75" hidden="false" customHeight="false" outlineLevel="0" collapsed="false">
      <c r="A129" s="0"/>
      <c r="B129" s="0"/>
      <c r="C129" s="0"/>
      <c r="D129" s="0"/>
      <c r="E129" s="0"/>
      <c r="F129" s="0"/>
      <c r="G129" s="0"/>
      <c r="H129" s="0"/>
      <c r="I129" s="0"/>
      <c r="J129" s="0"/>
      <c r="K129" s="0"/>
      <c r="L129" s="0"/>
      <c r="M129" s="0"/>
      <c r="N129" s="0"/>
      <c r="O129" s="0"/>
      <c r="P129" s="0"/>
      <c r="Q129" s="0"/>
      <c r="R129" s="0"/>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c r="IW129" s="0"/>
    </row>
    <row r="130" customFormat="false" ht="12.75" hidden="false" customHeight="false" outlineLevel="0" collapsed="false">
      <c r="A130" s="0"/>
      <c r="B130" s="0"/>
      <c r="C130" s="0"/>
      <c r="D130" s="0"/>
      <c r="E130" s="0"/>
      <c r="F130" s="0"/>
      <c r="G130" s="0"/>
      <c r="H130" s="0"/>
      <c r="I130" s="0"/>
      <c r="J130" s="0"/>
      <c r="K130" s="0"/>
      <c r="L130" s="0"/>
      <c r="M130" s="0"/>
      <c r="N130" s="0"/>
      <c r="O130" s="0"/>
      <c r="P130" s="0"/>
      <c r="Q130" s="0"/>
      <c r="R130" s="0"/>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c r="IW130" s="0"/>
    </row>
    <row r="131" customFormat="false" ht="12.75" hidden="false" customHeight="false" outlineLevel="0" collapsed="false">
      <c r="A131" s="0"/>
      <c r="B131" s="0"/>
      <c r="C131" s="0"/>
      <c r="D131" s="0"/>
      <c r="E131" s="0"/>
      <c r="F131" s="0"/>
      <c r="G131" s="0"/>
      <c r="H131" s="0"/>
      <c r="I131" s="0"/>
      <c r="J131" s="0"/>
      <c r="K131" s="0"/>
      <c r="L131" s="0"/>
      <c r="M131" s="0"/>
      <c r="N131" s="0"/>
      <c r="O131" s="0"/>
      <c r="P131" s="0"/>
      <c r="Q131" s="0"/>
      <c r="R131" s="0"/>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c r="IW131" s="0"/>
    </row>
    <row r="132" customFormat="false" ht="12.75" hidden="false" customHeight="false" outlineLevel="0" collapsed="false">
      <c r="A132" s="0"/>
      <c r="B132" s="0"/>
      <c r="C132" s="0"/>
      <c r="D132" s="0"/>
      <c r="E132" s="0"/>
      <c r="F132" s="0"/>
      <c r="G132" s="0"/>
      <c r="H132" s="0"/>
      <c r="I132" s="0"/>
      <c r="J132" s="0"/>
      <c r="K132" s="0"/>
      <c r="L132" s="0"/>
      <c r="M132" s="0"/>
      <c r="N132" s="0"/>
      <c r="O132" s="0"/>
      <c r="P132" s="0"/>
      <c r="Q132" s="0"/>
      <c r="R132" s="0"/>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c r="IW132" s="0"/>
    </row>
    <row r="133" customFormat="false" ht="12.75" hidden="false" customHeight="false" outlineLevel="0" collapsed="false">
      <c r="A133" s="0"/>
      <c r="B133" s="0"/>
      <c r="C133" s="0"/>
      <c r="D133" s="0"/>
      <c r="E133" s="0"/>
      <c r="F133" s="0"/>
      <c r="G133" s="0"/>
      <c r="H133" s="0"/>
      <c r="I133" s="0"/>
      <c r="J133" s="0"/>
      <c r="K133" s="0"/>
      <c r="L133" s="0"/>
      <c r="M133" s="0"/>
      <c r="N133" s="0"/>
      <c r="O133" s="0"/>
      <c r="P133" s="0"/>
      <c r="Q133" s="0"/>
      <c r="R133" s="0"/>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c r="IW133" s="0"/>
    </row>
    <row r="134" customFormat="false" ht="12.75" hidden="false" customHeight="false" outlineLevel="0" collapsed="false">
      <c r="A134" s="0"/>
      <c r="B134" s="0"/>
      <c r="C134" s="0"/>
      <c r="D134" s="0"/>
      <c r="E134" s="0"/>
      <c r="F134" s="0"/>
      <c r="G134" s="0"/>
      <c r="H134" s="0"/>
      <c r="I134" s="0"/>
      <c r="J134" s="0"/>
      <c r="K134" s="0"/>
      <c r="L134" s="0"/>
      <c r="M134" s="0"/>
      <c r="N134" s="0"/>
      <c r="O134" s="0"/>
      <c r="P134" s="0"/>
      <c r="Q134" s="0"/>
      <c r="R134" s="0"/>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c r="IW134" s="0"/>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0"/>
      <c r="B136" s="0"/>
      <c r="C136" s="0"/>
      <c r="D136" s="0"/>
      <c r="E136" s="0"/>
      <c r="F136" s="0"/>
      <c r="G136" s="0"/>
      <c r="H136" s="0"/>
      <c r="I136" s="0"/>
      <c r="J136" s="0"/>
      <c r="K136" s="0"/>
      <c r="L136" s="0"/>
      <c r="M136" s="0"/>
      <c r="N136" s="0"/>
      <c r="O136" s="0"/>
      <c r="P136" s="0"/>
      <c r="Q136" s="0"/>
      <c r="R136" s="0"/>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c r="IW136" s="0"/>
    </row>
    <row r="137" customFormat="false" ht="12.75" hidden="false" customHeight="false" outlineLevel="0" collapsed="false">
      <c r="A137" s="0"/>
      <c r="B137" s="0"/>
      <c r="C137" s="0"/>
      <c r="D137" s="0"/>
      <c r="E137" s="0"/>
      <c r="F137" s="0"/>
      <c r="G137" s="0"/>
      <c r="H137" s="0"/>
      <c r="I137" s="0"/>
      <c r="J137" s="0"/>
      <c r="K137" s="0"/>
      <c r="L137" s="0"/>
      <c r="M137" s="0"/>
      <c r="N137" s="0"/>
      <c r="O137" s="0"/>
      <c r="P137" s="0"/>
      <c r="Q137" s="0"/>
      <c r="R137" s="0"/>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c r="IW137" s="0"/>
    </row>
    <row r="138" customFormat="false" ht="12.75" hidden="false" customHeight="false" outlineLevel="0" collapsed="false">
      <c r="A138" s="0"/>
      <c r="B138" s="0"/>
      <c r="C138" s="0"/>
      <c r="D138" s="0"/>
      <c r="E138" s="0"/>
      <c r="F138" s="0"/>
      <c r="G138" s="0"/>
      <c r="H138" s="0"/>
      <c r="I138" s="0"/>
      <c r="J138" s="0"/>
      <c r="K138" s="0"/>
      <c r="L138" s="0"/>
      <c r="M138" s="0"/>
      <c r="N138" s="0"/>
      <c r="O138" s="0"/>
      <c r="P138" s="0"/>
      <c r="Q138" s="0"/>
      <c r="R138" s="0"/>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c r="IW138" s="0"/>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0"/>
      <c r="B140" s="0"/>
      <c r="C140" s="0"/>
      <c r="D140" s="0"/>
      <c r="E140" s="0"/>
      <c r="F140" s="0"/>
      <c r="G140" s="0"/>
      <c r="H140" s="0"/>
      <c r="I140" s="0"/>
      <c r="J140" s="0"/>
      <c r="K140" s="0"/>
      <c r="L140" s="0"/>
      <c r="M140" s="0"/>
      <c r="N140" s="0"/>
      <c r="O140" s="0"/>
      <c r="P140" s="0"/>
      <c r="Q140" s="0"/>
      <c r="R140" s="0"/>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c r="BA140" s="0"/>
      <c r="BB140" s="0"/>
      <c r="BC140" s="0"/>
      <c r="BD140" s="0"/>
      <c r="BE140" s="0"/>
      <c r="BF140" s="0"/>
      <c r="BG140" s="0"/>
      <c r="BH140" s="0"/>
      <c r="BI140" s="0"/>
      <c r="BJ140" s="0"/>
      <c r="BK140" s="0"/>
      <c r="BL140" s="0"/>
      <c r="BM140" s="0"/>
      <c r="BN140" s="0"/>
      <c r="BO140" s="0"/>
      <c r="BP140" s="0"/>
      <c r="BQ140" s="0"/>
      <c r="BR140" s="0"/>
      <c r="BS140" s="0"/>
      <c r="BT140" s="0"/>
      <c r="BU140" s="0"/>
      <c r="BV140" s="0"/>
      <c r="BW140" s="0"/>
      <c r="BX140" s="0"/>
      <c r="BY140" s="0"/>
      <c r="BZ140" s="0"/>
      <c r="CA140" s="0"/>
      <c r="CB140" s="0"/>
      <c r="CC140" s="0"/>
      <c r="CD140" s="0"/>
      <c r="CE140" s="0"/>
      <c r="CF140" s="0"/>
      <c r="CG140" s="0"/>
      <c r="CH140" s="0"/>
      <c r="CI140" s="0"/>
      <c r="CJ140" s="0"/>
      <c r="CK140" s="0"/>
      <c r="CL140" s="0"/>
      <c r="CM140" s="0"/>
      <c r="CN140" s="0"/>
      <c r="CO140" s="0"/>
      <c r="CP140" s="0"/>
      <c r="CQ140" s="0"/>
      <c r="CR140" s="0"/>
      <c r="CS140" s="0"/>
      <c r="CT140" s="0"/>
      <c r="CU140" s="0"/>
      <c r="CV140" s="0"/>
      <c r="CW140" s="0"/>
      <c r="CX140" s="0"/>
      <c r="CY140" s="0"/>
      <c r="CZ140" s="0"/>
      <c r="DA140" s="0"/>
      <c r="DB140" s="0"/>
      <c r="DC140" s="0"/>
      <c r="DD140" s="0"/>
      <c r="DE140" s="0"/>
      <c r="DF140" s="0"/>
      <c r="DG140" s="0"/>
      <c r="DH140" s="0"/>
      <c r="DI140" s="0"/>
      <c r="DJ140" s="0"/>
      <c r="DK140" s="0"/>
      <c r="DL140" s="0"/>
      <c r="DM140" s="0"/>
      <c r="DN140" s="0"/>
      <c r="DO140" s="0"/>
      <c r="DP140" s="0"/>
      <c r="DQ140" s="0"/>
      <c r="DR140" s="0"/>
      <c r="DS140" s="0"/>
      <c r="DT140" s="0"/>
      <c r="DU140" s="0"/>
      <c r="DV140" s="0"/>
      <c r="DW140" s="0"/>
      <c r="DX140" s="0"/>
      <c r="DY140" s="0"/>
      <c r="DZ140" s="0"/>
      <c r="EA140" s="0"/>
      <c r="EB140" s="0"/>
      <c r="EC140" s="0"/>
      <c r="ED140" s="0"/>
      <c r="EE140" s="0"/>
      <c r="EF140" s="0"/>
      <c r="EG140" s="0"/>
      <c r="EH140" s="0"/>
      <c r="EI140" s="0"/>
      <c r="EJ140" s="0"/>
      <c r="EK140" s="0"/>
      <c r="EL140" s="0"/>
      <c r="EM140" s="0"/>
      <c r="EN140" s="0"/>
      <c r="EO140" s="0"/>
      <c r="EP140" s="0"/>
      <c r="EQ140" s="0"/>
      <c r="ER140" s="0"/>
      <c r="ES140" s="0"/>
      <c r="ET140" s="0"/>
      <c r="EU140" s="0"/>
      <c r="EV140" s="0"/>
      <c r="EW140" s="0"/>
      <c r="EX140" s="0"/>
      <c r="EY140" s="0"/>
      <c r="EZ140" s="0"/>
      <c r="FA140" s="0"/>
      <c r="FB140" s="0"/>
      <c r="FC140" s="0"/>
      <c r="FD140" s="0"/>
      <c r="FE140" s="0"/>
      <c r="FF140" s="0"/>
      <c r="FG140" s="0"/>
      <c r="FH140" s="0"/>
      <c r="FI140" s="0"/>
      <c r="FJ140" s="0"/>
      <c r="FK140" s="0"/>
      <c r="FL140" s="0"/>
      <c r="FM140" s="0"/>
      <c r="FN140" s="0"/>
      <c r="FO140" s="0"/>
      <c r="FP140" s="0"/>
      <c r="FQ140" s="0"/>
      <c r="FR140" s="0"/>
      <c r="FS140" s="0"/>
      <c r="FT140" s="0"/>
      <c r="FU140" s="0"/>
      <c r="FV140" s="0"/>
      <c r="FW140" s="0"/>
      <c r="FX140" s="0"/>
      <c r="FY140" s="0"/>
      <c r="FZ140" s="0"/>
      <c r="GA140" s="0"/>
      <c r="GB140" s="0"/>
      <c r="GC140" s="0"/>
      <c r="GD140" s="0"/>
      <c r="GE140" s="0"/>
      <c r="GF140" s="0"/>
      <c r="GG140" s="0"/>
      <c r="GH140" s="0"/>
      <c r="GI140" s="0"/>
      <c r="GJ140" s="0"/>
      <c r="GK140" s="0"/>
      <c r="GL140" s="0"/>
      <c r="GM140" s="0"/>
      <c r="GN140" s="0"/>
      <c r="GO140" s="0"/>
      <c r="GP140" s="0"/>
      <c r="GQ140" s="0"/>
      <c r="GR140" s="0"/>
      <c r="GS140" s="0"/>
      <c r="GT140" s="0"/>
      <c r="GU140" s="0"/>
      <c r="GV140" s="0"/>
      <c r="GW140" s="0"/>
      <c r="GX140" s="0"/>
      <c r="GY140" s="0"/>
      <c r="GZ140" s="0"/>
      <c r="HA140" s="0"/>
      <c r="HB140" s="0"/>
      <c r="HC140" s="0"/>
      <c r="HD140" s="0"/>
      <c r="HE140" s="0"/>
      <c r="HF140" s="0"/>
      <c r="HG140" s="0"/>
      <c r="HH140" s="0"/>
      <c r="HI140" s="0"/>
      <c r="HJ140" s="0"/>
      <c r="HK140" s="0"/>
      <c r="HL140" s="0"/>
      <c r="HM140" s="0"/>
      <c r="HN140" s="0"/>
      <c r="HO140" s="0"/>
      <c r="HP140" s="0"/>
      <c r="HQ140" s="0"/>
      <c r="HR140" s="0"/>
      <c r="HS140" s="0"/>
      <c r="HT140" s="0"/>
      <c r="HU140" s="0"/>
      <c r="HV140" s="0"/>
      <c r="HW140" s="0"/>
      <c r="HX140" s="0"/>
      <c r="HY140" s="0"/>
      <c r="HZ140" s="0"/>
      <c r="IA140" s="0"/>
      <c r="IB140" s="0"/>
      <c r="IC140" s="0"/>
      <c r="ID140" s="0"/>
      <c r="IE140" s="0"/>
      <c r="IF140" s="0"/>
      <c r="IG140" s="0"/>
      <c r="IH140" s="0"/>
      <c r="II140" s="0"/>
      <c r="IJ140" s="0"/>
      <c r="IK140" s="0"/>
      <c r="IL140" s="0"/>
      <c r="IM140" s="0"/>
      <c r="IN140" s="0"/>
      <c r="IO140" s="0"/>
      <c r="IP140" s="0"/>
      <c r="IQ140" s="0"/>
      <c r="IR140" s="0"/>
      <c r="IS140" s="0"/>
      <c r="IT140" s="0"/>
      <c r="IU140" s="0"/>
      <c r="IV140" s="0"/>
      <c r="IW140" s="0"/>
    </row>
    <row r="141" customFormat="false" ht="12.75" hidden="false" customHeight="false" outlineLevel="0" collapsed="false">
      <c r="A141" s="0"/>
      <c r="B141" s="0"/>
      <c r="C141" s="0"/>
      <c r="D141" s="0"/>
      <c r="E141" s="0"/>
      <c r="F141" s="0"/>
      <c r="G141" s="0"/>
      <c r="H141" s="0"/>
      <c r="I141" s="0"/>
      <c r="J141" s="0"/>
      <c r="K141" s="0"/>
      <c r="L141" s="0"/>
      <c r="M141" s="0"/>
      <c r="N141" s="0"/>
      <c r="O141" s="0"/>
      <c r="P141" s="0"/>
      <c r="Q141" s="0"/>
      <c r="R141" s="0"/>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c r="BA141" s="0"/>
      <c r="BB141" s="0"/>
      <c r="BC141" s="0"/>
      <c r="BD141" s="0"/>
      <c r="BE141" s="0"/>
      <c r="BF141" s="0"/>
      <c r="BG141" s="0"/>
      <c r="BH141" s="0"/>
      <c r="BI141" s="0"/>
      <c r="BJ141" s="0"/>
      <c r="BK141" s="0"/>
      <c r="BL141" s="0"/>
      <c r="BM141" s="0"/>
      <c r="BN141" s="0"/>
      <c r="BO141" s="0"/>
      <c r="BP141" s="0"/>
      <c r="BQ141" s="0"/>
      <c r="BR141" s="0"/>
      <c r="BS141" s="0"/>
      <c r="BT141" s="0"/>
      <c r="BU141" s="0"/>
      <c r="BV141" s="0"/>
      <c r="BW141" s="0"/>
      <c r="BX141" s="0"/>
      <c r="BY141" s="0"/>
      <c r="BZ141" s="0"/>
      <c r="CA141" s="0"/>
      <c r="CB141" s="0"/>
      <c r="CC141" s="0"/>
      <c r="CD141" s="0"/>
      <c r="CE141" s="0"/>
      <c r="CF141" s="0"/>
      <c r="CG141" s="0"/>
      <c r="CH141" s="0"/>
      <c r="CI141" s="0"/>
      <c r="CJ141" s="0"/>
      <c r="CK141" s="0"/>
      <c r="CL141" s="0"/>
      <c r="CM141" s="0"/>
      <c r="CN141" s="0"/>
      <c r="CO141" s="0"/>
      <c r="CP141" s="0"/>
      <c r="CQ141" s="0"/>
      <c r="CR141" s="0"/>
      <c r="CS141" s="0"/>
      <c r="CT141" s="0"/>
      <c r="CU141" s="0"/>
      <c r="CV141" s="0"/>
      <c r="CW141" s="0"/>
      <c r="CX141" s="0"/>
      <c r="CY141" s="0"/>
      <c r="CZ141" s="0"/>
      <c r="DA141" s="0"/>
      <c r="DB141" s="0"/>
      <c r="DC141" s="0"/>
      <c r="DD141" s="0"/>
      <c r="DE141" s="0"/>
      <c r="DF141" s="0"/>
      <c r="DG141" s="0"/>
      <c r="DH141" s="0"/>
      <c r="DI141" s="0"/>
      <c r="DJ141" s="0"/>
      <c r="DK141" s="0"/>
      <c r="DL141" s="0"/>
      <c r="DM141" s="0"/>
      <c r="DN141" s="0"/>
      <c r="DO141" s="0"/>
      <c r="DP141" s="0"/>
      <c r="DQ141" s="0"/>
      <c r="DR141" s="0"/>
      <c r="DS141" s="0"/>
      <c r="DT141" s="0"/>
      <c r="DU141" s="0"/>
      <c r="DV141" s="0"/>
      <c r="DW141" s="0"/>
      <c r="DX141" s="0"/>
      <c r="DY141" s="0"/>
      <c r="DZ141" s="0"/>
      <c r="EA141" s="0"/>
      <c r="EB141" s="0"/>
      <c r="EC141" s="0"/>
      <c r="ED141" s="0"/>
      <c r="EE141" s="0"/>
      <c r="EF141" s="0"/>
      <c r="EG141" s="0"/>
      <c r="EH141" s="0"/>
      <c r="EI141" s="0"/>
      <c r="EJ141" s="0"/>
      <c r="EK141" s="0"/>
      <c r="EL141" s="0"/>
      <c r="EM141" s="0"/>
      <c r="EN141" s="0"/>
      <c r="EO141" s="0"/>
      <c r="EP141" s="0"/>
      <c r="EQ141" s="0"/>
      <c r="ER141" s="0"/>
      <c r="ES141" s="0"/>
      <c r="ET141" s="0"/>
      <c r="EU141" s="0"/>
      <c r="EV141" s="0"/>
      <c r="EW141" s="0"/>
      <c r="EX141" s="0"/>
      <c r="EY141" s="0"/>
      <c r="EZ141" s="0"/>
      <c r="FA141" s="0"/>
      <c r="FB141" s="0"/>
      <c r="FC141" s="0"/>
      <c r="FD141" s="0"/>
      <c r="FE141" s="0"/>
      <c r="FF141" s="0"/>
      <c r="FG141" s="0"/>
      <c r="FH141" s="0"/>
      <c r="FI141" s="0"/>
      <c r="FJ141" s="0"/>
      <c r="FK141" s="0"/>
      <c r="FL141" s="0"/>
      <c r="FM141" s="0"/>
      <c r="FN141" s="0"/>
      <c r="FO141" s="0"/>
      <c r="FP141" s="0"/>
      <c r="FQ141" s="0"/>
      <c r="FR141" s="0"/>
      <c r="FS141" s="0"/>
      <c r="FT141" s="0"/>
      <c r="FU141" s="0"/>
      <c r="FV141" s="0"/>
      <c r="FW141" s="0"/>
      <c r="FX141" s="0"/>
      <c r="FY141" s="0"/>
      <c r="FZ141" s="0"/>
      <c r="GA141" s="0"/>
      <c r="GB141" s="0"/>
      <c r="GC141" s="0"/>
      <c r="GD141" s="0"/>
      <c r="GE141" s="0"/>
      <c r="GF141" s="0"/>
      <c r="GG141" s="0"/>
      <c r="GH141" s="0"/>
      <c r="GI141" s="0"/>
      <c r="GJ141" s="0"/>
      <c r="GK141" s="0"/>
      <c r="GL141" s="0"/>
      <c r="GM141" s="0"/>
      <c r="GN141" s="0"/>
      <c r="GO141" s="0"/>
      <c r="GP141" s="0"/>
      <c r="GQ141" s="0"/>
      <c r="GR141" s="0"/>
      <c r="GS141" s="0"/>
      <c r="GT141" s="0"/>
      <c r="GU141" s="0"/>
      <c r="GV141" s="0"/>
      <c r="GW141" s="0"/>
      <c r="GX141" s="0"/>
      <c r="GY141" s="0"/>
      <c r="GZ141" s="0"/>
      <c r="HA141" s="0"/>
      <c r="HB141" s="0"/>
      <c r="HC141" s="0"/>
      <c r="HD141" s="0"/>
      <c r="HE141" s="0"/>
      <c r="HF141" s="0"/>
      <c r="HG141" s="0"/>
      <c r="HH141" s="0"/>
      <c r="HI141" s="0"/>
      <c r="HJ141" s="0"/>
      <c r="HK141" s="0"/>
      <c r="HL141" s="0"/>
      <c r="HM141" s="0"/>
      <c r="HN141" s="0"/>
      <c r="HO141" s="0"/>
      <c r="HP141" s="0"/>
      <c r="HQ141" s="0"/>
      <c r="HR141" s="0"/>
      <c r="HS141" s="0"/>
      <c r="HT141" s="0"/>
      <c r="HU141" s="0"/>
      <c r="HV141" s="0"/>
      <c r="HW141" s="0"/>
      <c r="HX141" s="0"/>
      <c r="HY141" s="0"/>
      <c r="HZ141" s="0"/>
      <c r="IA141" s="0"/>
      <c r="IB141" s="0"/>
      <c r="IC141" s="0"/>
      <c r="ID141" s="0"/>
      <c r="IE141" s="0"/>
      <c r="IF141" s="0"/>
      <c r="IG141" s="0"/>
      <c r="IH141" s="0"/>
      <c r="II141" s="0"/>
      <c r="IJ141" s="0"/>
      <c r="IK141" s="0"/>
      <c r="IL141" s="0"/>
      <c r="IM141" s="0"/>
      <c r="IN141" s="0"/>
      <c r="IO141" s="0"/>
      <c r="IP141" s="0"/>
      <c r="IQ141" s="0"/>
      <c r="IR141" s="0"/>
      <c r="IS141" s="0"/>
      <c r="IT141" s="0"/>
      <c r="IU141" s="0"/>
      <c r="IV141" s="0"/>
      <c r="IW141" s="0"/>
    </row>
    <row r="142" customFormat="false" ht="12.75" hidden="false" customHeight="false" outlineLevel="0" collapsed="false">
      <c r="A142" s="0"/>
      <c r="B142" s="0"/>
      <c r="C142" s="0"/>
      <c r="D142" s="0"/>
      <c r="E142" s="0"/>
      <c r="F142" s="0"/>
      <c r="G142" s="0"/>
      <c r="H142" s="0"/>
      <c r="I142" s="0"/>
      <c r="J142" s="0"/>
      <c r="K142" s="0"/>
      <c r="L142" s="0"/>
      <c r="M142" s="0"/>
      <c r="N142" s="0"/>
      <c r="O142" s="0"/>
      <c r="P142" s="0"/>
      <c r="Q142" s="0"/>
      <c r="R142" s="0"/>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c r="BA142" s="0"/>
      <c r="BB142" s="0"/>
      <c r="BC142" s="0"/>
      <c r="BD142" s="0"/>
      <c r="BE142" s="0"/>
      <c r="BF142" s="0"/>
      <c r="BG142" s="0"/>
      <c r="BH142" s="0"/>
      <c r="BI142" s="0"/>
      <c r="BJ142" s="0"/>
      <c r="BK142" s="0"/>
      <c r="BL142" s="0"/>
      <c r="BM142" s="0"/>
      <c r="BN142" s="0"/>
      <c r="BO142" s="0"/>
      <c r="BP142" s="0"/>
      <c r="BQ142" s="0"/>
      <c r="BR142" s="0"/>
      <c r="BS142" s="0"/>
      <c r="BT142" s="0"/>
      <c r="BU142" s="0"/>
      <c r="BV142" s="0"/>
      <c r="BW142" s="0"/>
      <c r="BX142" s="0"/>
      <c r="BY142" s="0"/>
      <c r="BZ142" s="0"/>
      <c r="CA142" s="0"/>
      <c r="CB142" s="0"/>
      <c r="CC142" s="0"/>
      <c r="CD142" s="0"/>
      <c r="CE142" s="0"/>
      <c r="CF142" s="0"/>
      <c r="CG142" s="0"/>
      <c r="CH142" s="0"/>
      <c r="CI142" s="0"/>
      <c r="CJ142" s="0"/>
      <c r="CK142" s="0"/>
      <c r="CL142" s="0"/>
      <c r="CM142" s="0"/>
      <c r="CN142" s="0"/>
      <c r="CO142" s="0"/>
      <c r="CP142" s="0"/>
      <c r="CQ142" s="0"/>
      <c r="CR142" s="0"/>
      <c r="CS142" s="0"/>
      <c r="CT142" s="0"/>
      <c r="CU142" s="0"/>
      <c r="CV142" s="0"/>
      <c r="CW142" s="0"/>
      <c r="CX142" s="0"/>
      <c r="CY142" s="0"/>
      <c r="CZ142" s="0"/>
      <c r="DA142" s="0"/>
      <c r="DB142" s="0"/>
      <c r="DC142" s="0"/>
      <c r="DD142" s="0"/>
      <c r="DE142" s="0"/>
      <c r="DF142" s="0"/>
      <c r="DG142" s="0"/>
      <c r="DH142" s="0"/>
      <c r="DI142" s="0"/>
      <c r="DJ142" s="0"/>
      <c r="DK142" s="0"/>
      <c r="DL142" s="0"/>
      <c r="DM142" s="0"/>
      <c r="DN142" s="0"/>
      <c r="DO142" s="0"/>
      <c r="DP142" s="0"/>
      <c r="DQ142" s="0"/>
      <c r="DR142" s="0"/>
      <c r="DS142" s="0"/>
      <c r="DT142" s="0"/>
      <c r="DU142" s="0"/>
      <c r="DV142" s="0"/>
      <c r="DW142" s="0"/>
      <c r="DX142" s="0"/>
      <c r="DY142" s="0"/>
      <c r="DZ142" s="0"/>
      <c r="EA142" s="0"/>
      <c r="EB142" s="0"/>
      <c r="EC142" s="0"/>
      <c r="ED142" s="0"/>
      <c r="EE142" s="0"/>
      <c r="EF142" s="0"/>
      <c r="EG142" s="0"/>
      <c r="EH142" s="0"/>
      <c r="EI142" s="0"/>
      <c r="EJ142" s="0"/>
      <c r="EK142" s="0"/>
      <c r="EL142" s="0"/>
      <c r="EM142" s="0"/>
      <c r="EN142" s="0"/>
      <c r="EO142" s="0"/>
      <c r="EP142" s="0"/>
      <c r="EQ142" s="0"/>
      <c r="ER142" s="0"/>
      <c r="ES142" s="0"/>
      <c r="ET142" s="0"/>
      <c r="EU142" s="0"/>
      <c r="EV142" s="0"/>
      <c r="EW142" s="0"/>
      <c r="EX142" s="0"/>
      <c r="EY142" s="0"/>
      <c r="EZ142" s="0"/>
      <c r="FA142" s="0"/>
      <c r="FB142" s="0"/>
      <c r="FC142" s="0"/>
      <c r="FD142" s="0"/>
      <c r="FE142" s="0"/>
      <c r="FF142" s="0"/>
      <c r="FG142" s="0"/>
      <c r="FH142" s="0"/>
      <c r="FI142" s="0"/>
      <c r="FJ142" s="0"/>
      <c r="FK142" s="0"/>
      <c r="FL142" s="0"/>
      <c r="FM142" s="0"/>
      <c r="FN142" s="0"/>
      <c r="FO142" s="0"/>
      <c r="FP142" s="0"/>
      <c r="FQ142" s="0"/>
      <c r="FR142" s="0"/>
      <c r="FS142" s="0"/>
      <c r="FT142" s="0"/>
      <c r="FU142" s="0"/>
      <c r="FV142" s="0"/>
      <c r="FW142" s="0"/>
      <c r="FX142" s="0"/>
      <c r="FY142" s="0"/>
      <c r="FZ142" s="0"/>
      <c r="GA142" s="0"/>
      <c r="GB142" s="0"/>
      <c r="GC142" s="0"/>
      <c r="GD142" s="0"/>
      <c r="GE142" s="0"/>
      <c r="GF142" s="0"/>
      <c r="GG142" s="0"/>
      <c r="GH142" s="0"/>
      <c r="GI142" s="0"/>
      <c r="GJ142" s="0"/>
      <c r="GK142" s="0"/>
      <c r="GL142" s="0"/>
      <c r="GM142" s="0"/>
      <c r="GN142" s="0"/>
      <c r="GO142" s="0"/>
      <c r="GP142" s="0"/>
      <c r="GQ142" s="0"/>
      <c r="GR142" s="0"/>
      <c r="GS142" s="0"/>
      <c r="GT142" s="0"/>
      <c r="GU142" s="0"/>
      <c r="GV142" s="0"/>
      <c r="GW142" s="0"/>
      <c r="GX142" s="0"/>
      <c r="GY142" s="0"/>
      <c r="GZ142" s="0"/>
      <c r="HA142" s="0"/>
      <c r="HB142" s="0"/>
      <c r="HC142" s="0"/>
      <c r="HD142" s="0"/>
      <c r="HE142" s="0"/>
      <c r="HF142" s="0"/>
      <c r="HG142" s="0"/>
      <c r="HH142" s="0"/>
      <c r="HI142" s="0"/>
      <c r="HJ142" s="0"/>
      <c r="HK142" s="0"/>
      <c r="HL142" s="0"/>
      <c r="HM142" s="0"/>
      <c r="HN142" s="0"/>
      <c r="HO142" s="0"/>
      <c r="HP142" s="0"/>
      <c r="HQ142" s="0"/>
      <c r="HR142" s="0"/>
      <c r="HS142" s="0"/>
      <c r="HT142" s="0"/>
      <c r="HU142" s="0"/>
      <c r="HV142" s="0"/>
      <c r="HW142" s="0"/>
      <c r="HX142" s="0"/>
      <c r="HY142" s="0"/>
      <c r="HZ142" s="0"/>
      <c r="IA142" s="0"/>
      <c r="IB142" s="0"/>
      <c r="IC142" s="0"/>
      <c r="ID142" s="0"/>
      <c r="IE142" s="0"/>
      <c r="IF142" s="0"/>
      <c r="IG142" s="0"/>
      <c r="IH142" s="0"/>
      <c r="II142" s="0"/>
      <c r="IJ142" s="0"/>
      <c r="IK142" s="0"/>
      <c r="IL142" s="0"/>
      <c r="IM142" s="0"/>
      <c r="IN142" s="0"/>
      <c r="IO142" s="0"/>
      <c r="IP142" s="0"/>
      <c r="IQ142" s="0"/>
      <c r="IR142" s="0"/>
      <c r="IS142" s="0"/>
      <c r="IT142" s="0"/>
      <c r="IU142" s="0"/>
      <c r="IV142" s="0"/>
      <c r="IW142" s="0"/>
    </row>
    <row r="143" customFormat="false" ht="12.75" hidden="false" customHeight="false" outlineLevel="0" collapsed="false">
      <c r="A143" s="0"/>
      <c r="B143" s="0"/>
      <c r="C143" s="0"/>
      <c r="D143" s="0"/>
      <c r="E143" s="0"/>
      <c r="F143" s="0"/>
      <c r="G143" s="0"/>
      <c r="H143" s="0"/>
      <c r="I143" s="0"/>
      <c r="J143" s="0"/>
      <c r="K143" s="0"/>
      <c r="L143" s="0"/>
      <c r="M143" s="0"/>
      <c r="N143" s="0"/>
      <c r="O143" s="0"/>
      <c r="P143" s="0"/>
      <c r="Q143" s="0"/>
      <c r="R143" s="0"/>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c r="BA143" s="0"/>
      <c r="BB143" s="0"/>
      <c r="BC143" s="0"/>
      <c r="BD143" s="0"/>
      <c r="BE143" s="0"/>
      <c r="BF143" s="0"/>
      <c r="BG143" s="0"/>
      <c r="BH143" s="0"/>
      <c r="BI143" s="0"/>
      <c r="BJ143" s="0"/>
      <c r="BK143" s="0"/>
      <c r="BL143" s="0"/>
      <c r="BM143" s="0"/>
      <c r="BN143" s="0"/>
      <c r="BO143" s="0"/>
      <c r="BP143" s="0"/>
      <c r="BQ143" s="0"/>
      <c r="BR143" s="0"/>
      <c r="BS143" s="0"/>
      <c r="BT143" s="0"/>
      <c r="BU143" s="0"/>
      <c r="BV143" s="0"/>
      <c r="BW143" s="0"/>
      <c r="BX143" s="0"/>
      <c r="BY143" s="0"/>
      <c r="BZ143" s="0"/>
      <c r="CA143" s="0"/>
      <c r="CB143" s="0"/>
      <c r="CC143" s="0"/>
      <c r="CD143" s="0"/>
      <c r="CE143" s="0"/>
      <c r="CF143" s="0"/>
      <c r="CG143" s="0"/>
      <c r="CH143" s="0"/>
      <c r="CI143" s="0"/>
      <c r="CJ143" s="0"/>
      <c r="CK143" s="0"/>
      <c r="CL143" s="0"/>
      <c r="CM143" s="0"/>
      <c r="CN143" s="0"/>
      <c r="CO143" s="0"/>
      <c r="CP143" s="0"/>
      <c r="CQ143" s="0"/>
      <c r="CR143" s="0"/>
      <c r="CS143" s="0"/>
      <c r="CT143" s="0"/>
      <c r="CU143" s="0"/>
      <c r="CV143" s="0"/>
      <c r="CW143" s="0"/>
      <c r="CX143" s="0"/>
      <c r="CY143" s="0"/>
      <c r="CZ143" s="0"/>
      <c r="DA143" s="0"/>
      <c r="DB143" s="0"/>
      <c r="DC143" s="0"/>
      <c r="DD143" s="0"/>
      <c r="DE143" s="0"/>
      <c r="DF143" s="0"/>
      <c r="DG143" s="0"/>
      <c r="DH143" s="0"/>
      <c r="DI143" s="0"/>
      <c r="DJ143" s="0"/>
      <c r="DK143" s="0"/>
      <c r="DL143" s="0"/>
      <c r="DM143" s="0"/>
      <c r="DN143" s="0"/>
      <c r="DO143" s="0"/>
      <c r="DP143" s="0"/>
      <c r="DQ143" s="0"/>
      <c r="DR143" s="0"/>
      <c r="DS143" s="0"/>
      <c r="DT143" s="0"/>
      <c r="DU143" s="0"/>
      <c r="DV143" s="0"/>
      <c r="DW143" s="0"/>
      <c r="DX143" s="0"/>
      <c r="DY143" s="0"/>
      <c r="DZ143" s="0"/>
      <c r="EA143" s="0"/>
      <c r="EB143" s="0"/>
      <c r="EC143" s="0"/>
      <c r="ED143" s="0"/>
      <c r="EE143" s="0"/>
      <c r="EF143" s="0"/>
      <c r="EG143" s="0"/>
      <c r="EH143" s="0"/>
      <c r="EI143" s="0"/>
      <c r="EJ143" s="0"/>
      <c r="EK143" s="0"/>
      <c r="EL143" s="0"/>
      <c r="EM143" s="0"/>
      <c r="EN143" s="0"/>
      <c r="EO143" s="0"/>
      <c r="EP143" s="0"/>
      <c r="EQ143" s="0"/>
      <c r="ER143" s="0"/>
      <c r="ES143" s="0"/>
      <c r="ET143" s="0"/>
      <c r="EU143" s="0"/>
      <c r="EV143" s="0"/>
      <c r="EW143" s="0"/>
      <c r="EX143" s="0"/>
      <c r="EY143" s="0"/>
      <c r="EZ143" s="0"/>
      <c r="FA143" s="0"/>
      <c r="FB143" s="0"/>
      <c r="FC143" s="0"/>
      <c r="FD143" s="0"/>
      <c r="FE143" s="0"/>
      <c r="FF143" s="0"/>
      <c r="FG143" s="0"/>
      <c r="FH143" s="0"/>
      <c r="FI143" s="0"/>
      <c r="FJ143" s="0"/>
      <c r="FK143" s="0"/>
      <c r="FL143" s="0"/>
      <c r="FM143" s="0"/>
      <c r="FN143" s="0"/>
      <c r="FO143" s="0"/>
      <c r="FP143" s="0"/>
      <c r="FQ143" s="0"/>
      <c r="FR143" s="0"/>
      <c r="FS143" s="0"/>
      <c r="FT143" s="0"/>
      <c r="FU143" s="0"/>
      <c r="FV143" s="0"/>
      <c r="FW143" s="0"/>
      <c r="FX143" s="0"/>
      <c r="FY143" s="0"/>
      <c r="FZ143" s="0"/>
      <c r="GA143" s="0"/>
      <c r="GB143" s="0"/>
      <c r="GC143" s="0"/>
      <c r="GD143" s="0"/>
      <c r="GE143" s="0"/>
      <c r="GF143" s="0"/>
      <c r="GG143" s="0"/>
      <c r="GH143" s="0"/>
      <c r="GI143" s="0"/>
      <c r="GJ143" s="0"/>
      <c r="GK143" s="0"/>
      <c r="GL143" s="0"/>
      <c r="GM143" s="0"/>
      <c r="GN143" s="0"/>
      <c r="GO143" s="0"/>
      <c r="GP143" s="0"/>
      <c r="GQ143" s="0"/>
      <c r="GR143" s="0"/>
      <c r="GS143" s="0"/>
      <c r="GT143" s="0"/>
      <c r="GU143" s="0"/>
      <c r="GV143" s="0"/>
      <c r="GW143" s="0"/>
      <c r="GX143" s="0"/>
      <c r="GY143" s="0"/>
      <c r="GZ143" s="0"/>
      <c r="HA143" s="0"/>
      <c r="HB143" s="0"/>
      <c r="HC143" s="0"/>
      <c r="HD143" s="0"/>
      <c r="HE143" s="0"/>
      <c r="HF143" s="0"/>
      <c r="HG143" s="0"/>
      <c r="HH143" s="0"/>
      <c r="HI143" s="0"/>
      <c r="HJ143" s="0"/>
      <c r="HK143" s="0"/>
      <c r="HL143" s="0"/>
      <c r="HM143" s="0"/>
      <c r="HN143" s="0"/>
      <c r="HO143" s="0"/>
      <c r="HP143" s="0"/>
      <c r="HQ143" s="0"/>
      <c r="HR143" s="0"/>
      <c r="HS143" s="0"/>
      <c r="HT143" s="0"/>
      <c r="HU143" s="0"/>
      <c r="HV143" s="0"/>
      <c r="HW143" s="0"/>
      <c r="HX143" s="0"/>
      <c r="HY143" s="0"/>
      <c r="HZ143" s="0"/>
      <c r="IA143" s="0"/>
      <c r="IB143" s="0"/>
      <c r="IC143" s="0"/>
      <c r="ID143" s="0"/>
      <c r="IE143" s="0"/>
      <c r="IF143" s="0"/>
      <c r="IG143" s="0"/>
      <c r="IH143" s="0"/>
      <c r="II143" s="0"/>
      <c r="IJ143" s="0"/>
      <c r="IK143" s="0"/>
      <c r="IL143" s="0"/>
      <c r="IM143" s="0"/>
      <c r="IN143" s="0"/>
      <c r="IO143" s="0"/>
      <c r="IP143" s="0"/>
      <c r="IQ143" s="0"/>
      <c r="IR143" s="0"/>
      <c r="IS143" s="0"/>
      <c r="IT143" s="0"/>
      <c r="IU143" s="0"/>
      <c r="IV143" s="0"/>
      <c r="IW143" s="0"/>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0"/>
      <c r="B145" s="0"/>
      <c r="C145" s="0"/>
      <c r="D145" s="0"/>
      <c r="E145" s="0"/>
      <c r="F145" s="0"/>
      <c r="G145" s="0"/>
      <c r="H145" s="0"/>
      <c r="I145" s="0"/>
      <c r="J145" s="0"/>
      <c r="K145" s="0"/>
      <c r="L145" s="0"/>
      <c r="M145" s="0"/>
      <c r="N145" s="0"/>
      <c r="O145" s="0"/>
      <c r="P145" s="0"/>
      <c r="Q145" s="0"/>
      <c r="R145" s="0"/>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c r="BA145" s="0"/>
      <c r="BB145" s="0"/>
      <c r="BC145" s="0"/>
      <c r="BD145" s="0"/>
      <c r="BE145" s="0"/>
      <c r="BF145" s="0"/>
      <c r="BG145" s="0"/>
      <c r="BH145" s="0"/>
      <c r="BI145" s="0"/>
      <c r="BJ145" s="0"/>
      <c r="BK145" s="0"/>
      <c r="BL145" s="0"/>
      <c r="BM145" s="0"/>
      <c r="BN145" s="0"/>
      <c r="BO145" s="0"/>
      <c r="BP145" s="0"/>
      <c r="BQ145" s="0"/>
      <c r="BR145" s="0"/>
      <c r="BS145" s="0"/>
      <c r="BT145" s="0"/>
      <c r="BU145" s="0"/>
      <c r="BV145" s="0"/>
      <c r="BW145" s="0"/>
      <c r="BX145" s="0"/>
      <c r="BY145" s="0"/>
      <c r="BZ145" s="0"/>
      <c r="CA145" s="0"/>
      <c r="CB145" s="0"/>
      <c r="CC145" s="0"/>
      <c r="CD145" s="0"/>
      <c r="CE145" s="0"/>
      <c r="CF145" s="0"/>
      <c r="CG145" s="0"/>
      <c r="CH145" s="0"/>
      <c r="CI145" s="0"/>
      <c r="CJ145" s="0"/>
      <c r="CK145" s="0"/>
      <c r="CL145" s="0"/>
      <c r="CM145" s="0"/>
      <c r="CN145" s="0"/>
      <c r="CO145" s="0"/>
      <c r="CP145" s="0"/>
      <c r="CQ145" s="0"/>
      <c r="CR145" s="0"/>
      <c r="CS145" s="0"/>
      <c r="CT145" s="0"/>
      <c r="CU145" s="0"/>
      <c r="CV145" s="0"/>
      <c r="CW145" s="0"/>
      <c r="CX145" s="0"/>
      <c r="CY145" s="0"/>
      <c r="CZ145" s="0"/>
      <c r="DA145" s="0"/>
      <c r="DB145" s="0"/>
      <c r="DC145" s="0"/>
      <c r="DD145" s="0"/>
      <c r="DE145" s="0"/>
      <c r="DF145" s="0"/>
      <c r="DG145" s="0"/>
      <c r="DH145" s="0"/>
      <c r="DI145" s="0"/>
      <c r="DJ145" s="0"/>
      <c r="DK145" s="0"/>
      <c r="DL145" s="0"/>
      <c r="DM145" s="0"/>
      <c r="DN145" s="0"/>
      <c r="DO145" s="0"/>
      <c r="DP145" s="0"/>
      <c r="DQ145" s="0"/>
      <c r="DR145" s="0"/>
      <c r="DS145" s="0"/>
      <c r="DT145" s="0"/>
      <c r="DU145" s="0"/>
      <c r="DV145" s="0"/>
      <c r="DW145" s="0"/>
      <c r="DX145" s="0"/>
      <c r="DY145" s="0"/>
      <c r="DZ145" s="0"/>
      <c r="EA145" s="0"/>
      <c r="EB145" s="0"/>
      <c r="EC145" s="0"/>
      <c r="ED145" s="0"/>
      <c r="EE145" s="0"/>
      <c r="EF145" s="0"/>
      <c r="EG145" s="0"/>
      <c r="EH145" s="0"/>
      <c r="EI145" s="0"/>
      <c r="EJ145" s="0"/>
      <c r="EK145" s="0"/>
      <c r="EL145" s="0"/>
      <c r="EM145" s="0"/>
      <c r="EN145" s="0"/>
      <c r="EO145" s="0"/>
      <c r="EP145" s="0"/>
      <c r="EQ145" s="0"/>
      <c r="ER145" s="0"/>
      <c r="ES145" s="0"/>
      <c r="ET145" s="0"/>
      <c r="EU145" s="0"/>
      <c r="EV145" s="0"/>
      <c r="EW145" s="0"/>
      <c r="EX145" s="0"/>
      <c r="EY145" s="0"/>
      <c r="EZ145" s="0"/>
      <c r="FA145" s="0"/>
      <c r="FB145" s="0"/>
      <c r="FC145" s="0"/>
      <c r="FD145" s="0"/>
      <c r="FE145" s="0"/>
      <c r="FF145" s="0"/>
      <c r="FG145" s="0"/>
      <c r="FH145" s="0"/>
      <c r="FI145" s="0"/>
      <c r="FJ145" s="0"/>
      <c r="FK145" s="0"/>
      <c r="FL145" s="0"/>
      <c r="FM145" s="0"/>
      <c r="FN145" s="0"/>
      <c r="FO145" s="0"/>
      <c r="FP145" s="0"/>
      <c r="FQ145" s="0"/>
      <c r="FR145" s="0"/>
      <c r="FS145" s="0"/>
      <c r="FT145" s="0"/>
      <c r="FU145" s="0"/>
      <c r="FV145" s="0"/>
      <c r="FW145" s="0"/>
      <c r="FX145" s="0"/>
      <c r="FY145" s="0"/>
      <c r="FZ145" s="0"/>
      <c r="GA145" s="0"/>
      <c r="GB145" s="0"/>
      <c r="GC145" s="0"/>
      <c r="GD145" s="0"/>
      <c r="GE145" s="0"/>
      <c r="GF145" s="0"/>
      <c r="GG145" s="0"/>
      <c r="GH145" s="0"/>
      <c r="GI145" s="0"/>
      <c r="GJ145" s="0"/>
      <c r="GK145" s="0"/>
      <c r="GL145" s="0"/>
      <c r="GM145" s="0"/>
      <c r="GN145" s="0"/>
      <c r="GO145" s="0"/>
      <c r="GP145" s="0"/>
      <c r="GQ145" s="0"/>
      <c r="GR145" s="0"/>
      <c r="GS145" s="0"/>
      <c r="GT145" s="0"/>
      <c r="GU145" s="0"/>
      <c r="GV145" s="0"/>
      <c r="GW145" s="0"/>
      <c r="GX145" s="0"/>
      <c r="GY145" s="0"/>
      <c r="GZ145" s="0"/>
      <c r="HA145" s="0"/>
      <c r="HB145" s="0"/>
      <c r="HC145" s="0"/>
      <c r="HD145" s="0"/>
      <c r="HE145" s="0"/>
      <c r="HF145" s="0"/>
      <c r="HG145" s="0"/>
      <c r="HH145" s="0"/>
      <c r="HI145" s="0"/>
      <c r="HJ145" s="0"/>
      <c r="HK145" s="0"/>
      <c r="HL145" s="0"/>
      <c r="HM145" s="0"/>
      <c r="HN145" s="0"/>
      <c r="HO145" s="0"/>
      <c r="HP145" s="0"/>
      <c r="HQ145" s="0"/>
      <c r="HR145" s="0"/>
      <c r="HS145" s="0"/>
      <c r="HT145" s="0"/>
      <c r="HU145" s="0"/>
      <c r="HV145" s="0"/>
      <c r="HW145" s="0"/>
      <c r="HX145" s="0"/>
      <c r="HY145" s="0"/>
      <c r="HZ145" s="0"/>
      <c r="IA145" s="0"/>
      <c r="IB145" s="0"/>
      <c r="IC145" s="0"/>
      <c r="ID145" s="0"/>
      <c r="IE145" s="0"/>
      <c r="IF145" s="0"/>
      <c r="IG145" s="0"/>
      <c r="IH145" s="0"/>
      <c r="II145" s="0"/>
      <c r="IJ145" s="0"/>
      <c r="IK145" s="0"/>
      <c r="IL145" s="0"/>
      <c r="IM145" s="0"/>
      <c r="IN145" s="0"/>
      <c r="IO145" s="0"/>
      <c r="IP145" s="0"/>
      <c r="IQ145" s="0"/>
      <c r="IR145" s="0"/>
      <c r="IS145" s="0"/>
      <c r="IT145" s="0"/>
      <c r="IU145" s="0"/>
      <c r="IV145" s="0"/>
      <c r="IW145" s="0"/>
    </row>
    <row r="146" customFormat="false" ht="12.75" hidden="false" customHeight="false" outlineLevel="0" collapsed="false">
      <c r="A146" s="0"/>
      <c r="B146" s="0"/>
      <c r="C146" s="0"/>
      <c r="D146" s="0"/>
      <c r="E146" s="0"/>
      <c r="F146" s="0"/>
      <c r="G146" s="0"/>
      <c r="H146" s="0"/>
      <c r="I146" s="0"/>
      <c r="J146" s="0"/>
      <c r="K146" s="0"/>
      <c r="L146" s="0"/>
      <c r="M146" s="0"/>
      <c r="N146" s="0"/>
      <c r="O146" s="0"/>
      <c r="P146" s="0"/>
      <c r="Q146" s="0"/>
      <c r="R146" s="0"/>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c r="BA146" s="0"/>
      <c r="BB146" s="0"/>
      <c r="BC146" s="0"/>
      <c r="BD146" s="0"/>
      <c r="BE146" s="0"/>
      <c r="BF146" s="0"/>
      <c r="BG146" s="0"/>
      <c r="BH146" s="0"/>
      <c r="BI146" s="0"/>
      <c r="BJ146" s="0"/>
      <c r="BK146" s="0"/>
      <c r="BL146" s="0"/>
      <c r="BM146" s="0"/>
      <c r="BN146" s="0"/>
      <c r="BO146" s="0"/>
      <c r="BP146" s="0"/>
      <c r="BQ146" s="0"/>
      <c r="BR146" s="0"/>
      <c r="BS146" s="0"/>
      <c r="BT146" s="0"/>
      <c r="BU146" s="0"/>
      <c r="BV146" s="0"/>
      <c r="BW146" s="0"/>
      <c r="BX146" s="0"/>
      <c r="BY146" s="0"/>
      <c r="BZ146" s="0"/>
      <c r="CA146" s="0"/>
      <c r="CB146" s="0"/>
      <c r="CC146" s="0"/>
      <c r="CD146" s="0"/>
      <c r="CE146" s="0"/>
      <c r="CF146" s="0"/>
      <c r="CG146" s="0"/>
      <c r="CH146" s="0"/>
      <c r="CI146" s="0"/>
      <c r="CJ146" s="0"/>
      <c r="CK146" s="0"/>
      <c r="CL146" s="0"/>
      <c r="CM146" s="0"/>
      <c r="CN146" s="0"/>
      <c r="CO146" s="0"/>
      <c r="CP146" s="0"/>
      <c r="CQ146" s="0"/>
      <c r="CR146" s="0"/>
      <c r="CS146" s="0"/>
      <c r="CT146" s="0"/>
      <c r="CU146" s="0"/>
      <c r="CV146" s="0"/>
      <c r="CW146" s="0"/>
      <c r="CX146" s="0"/>
      <c r="CY146" s="0"/>
      <c r="CZ146" s="0"/>
      <c r="DA146" s="0"/>
      <c r="DB146" s="0"/>
      <c r="DC146" s="0"/>
      <c r="DD146" s="0"/>
      <c r="DE146" s="0"/>
      <c r="DF146" s="0"/>
      <c r="DG146" s="0"/>
      <c r="DH146" s="0"/>
      <c r="DI146" s="0"/>
      <c r="DJ146" s="0"/>
      <c r="DK146" s="0"/>
      <c r="DL146" s="0"/>
      <c r="DM146" s="0"/>
      <c r="DN146" s="0"/>
      <c r="DO146" s="0"/>
      <c r="DP146" s="0"/>
      <c r="DQ146" s="0"/>
      <c r="DR146" s="0"/>
      <c r="DS146" s="0"/>
      <c r="DT146" s="0"/>
      <c r="DU146" s="0"/>
      <c r="DV146" s="0"/>
      <c r="DW146" s="0"/>
      <c r="DX146" s="0"/>
      <c r="DY146" s="0"/>
      <c r="DZ146" s="0"/>
      <c r="EA146" s="0"/>
      <c r="EB146" s="0"/>
      <c r="EC146" s="0"/>
      <c r="ED146" s="0"/>
      <c r="EE146" s="0"/>
      <c r="EF146" s="0"/>
      <c r="EG146" s="0"/>
      <c r="EH146" s="0"/>
      <c r="EI146" s="0"/>
      <c r="EJ146" s="0"/>
      <c r="EK146" s="0"/>
      <c r="EL146" s="0"/>
      <c r="EM146" s="0"/>
      <c r="EN146" s="0"/>
      <c r="EO146" s="0"/>
      <c r="EP146" s="0"/>
      <c r="EQ146" s="0"/>
      <c r="ER146" s="0"/>
      <c r="ES146" s="0"/>
      <c r="ET146" s="0"/>
      <c r="EU146" s="0"/>
      <c r="EV146" s="0"/>
      <c r="EW146" s="0"/>
      <c r="EX146" s="0"/>
      <c r="EY146" s="0"/>
      <c r="EZ146" s="0"/>
      <c r="FA146" s="0"/>
      <c r="FB146" s="0"/>
      <c r="FC146" s="0"/>
      <c r="FD146" s="0"/>
      <c r="FE146" s="0"/>
      <c r="FF146" s="0"/>
      <c r="FG146" s="0"/>
      <c r="FH146" s="0"/>
      <c r="FI146" s="0"/>
      <c r="FJ146" s="0"/>
      <c r="FK146" s="0"/>
      <c r="FL146" s="0"/>
      <c r="FM146" s="0"/>
      <c r="FN146" s="0"/>
      <c r="FO146" s="0"/>
      <c r="FP146" s="0"/>
      <c r="FQ146" s="0"/>
      <c r="FR146" s="0"/>
      <c r="FS146" s="0"/>
      <c r="FT146" s="0"/>
      <c r="FU146" s="0"/>
      <c r="FV146" s="0"/>
      <c r="FW146" s="0"/>
      <c r="FX146" s="0"/>
      <c r="FY146" s="0"/>
      <c r="FZ146" s="0"/>
      <c r="GA146" s="0"/>
      <c r="GB146" s="0"/>
      <c r="GC146" s="0"/>
      <c r="GD146" s="0"/>
      <c r="GE146" s="0"/>
      <c r="GF146" s="0"/>
      <c r="GG146" s="0"/>
      <c r="GH146" s="0"/>
      <c r="GI146" s="0"/>
      <c r="GJ146" s="0"/>
      <c r="GK146" s="0"/>
      <c r="GL146" s="0"/>
      <c r="GM146" s="0"/>
      <c r="GN146" s="0"/>
      <c r="GO146" s="0"/>
      <c r="GP146" s="0"/>
      <c r="GQ146" s="0"/>
      <c r="GR146" s="0"/>
      <c r="GS146" s="0"/>
      <c r="GT146" s="0"/>
      <c r="GU146" s="0"/>
      <c r="GV146" s="0"/>
      <c r="GW146" s="0"/>
      <c r="GX146" s="0"/>
      <c r="GY146" s="0"/>
      <c r="GZ146" s="0"/>
      <c r="HA146" s="0"/>
      <c r="HB146" s="0"/>
      <c r="HC146" s="0"/>
      <c r="HD146" s="0"/>
      <c r="HE146" s="0"/>
      <c r="HF146" s="0"/>
      <c r="HG146" s="0"/>
      <c r="HH146" s="0"/>
      <c r="HI146" s="0"/>
      <c r="HJ146" s="0"/>
      <c r="HK146" s="0"/>
      <c r="HL146" s="0"/>
      <c r="HM146" s="0"/>
      <c r="HN146" s="0"/>
      <c r="HO146" s="0"/>
      <c r="HP146" s="0"/>
      <c r="HQ146" s="0"/>
      <c r="HR146" s="0"/>
      <c r="HS146" s="0"/>
      <c r="HT146" s="0"/>
      <c r="HU146" s="0"/>
      <c r="HV146" s="0"/>
      <c r="HW146" s="0"/>
      <c r="HX146" s="0"/>
      <c r="HY146" s="0"/>
      <c r="HZ146" s="0"/>
      <c r="IA146" s="0"/>
      <c r="IB146" s="0"/>
      <c r="IC146" s="0"/>
      <c r="ID146" s="0"/>
      <c r="IE146" s="0"/>
      <c r="IF146" s="0"/>
      <c r="IG146" s="0"/>
      <c r="IH146" s="0"/>
      <c r="II146" s="0"/>
      <c r="IJ146" s="0"/>
      <c r="IK146" s="0"/>
      <c r="IL146" s="0"/>
      <c r="IM146" s="0"/>
      <c r="IN146" s="0"/>
      <c r="IO146" s="0"/>
      <c r="IP146" s="0"/>
      <c r="IQ146" s="0"/>
      <c r="IR146" s="0"/>
      <c r="IS146" s="0"/>
      <c r="IT146" s="0"/>
      <c r="IU146" s="0"/>
      <c r="IV146" s="0"/>
      <c r="IW146" s="0"/>
    </row>
    <row r="147" customFormat="false" ht="12.75" hidden="false" customHeight="false" outlineLevel="0" collapsed="false">
      <c r="A147" s="0"/>
      <c r="B147" s="0"/>
      <c r="C147" s="0"/>
      <c r="D147" s="0"/>
      <c r="E147" s="0"/>
      <c r="F147" s="0"/>
      <c r="G147" s="0"/>
      <c r="H147" s="0"/>
      <c r="I147" s="0"/>
      <c r="J147" s="0"/>
      <c r="K147" s="0"/>
      <c r="L147" s="0"/>
      <c r="M147" s="0"/>
      <c r="N147" s="0"/>
      <c r="O147" s="0"/>
      <c r="P147" s="0"/>
      <c r="Q147" s="0"/>
      <c r="R147" s="0"/>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c r="BA147" s="0"/>
      <c r="BB147" s="0"/>
      <c r="BC147" s="0"/>
      <c r="BD147" s="0"/>
      <c r="BE147" s="0"/>
      <c r="BF147" s="0"/>
      <c r="BG147" s="0"/>
      <c r="BH147" s="0"/>
      <c r="BI147" s="0"/>
      <c r="BJ147" s="0"/>
      <c r="BK147" s="0"/>
      <c r="BL147" s="0"/>
      <c r="BM147" s="0"/>
      <c r="BN147" s="0"/>
      <c r="BO147" s="0"/>
      <c r="BP147" s="0"/>
      <c r="BQ147" s="0"/>
      <c r="BR147" s="0"/>
      <c r="BS147" s="0"/>
      <c r="BT147" s="0"/>
      <c r="BU147" s="0"/>
      <c r="BV147" s="0"/>
      <c r="BW147" s="0"/>
      <c r="BX147" s="0"/>
      <c r="BY147" s="0"/>
      <c r="BZ147" s="0"/>
      <c r="CA147" s="0"/>
      <c r="CB147" s="0"/>
      <c r="CC147" s="0"/>
      <c r="CD147" s="0"/>
      <c r="CE147" s="0"/>
      <c r="CF147" s="0"/>
      <c r="CG147" s="0"/>
      <c r="CH147" s="0"/>
      <c r="CI147" s="0"/>
      <c r="CJ147" s="0"/>
      <c r="CK147" s="0"/>
      <c r="CL147" s="0"/>
      <c r="CM147" s="0"/>
      <c r="CN147" s="0"/>
      <c r="CO147" s="0"/>
      <c r="CP147" s="0"/>
      <c r="CQ147" s="0"/>
      <c r="CR147" s="0"/>
      <c r="CS147" s="0"/>
      <c r="CT147" s="0"/>
      <c r="CU147" s="0"/>
      <c r="CV147" s="0"/>
      <c r="CW147" s="0"/>
      <c r="CX147" s="0"/>
      <c r="CY147" s="0"/>
      <c r="CZ147" s="0"/>
      <c r="DA147" s="0"/>
      <c r="DB147" s="0"/>
      <c r="DC147" s="0"/>
      <c r="DD147" s="0"/>
      <c r="DE147" s="0"/>
      <c r="DF147" s="0"/>
      <c r="DG147" s="0"/>
      <c r="DH147" s="0"/>
      <c r="DI147" s="0"/>
      <c r="DJ147" s="0"/>
      <c r="DK147" s="0"/>
      <c r="DL147" s="0"/>
      <c r="DM147" s="0"/>
      <c r="DN147" s="0"/>
      <c r="DO147" s="0"/>
      <c r="DP147" s="0"/>
      <c r="DQ147" s="0"/>
      <c r="DR147" s="0"/>
      <c r="DS147" s="0"/>
      <c r="DT147" s="0"/>
      <c r="DU147" s="0"/>
      <c r="DV147" s="0"/>
      <c r="DW147" s="0"/>
      <c r="DX147" s="0"/>
      <c r="DY147" s="0"/>
      <c r="DZ147" s="0"/>
      <c r="EA147" s="0"/>
      <c r="EB147" s="0"/>
      <c r="EC147" s="0"/>
      <c r="ED147" s="0"/>
      <c r="EE147" s="0"/>
      <c r="EF147" s="0"/>
      <c r="EG147" s="0"/>
      <c r="EH147" s="0"/>
      <c r="EI147" s="0"/>
      <c r="EJ147" s="0"/>
      <c r="EK147" s="0"/>
      <c r="EL147" s="0"/>
      <c r="EM147" s="0"/>
      <c r="EN147" s="0"/>
      <c r="EO147" s="0"/>
      <c r="EP147" s="0"/>
      <c r="EQ147" s="0"/>
      <c r="ER147" s="0"/>
      <c r="ES147" s="0"/>
      <c r="ET147" s="0"/>
      <c r="EU147" s="0"/>
      <c r="EV147" s="0"/>
      <c r="EW147" s="0"/>
      <c r="EX147" s="0"/>
      <c r="EY147" s="0"/>
      <c r="EZ147" s="0"/>
      <c r="FA147" s="0"/>
      <c r="FB147" s="0"/>
      <c r="FC147" s="0"/>
      <c r="FD147" s="0"/>
      <c r="FE147" s="0"/>
      <c r="FF147" s="0"/>
      <c r="FG147" s="0"/>
      <c r="FH147" s="0"/>
      <c r="FI147" s="0"/>
      <c r="FJ147" s="0"/>
      <c r="FK147" s="0"/>
      <c r="FL147" s="0"/>
      <c r="FM147" s="0"/>
      <c r="FN147" s="0"/>
      <c r="FO147" s="0"/>
      <c r="FP147" s="0"/>
      <c r="FQ147" s="0"/>
      <c r="FR147" s="0"/>
      <c r="FS147" s="0"/>
      <c r="FT147" s="0"/>
      <c r="FU147" s="0"/>
      <c r="FV147" s="0"/>
      <c r="FW147" s="0"/>
      <c r="FX147" s="0"/>
      <c r="FY147" s="0"/>
      <c r="FZ147" s="0"/>
      <c r="GA147" s="0"/>
      <c r="GB147" s="0"/>
      <c r="GC147" s="0"/>
      <c r="GD147" s="0"/>
      <c r="GE147" s="0"/>
      <c r="GF147" s="0"/>
      <c r="GG147" s="0"/>
      <c r="GH147" s="0"/>
      <c r="GI147" s="0"/>
      <c r="GJ147" s="0"/>
      <c r="GK147" s="0"/>
      <c r="GL147" s="0"/>
      <c r="GM147" s="0"/>
      <c r="GN147" s="0"/>
      <c r="GO147" s="0"/>
      <c r="GP147" s="0"/>
      <c r="GQ147" s="0"/>
      <c r="GR147" s="0"/>
      <c r="GS147" s="0"/>
      <c r="GT147" s="0"/>
      <c r="GU147" s="0"/>
      <c r="GV147" s="0"/>
      <c r="GW147" s="0"/>
      <c r="GX147" s="0"/>
      <c r="GY147" s="0"/>
      <c r="GZ147" s="0"/>
      <c r="HA147" s="0"/>
      <c r="HB147" s="0"/>
      <c r="HC147" s="0"/>
      <c r="HD147" s="0"/>
      <c r="HE147" s="0"/>
      <c r="HF147" s="0"/>
      <c r="HG147" s="0"/>
      <c r="HH147" s="0"/>
      <c r="HI147" s="0"/>
      <c r="HJ147" s="0"/>
      <c r="HK147" s="0"/>
      <c r="HL147" s="0"/>
      <c r="HM147" s="0"/>
      <c r="HN147" s="0"/>
      <c r="HO147" s="0"/>
      <c r="HP147" s="0"/>
      <c r="HQ147" s="0"/>
      <c r="HR147" s="0"/>
      <c r="HS147" s="0"/>
      <c r="HT147" s="0"/>
      <c r="HU147" s="0"/>
      <c r="HV147" s="0"/>
      <c r="HW147" s="0"/>
      <c r="HX147" s="0"/>
      <c r="HY147" s="0"/>
      <c r="HZ147" s="0"/>
      <c r="IA147" s="0"/>
      <c r="IB147" s="0"/>
      <c r="IC147" s="0"/>
      <c r="ID147" s="0"/>
      <c r="IE147" s="0"/>
      <c r="IF147" s="0"/>
      <c r="IG147" s="0"/>
      <c r="IH147" s="0"/>
      <c r="II147" s="0"/>
      <c r="IJ147" s="0"/>
      <c r="IK147" s="0"/>
      <c r="IL147" s="0"/>
      <c r="IM147" s="0"/>
      <c r="IN147" s="0"/>
      <c r="IO147" s="0"/>
      <c r="IP147" s="0"/>
      <c r="IQ147" s="0"/>
      <c r="IR147" s="0"/>
      <c r="IS147" s="0"/>
      <c r="IT147" s="0"/>
      <c r="IU147" s="0"/>
      <c r="IV147" s="0"/>
      <c r="IW147" s="0"/>
    </row>
    <row r="148" customFormat="false" ht="12.75" hidden="false" customHeight="false" outlineLevel="0" collapsed="false">
      <c r="A148" s="0"/>
      <c r="B148" s="0"/>
      <c r="C148" s="0"/>
      <c r="D148" s="0"/>
      <c r="E148" s="0"/>
      <c r="F148" s="0"/>
      <c r="G148" s="0"/>
      <c r="H148" s="0"/>
      <c r="I148" s="0"/>
      <c r="J148" s="0"/>
      <c r="K148" s="0"/>
      <c r="L148" s="0"/>
      <c r="M148" s="0"/>
      <c r="N148" s="0"/>
      <c r="O148" s="0"/>
      <c r="P148" s="0"/>
      <c r="Q148" s="0"/>
      <c r="R148" s="0"/>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c r="BA148" s="0"/>
      <c r="BB148" s="0"/>
      <c r="BC148" s="0"/>
      <c r="BD148" s="0"/>
      <c r="BE148" s="0"/>
      <c r="BF148" s="0"/>
      <c r="BG148" s="0"/>
      <c r="BH148" s="0"/>
      <c r="BI148" s="0"/>
      <c r="BJ148" s="0"/>
      <c r="BK148" s="0"/>
      <c r="BL148" s="0"/>
      <c r="BM148" s="0"/>
      <c r="BN148" s="0"/>
      <c r="BO148" s="0"/>
      <c r="BP148" s="0"/>
      <c r="BQ148" s="0"/>
      <c r="BR148" s="0"/>
      <c r="BS148" s="0"/>
      <c r="BT148" s="0"/>
      <c r="BU148" s="0"/>
      <c r="BV148" s="0"/>
      <c r="BW148" s="0"/>
      <c r="BX148" s="0"/>
      <c r="BY148" s="0"/>
      <c r="BZ148" s="0"/>
      <c r="CA148" s="0"/>
      <c r="CB148" s="0"/>
      <c r="CC148" s="0"/>
      <c r="CD148" s="0"/>
      <c r="CE148" s="0"/>
      <c r="CF148" s="0"/>
      <c r="CG148" s="0"/>
      <c r="CH148" s="0"/>
      <c r="CI148" s="0"/>
      <c r="CJ148" s="0"/>
      <c r="CK148" s="0"/>
      <c r="CL148" s="0"/>
      <c r="CM148" s="0"/>
      <c r="CN148" s="0"/>
      <c r="CO148" s="0"/>
      <c r="CP148" s="0"/>
      <c r="CQ148" s="0"/>
      <c r="CR148" s="0"/>
      <c r="CS148" s="0"/>
      <c r="CT148" s="0"/>
      <c r="CU148" s="0"/>
      <c r="CV148" s="0"/>
      <c r="CW148" s="0"/>
      <c r="CX148" s="0"/>
      <c r="CY148" s="0"/>
      <c r="CZ148" s="0"/>
      <c r="DA148" s="0"/>
      <c r="DB148" s="0"/>
      <c r="DC148" s="0"/>
      <c r="DD148" s="0"/>
      <c r="DE148" s="0"/>
      <c r="DF148" s="0"/>
      <c r="DG148" s="0"/>
      <c r="DH148" s="0"/>
      <c r="DI148" s="0"/>
      <c r="DJ148" s="0"/>
      <c r="DK148" s="0"/>
      <c r="DL148" s="0"/>
      <c r="DM148" s="0"/>
      <c r="DN148" s="0"/>
      <c r="DO148" s="0"/>
      <c r="DP148" s="0"/>
      <c r="DQ148" s="0"/>
      <c r="DR148" s="0"/>
      <c r="DS148" s="0"/>
      <c r="DT148" s="0"/>
      <c r="DU148" s="0"/>
      <c r="DV148" s="0"/>
      <c r="DW148" s="0"/>
      <c r="DX148" s="0"/>
      <c r="DY148" s="0"/>
      <c r="DZ148" s="0"/>
      <c r="EA148" s="0"/>
      <c r="EB148" s="0"/>
      <c r="EC148" s="0"/>
      <c r="ED148" s="0"/>
      <c r="EE148" s="0"/>
      <c r="EF148" s="0"/>
      <c r="EG148" s="0"/>
      <c r="EH148" s="0"/>
      <c r="EI148" s="0"/>
      <c r="EJ148" s="0"/>
      <c r="EK148" s="0"/>
      <c r="EL148" s="0"/>
      <c r="EM148" s="0"/>
      <c r="EN148" s="0"/>
      <c r="EO148" s="0"/>
      <c r="EP148" s="0"/>
      <c r="EQ148" s="0"/>
      <c r="ER148" s="0"/>
      <c r="ES148" s="0"/>
      <c r="ET148" s="0"/>
      <c r="EU148" s="0"/>
      <c r="EV148" s="0"/>
      <c r="EW148" s="0"/>
      <c r="EX148" s="0"/>
      <c r="EY148" s="0"/>
      <c r="EZ148" s="0"/>
      <c r="FA148" s="0"/>
      <c r="FB148" s="0"/>
      <c r="FC148" s="0"/>
      <c r="FD148" s="0"/>
      <c r="FE148" s="0"/>
      <c r="FF148" s="0"/>
      <c r="FG148" s="0"/>
      <c r="FH148" s="0"/>
      <c r="FI148" s="0"/>
      <c r="FJ148" s="0"/>
      <c r="FK148" s="0"/>
      <c r="FL148" s="0"/>
      <c r="FM148" s="0"/>
      <c r="FN148" s="0"/>
      <c r="FO148" s="0"/>
      <c r="FP148" s="0"/>
      <c r="FQ148" s="0"/>
      <c r="FR148" s="0"/>
      <c r="FS148" s="0"/>
      <c r="FT148" s="0"/>
      <c r="FU148" s="0"/>
      <c r="FV148" s="0"/>
      <c r="FW148" s="0"/>
      <c r="FX148" s="0"/>
      <c r="FY148" s="0"/>
      <c r="FZ148" s="0"/>
      <c r="GA148" s="0"/>
      <c r="GB148" s="0"/>
      <c r="GC148" s="0"/>
      <c r="GD148" s="0"/>
      <c r="GE148" s="0"/>
      <c r="GF148" s="0"/>
      <c r="GG148" s="0"/>
      <c r="GH148" s="0"/>
      <c r="GI148" s="0"/>
      <c r="GJ148" s="0"/>
      <c r="GK148" s="0"/>
      <c r="GL148" s="0"/>
      <c r="GM148" s="0"/>
      <c r="GN148" s="0"/>
      <c r="GO148" s="0"/>
      <c r="GP148" s="0"/>
      <c r="GQ148" s="0"/>
      <c r="GR148" s="0"/>
      <c r="GS148" s="0"/>
      <c r="GT148" s="0"/>
      <c r="GU148" s="0"/>
      <c r="GV148" s="0"/>
      <c r="GW148" s="0"/>
      <c r="GX148" s="0"/>
      <c r="GY148" s="0"/>
      <c r="GZ148" s="0"/>
      <c r="HA148" s="0"/>
      <c r="HB148" s="0"/>
      <c r="HC148" s="0"/>
      <c r="HD148" s="0"/>
      <c r="HE148" s="0"/>
      <c r="HF148" s="0"/>
      <c r="HG148" s="0"/>
      <c r="HH148" s="0"/>
      <c r="HI148" s="0"/>
      <c r="HJ148" s="0"/>
      <c r="HK148" s="0"/>
      <c r="HL148" s="0"/>
      <c r="HM148" s="0"/>
      <c r="HN148" s="0"/>
      <c r="HO148" s="0"/>
      <c r="HP148" s="0"/>
      <c r="HQ148" s="0"/>
      <c r="HR148" s="0"/>
      <c r="HS148" s="0"/>
      <c r="HT148" s="0"/>
      <c r="HU148" s="0"/>
      <c r="HV148" s="0"/>
      <c r="HW148" s="0"/>
      <c r="HX148" s="0"/>
      <c r="HY148" s="0"/>
      <c r="HZ148" s="0"/>
      <c r="IA148" s="0"/>
      <c r="IB148" s="0"/>
      <c r="IC148" s="0"/>
      <c r="ID148" s="0"/>
      <c r="IE148" s="0"/>
      <c r="IF148" s="0"/>
      <c r="IG148" s="0"/>
      <c r="IH148" s="0"/>
      <c r="II148" s="0"/>
      <c r="IJ148" s="0"/>
      <c r="IK148" s="0"/>
      <c r="IL148" s="0"/>
      <c r="IM148" s="0"/>
      <c r="IN148" s="0"/>
      <c r="IO148" s="0"/>
      <c r="IP148" s="0"/>
      <c r="IQ148" s="0"/>
      <c r="IR148" s="0"/>
      <c r="IS148" s="0"/>
      <c r="IT148" s="0"/>
      <c r="IU148" s="0"/>
      <c r="IV148" s="0"/>
      <c r="IW148" s="0"/>
    </row>
    <row r="149" customFormat="false" ht="12.75" hidden="false" customHeight="false" outlineLevel="0" collapsed="false">
      <c r="A149" s="0"/>
      <c r="B149" s="0"/>
      <c r="C149" s="0"/>
      <c r="D149" s="0"/>
      <c r="E149" s="0"/>
      <c r="F149" s="0"/>
      <c r="G149" s="0"/>
      <c r="H149" s="0"/>
      <c r="I149" s="0"/>
      <c r="J149" s="0"/>
      <c r="K149" s="0"/>
      <c r="L149" s="0"/>
      <c r="M149" s="0"/>
      <c r="N149" s="0"/>
      <c r="O149" s="0"/>
      <c r="P149" s="0"/>
      <c r="Q149" s="0"/>
      <c r="R149" s="0"/>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c r="BA149" s="0"/>
      <c r="BB149" s="0"/>
      <c r="BC149" s="0"/>
      <c r="BD149" s="0"/>
      <c r="BE149" s="0"/>
      <c r="BF149" s="0"/>
      <c r="BG149" s="0"/>
      <c r="BH149" s="0"/>
      <c r="BI149" s="0"/>
      <c r="BJ149" s="0"/>
      <c r="BK149" s="0"/>
      <c r="BL149" s="0"/>
      <c r="BM149" s="0"/>
      <c r="BN149" s="0"/>
      <c r="BO149" s="0"/>
      <c r="BP149" s="0"/>
      <c r="BQ149" s="0"/>
      <c r="BR149" s="0"/>
      <c r="BS149" s="0"/>
      <c r="BT149" s="0"/>
      <c r="BU149" s="0"/>
      <c r="BV149" s="0"/>
      <c r="BW149" s="0"/>
      <c r="BX149" s="0"/>
      <c r="BY149" s="0"/>
      <c r="BZ149" s="0"/>
      <c r="CA149" s="0"/>
      <c r="CB149" s="0"/>
      <c r="CC149" s="0"/>
      <c r="CD149" s="0"/>
      <c r="CE149" s="0"/>
      <c r="CF149" s="0"/>
      <c r="CG149" s="0"/>
      <c r="CH149" s="0"/>
      <c r="CI149" s="0"/>
      <c r="CJ149" s="0"/>
      <c r="CK149" s="0"/>
      <c r="CL149" s="0"/>
      <c r="CM149" s="0"/>
      <c r="CN149" s="0"/>
      <c r="CO149" s="0"/>
      <c r="CP149" s="0"/>
      <c r="CQ149" s="0"/>
      <c r="CR149" s="0"/>
      <c r="CS149" s="0"/>
      <c r="CT149" s="0"/>
      <c r="CU149" s="0"/>
      <c r="CV149" s="0"/>
      <c r="CW149" s="0"/>
      <c r="CX149" s="0"/>
      <c r="CY149" s="0"/>
      <c r="CZ149" s="0"/>
      <c r="DA149" s="0"/>
      <c r="DB149" s="0"/>
      <c r="DC149" s="0"/>
      <c r="DD149" s="0"/>
      <c r="DE149" s="0"/>
      <c r="DF149" s="0"/>
      <c r="DG149" s="0"/>
      <c r="DH149" s="0"/>
      <c r="DI149" s="0"/>
      <c r="DJ149" s="0"/>
      <c r="DK149" s="0"/>
      <c r="DL149" s="0"/>
      <c r="DM149" s="0"/>
      <c r="DN149" s="0"/>
      <c r="DO149" s="0"/>
      <c r="DP149" s="0"/>
      <c r="DQ149" s="0"/>
      <c r="DR149" s="0"/>
      <c r="DS149" s="0"/>
      <c r="DT149" s="0"/>
      <c r="DU149" s="0"/>
      <c r="DV149" s="0"/>
      <c r="DW149" s="0"/>
      <c r="DX149" s="0"/>
      <c r="DY149" s="0"/>
      <c r="DZ149" s="0"/>
      <c r="EA149" s="0"/>
      <c r="EB149" s="0"/>
      <c r="EC149" s="0"/>
      <c r="ED149" s="0"/>
      <c r="EE149" s="0"/>
      <c r="EF149" s="0"/>
      <c r="EG149" s="0"/>
      <c r="EH149" s="0"/>
      <c r="EI149" s="0"/>
      <c r="EJ149" s="0"/>
      <c r="EK149" s="0"/>
      <c r="EL149" s="0"/>
      <c r="EM149" s="0"/>
      <c r="EN149" s="0"/>
      <c r="EO149" s="0"/>
      <c r="EP149" s="0"/>
      <c r="EQ149" s="0"/>
      <c r="ER149" s="0"/>
      <c r="ES149" s="0"/>
      <c r="ET149" s="0"/>
      <c r="EU149" s="0"/>
      <c r="EV149" s="0"/>
      <c r="EW149" s="0"/>
      <c r="EX149" s="0"/>
      <c r="EY149" s="0"/>
      <c r="EZ149" s="0"/>
      <c r="FA149" s="0"/>
      <c r="FB149" s="0"/>
      <c r="FC149" s="0"/>
      <c r="FD149" s="0"/>
      <c r="FE149" s="0"/>
      <c r="FF149" s="0"/>
      <c r="FG149" s="0"/>
      <c r="FH149" s="0"/>
      <c r="FI149" s="0"/>
      <c r="FJ149" s="0"/>
      <c r="FK149" s="0"/>
      <c r="FL149" s="0"/>
      <c r="FM149" s="0"/>
      <c r="FN149" s="0"/>
      <c r="FO149" s="0"/>
      <c r="FP149" s="0"/>
      <c r="FQ149" s="0"/>
      <c r="FR149" s="0"/>
      <c r="FS149" s="0"/>
      <c r="FT149" s="0"/>
      <c r="FU149" s="0"/>
      <c r="FV149" s="0"/>
      <c r="FW149" s="0"/>
      <c r="FX149" s="0"/>
      <c r="FY149" s="0"/>
      <c r="FZ149" s="0"/>
      <c r="GA149" s="0"/>
      <c r="GB149" s="0"/>
      <c r="GC149" s="0"/>
      <c r="GD149" s="0"/>
      <c r="GE149" s="0"/>
      <c r="GF149" s="0"/>
      <c r="GG149" s="0"/>
      <c r="GH149" s="0"/>
      <c r="GI149" s="0"/>
      <c r="GJ149" s="0"/>
      <c r="GK149" s="0"/>
      <c r="GL149" s="0"/>
      <c r="GM149" s="0"/>
      <c r="GN149" s="0"/>
      <c r="GO149" s="0"/>
      <c r="GP149" s="0"/>
      <c r="GQ149" s="0"/>
      <c r="GR149" s="0"/>
      <c r="GS149" s="0"/>
      <c r="GT149" s="0"/>
      <c r="GU149" s="0"/>
      <c r="GV149" s="0"/>
      <c r="GW149" s="0"/>
      <c r="GX149" s="0"/>
      <c r="GY149" s="0"/>
      <c r="GZ149" s="0"/>
      <c r="HA149" s="0"/>
      <c r="HB149" s="0"/>
      <c r="HC149" s="0"/>
      <c r="HD149" s="0"/>
      <c r="HE149" s="0"/>
      <c r="HF149" s="0"/>
      <c r="HG149" s="0"/>
      <c r="HH149" s="0"/>
      <c r="HI149" s="0"/>
      <c r="HJ149" s="0"/>
      <c r="HK149" s="0"/>
      <c r="HL149" s="0"/>
      <c r="HM149" s="0"/>
      <c r="HN149" s="0"/>
      <c r="HO149" s="0"/>
      <c r="HP149" s="0"/>
      <c r="HQ149" s="0"/>
      <c r="HR149" s="0"/>
      <c r="HS149" s="0"/>
      <c r="HT149" s="0"/>
      <c r="HU149" s="0"/>
      <c r="HV149" s="0"/>
      <c r="HW149" s="0"/>
      <c r="HX149" s="0"/>
      <c r="HY149" s="0"/>
      <c r="HZ149" s="0"/>
      <c r="IA149" s="0"/>
      <c r="IB149" s="0"/>
      <c r="IC149" s="0"/>
      <c r="ID149" s="0"/>
      <c r="IE149" s="0"/>
      <c r="IF149" s="0"/>
      <c r="IG149" s="0"/>
      <c r="IH149" s="0"/>
      <c r="II149" s="0"/>
      <c r="IJ149" s="0"/>
      <c r="IK149" s="0"/>
      <c r="IL149" s="0"/>
      <c r="IM149" s="0"/>
      <c r="IN149" s="0"/>
      <c r="IO149" s="0"/>
      <c r="IP149" s="0"/>
      <c r="IQ149" s="0"/>
      <c r="IR149" s="0"/>
      <c r="IS149" s="0"/>
      <c r="IT149" s="0"/>
      <c r="IU149" s="0"/>
      <c r="IV149" s="0"/>
      <c r="IW149" s="0"/>
    </row>
    <row r="150" customFormat="false" ht="12.75" hidden="false" customHeight="false" outlineLevel="0" collapsed="false">
      <c r="A150" s="0"/>
      <c r="B150" s="0"/>
      <c r="C150" s="0"/>
      <c r="D150" s="0"/>
      <c r="E150" s="0"/>
      <c r="F150" s="0"/>
      <c r="G150" s="0"/>
      <c r="H150" s="0"/>
      <c r="I150" s="0"/>
      <c r="J150" s="0"/>
      <c r="K150" s="0"/>
      <c r="L150" s="0"/>
      <c r="M150" s="0"/>
      <c r="N150" s="0"/>
      <c r="O150" s="0"/>
      <c r="P150" s="0"/>
      <c r="Q150" s="0"/>
      <c r="R150" s="0"/>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c r="BA150" s="0"/>
      <c r="BB150" s="0"/>
      <c r="BC150" s="0"/>
      <c r="BD150" s="0"/>
      <c r="BE150" s="0"/>
      <c r="BF150" s="0"/>
      <c r="BG150" s="0"/>
      <c r="BH150" s="0"/>
      <c r="BI150" s="0"/>
      <c r="BJ150" s="0"/>
      <c r="BK150" s="0"/>
      <c r="BL150" s="0"/>
      <c r="BM150" s="0"/>
      <c r="BN150" s="0"/>
      <c r="BO150" s="0"/>
      <c r="BP150" s="0"/>
      <c r="BQ150" s="0"/>
      <c r="BR150" s="0"/>
      <c r="BS150" s="0"/>
      <c r="BT150" s="0"/>
      <c r="BU150" s="0"/>
      <c r="BV150" s="0"/>
      <c r="BW150" s="0"/>
      <c r="BX150" s="0"/>
      <c r="BY150" s="0"/>
      <c r="BZ150" s="0"/>
      <c r="CA150" s="0"/>
      <c r="CB150" s="0"/>
      <c r="CC150" s="0"/>
      <c r="CD150" s="0"/>
      <c r="CE150" s="0"/>
      <c r="CF150" s="0"/>
      <c r="CG150" s="0"/>
      <c r="CH150" s="0"/>
      <c r="CI150" s="0"/>
      <c r="CJ150" s="0"/>
      <c r="CK150" s="0"/>
      <c r="CL150" s="0"/>
      <c r="CM150" s="0"/>
      <c r="CN150" s="0"/>
      <c r="CO150" s="0"/>
      <c r="CP150" s="0"/>
      <c r="CQ150" s="0"/>
      <c r="CR150" s="0"/>
      <c r="CS150" s="0"/>
      <c r="CT150" s="0"/>
      <c r="CU150" s="0"/>
      <c r="CV150" s="0"/>
      <c r="CW150" s="0"/>
      <c r="CX150" s="0"/>
      <c r="CY150" s="0"/>
      <c r="CZ150" s="0"/>
      <c r="DA150" s="0"/>
      <c r="DB150" s="0"/>
      <c r="DC150" s="0"/>
      <c r="DD150" s="0"/>
      <c r="DE150" s="0"/>
      <c r="DF150" s="0"/>
      <c r="DG150" s="0"/>
      <c r="DH150" s="0"/>
      <c r="DI150" s="0"/>
      <c r="DJ150" s="0"/>
      <c r="DK150" s="0"/>
      <c r="DL150" s="0"/>
      <c r="DM150" s="0"/>
      <c r="DN150" s="0"/>
      <c r="DO150" s="0"/>
      <c r="DP150" s="0"/>
      <c r="DQ150" s="0"/>
      <c r="DR150" s="0"/>
      <c r="DS150" s="0"/>
      <c r="DT150" s="0"/>
      <c r="DU150" s="0"/>
      <c r="DV150" s="0"/>
      <c r="DW150" s="0"/>
      <c r="DX150" s="0"/>
      <c r="DY150" s="0"/>
      <c r="DZ150" s="0"/>
      <c r="EA150" s="0"/>
      <c r="EB150" s="0"/>
      <c r="EC150" s="0"/>
      <c r="ED150" s="0"/>
      <c r="EE150" s="0"/>
      <c r="EF150" s="0"/>
      <c r="EG150" s="0"/>
      <c r="EH150" s="0"/>
      <c r="EI150" s="0"/>
      <c r="EJ150" s="0"/>
      <c r="EK150" s="0"/>
      <c r="EL150" s="0"/>
      <c r="EM150" s="0"/>
      <c r="EN150" s="0"/>
      <c r="EO150" s="0"/>
      <c r="EP150" s="0"/>
      <c r="EQ150" s="0"/>
      <c r="ER150" s="0"/>
      <c r="ES150" s="0"/>
      <c r="ET150" s="0"/>
      <c r="EU150" s="0"/>
      <c r="EV150" s="0"/>
      <c r="EW150" s="0"/>
      <c r="EX150" s="0"/>
      <c r="EY150" s="0"/>
      <c r="EZ150" s="0"/>
      <c r="FA150" s="0"/>
      <c r="FB150" s="0"/>
      <c r="FC150" s="0"/>
      <c r="FD150" s="0"/>
      <c r="FE150" s="0"/>
      <c r="FF150" s="0"/>
      <c r="FG150" s="0"/>
      <c r="FH150" s="0"/>
      <c r="FI150" s="0"/>
      <c r="FJ150" s="0"/>
      <c r="FK150" s="0"/>
      <c r="FL150" s="0"/>
      <c r="FM150" s="0"/>
      <c r="FN150" s="0"/>
      <c r="FO150" s="0"/>
      <c r="FP150" s="0"/>
      <c r="FQ150" s="0"/>
      <c r="FR150" s="0"/>
      <c r="FS150" s="0"/>
      <c r="FT150" s="0"/>
      <c r="FU150" s="0"/>
      <c r="FV150" s="0"/>
      <c r="FW150" s="0"/>
      <c r="FX150" s="0"/>
      <c r="FY150" s="0"/>
      <c r="FZ150" s="0"/>
      <c r="GA150" s="0"/>
      <c r="GB150" s="0"/>
      <c r="GC150" s="0"/>
      <c r="GD150" s="0"/>
      <c r="GE150" s="0"/>
      <c r="GF150" s="0"/>
      <c r="GG150" s="0"/>
      <c r="GH150" s="0"/>
      <c r="GI150" s="0"/>
      <c r="GJ150" s="0"/>
      <c r="GK150" s="0"/>
      <c r="GL150" s="0"/>
      <c r="GM150" s="0"/>
      <c r="GN150" s="0"/>
      <c r="GO150" s="0"/>
      <c r="GP150" s="0"/>
      <c r="GQ150" s="0"/>
      <c r="GR150" s="0"/>
      <c r="GS150" s="0"/>
      <c r="GT150" s="0"/>
      <c r="GU150" s="0"/>
      <c r="GV150" s="0"/>
      <c r="GW150" s="0"/>
      <c r="GX150" s="0"/>
      <c r="GY150" s="0"/>
      <c r="GZ150" s="0"/>
      <c r="HA150" s="0"/>
      <c r="HB150" s="0"/>
      <c r="HC150" s="0"/>
      <c r="HD150" s="0"/>
      <c r="HE150" s="0"/>
      <c r="HF150" s="0"/>
      <c r="HG150" s="0"/>
      <c r="HH150" s="0"/>
      <c r="HI150" s="0"/>
      <c r="HJ150" s="0"/>
      <c r="HK150" s="0"/>
      <c r="HL150" s="0"/>
      <c r="HM150" s="0"/>
      <c r="HN150" s="0"/>
      <c r="HO150" s="0"/>
      <c r="HP150" s="0"/>
      <c r="HQ150" s="0"/>
      <c r="HR150" s="0"/>
      <c r="HS150" s="0"/>
      <c r="HT150" s="0"/>
      <c r="HU150" s="0"/>
      <c r="HV150" s="0"/>
      <c r="HW150" s="0"/>
      <c r="HX150" s="0"/>
      <c r="HY150" s="0"/>
      <c r="HZ150" s="0"/>
      <c r="IA150" s="0"/>
      <c r="IB150" s="0"/>
      <c r="IC150" s="0"/>
      <c r="ID150" s="0"/>
      <c r="IE150" s="0"/>
      <c r="IF150" s="0"/>
      <c r="IG150" s="0"/>
      <c r="IH150" s="0"/>
      <c r="II150" s="0"/>
      <c r="IJ150" s="0"/>
      <c r="IK150" s="0"/>
      <c r="IL150" s="0"/>
      <c r="IM150" s="0"/>
      <c r="IN150" s="0"/>
      <c r="IO150" s="0"/>
      <c r="IP150" s="0"/>
      <c r="IQ150" s="0"/>
      <c r="IR150" s="0"/>
      <c r="IS150" s="0"/>
      <c r="IT150" s="0"/>
      <c r="IU150" s="0"/>
      <c r="IV150" s="0"/>
      <c r="IW150" s="0"/>
    </row>
    <row r="151" customFormat="false" ht="12.75" hidden="false" customHeight="false" outlineLevel="0" collapsed="false">
      <c r="A151" s="0"/>
      <c r="B151" s="0"/>
      <c r="C151" s="0"/>
      <c r="D151" s="0"/>
      <c r="E151" s="0"/>
      <c r="F151" s="0"/>
      <c r="G151" s="0"/>
      <c r="H151" s="0"/>
      <c r="I151" s="0"/>
      <c r="J151" s="0"/>
      <c r="K151" s="0"/>
      <c r="L151" s="0"/>
      <c r="M151" s="0"/>
      <c r="N151" s="0"/>
      <c r="O151" s="0"/>
      <c r="P151" s="0"/>
      <c r="Q151" s="0"/>
      <c r="R151" s="0"/>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c r="BA151" s="0"/>
      <c r="BB151" s="0"/>
      <c r="BC151" s="0"/>
      <c r="BD151" s="0"/>
      <c r="BE151" s="0"/>
      <c r="BF151" s="0"/>
      <c r="BG151" s="0"/>
      <c r="BH151" s="0"/>
      <c r="BI151" s="0"/>
      <c r="BJ151" s="0"/>
      <c r="BK151" s="0"/>
      <c r="BL151" s="0"/>
      <c r="BM151" s="0"/>
      <c r="BN151" s="0"/>
      <c r="BO151" s="0"/>
      <c r="BP151" s="0"/>
      <c r="BQ151" s="0"/>
      <c r="BR151" s="0"/>
      <c r="BS151" s="0"/>
      <c r="BT151" s="0"/>
      <c r="BU151" s="0"/>
      <c r="BV151" s="0"/>
      <c r="BW151" s="0"/>
      <c r="BX151" s="0"/>
      <c r="BY151" s="0"/>
      <c r="BZ151" s="0"/>
      <c r="CA151" s="0"/>
      <c r="CB151" s="0"/>
      <c r="CC151" s="0"/>
      <c r="CD151" s="0"/>
      <c r="CE151" s="0"/>
      <c r="CF151" s="0"/>
      <c r="CG151" s="0"/>
      <c r="CH151" s="0"/>
      <c r="CI151" s="0"/>
      <c r="CJ151" s="0"/>
      <c r="CK151" s="0"/>
      <c r="CL151" s="0"/>
      <c r="CM151" s="0"/>
      <c r="CN151" s="0"/>
      <c r="CO151" s="0"/>
      <c r="CP151" s="0"/>
      <c r="CQ151" s="0"/>
      <c r="CR151" s="0"/>
      <c r="CS151" s="0"/>
      <c r="CT151" s="0"/>
      <c r="CU151" s="0"/>
      <c r="CV151" s="0"/>
      <c r="CW151" s="0"/>
      <c r="CX151" s="0"/>
      <c r="CY151" s="0"/>
      <c r="CZ151" s="0"/>
      <c r="DA151" s="0"/>
      <c r="DB151" s="0"/>
      <c r="DC151" s="0"/>
      <c r="DD151" s="0"/>
      <c r="DE151" s="0"/>
      <c r="DF151" s="0"/>
      <c r="DG151" s="0"/>
      <c r="DH151" s="0"/>
      <c r="DI151" s="0"/>
      <c r="DJ151" s="0"/>
      <c r="DK151" s="0"/>
      <c r="DL151" s="0"/>
      <c r="DM151" s="0"/>
      <c r="DN151" s="0"/>
      <c r="DO151" s="0"/>
      <c r="DP151" s="0"/>
      <c r="DQ151" s="0"/>
      <c r="DR151" s="0"/>
      <c r="DS151" s="0"/>
      <c r="DT151" s="0"/>
      <c r="DU151" s="0"/>
      <c r="DV151" s="0"/>
      <c r="DW151" s="0"/>
      <c r="DX151" s="0"/>
      <c r="DY151" s="0"/>
      <c r="DZ151" s="0"/>
      <c r="EA151" s="0"/>
      <c r="EB151" s="0"/>
      <c r="EC151" s="0"/>
      <c r="ED151" s="0"/>
      <c r="EE151" s="0"/>
      <c r="EF151" s="0"/>
      <c r="EG151" s="0"/>
      <c r="EH151" s="0"/>
      <c r="EI151" s="0"/>
      <c r="EJ151" s="0"/>
      <c r="EK151" s="0"/>
      <c r="EL151" s="0"/>
      <c r="EM151" s="0"/>
      <c r="EN151" s="0"/>
      <c r="EO151" s="0"/>
      <c r="EP151" s="0"/>
      <c r="EQ151" s="0"/>
      <c r="ER151" s="0"/>
      <c r="ES151" s="0"/>
      <c r="ET151" s="0"/>
      <c r="EU151" s="0"/>
      <c r="EV151" s="0"/>
      <c r="EW151" s="0"/>
      <c r="EX151" s="0"/>
      <c r="EY151" s="0"/>
      <c r="EZ151" s="0"/>
      <c r="FA151" s="0"/>
      <c r="FB151" s="0"/>
      <c r="FC151" s="0"/>
      <c r="FD151" s="0"/>
      <c r="FE151" s="0"/>
      <c r="FF151" s="0"/>
      <c r="FG151" s="0"/>
      <c r="FH151" s="0"/>
      <c r="FI151" s="0"/>
      <c r="FJ151" s="0"/>
      <c r="FK151" s="0"/>
      <c r="FL151" s="0"/>
      <c r="FM151" s="0"/>
      <c r="FN151" s="0"/>
      <c r="FO151" s="0"/>
      <c r="FP151" s="0"/>
      <c r="FQ151" s="0"/>
      <c r="FR151" s="0"/>
      <c r="FS151" s="0"/>
      <c r="FT151" s="0"/>
      <c r="FU151" s="0"/>
      <c r="FV151" s="0"/>
      <c r="FW151" s="0"/>
      <c r="FX151" s="0"/>
      <c r="FY151" s="0"/>
      <c r="FZ151" s="0"/>
      <c r="GA151" s="0"/>
      <c r="GB151" s="0"/>
      <c r="GC151" s="0"/>
      <c r="GD151" s="0"/>
      <c r="GE151" s="0"/>
      <c r="GF151" s="0"/>
      <c r="GG151" s="0"/>
      <c r="GH151" s="0"/>
      <c r="GI151" s="0"/>
      <c r="GJ151" s="0"/>
      <c r="GK151" s="0"/>
      <c r="GL151" s="0"/>
      <c r="GM151" s="0"/>
      <c r="GN151" s="0"/>
      <c r="GO151" s="0"/>
      <c r="GP151" s="0"/>
      <c r="GQ151" s="0"/>
      <c r="GR151" s="0"/>
      <c r="GS151" s="0"/>
      <c r="GT151" s="0"/>
      <c r="GU151" s="0"/>
      <c r="GV151" s="0"/>
      <c r="GW151" s="0"/>
      <c r="GX151" s="0"/>
      <c r="GY151" s="0"/>
      <c r="GZ151" s="0"/>
      <c r="HA151" s="0"/>
      <c r="HB151" s="0"/>
      <c r="HC151" s="0"/>
      <c r="HD151" s="0"/>
      <c r="HE151" s="0"/>
      <c r="HF151" s="0"/>
      <c r="HG151" s="0"/>
      <c r="HH151" s="0"/>
      <c r="HI151" s="0"/>
      <c r="HJ151" s="0"/>
      <c r="HK151" s="0"/>
      <c r="HL151" s="0"/>
      <c r="HM151" s="0"/>
      <c r="HN151" s="0"/>
      <c r="HO151" s="0"/>
      <c r="HP151" s="0"/>
      <c r="HQ151" s="0"/>
      <c r="HR151" s="0"/>
      <c r="HS151" s="0"/>
      <c r="HT151" s="0"/>
      <c r="HU151" s="0"/>
      <c r="HV151" s="0"/>
      <c r="HW151" s="0"/>
      <c r="HX151" s="0"/>
      <c r="HY151" s="0"/>
      <c r="HZ151" s="0"/>
      <c r="IA151" s="0"/>
      <c r="IB151" s="0"/>
      <c r="IC151" s="0"/>
      <c r="ID151" s="0"/>
      <c r="IE151" s="0"/>
      <c r="IF151" s="0"/>
      <c r="IG151" s="0"/>
      <c r="IH151" s="0"/>
      <c r="II151" s="0"/>
      <c r="IJ151" s="0"/>
      <c r="IK151" s="0"/>
      <c r="IL151" s="0"/>
      <c r="IM151" s="0"/>
      <c r="IN151" s="0"/>
      <c r="IO151" s="0"/>
      <c r="IP151" s="0"/>
      <c r="IQ151" s="0"/>
      <c r="IR151" s="0"/>
      <c r="IS151" s="0"/>
      <c r="IT151" s="0"/>
      <c r="IU151" s="0"/>
      <c r="IV151" s="0"/>
      <c r="IW151" s="0"/>
    </row>
    <row r="152" customFormat="false" ht="12.75" hidden="false" customHeight="false" outlineLevel="0" collapsed="false">
      <c r="A152" s="0"/>
      <c r="B152" s="0"/>
      <c r="C152" s="0"/>
      <c r="D152" s="0"/>
      <c r="E152" s="0"/>
      <c r="F152" s="0"/>
      <c r="G152" s="0"/>
      <c r="H152" s="0"/>
      <c r="I152" s="0"/>
      <c r="J152" s="0"/>
      <c r="K152" s="0"/>
      <c r="L152" s="0"/>
      <c r="M152" s="0"/>
      <c r="N152" s="0"/>
      <c r="O152" s="0"/>
      <c r="P152" s="0"/>
      <c r="Q152" s="0"/>
      <c r="R152" s="0"/>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c r="BA152" s="0"/>
      <c r="BB152" s="0"/>
      <c r="BC152" s="0"/>
      <c r="BD152" s="0"/>
      <c r="BE152" s="0"/>
      <c r="BF152" s="0"/>
      <c r="BG152" s="0"/>
      <c r="BH152" s="0"/>
      <c r="BI152" s="0"/>
      <c r="BJ152" s="0"/>
      <c r="BK152" s="0"/>
      <c r="BL152" s="0"/>
      <c r="BM152" s="0"/>
      <c r="BN152" s="0"/>
      <c r="BO152" s="0"/>
      <c r="BP152" s="0"/>
      <c r="BQ152" s="0"/>
      <c r="BR152" s="0"/>
      <c r="BS152" s="0"/>
      <c r="BT152" s="0"/>
      <c r="BU152" s="0"/>
      <c r="BV152" s="0"/>
      <c r="BW152" s="0"/>
      <c r="BX152" s="0"/>
      <c r="BY152" s="0"/>
      <c r="BZ152" s="0"/>
      <c r="CA152" s="0"/>
      <c r="CB152" s="0"/>
      <c r="CC152" s="0"/>
      <c r="CD152" s="0"/>
      <c r="CE152" s="0"/>
      <c r="CF152" s="0"/>
      <c r="CG152" s="0"/>
      <c r="CH152" s="0"/>
      <c r="CI152" s="0"/>
      <c r="CJ152" s="0"/>
      <c r="CK152" s="0"/>
      <c r="CL152" s="0"/>
      <c r="CM152" s="0"/>
      <c r="CN152" s="0"/>
      <c r="CO152" s="0"/>
      <c r="CP152" s="0"/>
      <c r="CQ152" s="0"/>
      <c r="CR152" s="0"/>
      <c r="CS152" s="0"/>
      <c r="CT152" s="0"/>
      <c r="CU152" s="0"/>
      <c r="CV152" s="0"/>
      <c r="CW152" s="0"/>
      <c r="CX152" s="0"/>
      <c r="CY152" s="0"/>
      <c r="CZ152" s="0"/>
      <c r="DA152" s="0"/>
      <c r="DB152" s="0"/>
      <c r="DC152" s="0"/>
      <c r="DD152" s="0"/>
      <c r="DE152" s="0"/>
      <c r="DF152" s="0"/>
      <c r="DG152" s="0"/>
      <c r="DH152" s="0"/>
      <c r="DI152" s="0"/>
      <c r="DJ152" s="0"/>
      <c r="DK152" s="0"/>
      <c r="DL152" s="0"/>
      <c r="DM152" s="0"/>
      <c r="DN152" s="0"/>
      <c r="DO152" s="0"/>
      <c r="DP152" s="0"/>
      <c r="DQ152" s="0"/>
      <c r="DR152" s="0"/>
      <c r="DS152" s="0"/>
      <c r="DT152" s="0"/>
      <c r="DU152" s="0"/>
      <c r="DV152" s="0"/>
      <c r="DW152" s="0"/>
      <c r="DX152" s="0"/>
      <c r="DY152" s="0"/>
      <c r="DZ152" s="0"/>
      <c r="EA152" s="0"/>
      <c r="EB152" s="0"/>
      <c r="EC152" s="0"/>
      <c r="ED152" s="0"/>
      <c r="EE152" s="0"/>
      <c r="EF152" s="0"/>
      <c r="EG152" s="0"/>
      <c r="EH152" s="0"/>
      <c r="EI152" s="0"/>
      <c r="EJ152" s="0"/>
      <c r="EK152" s="0"/>
      <c r="EL152" s="0"/>
      <c r="EM152" s="0"/>
      <c r="EN152" s="0"/>
      <c r="EO152" s="0"/>
      <c r="EP152" s="0"/>
      <c r="EQ152" s="0"/>
      <c r="ER152" s="0"/>
      <c r="ES152" s="0"/>
      <c r="ET152" s="0"/>
      <c r="EU152" s="0"/>
      <c r="EV152" s="0"/>
      <c r="EW152" s="0"/>
      <c r="EX152" s="0"/>
      <c r="EY152" s="0"/>
      <c r="EZ152" s="0"/>
      <c r="FA152" s="0"/>
      <c r="FB152" s="0"/>
      <c r="FC152" s="0"/>
      <c r="FD152" s="0"/>
      <c r="FE152" s="0"/>
      <c r="FF152" s="0"/>
      <c r="FG152" s="0"/>
      <c r="FH152" s="0"/>
      <c r="FI152" s="0"/>
      <c r="FJ152" s="0"/>
      <c r="FK152" s="0"/>
      <c r="FL152" s="0"/>
      <c r="FM152" s="0"/>
      <c r="FN152" s="0"/>
      <c r="FO152" s="0"/>
      <c r="FP152" s="0"/>
      <c r="FQ152" s="0"/>
      <c r="FR152" s="0"/>
      <c r="FS152" s="0"/>
      <c r="FT152" s="0"/>
      <c r="FU152" s="0"/>
      <c r="FV152" s="0"/>
      <c r="FW152" s="0"/>
      <c r="FX152" s="0"/>
      <c r="FY152" s="0"/>
      <c r="FZ152" s="0"/>
      <c r="GA152" s="0"/>
      <c r="GB152" s="0"/>
      <c r="GC152" s="0"/>
      <c r="GD152" s="0"/>
      <c r="GE152" s="0"/>
      <c r="GF152" s="0"/>
      <c r="GG152" s="0"/>
      <c r="GH152" s="0"/>
      <c r="GI152" s="0"/>
      <c r="GJ152" s="0"/>
      <c r="GK152" s="0"/>
      <c r="GL152" s="0"/>
      <c r="GM152" s="0"/>
      <c r="GN152" s="0"/>
      <c r="GO152" s="0"/>
      <c r="GP152" s="0"/>
      <c r="GQ152" s="0"/>
      <c r="GR152" s="0"/>
      <c r="GS152" s="0"/>
      <c r="GT152" s="0"/>
      <c r="GU152" s="0"/>
      <c r="GV152" s="0"/>
      <c r="GW152" s="0"/>
      <c r="GX152" s="0"/>
      <c r="GY152" s="0"/>
      <c r="GZ152" s="0"/>
      <c r="HA152" s="0"/>
      <c r="HB152" s="0"/>
      <c r="HC152" s="0"/>
      <c r="HD152" s="0"/>
      <c r="HE152" s="0"/>
      <c r="HF152" s="0"/>
      <c r="HG152" s="0"/>
      <c r="HH152" s="0"/>
      <c r="HI152" s="0"/>
      <c r="HJ152" s="0"/>
      <c r="HK152" s="0"/>
      <c r="HL152" s="0"/>
      <c r="HM152" s="0"/>
      <c r="HN152" s="0"/>
      <c r="HO152" s="0"/>
      <c r="HP152" s="0"/>
      <c r="HQ152" s="0"/>
      <c r="HR152" s="0"/>
      <c r="HS152" s="0"/>
      <c r="HT152" s="0"/>
      <c r="HU152" s="0"/>
      <c r="HV152" s="0"/>
      <c r="HW152" s="0"/>
      <c r="HX152" s="0"/>
      <c r="HY152" s="0"/>
      <c r="HZ152" s="0"/>
      <c r="IA152" s="0"/>
      <c r="IB152" s="0"/>
      <c r="IC152" s="0"/>
      <c r="ID152" s="0"/>
      <c r="IE152" s="0"/>
      <c r="IF152" s="0"/>
      <c r="IG152" s="0"/>
      <c r="IH152" s="0"/>
      <c r="II152" s="0"/>
      <c r="IJ152" s="0"/>
      <c r="IK152" s="0"/>
      <c r="IL152" s="0"/>
      <c r="IM152" s="0"/>
      <c r="IN152" s="0"/>
      <c r="IO152" s="0"/>
      <c r="IP152" s="0"/>
      <c r="IQ152" s="0"/>
      <c r="IR152" s="0"/>
      <c r="IS152" s="0"/>
      <c r="IT152" s="0"/>
      <c r="IU152" s="0"/>
      <c r="IV152" s="0"/>
      <c r="IW152" s="0"/>
    </row>
    <row r="153" customFormat="false" ht="12.75" hidden="false" customHeight="false" outlineLevel="0" collapsed="false">
      <c r="A153" s="0"/>
      <c r="B153" s="0"/>
      <c r="C153" s="0"/>
      <c r="D153" s="0"/>
      <c r="E153" s="0"/>
      <c r="F153" s="0"/>
      <c r="G153" s="0"/>
      <c r="H153" s="0"/>
      <c r="I153" s="0"/>
      <c r="J153" s="0"/>
      <c r="K153" s="0"/>
      <c r="L153" s="0"/>
      <c r="M153" s="0"/>
      <c r="N153" s="0"/>
      <c r="O153" s="0"/>
      <c r="P153" s="0"/>
      <c r="Q153" s="0"/>
      <c r="R153" s="0"/>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c r="BA153" s="0"/>
      <c r="BB153" s="0"/>
      <c r="BC153" s="0"/>
      <c r="BD153" s="0"/>
      <c r="BE153" s="0"/>
      <c r="BF153" s="0"/>
      <c r="BG153" s="0"/>
      <c r="BH153" s="0"/>
      <c r="BI153" s="0"/>
      <c r="BJ153" s="0"/>
      <c r="BK153" s="0"/>
      <c r="BL153" s="0"/>
      <c r="BM153" s="0"/>
      <c r="BN153" s="0"/>
      <c r="BO153" s="0"/>
      <c r="BP153" s="0"/>
      <c r="BQ153" s="0"/>
      <c r="BR153" s="0"/>
      <c r="BS153" s="0"/>
      <c r="BT153" s="0"/>
      <c r="BU153" s="0"/>
      <c r="BV153" s="0"/>
      <c r="BW153" s="0"/>
      <c r="BX153" s="0"/>
      <c r="BY153" s="0"/>
      <c r="BZ153" s="0"/>
      <c r="CA153" s="0"/>
      <c r="CB153" s="0"/>
      <c r="CC153" s="0"/>
      <c r="CD153" s="0"/>
      <c r="CE153" s="0"/>
      <c r="CF153" s="0"/>
      <c r="CG153" s="0"/>
      <c r="CH153" s="0"/>
      <c r="CI153" s="0"/>
      <c r="CJ153" s="0"/>
      <c r="CK153" s="0"/>
      <c r="CL153" s="0"/>
      <c r="CM153" s="0"/>
      <c r="CN153" s="0"/>
      <c r="CO153" s="0"/>
      <c r="CP153" s="0"/>
      <c r="CQ153" s="0"/>
      <c r="CR153" s="0"/>
      <c r="CS153" s="0"/>
      <c r="CT153" s="0"/>
      <c r="CU153" s="0"/>
      <c r="CV153" s="0"/>
      <c r="CW153" s="0"/>
      <c r="CX153" s="0"/>
      <c r="CY153" s="0"/>
      <c r="CZ153" s="0"/>
      <c r="DA153" s="0"/>
      <c r="DB153" s="0"/>
      <c r="DC153" s="0"/>
      <c r="DD153" s="0"/>
      <c r="DE153" s="0"/>
      <c r="DF153" s="0"/>
      <c r="DG153" s="0"/>
      <c r="DH153" s="0"/>
      <c r="DI153" s="0"/>
      <c r="DJ153" s="0"/>
      <c r="DK153" s="0"/>
      <c r="DL153" s="0"/>
      <c r="DM153" s="0"/>
      <c r="DN153" s="0"/>
      <c r="DO153" s="0"/>
      <c r="DP153" s="0"/>
      <c r="DQ153" s="0"/>
      <c r="DR153" s="0"/>
      <c r="DS153" s="0"/>
      <c r="DT153" s="0"/>
      <c r="DU153" s="0"/>
      <c r="DV153" s="0"/>
      <c r="DW153" s="0"/>
      <c r="DX153" s="0"/>
      <c r="DY153" s="0"/>
      <c r="DZ153" s="0"/>
      <c r="EA153" s="0"/>
      <c r="EB153" s="0"/>
      <c r="EC153" s="0"/>
      <c r="ED153" s="0"/>
      <c r="EE153" s="0"/>
      <c r="EF153" s="0"/>
      <c r="EG153" s="0"/>
      <c r="EH153" s="0"/>
      <c r="EI153" s="0"/>
      <c r="EJ153" s="0"/>
      <c r="EK153" s="0"/>
      <c r="EL153" s="0"/>
      <c r="EM153" s="0"/>
      <c r="EN153" s="0"/>
      <c r="EO153" s="0"/>
      <c r="EP153" s="0"/>
      <c r="EQ153" s="0"/>
      <c r="ER153" s="0"/>
      <c r="ES153" s="0"/>
      <c r="ET153" s="0"/>
      <c r="EU153" s="0"/>
      <c r="EV153" s="0"/>
      <c r="EW153" s="0"/>
      <c r="EX153" s="0"/>
      <c r="EY153" s="0"/>
      <c r="EZ153" s="0"/>
      <c r="FA153" s="0"/>
      <c r="FB153" s="0"/>
      <c r="FC153" s="0"/>
      <c r="FD153" s="0"/>
      <c r="FE153" s="0"/>
      <c r="FF153" s="0"/>
      <c r="FG153" s="0"/>
      <c r="FH153" s="0"/>
      <c r="FI153" s="0"/>
      <c r="FJ153" s="0"/>
      <c r="FK153" s="0"/>
      <c r="FL153" s="0"/>
      <c r="FM153" s="0"/>
      <c r="FN153" s="0"/>
      <c r="FO153" s="0"/>
      <c r="FP153" s="0"/>
      <c r="FQ153" s="0"/>
      <c r="FR153" s="0"/>
      <c r="FS153" s="0"/>
      <c r="FT153" s="0"/>
      <c r="FU153" s="0"/>
      <c r="FV153" s="0"/>
      <c r="FW153" s="0"/>
      <c r="FX153" s="0"/>
      <c r="FY153" s="0"/>
      <c r="FZ153" s="0"/>
      <c r="GA153" s="0"/>
      <c r="GB153" s="0"/>
      <c r="GC153" s="0"/>
      <c r="GD153" s="0"/>
      <c r="GE153" s="0"/>
      <c r="GF153" s="0"/>
      <c r="GG153" s="0"/>
      <c r="GH153" s="0"/>
      <c r="GI153" s="0"/>
      <c r="GJ153" s="0"/>
      <c r="GK153" s="0"/>
      <c r="GL153" s="0"/>
      <c r="GM153" s="0"/>
      <c r="GN153" s="0"/>
      <c r="GO153" s="0"/>
      <c r="GP153" s="0"/>
      <c r="GQ153" s="0"/>
      <c r="GR153" s="0"/>
      <c r="GS153" s="0"/>
      <c r="GT153" s="0"/>
      <c r="GU153" s="0"/>
      <c r="GV153" s="0"/>
      <c r="GW153" s="0"/>
      <c r="GX153" s="0"/>
      <c r="GY153" s="0"/>
      <c r="GZ153" s="0"/>
      <c r="HA153" s="0"/>
      <c r="HB153" s="0"/>
      <c r="HC153" s="0"/>
      <c r="HD153" s="0"/>
      <c r="HE153" s="0"/>
      <c r="HF153" s="0"/>
      <c r="HG153" s="0"/>
      <c r="HH153" s="0"/>
      <c r="HI153" s="0"/>
      <c r="HJ153" s="0"/>
      <c r="HK153" s="0"/>
      <c r="HL153" s="0"/>
      <c r="HM153" s="0"/>
      <c r="HN153" s="0"/>
      <c r="HO153" s="0"/>
      <c r="HP153" s="0"/>
      <c r="HQ153" s="0"/>
      <c r="HR153" s="0"/>
      <c r="HS153" s="0"/>
      <c r="HT153" s="0"/>
      <c r="HU153" s="0"/>
      <c r="HV153" s="0"/>
      <c r="HW153" s="0"/>
      <c r="HX153" s="0"/>
      <c r="HY153" s="0"/>
      <c r="HZ153" s="0"/>
      <c r="IA153" s="0"/>
      <c r="IB153" s="0"/>
      <c r="IC153" s="0"/>
      <c r="ID153" s="0"/>
      <c r="IE153" s="0"/>
      <c r="IF153" s="0"/>
      <c r="IG153" s="0"/>
      <c r="IH153" s="0"/>
      <c r="II153" s="0"/>
      <c r="IJ153" s="0"/>
      <c r="IK153" s="0"/>
      <c r="IL153" s="0"/>
      <c r="IM153" s="0"/>
      <c r="IN153" s="0"/>
      <c r="IO153" s="0"/>
      <c r="IP153" s="0"/>
      <c r="IQ153" s="0"/>
      <c r="IR153" s="0"/>
      <c r="IS153" s="0"/>
      <c r="IT153" s="0"/>
      <c r="IU153" s="0"/>
      <c r="IV153" s="0"/>
      <c r="IW153" s="0"/>
    </row>
    <row r="154" customFormat="false" ht="12.75" hidden="false" customHeight="false" outlineLevel="0" collapsed="false">
      <c r="A154" s="0"/>
      <c r="B154" s="0"/>
      <c r="C154" s="0"/>
      <c r="D154" s="0"/>
      <c r="E154" s="0"/>
      <c r="F154" s="0"/>
      <c r="G154" s="0"/>
      <c r="H154" s="0"/>
      <c r="I154" s="0"/>
      <c r="J154" s="0"/>
      <c r="K154" s="0"/>
      <c r="L154" s="0"/>
      <c r="M154" s="0"/>
      <c r="N154" s="0"/>
      <c r="O154" s="0"/>
      <c r="P154" s="0"/>
      <c r="Q154" s="0"/>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c r="BB154" s="0"/>
      <c r="BC154" s="0"/>
      <c r="BD154" s="0"/>
      <c r="BE154" s="0"/>
      <c r="BF154" s="0"/>
      <c r="BG154" s="0"/>
      <c r="BH154" s="0"/>
      <c r="BI154" s="0"/>
      <c r="BJ154" s="0"/>
      <c r="BK154" s="0"/>
      <c r="BL154" s="0"/>
      <c r="BM154" s="0"/>
      <c r="BN154" s="0"/>
      <c r="BO154" s="0"/>
      <c r="BP154" s="0"/>
      <c r="BQ154" s="0"/>
      <c r="BR154" s="0"/>
      <c r="BS154" s="0"/>
      <c r="BT154" s="0"/>
      <c r="BU154" s="0"/>
      <c r="BV154" s="0"/>
      <c r="BW154" s="0"/>
      <c r="BX154" s="0"/>
      <c r="BY154" s="0"/>
      <c r="BZ154" s="0"/>
      <c r="CA154" s="0"/>
      <c r="CB154" s="0"/>
      <c r="CC154" s="0"/>
      <c r="CD154" s="0"/>
      <c r="CE154" s="0"/>
      <c r="CF154" s="0"/>
      <c r="CG154" s="0"/>
      <c r="CH154" s="0"/>
      <c r="CI154" s="0"/>
      <c r="CJ154" s="0"/>
      <c r="CK154" s="0"/>
      <c r="CL154" s="0"/>
      <c r="CM154" s="0"/>
      <c r="CN154" s="0"/>
      <c r="CO154" s="0"/>
      <c r="CP154" s="0"/>
      <c r="CQ154" s="0"/>
      <c r="CR154" s="0"/>
      <c r="CS154" s="0"/>
      <c r="CT154" s="0"/>
      <c r="CU154" s="0"/>
      <c r="CV154" s="0"/>
      <c r="CW154" s="0"/>
      <c r="CX154" s="0"/>
      <c r="CY154" s="0"/>
      <c r="CZ154" s="0"/>
      <c r="DA154" s="0"/>
      <c r="DB154" s="0"/>
      <c r="DC154" s="0"/>
      <c r="DD154" s="0"/>
      <c r="DE154" s="0"/>
      <c r="DF154" s="0"/>
      <c r="DG154" s="0"/>
      <c r="DH154" s="0"/>
      <c r="DI154" s="0"/>
      <c r="DJ154" s="0"/>
      <c r="DK154" s="0"/>
      <c r="DL154" s="0"/>
      <c r="DM154" s="0"/>
      <c r="DN154" s="0"/>
      <c r="DO154" s="0"/>
      <c r="DP154" s="0"/>
      <c r="DQ154" s="0"/>
      <c r="DR154" s="0"/>
      <c r="DS154" s="0"/>
      <c r="DT154" s="0"/>
      <c r="DU154" s="0"/>
      <c r="DV154" s="0"/>
      <c r="DW154" s="0"/>
      <c r="DX154" s="0"/>
      <c r="DY154" s="0"/>
      <c r="DZ154" s="0"/>
      <c r="EA154" s="0"/>
      <c r="EB154" s="0"/>
      <c r="EC154" s="0"/>
      <c r="ED154" s="0"/>
      <c r="EE154" s="0"/>
      <c r="EF154" s="0"/>
      <c r="EG154" s="0"/>
      <c r="EH154" s="0"/>
      <c r="EI154" s="0"/>
      <c r="EJ154" s="0"/>
      <c r="EK154" s="0"/>
      <c r="EL154" s="0"/>
      <c r="EM154" s="0"/>
      <c r="EN154" s="0"/>
      <c r="EO154" s="0"/>
      <c r="EP154" s="0"/>
      <c r="EQ154" s="0"/>
      <c r="ER154" s="0"/>
      <c r="ES154" s="0"/>
      <c r="ET154" s="0"/>
      <c r="EU154" s="0"/>
      <c r="EV154" s="0"/>
      <c r="EW154" s="0"/>
      <c r="EX154" s="0"/>
      <c r="EY154" s="0"/>
      <c r="EZ154" s="0"/>
      <c r="FA154" s="0"/>
      <c r="FB154" s="0"/>
      <c r="FC154" s="0"/>
      <c r="FD154" s="0"/>
      <c r="FE154" s="0"/>
      <c r="FF154" s="0"/>
      <c r="FG154" s="0"/>
      <c r="FH154" s="0"/>
      <c r="FI154" s="0"/>
      <c r="FJ154" s="0"/>
      <c r="FK154" s="0"/>
      <c r="FL154" s="0"/>
      <c r="FM154" s="0"/>
      <c r="FN154" s="0"/>
      <c r="FO154" s="0"/>
      <c r="FP154" s="0"/>
      <c r="FQ154" s="0"/>
      <c r="FR154" s="0"/>
      <c r="FS154" s="0"/>
      <c r="FT154" s="0"/>
      <c r="FU154" s="0"/>
      <c r="FV154" s="0"/>
      <c r="FW154" s="0"/>
      <c r="FX154" s="0"/>
      <c r="FY154" s="0"/>
      <c r="FZ154" s="0"/>
      <c r="GA154" s="0"/>
      <c r="GB154" s="0"/>
      <c r="GC154" s="0"/>
      <c r="GD154" s="0"/>
      <c r="GE154" s="0"/>
      <c r="GF154" s="0"/>
      <c r="GG154" s="0"/>
      <c r="GH154" s="0"/>
      <c r="GI154" s="0"/>
      <c r="GJ154" s="0"/>
      <c r="GK154" s="0"/>
      <c r="GL154" s="0"/>
      <c r="GM154" s="0"/>
      <c r="GN154" s="0"/>
      <c r="GO154" s="0"/>
      <c r="GP154" s="0"/>
      <c r="GQ154" s="0"/>
      <c r="GR154" s="0"/>
      <c r="GS154" s="0"/>
      <c r="GT154" s="0"/>
      <c r="GU154" s="0"/>
      <c r="GV154" s="0"/>
      <c r="GW154" s="0"/>
      <c r="GX154" s="0"/>
      <c r="GY154" s="0"/>
      <c r="GZ154" s="0"/>
      <c r="HA154" s="0"/>
      <c r="HB154" s="0"/>
      <c r="HC154" s="0"/>
      <c r="HD154" s="0"/>
      <c r="HE154" s="0"/>
      <c r="HF154" s="0"/>
      <c r="HG154" s="0"/>
      <c r="HH154" s="0"/>
      <c r="HI154" s="0"/>
      <c r="HJ154" s="0"/>
      <c r="HK154" s="0"/>
      <c r="HL154" s="0"/>
      <c r="HM154" s="0"/>
      <c r="HN154" s="0"/>
      <c r="HO154" s="0"/>
      <c r="HP154" s="0"/>
      <c r="HQ154" s="0"/>
      <c r="HR154" s="0"/>
      <c r="HS154" s="0"/>
      <c r="HT154" s="0"/>
      <c r="HU154" s="0"/>
      <c r="HV154" s="0"/>
      <c r="HW154" s="0"/>
      <c r="HX154" s="0"/>
      <c r="HY154" s="0"/>
      <c r="HZ154" s="0"/>
      <c r="IA154" s="0"/>
      <c r="IB154" s="0"/>
      <c r="IC154" s="0"/>
      <c r="ID154" s="0"/>
      <c r="IE154" s="0"/>
      <c r="IF154" s="0"/>
      <c r="IG154" s="0"/>
      <c r="IH154" s="0"/>
      <c r="II154" s="0"/>
      <c r="IJ154" s="0"/>
      <c r="IK154" s="0"/>
      <c r="IL154" s="0"/>
      <c r="IM154" s="0"/>
      <c r="IN154" s="0"/>
      <c r="IO154" s="0"/>
      <c r="IP154" s="0"/>
      <c r="IQ154" s="0"/>
      <c r="IR154" s="0"/>
      <c r="IS154" s="0"/>
      <c r="IT154" s="0"/>
      <c r="IU154" s="0"/>
      <c r="IV154" s="0"/>
      <c r="IW154" s="0"/>
    </row>
    <row r="155" customFormat="false" ht="12.75" hidden="false" customHeight="false" outlineLevel="0" collapsed="false">
      <c r="A155" s="0"/>
      <c r="B155" s="0"/>
      <c r="C155" s="0"/>
      <c r="D155" s="0"/>
      <c r="E155" s="0"/>
      <c r="F155" s="0"/>
      <c r="G155" s="0"/>
      <c r="H155" s="0"/>
      <c r="I155" s="0"/>
      <c r="J155" s="0"/>
      <c r="K155" s="0"/>
      <c r="L155" s="0"/>
      <c r="M155" s="0"/>
      <c r="N155" s="0"/>
      <c r="O155" s="0"/>
      <c r="P155" s="0"/>
      <c r="Q155" s="0"/>
      <c r="R155" s="0"/>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c r="BA155" s="0"/>
      <c r="BB155" s="0"/>
      <c r="BC155" s="0"/>
      <c r="BD155" s="0"/>
      <c r="BE155" s="0"/>
      <c r="BF155" s="0"/>
      <c r="BG155" s="0"/>
      <c r="BH155" s="0"/>
      <c r="BI155" s="0"/>
      <c r="BJ155" s="0"/>
      <c r="BK155" s="0"/>
      <c r="BL155" s="0"/>
      <c r="BM155" s="0"/>
      <c r="BN155" s="0"/>
      <c r="BO155" s="0"/>
      <c r="BP155" s="0"/>
      <c r="BQ155" s="0"/>
      <c r="BR155" s="0"/>
      <c r="BS155" s="0"/>
      <c r="BT155" s="0"/>
      <c r="BU155" s="0"/>
      <c r="BV155" s="0"/>
      <c r="BW155" s="0"/>
      <c r="BX155" s="0"/>
      <c r="BY155" s="0"/>
      <c r="BZ155" s="0"/>
      <c r="CA155" s="0"/>
      <c r="CB155" s="0"/>
      <c r="CC155" s="0"/>
      <c r="CD155" s="0"/>
      <c r="CE155" s="0"/>
      <c r="CF155" s="0"/>
      <c r="CG155" s="0"/>
      <c r="CH155" s="0"/>
      <c r="CI155" s="0"/>
      <c r="CJ155" s="0"/>
      <c r="CK155" s="0"/>
      <c r="CL155" s="0"/>
      <c r="CM155" s="0"/>
      <c r="CN155" s="0"/>
      <c r="CO155" s="0"/>
      <c r="CP155" s="0"/>
      <c r="CQ155" s="0"/>
      <c r="CR155" s="0"/>
      <c r="CS155" s="0"/>
      <c r="CT155" s="0"/>
      <c r="CU155" s="0"/>
      <c r="CV155" s="0"/>
      <c r="CW155" s="0"/>
      <c r="CX155" s="0"/>
      <c r="CY155" s="0"/>
      <c r="CZ155" s="0"/>
      <c r="DA155" s="0"/>
      <c r="DB155" s="0"/>
      <c r="DC155" s="0"/>
      <c r="DD155" s="0"/>
      <c r="DE155" s="0"/>
      <c r="DF155" s="0"/>
      <c r="DG155" s="0"/>
      <c r="DH155" s="0"/>
      <c r="DI155" s="0"/>
      <c r="DJ155" s="0"/>
      <c r="DK155" s="0"/>
      <c r="DL155" s="0"/>
      <c r="DM155" s="0"/>
      <c r="DN155" s="0"/>
      <c r="DO155" s="0"/>
      <c r="DP155" s="0"/>
      <c r="DQ155" s="0"/>
      <c r="DR155" s="0"/>
      <c r="DS155" s="0"/>
      <c r="DT155" s="0"/>
      <c r="DU155" s="0"/>
      <c r="DV155" s="0"/>
      <c r="DW155" s="0"/>
      <c r="DX155" s="0"/>
      <c r="DY155" s="0"/>
      <c r="DZ155" s="0"/>
      <c r="EA155" s="0"/>
      <c r="EB155" s="0"/>
      <c r="EC155" s="0"/>
      <c r="ED155" s="0"/>
      <c r="EE155" s="0"/>
      <c r="EF155" s="0"/>
      <c r="EG155" s="0"/>
      <c r="EH155" s="0"/>
      <c r="EI155" s="0"/>
      <c r="EJ155" s="0"/>
      <c r="EK155" s="0"/>
      <c r="EL155" s="0"/>
      <c r="EM155" s="0"/>
      <c r="EN155" s="0"/>
      <c r="EO155" s="0"/>
      <c r="EP155" s="0"/>
      <c r="EQ155" s="0"/>
      <c r="ER155" s="0"/>
      <c r="ES155" s="0"/>
      <c r="ET155" s="0"/>
      <c r="EU155" s="0"/>
      <c r="EV155" s="0"/>
      <c r="EW155" s="0"/>
      <c r="EX155" s="0"/>
      <c r="EY155" s="0"/>
      <c r="EZ155" s="0"/>
      <c r="FA155" s="0"/>
      <c r="FB155" s="0"/>
      <c r="FC155" s="0"/>
      <c r="FD155" s="0"/>
      <c r="FE155" s="0"/>
      <c r="FF155" s="0"/>
      <c r="FG155" s="0"/>
      <c r="FH155" s="0"/>
      <c r="FI155" s="0"/>
      <c r="FJ155" s="0"/>
      <c r="FK155" s="0"/>
      <c r="FL155" s="0"/>
      <c r="FM155" s="0"/>
      <c r="FN155" s="0"/>
      <c r="FO155" s="0"/>
      <c r="FP155" s="0"/>
      <c r="FQ155" s="0"/>
      <c r="FR155" s="0"/>
      <c r="FS155" s="0"/>
      <c r="FT155" s="0"/>
      <c r="FU155" s="0"/>
      <c r="FV155" s="0"/>
      <c r="FW155" s="0"/>
      <c r="FX155" s="0"/>
      <c r="FY155" s="0"/>
      <c r="FZ155" s="0"/>
      <c r="GA155" s="0"/>
      <c r="GB155" s="0"/>
      <c r="GC155" s="0"/>
      <c r="GD155" s="0"/>
      <c r="GE155" s="0"/>
      <c r="GF155" s="0"/>
      <c r="GG155" s="0"/>
      <c r="GH155" s="0"/>
      <c r="GI155" s="0"/>
      <c r="GJ155" s="0"/>
      <c r="GK155" s="0"/>
      <c r="GL155" s="0"/>
      <c r="GM155" s="0"/>
      <c r="GN155" s="0"/>
      <c r="GO155" s="0"/>
      <c r="GP155" s="0"/>
      <c r="GQ155" s="0"/>
      <c r="GR155" s="0"/>
      <c r="GS155" s="0"/>
      <c r="GT155" s="0"/>
      <c r="GU155" s="0"/>
      <c r="GV155" s="0"/>
      <c r="GW155" s="0"/>
      <c r="GX155" s="0"/>
      <c r="GY155" s="0"/>
      <c r="GZ155" s="0"/>
      <c r="HA155" s="0"/>
      <c r="HB155" s="0"/>
      <c r="HC155" s="0"/>
      <c r="HD155" s="0"/>
      <c r="HE155" s="0"/>
      <c r="HF155" s="0"/>
      <c r="HG155" s="0"/>
      <c r="HH155" s="0"/>
      <c r="HI155" s="0"/>
      <c r="HJ155" s="0"/>
      <c r="HK155" s="0"/>
      <c r="HL155" s="0"/>
      <c r="HM155" s="0"/>
      <c r="HN155" s="0"/>
      <c r="HO155" s="0"/>
      <c r="HP155" s="0"/>
      <c r="HQ155" s="0"/>
      <c r="HR155" s="0"/>
      <c r="HS155" s="0"/>
      <c r="HT155" s="0"/>
      <c r="HU155" s="0"/>
      <c r="HV155" s="0"/>
      <c r="HW155" s="0"/>
      <c r="HX155" s="0"/>
      <c r="HY155" s="0"/>
      <c r="HZ155" s="0"/>
      <c r="IA155" s="0"/>
      <c r="IB155" s="0"/>
      <c r="IC155" s="0"/>
      <c r="ID155" s="0"/>
      <c r="IE155" s="0"/>
      <c r="IF155" s="0"/>
      <c r="IG155" s="0"/>
      <c r="IH155" s="0"/>
      <c r="II155" s="0"/>
      <c r="IJ155" s="0"/>
      <c r="IK155" s="0"/>
      <c r="IL155" s="0"/>
      <c r="IM155" s="0"/>
      <c r="IN155" s="0"/>
      <c r="IO155" s="0"/>
      <c r="IP155" s="0"/>
      <c r="IQ155" s="0"/>
      <c r="IR155" s="0"/>
      <c r="IS155" s="0"/>
      <c r="IT155" s="0"/>
      <c r="IU155" s="0"/>
      <c r="IV155" s="0"/>
      <c r="IW155" s="0"/>
    </row>
    <row r="156" customFormat="false" ht="12.75" hidden="false" customHeight="false" outlineLevel="0" collapsed="false">
      <c r="A156" s="0"/>
      <c r="B156" s="0"/>
      <c r="C156" s="0"/>
      <c r="D156" s="0"/>
      <c r="E156" s="0"/>
      <c r="F156" s="0"/>
      <c r="G156" s="0"/>
      <c r="H156" s="0"/>
      <c r="I156" s="0"/>
      <c r="J156" s="0"/>
      <c r="K156" s="0"/>
      <c r="L156" s="0"/>
      <c r="M156" s="0"/>
      <c r="N156" s="0"/>
      <c r="O156" s="0"/>
      <c r="P156" s="0"/>
      <c r="Q156" s="0"/>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c r="BA156" s="0"/>
      <c r="BB156" s="0"/>
      <c r="BC156" s="0"/>
      <c r="BD156" s="0"/>
      <c r="BE156" s="0"/>
      <c r="BF156" s="0"/>
      <c r="BG156" s="0"/>
      <c r="BH156" s="0"/>
      <c r="BI156" s="0"/>
      <c r="BJ156" s="0"/>
      <c r="BK156" s="0"/>
      <c r="BL156" s="0"/>
      <c r="BM156" s="0"/>
      <c r="BN156" s="0"/>
      <c r="BO156" s="0"/>
      <c r="BP156" s="0"/>
      <c r="BQ156" s="0"/>
      <c r="BR156" s="0"/>
      <c r="BS156" s="0"/>
      <c r="BT156" s="0"/>
      <c r="BU156" s="0"/>
      <c r="BV156" s="0"/>
      <c r="BW156" s="0"/>
      <c r="BX156" s="0"/>
      <c r="BY156" s="0"/>
      <c r="BZ156" s="0"/>
      <c r="CA156" s="0"/>
      <c r="CB156" s="0"/>
      <c r="CC156" s="0"/>
      <c r="CD156" s="0"/>
      <c r="CE156" s="0"/>
      <c r="CF156" s="0"/>
      <c r="CG156" s="0"/>
      <c r="CH156" s="0"/>
      <c r="CI156" s="0"/>
      <c r="CJ156" s="0"/>
      <c r="CK156" s="0"/>
      <c r="CL156" s="0"/>
      <c r="CM156" s="0"/>
      <c r="CN156" s="0"/>
      <c r="CO156" s="0"/>
      <c r="CP156" s="0"/>
      <c r="CQ156" s="0"/>
      <c r="CR156" s="0"/>
      <c r="CS156" s="0"/>
      <c r="CT156" s="0"/>
      <c r="CU156" s="0"/>
      <c r="CV156" s="0"/>
      <c r="CW156" s="0"/>
      <c r="CX156" s="0"/>
      <c r="CY156" s="0"/>
      <c r="CZ156" s="0"/>
      <c r="DA156" s="0"/>
      <c r="DB156" s="0"/>
      <c r="DC156" s="0"/>
      <c r="DD156" s="0"/>
      <c r="DE156" s="0"/>
      <c r="DF156" s="0"/>
      <c r="DG156" s="0"/>
      <c r="DH156" s="0"/>
      <c r="DI156" s="0"/>
      <c r="DJ156" s="0"/>
      <c r="DK156" s="0"/>
      <c r="DL156" s="0"/>
      <c r="DM156" s="0"/>
      <c r="DN156" s="0"/>
      <c r="DO156" s="0"/>
      <c r="DP156" s="0"/>
      <c r="DQ156" s="0"/>
      <c r="DR156" s="0"/>
      <c r="DS156" s="0"/>
      <c r="DT156" s="0"/>
      <c r="DU156" s="0"/>
      <c r="DV156" s="0"/>
      <c r="DW156" s="0"/>
      <c r="DX156" s="0"/>
      <c r="DY156" s="0"/>
      <c r="DZ156" s="0"/>
      <c r="EA156" s="0"/>
      <c r="EB156" s="0"/>
      <c r="EC156" s="0"/>
      <c r="ED156" s="0"/>
      <c r="EE156" s="0"/>
      <c r="EF156" s="0"/>
      <c r="EG156" s="0"/>
      <c r="EH156" s="0"/>
      <c r="EI156" s="0"/>
      <c r="EJ156" s="0"/>
      <c r="EK156" s="0"/>
      <c r="EL156" s="0"/>
      <c r="EM156" s="0"/>
      <c r="EN156" s="0"/>
      <c r="EO156" s="0"/>
      <c r="EP156" s="0"/>
      <c r="EQ156" s="0"/>
      <c r="ER156" s="0"/>
      <c r="ES156" s="0"/>
      <c r="ET156" s="0"/>
      <c r="EU156" s="0"/>
      <c r="EV156" s="0"/>
      <c r="EW156" s="0"/>
      <c r="EX156" s="0"/>
      <c r="EY156" s="0"/>
      <c r="EZ156" s="0"/>
      <c r="FA156" s="0"/>
      <c r="FB156" s="0"/>
      <c r="FC156" s="0"/>
      <c r="FD156" s="0"/>
      <c r="FE156" s="0"/>
      <c r="FF156" s="0"/>
      <c r="FG156" s="0"/>
      <c r="FH156" s="0"/>
      <c r="FI156" s="0"/>
      <c r="FJ156" s="0"/>
      <c r="FK156" s="0"/>
      <c r="FL156" s="0"/>
      <c r="FM156" s="0"/>
      <c r="FN156" s="0"/>
      <c r="FO156" s="0"/>
      <c r="FP156" s="0"/>
      <c r="FQ156" s="0"/>
      <c r="FR156" s="0"/>
      <c r="FS156" s="0"/>
      <c r="FT156" s="0"/>
      <c r="FU156" s="0"/>
      <c r="FV156" s="0"/>
      <c r="FW156" s="0"/>
      <c r="FX156" s="0"/>
      <c r="FY156" s="0"/>
      <c r="FZ156" s="0"/>
      <c r="GA156" s="0"/>
      <c r="GB156" s="0"/>
      <c r="GC156" s="0"/>
      <c r="GD156" s="0"/>
      <c r="GE156" s="0"/>
      <c r="GF156" s="0"/>
      <c r="GG156" s="0"/>
      <c r="GH156" s="0"/>
      <c r="GI156" s="0"/>
      <c r="GJ156" s="0"/>
      <c r="GK156" s="0"/>
      <c r="GL156" s="0"/>
      <c r="GM156" s="0"/>
      <c r="GN156" s="0"/>
      <c r="GO156" s="0"/>
      <c r="GP156" s="0"/>
      <c r="GQ156" s="0"/>
      <c r="GR156" s="0"/>
      <c r="GS156" s="0"/>
      <c r="GT156" s="0"/>
      <c r="GU156" s="0"/>
      <c r="GV156" s="0"/>
      <c r="GW156" s="0"/>
      <c r="GX156" s="0"/>
      <c r="GY156" s="0"/>
      <c r="GZ156" s="0"/>
      <c r="HA156" s="0"/>
      <c r="HB156" s="0"/>
      <c r="HC156" s="0"/>
      <c r="HD156" s="0"/>
      <c r="HE156" s="0"/>
      <c r="HF156" s="0"/>
      <c r="HG156" s="0"/>
      <c r="HH156" s="0"/>
      <c r="HI156" s="0"/>
      <c r="HJ156" s="0"/>
      <c r="HK156" s="0"/>
      <c r="HL156" s="0"/>
      <c r="HM156" s="0"/>
      <c r="HN156" s="0"/>
      <c r="HO156" s="0"/>
      <c r="HP156" s="0"/>
      <c r="HQ156" s="0"/>
      <c r="HR156" s="0"/>
      <c r="HS156" s="0"/>
      <c r="HT156" s="0"/>
      <c r="HU156" s="0"/>
      <c r="HV156" s="0"/>
      <c r="HW156" s="0"/>
      <c r="HX156" s="0"/>
      <c r="HY156" s="0"/>
      <c r="HZ156" s="0"/>
      <c r="IA156" s="0"/>
      <c r="IB156" s="0"/>
      <c r="IC156" s="0"/>
      <c r="ID156" s="0"/>
      <c r="IE156" s="0"/>
      <c r="IF156" s="0"/>
      <c r="IG156" s="0"/>
      <c r="IH156" s="0"/>
      <c r="II156" s="0"/>
      <c r="IJ156" s="0"/>
      <c r="IK156" s="0"/>
      <c r="IL156" s="0"/>
      <c r="IM156" s="0"/>
      <c r="IN156" s="0"/>
      <c r="IO156" s="0"/>
      <c r="IP156" s="0"/>
      <c r="IQ156" s="0"/>
      <c r="IR156" s="0"/>
      <c r="IS156" s="0"/>
      <c r="IT156" s="0"/>
      <c r="IU156" s="0"/>
      <c r="IV156" s="0"/>
      <c r="IW156" s="0"/>
    </row>
    <row r="157" customFormat="false" ht="12.75" hidden="false" customHeight="false" outlineLevel="0" collapsed="false">
      <c r="A157" s="0"/>
      <c r="B157" s="0"/>
      <c r="C157" s="0"/>
      <c r="D157" s="0"/>
      <c r="E157" s="0"/>
      <c r="F157" s="0"/>
      <c r="G157" s="0"/>
      <c r="H157" s="0"/>
      <c r="I157" s="0"/>
      <c r="J157" s="0"/>
      <c r="K157" s="0"/>
      <c r="L157" s="0"/>
      <c r="M157" s="0"/>
      <c r="N157" s="0"/>
      <c r="O157" s="0"/>
      <c r="P157" s="0"/>
      <c r="Q157" s="0"/>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c r="BA157" s="0"/>
      <c r="BB157" s="0"/>
      <c r="BC157" s="0"/>
      <c r="BD157" s="0"/>
      <c r="BE157" s="0"/>
      <c r="BF157" s="0"/>
      <c r="BG157" s="0"/>
      <c r="BH157" s="0"/>
      <c r="BI157" s="0"/>
      <c r="BJ157" s="0"/>
      <c r="BK157" s="0"/>
      <c r="BL157" s="0"/>
      <c r="BM157" s="0"/>
      <c r="BN157" s="0"/>
      <c r="BO157" s="0"/>
      <c r="BP157" s="0"/>
      <c r="BQ157" s="0"/>
      <c r="BR157" s="0"/>
      <c r="BS157" s="0"/>
      <c r="BT157" s="0"/>
      <c r="BU157" s="0"/>
      <c r="BV157" s="0"/>
      <c r="BW157" s="0"/>
      <c r="BX157" s="0"/>
      <c r="BY157" s="0"/>
      <c r="BZ157" s="0"/>
      <c r="CA157" s="0"/>
      <c r="CB157" s="0"/>
      <c r="CC157" s="0"/>
      <c r="CD157" s="0"/>
      <c r="CE157" s="0"/>
      <c r="CF157" s="0"/>
      <c r="CG157" s="0"/>
      <c r="CH157" s="0"/>
      <c r="CI157" s="0"/>
      <c r="CJ157" s="0"/>
      <c r="CK157" s="0"/>
      <c r="CL157" s="0"/>
      <c r="CM157" s="0"/>
      <c r="CN157" s="0"/>
      <c r="CO157" s="0"/>
      <c r="CP157" s="0"/>
      <c r="CQ157" s="0"/>
      <c r="CR157" s="0"/>
      <c r="CS157" s="0"/>
      <c r="CT157" s="0"/>
      <c r="CU157" s="0"/>
      <c r="CV157" s="0"/>
      <c r="CW157" s="0"/>
      <c r="CX157" s="0"/>
      <c r="CY157" s="0"/>
      <c r="CZ157" s="0"/>
      <c r="DA157" s="0"/>
      <c r="DB157" s="0"/>
      <c r="DC157" s="0"/>
      <c r="DD157" s="0"/>
      <c r="DE157" s="0"/>
      <c r="DF157" s="0"/>
      <c r="DG157" s="0"/>
      <c r="DH157" s="0"/>
      <c r="DI157" s="0"/>
      <c r="DJ157" s="0"/>
      <c r="DK157" s="0"/>
      <c r="DL157" s="0"/>
      <c r="DM157" s="0"/>
      <c r="DN157" s="0"/>
      <c r="DO157" s="0"/>
      <c r="DP157" s="0"/>
      <c r="DQ157" s="0"/>
      <c r="DR157" s="0"/>
      <c r="DS157" s="0"/>
      <c r="DT157" s="0"/>
      <c r="DU157" s="0"/>
      <c r="DV157" s="0"/>
      <c r="DW157" s="0"/>
      <c r="DX157" s="0"/>
      <c r="DY157" s="0"/>
      <c r="DZ157" s="0"/>
      <c r="EA157" s="0"/>
      <c r="EB157" s="0"/>
      <c r="EC157" s="0"/>
      <c r="ED157" s="0"/>
      <c r="EE157" s="0"/>
      <c r="EF157" s="0"/>
      <c r="EG157" s="0"/>
      <c r="EH157" s="0"/>
      <c r="EI157" s="0"/>
      <c r="EJ157" s="0"/>
      <c r="EK157" s="0"/>
      <c r="EL157" s="0"/>
      <c r="EM157" s="0"/>
      <c r="EN157" s="0"/>
      <c r="EO157" s="0"/>
      <c r="EP157" s="0"/>
      <c r="EQ157" s="0"/>
      <c r="ER157" s="0"/>
      <c r="ES157" s="0"/>
      <c r="ET157" s="0"/>
      <c r="EU157" s="0"/>
      <c r="EV157" s="0"/>
      <c r="EW157" s="0"/>
      <c r="EX157" s="0"/>
      <c r="EY157" s="0"/>
      <c r="EZ157" s="0"/>
      <c r="FA157" s="0"/>
      <c r="FB157" s="0"/>
      <c r="FC157" s="0"/>
      <c r="FD157" s="0"/>
      <c r="FE157" s="0"/>
      <c r="FF157" s="0"/>
      <c r="FG157" s="0"/>
      <c r="FH157" s="0"/>
      <c r="FI157" s="0"/>
      <c r="FJ157" s="0"/>
      <c r="FK157" s="0"/>
      <c r="FL157" s="0"/>
      <c r="FM157" s="0"/>
      <c r="FN157" s="0"/>
      <c r="FO157" s="0"/>
      <c r="FP157" s="0"/>
      <c r="FQ157" s="0"/>
      <c r="FR157" s="0"/>
      <c r="FS157" s="0"/>
      <c r="FT157" s="0"/>
      <c r="FU157" s="0"/>
      <c r="FV157" s="0"/>
      <c r="FW157" s="0"/>
      <c r="FX157" s="0"/>
      <c r="FY157" s="0"/>
      <c r="FZ157" s="0"/>
      <c r="GA157" s="0"/>
      <c r="GB157" s="0"/>
      <c r="GC157" s="0"/>
      <c r="GD157" s="0"/>
      <c r="GE157" s="0"/>
      <c r="GF157" s="0"/>
      <c r="GG157" s="0"/>
      <c r="GH157" s="0"/>
      <c r="GI157" s="0"/>
      <c r="GJ157" s="0"/>
      <c r="GK157" s="0"/>
      <c r="GL157" s="0"/>
      <c r="GM157" s="0"/>
      <c r="GN157" s="0"/>
      <c r="GO157" s="0"/>
      <c r="GP157" s="0"/>
      <c r="GQ157" s="0"/>
      <c r="GR157" s="0"/>
      <c r="GS157" s="0"/>
      <c r="GT157" s="0"/>
      <c r="GU157" s="0"/>
      <c r="GV157" s="0"/>
      <c r="GW157" s="0"/>
      <c r="GX157" s="0"/>
      <c r="GY157" s="0"/>
      <c r="GZ157" s="0"/>
      <c r="HA157" s="0"/>
      <c r="HB157" s="0"/>
      <c r="HC157" s="0"/>
      <c r="HD157" s="0"/>
      <c r="HE157" s="0"/>
      <c r="HF157" s="0"/>
      <c r="HG157" s="0"/>
      <c r="HH157" s="0"/>
      <c r="HI157" s="0"/>
      <c r="HJ157" s="0"/>
      <c r="HK157" s="0"/>
      <c r="HL157" s="0"/>
      <c r="HM157" s="0"/>
      <c r="HN157" s="0"/>
      <c r="HO157" s="0"/>
      <c r="HP157" s="0"/>
      <c r="HQ157" s="0"/>
      <c r="HR157" s="0"/>
      <c r="HS157" s="0"/>
      <c r="HT157" s="0"/>
      <c r="HU157" s="0"/>
      <c r="HV157" s="0"/>
      <c r="HW157" s="0"/>
      <c r="HX157" s="0"/>
      <c r="HY157" s="0"/>
      <c r="HZ157" s="0"/>
      <c r="IA157" s="0"/>
      <c r="IB157" s="0"/>
      <c r="IC157" s="0"/>
      <c r="ID157" s="0"/>
      <c r="IE157" s="0"/>
      <c r="IF157" s="0"/>
      <c r="IG157" s="0"/>
      <c r="IH157" s="0"/>
      <c r="II157" s="0"/>
      <c r="IJ157" s="0"/>
      <c r="IK157" s="0"/>
      <c r="IL157" s="0"/>
      <c r="IM157" s="0"/>
      <c r="IN157" s="0"/>
      <c r="IO157" s="0"/>
      <c r="IP157" s="0"/>
      <c r="IQ157" s="0"/>
      <c r="IR157" s="0"/>
      <c r="IS157" s="0"/>
      <c r="IT157" s="0"/>
      <c r="IU157" s="0"/>
      <c r="IV157" s="0"/>
      <c r="IW157" s="0"/>
    </row>
    <row r="158" customFormat="false" ht="12.75" hidden="false" customHeight="false" outlineLevel="0" collapsed="false">
      <c r="A158" s="0"/>
      <c r="B158" s="0"/>
      <c r="C158" s="0"/>
      <c r="D158" s="0"/>
      <c r="E158" s="0"/>
      <c r="F158" s="0"/>
      <c r="G158" s="0"/>
      <c r="H158" s="0"/>
      <c r="I158" s="0"/>
      <c r="J158" s="0"/>
      <c r="K158" s="0"/>
      <c r="L158" s="0"/>
      <c r="M158" s="0"/>
      <c r="N158" s="0"/>
      <c r="O158" s="0"/>
      <c r="P158" s="0"/>
      <c r="Q158" s="0"/>
      <c r="R158" s="0"/>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c r="BA158" s="0"/>
      <c r="BB158" s="0"/>
      <c r="BC158" s="0"/>
      <c r="BD158" s="0"/>
      <c r="BE158" s="0"/>
      <c r="BF158" s="0"/>
      <c r="BG158" s="0"/>
      <c r="BH158" s="0"/>
      <c r="BI158" s="0"/>
      <c r="BJ158" s="0"/>
      <c r="BK158" s="0"/>
      <c r="BL158" s="0"/>
      <c r="BM158" s="0"/>
      <c r="BN158" s="0"/>
      <c r="BO158" s="0"/>
      <c r="BP158" s="0"/>
      <c r="BQ158" s="0"/>
      <c r="BR158" s="0"/>
      <c r="BS158" s="0"/>
      <c r="BT158" s="0"/>
      <c r="BU158" s="0"/>
      <c r="BV158" s="0"/>
      <c r="BW158" s="0"/>
      <c r="BX158" s="0"/>
      <c r="BY158" s="0"/>
      <c r="BZ158" s="0"/>
      <c r="CA158" s="0"/>
      <c r="CB158" s="0"/>
      <c r="CC158" s="0"/>
      <c r="CD158" s="0"/>
      <c r="CE158" s="0"/>
      <c r="CF158" s="0"/>
      <c r="CG158" s="0"/>
      <c r="CH158" s="0"/>
      <c r="CI158" s="0"/>
      <c r="CJ158" s="0"/>
      <c r="CK158" s="0"/>
      <c r="CL158" s="0"/>
      <c r="CM158" s="0"/>
      <c r="CN158" s="0"/>
      <c r="CO158" s="0"/>
      <c r="CP158" s="0"/>
      <c r="CQ158" s="0"/>
      <c r="CR158" s="0"/>
      <c r="CS158" s="0"/>
      <c r="CT158" s="0"/>
      <c r="CU158" s="0"/>
      <c r="CV158" s="0"/>
      <c r="CW158" s="0"/>
      <c r="CX158" s="0"/>
      <c r="CY158" s="0"/>
      <c r="CZ158" s="0"/>
      <c r="DA158" s="0"/>
      <c r="DB158" s="0"/>
      <c r="DC158" s="0"/>
      <c r="DD158" s="0"/>
      <c r="DE158" s="0"/>
      <c r="DF158" s="0"/>
      <c r="DG158" s="0"/>
      <c r="DH158" s="0"/>
      <c r="DI158" s="0"/>
      <c r="DJ158" s="0"/>
      <c r="DK158" s="0"/>
      <c r="DL158" s="0"/>
      <c r="DM158" s="0"/>
      <c r="DN158" s="0"/>
      <c r="DO158" s="0"/>
      <c r="DP158" s="0"/>
      <c r="DQ158" s="0"/>
      <c r="DR158" s="0"/>
      <c r="DS158" s="0"/>
      <c r="DT158" s="0"/>
      <c r="DU158" s="0"/>
      <c r="DV158" s="0"/>
      <c r="DW158" s="0"/>
      <c r="DX158" s="0"/>
      <c r="DY158" s="0"/>
      <c r="DZ158" s="0"/>
      <c r="EA158" s="0"/>
      <c r="EB158" s="0"/>
      <c r="EC158" s="0"/>
      <c r="ED158" s="0"/>
      <c r="EE158" s="0"/>
      <c r="EF158" s="0"/>
      <c r="EG158" s="0"/>
      <c r="EH158" s="0"/>
      <c r="EI158" s="0"/>
      <c r="EJ158" s="0"/>
      <c r="EK158" s="0"/>
      <c r="EL158" s="0"/>
      <c r="EM158" s="0"/>
      <c r="EN158" s="0"/>
      <c r="EO158" s="0"/>
      <c r="EP158" s="0"/>
      <c r="EQ158" s="0"/>
      <c r="ER158" s="0"/>
      <c r="ES158" s="0"/>
      <c r="ET158" s="0"/>
      <c r="EU158" s="0"/>
      <c r="EV158" s="0"/>
      <c r="EW158" s="0"/>
      <c r="EX158" s="0"/>
      <c r="EY158" s="0"/>
      <c r="EZ158" s="0"/>
      <c r="FA158" s="0"/>
      <c r="FB158" s="0"/>
      <c r="FC158" s="0"/>
      <c r="FD158" s="0"/>
      <c r="FE158" s="0"/>
      <c r="FF158" s="0"/>
      <c r="FG158" s="0"/>
      <c r="FH158" s="0"/>
      <c r="FI158" s="0"/>
      <c r="FJ158" s="0"/>
      <c r="FK158" s="0"/>
      <c r="FL158" s="0"/>
      <c r="FM158" s="0"/>
      <c r="FN158" s="0"/>
      <c r="FO158" s="0"/>
      <c r="FP158" s="0"/>
      <c r="FQ158" s="0"/>
      <c r="FR158" s="0"/>
      <c r="FS158" s="0"/>
      <c r="FT158" s="0"/>
      <c r="FU158" s="0"/>
      <c r="FV158" s="0"/>
      <c r="FW158" s="0"/>
      <c r="FX158" s="0"/>
      <c r="FY158" s="0"/>
      <c r="FZ158" s="0"/>
      <c r="GA158" s="0"/>
      <c r="GB158" s="0"/>
      <c r="GC158" s="0"/>
      <c r="GD158" s="0"/>
      <c r="GE158" s="0"/>
      <c r="GF158" s="0"/>
      <c r="GG158" s="0"/>
      <c r="GH158" s="0"/>
      <c r="GI158" s="0"/>
      <c r="GJ158" s="0"/>
      <c r="GK158" s="0"/>
      <c r="GL158" s="0"/>
      <c r="GM158" s="0"/>
      <c r="GN158" s="0"/>
      <c r="GO158" s="0"/>
      <c r="GP158" s="0"/>
      <c r="GQ158" s="0"/>
      <c r="GR158" s="0"/>
      <c r="GS158" s="0"/>
      <c r="GT158" s="0"/>
      <c r="GU158" s="0"/>
      <c r="GV158" s="0"/>
      <c r="GW158" s="0"/>
      <c r="GX158" s="0"/>
      <c r="GY158" s="0"/>
      <c r="GZ158" s="0"/>
      <c r="HA158" s="0"/>
      <c r="HB158" s="0"/>
      <c r="HC158" s="0"/>
      <c r="HD158" s="0"/>
      <c r="HE158" s="0"/>
      <c r="HF158" s="0"/>
      <c r="HG158" s="0"/>
      <c r="HH158" s="0"/>
      <c r="HI158" s="0"/>
      <c r="HJ158" s="0"/>
      <c r="HK158" s="0"/>
      <c r="HL158" s="0"/>
      <c r="HM158" s="0"/>
      <c r="HN158" s="0"/>
      <c r="HO158" s="0"/>
      <c r="HP158" s="0"/>
      <c r="HQ158" s="0"/>
      <c r="HR158" s="0"/>
      <c r="HS158" s="0"/>
      <c r="HT158" s="0"/>
      <c r="HU158" s="0"/>
      <c r="HV158" s="0"/>
      <c r="HW158" s="0"/>
      <c r="HX158" s="0"/>
      <c r="HY158" s="0"/>
      <c r="HZ158" s="0"/>
      <c r="IA158" s="0"/>
      <c r="IB158" s="0"/>
      <c r="IC158" s="0"/>
      <c r="ID158" s="0"/>
      <c r="IE158" s="0"/>
      <c r="IF158" s="0"/>
      <c r="IG158" s="0"/>
      <c r="IH158" s="0"/>
      <c r="II158" s="0"/>
      <c r="IJ158" s="0"/>
      <c r="IK158" s="0"/>
      <c r="IL158" s="0"/>
      <c r="IM158" s="0"/>
      <c r="IN158" s="0"/>
      <c r="IO158" s="0"/>
      <c r="IP158" s="0"/>
      <c r="IQ158" s="0"/>
      <c r="IR158" s="0"/>
      <c r="IS158" s="0"/>
      <c r="IT158" s="0"/>
      <c r="IU158" s="0"/>
      <c r="IV158" s="0"/>
      <c r="IW158" s="0"/>
    </row>
    <row r="159" customFormat="false" ht="12.75" hidden="false" customHeight="false" outlineLevel="0" collapsed="false">
      <c r="A159" s="0"/>
      <c r="B159" s="0"/>
      <c r="C159" s="0"/>
      <c r="D159" s="0"/>
      <c r="E159" s="0"/>
      <c r="F159" s="0"/>
      <c r="G159" s="0"/>
      <c r="H159" s="0"/>
      <c r="I159" s="0"/>
      <c r="J159" s="0"/>
      <c r="K159" s="0"/>
      <c r="L159" s="0"/>
      <c r="M159" s="0"/>
      <c r="N159" s="0"/>
      <c r="O159" s="0"/>
      <c r="P159" s="0"/>
      <c r="Q159" s="0"/>
      <c r="R159" s="0"/>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c r="BA159" s="0"/>
      <c r="BB159" s="0"/>
      <c r="BC159" s="0"/>
      <c r="BD159" s="0"/>
      <c r="BE159" s="0"/>
      <c r="BF159" s="0"/>
      <c r="BG159" s="0"/>
      <c r="BH159" s="0"/>
      <c r="BI159" s="0"/>
      <c r="BJ159" s="0"/>
      <c r="BK159" s="0"/>
      <c r="BL159" s="0"/>
      <c r="BM159" s="0"/>
      <c r="BN159" s="0"/>
      <c r="BO159" s="0"/>
      <c r="BP159" s="0"/>
      <c r="BQ159" s="0"/>
      <c r="BR159" s="0"/>
      <c r="BS159" s="0"/>
      <c r="BT159" s="0"/>
      <c r="BU159" s="0"/>
      <c r="BV159" s="0"/>
      <c r="BW159" s="0"/>
      <c r="BX159" s="0"/>
      <c r="BY159" s="0"/>
      <c r="BZ159" s="0"/>
      <c r="CA159" s="0"/>
      <c r="CB159" s="0"/>
      <c r="CC159" s="0"/>
      <c r="CD159" s="0"/>
      <c r="CE159" s="0"/>
      <c r="CF159" s="0"/>
      <c r="CG159" s="0"/>
      <c r="CH159" s="0"/>
      <c r="CI159" s="0"/>
      <c r="CJ159" s="0"/>
      <c r="CK159" s="0"/>
      <c r="CL159" s="0"/>
      <c r="CM159" s="0"/>
      <c r="CN159" s="0"/>
      <c r="CO159" s="0"/>
      <c r="CP159" s="0"/>
      <c r="CQ159" s="0"/>
      <c r="CR159" s="0"/>
      <c r="CS159" s="0"/>
      <c r="CT159" s="0"/>
      <c r="CU159" s="0"/>
      <c r="CV159" s="0"/>
      <c r="CW159" s="0"/>
      <c r="CX159" s="0"/>
      <c r="CY159" s="0"/>
      <c r="CZ159" s="0"/>
      <c r="DA159" s="0"/>
      <c r="DB159" s="0"/>
      <c r="DC159" s="0"/>
      <c r="DD159" s="0"/>
      <c r="DE159" s="0"/>
      <c r="DF159" s="0"/>
      <c r="DG159" s="0"/>
      <c r="DH159" s="0"/>
      <c r="DI159" s="0"/>
      <c r="DJ159" s="0"/>
      <c r="DK159" s="0"/>
      <c r="DL159" s="0"/>
      <c r="DM159" s="0"/>
      <c r="DN159" s="0"/>
      <c r="DO159" s="0"/>
      <c r="DP159" s="0"/>
      <c r="DQ159" s="0"/>
      <c r="DR159" s="0"/>
      <c r="DS159" s="0"/>
      <c r="DT159" s="0"/>
      <c r="DU159" s="0"/>
      <c r="DV159" s="0"/>
      <c r="DW159" s="0"/>
      <c r="DX159" s="0"/>
      <c r="DY159" s="0"/>
      <c r="DZ159" s="0"/>
      <c r="EA159" s="0"/>
      <c r="EB159" s="0"/>
      <c r="EC159" s="0"/>
      <c r="ED159" s="0"/>
      <c r="EE159" s="0"/>
      <c r="EF159" s="0"/>
      <c r="EG159" s="0"/>
      <c r="EH159" s="0"/>
      <c r="EI159" s="0"/>
      <c r="EJ159" s="0"/>
      <c r="EK159" s="0"/>
      <c r="EL159" s="0"/>
      <c r="EM159" s="0"/>
      <c r="EN159" s="0"/>
      <c r="EO159" s="0"/>
      <c r="EP159" s="0"/>
      <c r="EQ159" s="0"/>
      <c r="ER159" s="0"/>
      <c r="ES159" s="0"/>
      <c r="ET159" s="0"/>
      <c r="EU159" s="0"/>
      <c r="EV159" s="0"/>
      <c r="EW159" s="0"/>
      <c r="EX159" s="0"/>
      <c r="EY159" s="0"/>
      <c r="EZ159" s="0"/>
      <c r="FA159" s="0"/>
      <c r="FB159" s="0"/>
      <c r="FC159" s="0"/>
      <c r="FD159" s="0"/>
      <c r="FE159" s="0"/>
      <c r="FF159" s="0"/>
      <c r="FG159" s="0"/>
      <c r="FH159" s="0"/>
      <c r="FI159" s="0"/>
      <c r="FJ159" s="0"/>
      <c r="FK159" s="0"/>
      <c r="FL159" s="0"/>
      <c r="FM159" s="0"/>
      <c r="FN159" s="0"/>
      <c r="FO159" s="0"/>
      <c r="FP159" s="0"/>
      <c r="FQ159" s="0"/>
      <c r="FR159" s="0"/>
      <c r="FS159" s="0"/>
      <c r="FT159" s="0"/>
      <c r="FU159" s="0"/>
      <c r="FV159" s="0"/>
      <c r="FW159" s="0"/>
      <c r="FX159" s="0"/>
      <c r="FY159" s="0"/>
      <c r="FZ159" s="0"/>
      <c r="GA159" s="0"/>
      <c r="GB159" s="0"/>
      <c r="GC159" s="0"/>
      <c r="GD159" s="0"/>
      <c r="GE159" s="0"/>
      <c r="GF159" s="0"/>
      <c r="GG159" s="0"/>
      <c r="GH159" s="0"/>
      <c r="GI159" s="0"/>
      <c r="GJ159" s="0"/>
      <c r="GK159" s="0"/>
      <c r="GL159" s="0"/>
      <c r="GM159" s="0"/>
      <c r="GN159" s="0"/>
      <c r="GO159" s="0"/>
      <c r="GP159" s="0"/>
      <c r="GQ159" s="0"/>
      <c r="GR159" s="0"/>
      <c r="GS159" s="0"/>
      <c r="GT159" s="0"/>
      <c r="GU159" s="0"/>
      <c r="GV159" s="0"/>
      <c r="GW159" s="0"/>
      <c r="GX159" s="0"/>
      <c r="GY159" s="0"/>
      <c r="GZ159" s="0"/>
      <c r="HA159" s="0"/>
      <c r="HB159" s="0"/>
      <c r="HC159" s="0"/>
      <c r="HD159" s="0"/>
      <c r="HE159" s="0"/>
      <c r="HF159" s="0"/>
      <c r="HG159" s="0"/>
      <c r="HH159" s="0"/>
      <c r="HI159" s="0"/>
      <c r="HJ159" s="0"/>
      <c r="HK159" s="0"/>
      <c r="HL159" s="0"/>
      <c r="HM159" s="0"/>
      <c r="HN159" s="0"/>
      <c r="HO159" s="0"/>
      <c r="HP159" s="0"/>
      <c r="HQ159" s="0"/>
      <c r="HR159" s="0"/>
      <c r="HS159" s="0"/>
      <c r="HT159" s="0"/>
      <c r="HU159" s="0"/>
      <c r="HV159" s="0"/>
      <c r="HW159" s="0"/>
      <c r="HX159" s="0"/>
      <c r="HY159" s="0"/>
      <c r="HZ159" s="0"/>
      <c r="IA159" s="0"/>
      <c r="IB159" s="0"/>
      <c r="IC159" s="0"/>
      <c r="ID159" s="0"/>
      <c r="IE159" s="0"/>
      <c r="IF159" s="0"/>
      <c r="IG159" s="0"/>
      <c r="IH159" s="0"/>
      <c r="II159" s="0"/>
      <c r="IJ159" s="0"/>
      <c r="IK159" s="0"/>
      <c r="IL159" s="0"/>
      <c r="IM159" s="0"/>
      <c r="IN159" s="0"/>
      <c r="IO159" s="0"/>
      <c r="IP159" s="0"/>
      <c r="IQ159" s="0"/>
      <c r="IR159" s="0"/>
      <c r="IS159" s="0"/>
      <c r="IT159" s="0"/>
      <c r="IU159" s="0"/>
      <c r="IV159" s="0"/>
      <c r="IW159" s="0"/>
    </row>
    <row r="160" customFormat="false" ht="12.75" hidden="false" customHeight="false" outlineLevel="0" collapsed="false">
      <c r="A160" s="0"/>
      <c r="B160" s="0"/>
      <c r="C160" s="0"/>
      <c r="D160" s="0"/>
      <c r="E160" s="0"/>
      <c r="F160" s="0"/>
      <c r="G160" s="0"/>
      <c r="H160" s="0"/>
      <c r="I160" s="0"/>
      <c r="J160" s="0"/>
      <c r="K160" s="0"/>
      <c r="L160" s="0"/>
      <c r="M160" s="0"/>
      <c r="N160" s="0"/>
      <c r="O160" s="0"/>
      <c r="P160" s="0"/>
      <c r="Q160" s="0"/>
      <c r="R160" s="0"/>
      <c r="S160" s="0"/>
      <c r="T160" s="0"/>
      <c r="U160" s="0"/>
      <c r="V160" s="0"/>
      <c r="W160" s="0"/>
      <c r="X160" s="0"/>
      <c r="Y160" s="0"/>
      <c r="Z160" s="0"/>
      <c r="AA160" s="0"/>
      <c r="AB160" s="0"/>
      <c r="AC160" s="0"/>
      <c r="AD160" s="0"/>
      <c r="AE160" s="0"/>
      <c r="AF160" s="0"/>
      <c r="AG160" s="0"/>
      <c r="AH160" s="0"/>
      <c r="AI160" s="0"/>
      <c r="AJ160" s="0"/>
      <c r="AK160" s="0"/>
      <c r="AL160" s="0"/>
      <c r="AM160" s="0"/>
      <c r="AN160" s="0"/>
      <c r="AO160" s="0"/>
      <c r="AP160" s="0"/>
      <c r="AQ160" s="0"/>
      <c r="AR160" s="0"/>
      <c r="AS160" s="0"/>
      <c r="AT160" s="0"/>
      <c r="AU160" s="0"/>
      <c r="AV160" s="0"/>
      <c r="AW160" s="0"/>
      <c r="AX160" s="0"/>
      <c r="AY160" s="0"/>
      <c r="AZ160" s="0"/>
      <c r="BA160" s="0"/>
      <c r="BB160" s="0"/>
      <c r="BC160" s="0"/>
      <c r="BD160" s="0"/>
      <c r="BE160" s="0"/>
      <c r="BF160" s="0"/>
      <c r="BG160" s="0"/>
      <c r="BH160" s="0"/>
      <c r="BI160" s="0"/>
      <c r="BJ160" s="0"/>
      <c r="BK160" s="0"/>
      <c r="BL160" s="0"/>
      <c r="BM160" s="0"/>
      <c r="BN160" s="0"/>
      <c r="BO160" s="0"/>
      <c r="BP160" s="0"/>
      <c r="BQ160" s="0"/>
      <c r="BR160" s="0"/>
      <c r="BS160" s="0"/>
      <c r="BT160" s="0"/>
      <c r="BU160" s="0"/>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0"/>
      <c r="DT160" s="0"/>
      <c r="DU160" s="0"/>
      <c r="DV160" s="0"/>
      <c r="DW160" s="0"/>
      <c r="DX160" s="0"/>
      <c r="DY160" s="0"/>
      <c r="DZ160" s="0"/>
      <c r="EA160" s="0"/>
      <c r="EB160" s="0"/>
      <c r="EC160" s="0"/>
      <c r="ED160" s="0"/>
      <c r="EE160" s="0"/>
      <c r="EF160" s="0"/>
      <c r="EG160" s="0"/>
      <c r="EH160" s="0"/>
      <c r="EI160" s="0"/>
      <c r="EJ160" s="0"/>
      <c r="EK160" s="0"/>
      <c r="EL160" s="0"/>
      <c r="EM160" s="0"/>
      <c r="EN160" s="0"/>
      <c r="EO160" s="0"/>
      <c r="EP160" s="0"/>
      <c r="EQ160" s="0"/>
      <c r="ER160" s="0"/>
      <c r="ES160" s="0"/>
      <c r="ET160" s="0"/>
      <c r="EU160" s="0"/>
      <c r="EV160" s="0"/>
      <c r="EW160" s="0"/>
      <c r="EX160" s="0"/>
      <c r="EY160" s="0"/>
      <c r="EZ160" s="0"/>
      <c r="FA160" s="0"/>
      <c r="FB160" s="0"/>
      <c r="FC160" s="0"/>
      <c r="FD160" s="0"/>
      <c r="FE160" s="0"/>
      <c r="FF160" s="0"/>
      <c r="FG160" s="0"/>
      <c r="FH160" s="0"/>
      <c r="FI160" s="0"/>
      <c r="FJ160" s="0"/>
      <c r="FK160" s="0"/>
      <c r="FL160" s="0"/>
      <c r="FM160" s="0"/>
      <c r="FN160" s="0"/>
      <c r="FO160" s="0"/>
      <c r="FP160" s="0"/>
      <c r="FQ160" s="0"/>
      <c r="FR160" s="0"/>
      <c r="FS160" s="0"/>
      <c r="FT160" s="0"/>
      <c r="FU160" s="0"/>
      <c r="FV160" s="0"/>
      <c r="FW160" s="0"/>
      <c r="FX160" s="0"/>
      <c r="FY160" s="0"/>
      <c r="FZ160" s="0"/>
      <c r="GA160" s="0"/>
      <c r="GB160" s="0"/>
      <c r="GC160" s="0"/>
      <c r="GD160" s="0"/>
      <c r="GE160" s="0"/>
      <c r="GF160" s="0"/>
      <c r="GG160" s="0"/>
      <c r="GH160" s="0"/>
      <c r="GI160" s="0"/>
      <c r="GJ160" s="0"/>
      <c r="GK160" s="0"/>
      <c r="GL160" s="0"/>
      <c r="GM160" s="0"/>
      <c r="GN160" s="0"/>
      <c r="GO160" s="0"/>
      <c r="GP160" s="0"/>
      <c r="GQ160" s="0"/>
      <c r="GR160" s="0"/>
      <c r="GS160" s="0"/>
      <c r="GT160" s="0"/>
      <c r="GU160" s="0"/>
      <c r="GV160" s="0"/>
      <c r="GW160" s="0"/>
      <c r="GX160" s="0"/>
      <c r="GY160" s="0"/>
      <c r="GZ160" s="0"/>
      <c r="HA160" s="0"/>
      <c r="HB160" s="0"/>
      <c r="HC160" s="0"/>
      <c r="HD160" s="0"/>
      <c r="HE160" s="0"/>
      <c r="HF160" s="0"/>
      <c r="HG160" s="0"/>
      <c r="HH160" s="0"/>
      <c r="HI160" s="0"/>
      <c r="HJ160" s="0"/>
      <c r="HK160" s="0"/>
      <c r="HL160" s="0"/>
      <c r="HM160" s="0"/>
      <c r="HN160" s="0"/>
      <c r="HO160" s="0"/>
      <c r="HP160" s="0"/>
      <c r="HQ160" s="0"/>
      <c r="HR160" s="0"/>
      <c r="HS160" s="0"/>
      <c r="HT160" s="0"/>
      <c r="HU160" s="0"/>
      <c r="HV160" s="0"/>
      <c r="HW160" s="0"/>
      <c r="HX160" s="0"/>
      <c r="HY160" s="0"/>
      <c r="HZ160" s="0"/>
      <c r="IA160" s="0"/>
      <c r="IB160" s="0"/>
      <c r="IC160" s="0"/>
      <c r="ID160" s="0"/>
      <c r="IE160" s="0"/>
      <c r="IF160" s="0"/>
      <c r="IG160" s="0"/>
      <c r="IH160" s="0"/>
      <c r="II160" s="0"/>
      <c r="IJ160" s="0"/>
      <c r="IK160" s="0"/>
      <c r="IL160" s="0"/>
      <c r="IM160" s="0"/>
      <c r="IN160" s="0"/>
      <c r="IO160" s="0"/>
      <c r="IP160" s="0"/>
      <c r="IQ160" s="0"/>
      <c r="IR160" s="0"/>
      <c r="IS160" s="0"/>
      <c r="IT160" s="0"/>
      <c r="IU160" s="0"/>
      <c r="IV160" s="0"/>
      <c r="IW160" s="0"/>
    </row>
    <row r="161" customFormat="false" ht="12.75" hidden="false" customHeight="false" outlineLevel="0" collapsed="false">
      <c r="A161" s="0"/>
      <c r="B161" s="0"/>
      <c r="C161" s="0"/>
      <c r="D161" s="0"/>
      <c r="E161" s="0"/>
      <c r="F161" s="0"/>
      <c r="G161" s="0"/>
      <c r="H161" s="0"/>
      <c r="I161" s="0"/>
      <c r="J161" s="0"/>
      <c r="K161" s="0"/>
      <c r="L161" s="0"/>
      <c r="M161" s="0"/>
      <c r="N161" s="0"/>
      <c r="O161" s="0"/>
      <c r="P161" s="0"/>
      <c r="Q161" s="0"/>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c r="BA161" s="0"/>
      <c r="BB161" s="0"/>
      <c r="BC161" s="0"/>
      <c r="BD161" s="0"/>
      <c r="BE161" s="0"/>
      <c r="BF161" s="0"/>
      <c r="BG161" s="0"/>
      <c r="BH161" s="0"/>
      <c r="BI161" s="0"/>
      <c r="BJ161" s="0"/>
      <c r="BK161" s="0"/>
      <c r="BL161" s="0"/>
      <c r="BM161" s="0"/>
      <c r="BN161" s="0"/>
      <c r="BO161" s="0"/>
      <c r="BP161" s="0"/>
      <c r="BQ161" s="0"/>
      <c r="BR161" s="0"/>
      <c r="BS161" s="0"/>
      <c r="BT161" s="0"/>
      <c r="BU161" s="0"/>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0"/>
      <c r="DT161" s="0"/>
      <c r="DU161" s="0"/>
      <c r="DV161" s="0"/>
      <c r="DW161" s="0"/>
      <c r="DX161" s="0"/>
      <c r="DY161" s="0"/>
      <c r="DZ161" s="0"/>
      <c r="EA161" s="0"/>
      <c r="EB161" s="0"/>
      <c r="EC161" s="0"/>
      <c r="ED161" s="0"/>
      <c r="EE161" s="0"/>
      <c r="EF161" s="0"/>
      <c r="EG161" s="0"/>
      <c r="EH161" s="0"/>
      <c r="EI161" s="0"/>
      <c r="EJ161" s="0"/>
      <c r="EK161" s="0"/>
      <c r="EL161" s="0"/>
      <c r="EM161" s="0"/>
      <c r="EN161" s="0"/>
      <c r="EO161" s="0"/>
      <c r="EP161" s="0"/>
      <c r="EQ161" s="0"/>
      <c r="ER161" s="0"/>
      <c r="ES161" s="0"/>
      <c r="ET161" s="0"/>
      <c r="EU161" s="0"/>
      <c r="EV161" s="0"/>
      <c r="EW161" s="0"/>
      <c r="EX161" s="0"/>
      <c r="EY161" s="0"/>
      <c r="EZ161" s="0"/>
      <c r="FA161" s="0"/>
      <c r="FB161" s="0"/>
      <c r="FC161" s="0"/>
      <c r="FD161" s="0"/>
      <c r="FE161" s="0"/>
      <c r="FF161" s="0"/>
      <c r="FG161" s="0"/>
      <c r="FH161" s="0"/>
      <c r="FI161" s="0"/>
      <c r="FJ161" s="0"/>
      <c r="FK161" s="0"/>
      <c r="FL161" s="0"/>
      <c r="FM161" s="0"/>
      <c r="FN161" s="0"/>
      <c r="FO161" s="0"/>
      <c r="FP161" s="0"/>
      <c r="FQ161" s="0"/>
      <c r="FR161" s="0"/>
      <c r="FS161" s="0"/>
      <c r="FT161" s="0"/>
      <c r="FU161" s="0"/>
      <c r="FV161" s="0"/>
      <c r="FW161" s="0"/>
      <c r="FX161" s="0"/>
      <c r="FY161" s="0"/>
      <c r="FZ161" s="0"/>
      <c r="GA161" s="0"/>
      <c r="GB161" s="0"/>
      <c r="GC161" s="0"/>
      <c r="GD161" s="0"/>
      <c r="GE161" s="0"/>
      <c r="GF161" s="0"/>
      <c r="GG161" s="0"/>
      <c r="GH161" s="0"/>
      <c r="GI161" s="0"/>
      <c r="GJ161" s="0"/>
      <c r="GK161" s="0"/>
      <c r="GL161" s="0"/>
      <c r="GM161" s="0"/>
      <c r="GN161" s="0"/>
      <c r="GO161" s="0"/>
      <c r="GP161" s="0"/>
      <c r="GQ161" s="0"/>
      <c r="GR161" s="0"/>
      <c r="GS161" s="0"/>
      <c r="GT161" s="0"/>
      <c r="GU161" s="0"/>
      <c r="GV161" s="0"/>
      <c r="GW161" s="0"/>
      <c r="GX161" s="0"/>
      <c r="GY161" s="0"/>
      <c r="GZ161" s="0"/>
      <c r="HA161" s="0"/>
      <c r="HB161" s="0"/>
      <c r="HC161" s="0"/>
      <c r="HD161" s="0"/>
      <c r="HE161" s="0"/>
      <c r="HF161" s="0"/>
      <c r="HG161" s="0"/>
      <c r="HH161" s="0"/>
      <c r="HI161" s="0"/>
      <c r="HJ161" s="0"/>
      <c r="HK161" s="0"/>
      <c r="HL161" s="0"/>
      <c r="HM161" s="0"/>
      <c r="HN161" s="0"/>
      <c r="HO161" s="0"/>
      <c r="HP161" s="0"/>
      <c r="HQ161" s="0"/>
      <c r="HR161" s="0"/>
      <c r="HS161" s="0"/>
      <c r="HT161" s="0"/>
      <c r="HU161" s="0"/>
      <c r="HV161" s="0"/>
      <c r="HW161" s="0"/>
      <c r="HX161" s="0"/>
      <c r="HY161" s="0"/>
      <c r="HZ161" s="0"/>
      <c r="IA161" s="0"/>
      <c r="IB161" s="0"/>
      <c r="IC161" s="0"/>
      <c r="ID161" s="0"/>
      <c r="IE161" s="0"/>
      <c r="IF161" s="0"/>
      <c r="IG161" s="0"/>
      <c r="IH161" s="0"/>
      <c r="II161" s="0"/>
      <c r="IJ161" s="0"/>
      <c r="IK161" s="0"/>
      <c r="IL161" s="0"/>
      <c r="IM161" s="0"/>
      <c r="IN161" s="0"/>
      <c r="IO161" s="0"/>
      <c r="IP161" s="0"/>
      <c r="IQ161" s="0"/>
      <c r="IR161" s="0"/>
      <c r="IS161" s="0"/>
      <c r="IT161" s="0"/>
      <c r="IU161" s="0"/>
      <c r="IV161" s="0"/>
      <c r="IW161" s="0"/>
    </row>
    <row r="162" customFormat="false" ht="12.75" hidden="false" customHeight="false" outlineLevel="0" collapsed="false">
      <c r="A162" s="0"/>
      <c r="B162" s="0"/>
      <c r="C162" s="0"/>
      <c r="D162" s="0"/>
      <c r="E162" s="0"/>
      <c r="F162" s="0"/>
      <c r="G162" s="0"/>
      <c r="H162" s="0"/>
      <c r="I162" s="0"/>
      <c r="J162" s="0"/>
      <c r="K162" s="0"/>
      <c r="L162" s="0"/>
      <c r="M162" s="0"/>
      <c r="N162" s="0"/>
      <c r="O162" s="0"/>
      <c r="P162" s="0"/>
      <c r="Q162" s="0"/>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c r="IW162" s="0"/>
    </row>
    <row r="163" customFormat="false" ht="12.75" hidden="false" customHeight="false" outlineLevel="0" collapsed="false">
      <c r="A163" s="0"/>
      <c r="B163" s="0"/>
      <c r="C163" s="0"/>
      <c r="D163" s="0"/>
      <c r="E163" s="0"/>
      <c r="F163" s="0"/>
      <c r="G163" s="0"/>
      <c r="H163" s="0"/>
      <c r="I163" s="0"/>
      <c r="J163" s="0"/>
      <c r="K163" s="0"/>
      <c r="L163" s="0"/>
      <c r="M163" s="0"/>
      <c r="N163" s="0"/>
      <c r="O163" s="0"/>
      <c r="P163" s="0"/>
      <c r="Q163" s="0"/>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c r="IW163" s="0"/>
    </row>
    <row r="164" customFormat="false" ht="12.75" hidden="false" customHeight="false" outlineLevel="0" collapsed="false">
      <c r="A164" s="0"/>
      <c r="B164" s="0"/>
      <c r="C164" s="0"/>
      <c r="D164" s="0"/>
      <c r="E164" s="0"/>
      <c r="F164" s="0"/>
      <c r="G164" s="0"/>
      <c r="H164" s="0"/>
      <c r="I164" s="0"/>
      <c r="J164" s="0"/>
      <c r="K164" s="0"/>
      <c r="L164" s="0"/>
      <c r="M164" s="0"/>
      <c r="N164" s="0"/>
      <c r="O164" s="0"/>
      <c r="P164" s="0"/>
      <c r="Q164" s="0"/>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c r="IW164" s="0"/>
    </row>
    <row r="165" customFormat="false" ht="12.75" hidden="false" customHeight="false" outlineLevel="0" collapsed="false">
      <c r="A165" s="0"/>
      <c r="B165" s="0"/>
      <c r="C165" s="0"/>
      <c r="D165" s="0"/>
      <c r="E165" s="0"/>
      <c r="F165" s="0"/>
      <c r="G165" s="0"/>
      <c r="H165" s="0"/>
      <c r="I165" s="0"/>
      <c r="J165" s="0"/>
      <c r="K165" s="0"/>
      <c r="L165" s="0"/>
      <c r="M165" s="0"/>
      <c r="N165" s="0"/>
      <c r="O165" s="0"/>
      <c r="P165" s="0"/>
      <c r="Q165" s="0"/>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c r="IW165" s="0"/>
    </row>
    <row r="166" customFormat="false" ht="12.75" hidden="false" customHeight="false" outlineLevel="0" collapsed="false">
      <c r="A166" s="0"/>
      <c r="B166" s="0"/>
      <c r="C166" s="0"/>
      <c r="D166" s="0"/>
      <c r="E166" s="0"/>
      <c r="F166" s="0"/>
      <c r="G166" s="0"/>
      <c r="H166" s="0"/>
      <c r="I166" s="0"/>
      <c r="J166" s="0"/>
      <c r="K166" s="0"/>
      <c r="L166" s="0"/>
      <c r="M166" s="0"/>
      <c r="N166" s="0"/>
      <c r="O166" s="0"/>
      <c r="P166" s="0"/>
      <c r="Q166" s="0"/>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c r="IW166" s="0"/>
    </row>
    <row r="167" customFormat="false" ht="12.75" hidden="false" customHeight="false" outlineLevel="0" collapsed="false">
      <c r="A167" s="0"/>
      <c r="B167" s="0"/>
      <c r="C167" s="0"/>
      <c r="D167" s="0"/>
      <c r="E167" s="0"/>
      <c r="F167" s="0"/>
      <c r="G167" s="0"/>
      <c r="H167" s="0"/>
      <c r="I167" s="0"/>
      <c r="J167" s="0"/>
      <c r="K167" s="0"/>
      <c r="L167" s="0"/>
      <c r="M167" s="0"/>
      <c r="N167" s="0"/>
      <c r="O167" s="0"/>
      <c r="P167" s="0"/>
      <c r="Q167" s="0"/>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c r="IW167" s="0"/>
    </row>
    <row r="168" customFormat="false" ht="12.75" hidden="false" customHeight="false" outlineLevel="0" collapsed="false">
      <c r="A168" s="0"/>
      <c r="B168" s="0"/>
      <c r="C168" s="0"/>
      <c r="D168" s="0"/>
      <c r="E168" s="0"/>
      <c r="F168" s="0"/>
      <c r="G168" s="0"/>
      <c r="H168" s="0"/>
      <c r="I168" s="0"/>
      <c r="J168" s="0"/>
      <c r="K168" s="0"/>
      <c r="L168" s="0"/>
      <c r="M168" s="0"/>
      <c r="N168" s="0"/>
      <c r="O168" s="0"/>
      <c r="P168" s="0"/>
      <c r="Q168" s="0"/>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c r="IW168" s="0"/>
    </row>
    <row r="169" customFormat="false" ht="12.75" hidden="false" customHeight="false" outlineLevel="0" collapsed="false">
      <c r="A169" s="0"/>
      <c r="B169" s="0"/>
      <c r="C169" s="0"/>
      <c r="D169" s="0"/>
      <c r="E169" s="0"/>
      <c r="F169" s="0"/>
      <c r="G169" s="0"/>
      <c r="H169" s="0"/>
      <c r="I169" s="0"/>
      <c r="J169" s="0"/>
      <c r="K169" s="0"/>
      <c r="L169" s="0"/>
      <c r="M169" s="0"/>
      <c r="N169" s="0"/>
      <c r="O169" s="0"/>
      <c r="P169" s="0"/>
      <c r="Q169" s="0"/>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c r="IW169" s="0"/>
    </row>
    <row r="170" customFormat="false" ht="12.75" hidden="false" customHeight="false" outlineLevel="0" collapsed="false">
      <c r="A170" s="0"/>
      <c r="B170" s="0"/>
      <c r="C170" s="0"/>
      <c r="D170" s="0"/>
      <c r="E170" s="0"/>
      <c r="F170" s="0"/>
      <c r="G170" s="0"/>
      <c r="H170" s="0"/>
      <c r="I170" s="0"/>
      <c r="J170" s="0"/>
      <c r="K170" s="0"/>
      <c r="L170" s="0"/>
      <c r="M170" s="0"/>
      <c r="N170" s="0"/>
      <c r="O170" s="0"/>
      <c r="P170" s="0"/>
      <c r="Q170" s="0"/>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c r="IW170" s="0"/>
    </row>
    <row r="171" customFormat="false" ht="12.75" hidden="false" customHeight="false" outlineLevel="0" collapsed="false">
      <c r="A171" s="0"/>
      <c r="B171" s="0"/>
      <c r="C171" s="0"/>
      <c r="D171" s="0"/>
      <c r="E171" s="0"/>
      <c r="F171" s="0"/>
      <c r="G171" s="0"/>
      <c r="H171" s="0"/>
      <c r="I171" s="0"/>
      <c r="J171" s="0"/>
      <c r="K171" s="0"/>
      <c r="L171" s="0"/>
      <c r="M171" s="0"/>
      <c r="N171" s="0"/>
      <c r="O171" s="0"/>
      <c r="P171" s="0"/>
      <c r="Q171" s="0"/>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c r="IW171" s="0"/>
    </row>
    <row r="172" customFormat="false" ht="12.75" hidden="false" customHeight="false" outlineLevel="0" collapsed="false">
      <c r="A172" s="0"/>
      <c r="B172" s="0"/>
      <c r="C172" s="0"/>
      <c r="D172" s="0"/>
      <c r="E172" s="0"/>
      <c r="F172" s="0"/>
      <c r="G172" s="0"/>
      <c r="H172" s="0"/>
      <c r="I172" s="0"/>
      <c r="J172" s="0"/>
      <c r="K172" s="0"/>
      <c r="L172" s="0"/>
      <c r="M172" s="0"/>
      <c r="N172" s="0"/>
      <c r="O172" s="0"/>
      <c r="P172" s="0"/>
      <c r="Q172" s="0"/>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c r="IW172" s="0"/>
    </row>
    <row r="173" customFormat="false" ht="12.75" hidden="false" customHeight="false" outlineLevel="0" collapsed="false">
      <c r="A173" s="0"/>
      <c r="B173" s="0"/>
      <c r="C173" s="0"/>
      <c r="D173" s="0"/>
      <c r="E173" s="0"/>
      <c r="F173" s="0"/>
      <c r="G173" s="0"/>
      <c r="H173" s="0"/>
      <c r="I173" s="0"/>
      <c r="J173" s="0"/>
      <c r="K173" s="0"/>
      <c r="L173" s="0"/>
      <c r="M173" s="0"/>
      <c r="N173" s="0"/>
      <c r="O173" s="0"/>
      <c r="P173" s="0"/>
      <c r="Q173" s="0"/>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c r="IW173" s="0"/>
    </row>
    <row r="174" customFormat="false" ht="12.75" hidden="false" customHeight="false" outlineLevel="0" collapsed="false">
      <c r="A174" s="0"/>
      <c r="B174" s="0"/>
      <c r="C174" s="0"/>
      <c r="D174" s="0"/>
      <c r="E174" s="0"/>
      <c r="F174" s="0"/>
      <c r="G174" s="0"/>
      <c r="H174" s="0"/>
      <c r="I174" s="0"/>
      <c r="J174" s="0"/>
      <c r="K174" s="0"/>
      <c r="L174" s="0"/>
      <c r="M174" s="0"/>
      <c r="N174" s="0"/>
      <c r="O174" s="0"/>
      <c r="P174" s="0"/>
      <c r="Q174" s="0"/>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c r="IW174" s="0"/>
    </row>
    <row r="175" customFormat="false" ht="12.75" hidden="false" customHeight="false" outlineLevel="0" collapsed="false">
      <c r="A175" s="0"/>
      <c r="B175" s="0"/>
      <c r="C175" s="0"/>
      <c r="D175" s="0"/>
      <c r="E175" s="0"/>
      <c r="F175" s="0"/>
      <c r="G175" s="0"/>
      <c r="H175" s="0"/>
      <c r="I175" s="0"/>
      <c r="J175" s="0"/>
      <c r="K175" s="0"/>
      <c r="L175" s="0"/>
      <c r="M175" s="0"/>
      <c r="N175" s="0"/>
      <c r="O175" s="0"/>
      <c r="P175" s="0"/>
      <c r="Q175" s="0"/>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c r="IW175" s="0"/>
    </row>
    <row r="176" customFormat="false" ht="12.75" hidden="false" customHeight="false" outlineLevel="0" collapsed="false">
      <c r="A176" s="0"/>
      <c r="B176" s="0"/>
      <c r="C176" s="0"/>
      <c r="D176" s="0"/>
      <c r="E176" s="0"/>
      <c r="F176" s="0"/>
      <c r="G176" s="0"/>
      <c r="H176" s="0"/>
      <c r="I176" s="0"/>
      <c r="J176" s="0"/>
      <c r="K176" s="0"/>
      <c r="L176" s="0"/>
      <c r="M176" s="0"/>
      <c r="N176" s="0"/>
      <c r="O176" s="0"/>
      <c r="P176" s="0"/>
      <c r="Q176" s="0"/>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c r="IW176" s="0"/>
    </row>
    <row r="177" customFormat="false" ht="12.75" hidden="false" customHeight="false" outlineLevel="0" collapsed="false">
      <c r="A177" s="0"/>
      <c r="B177" s="0"/>
      <c r="C177" s="0"/>
      <c r="D177" s="0"/>
      <c r="E177" s="0"/>
      <c r="F177" s="0"/>
      <c r="G177" s="0"/>
      <c r="H177" s="0"/>
      <c r="I177" s="0"/>
      <c r="J177" s="0"/>
      <c r="K177" s="0"/>
      <c r="L177" s="0"/>
      <c r="M177" s="0"/>
      <c r="N177" s="0"/>
      <c r="O177" s="0"/>
      <c r="P177" s="0"/>
      <c r="Q177" s="0"/>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c r="IW177" s="0"/>
    </row>
    <row r="178" customFormat="false" ht="12.75" hidden="false" customHeight="false" outlineLevel="0" collapsed="false">
      <c r="A178" s="0"/>
      <c r="B178" s="0"/>
      <c r="C178" s="0"/>
      <c r="D178" s="0"/>
      <c r="E178" s="0"/>
      <c r="F178" s="0"/>
      <c r="G178" s="0"/>
      <c r="H178" s="0"/>
      <c r="I178" s="0"/>
      <c r="J178" s="0"/>
      <c r="K178" s="0"/>
      <c r="L178" s="0"/>
      <c r="M178" s="0"/>
      <c r="N178" s="0"/>
      <c r="O178" s="0"/>
      <c r="P178" s="0"/>
      <c r="Q178" s="0"/>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c r="IW178" s="0"/>
    </row>
    <row r="179" customFormat="false" ht="12.75" hidden="false" customHeight="false" outlineLevel="0" collapsed="false">
      <c r="A179" s="0"/>
      <c r="B179" s="0"/>
      <c r="C179" s="0"/>
      <c r="D179" s="0"/>
      <c r="E179" s="0"/>
      <c r="F179" s="0"/>
      <c r="G179" s="0"/>
      <c r="H179" s="0"/>
      <c r="I179" s="0"/>
      <c r="J179" s="0"/>
      <c r="K179" s="0"/>
      <c r="L179" s="0"/>
      <c r="M179" s="0"/>
      <c r="N179" s="0"/>
      <c r="O179" s="0"/>
      <c r="P179" s="0"/>
      <c r="Q179" s="0"/>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c r="IW179" s="0"/>
    </row>
    <row r="180" customFormat="false" ht="12.75" hidden="false" customHeight="false" outlineLevel="0" collapsed="false">
      <c r="A180" s="0"/>
      <c r="B180" s="0"/>
      <c r="C180" s="0"/>
      <c r="D180" s="0"/>
      <c r="E180" s="0"/>
      <c r="F180" s="0"/>
      <c r="G180" s="0"/>
      <c r="H180" s="0"/>
      <c r="I180" s="0"/>
      <c r="J180" s="0"/>
      <c r="K180" s="0"/>
      <c r="L180" s="0"/>
      <c r="M180" s="0"/>
      <c r="N180" s="0"/>
      <c r="O180" s="0"/>
      <c r="P180" s="0"/>
      <c r="Q180" s="0"/>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c r="IW180" s="0"/>
    </row>
    <row r="181" customFormat="false" ht="12.75" hidden="false" customHeight="false" outlineLevel="0" collapsed="false">
      <c r="A181" s="0"/>
      <c r="B181" s="0"/>
      <c r="C181" s="0"/>
      <c r="D181" s="0"/>
      <c r="E181" s="0"/>
      <c r="F181" s="0"/>
      <c r="G181" s="0"/>
      <c r="H181" s="0"/>
      <c r="I181" s="0"/>
      <c r="J181" s="0"/>
      <c r="K181" s="0"/>
      <c r="L181" s="0"/>
      <c r="M181" s="0"/>
      <c r="N181" s="0"/>
      <c r="O181" s="0"/>
      <c r="P181" s="0"/>
      <c r="Q181" s="0"/>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c r="IW181" s="0"/>
    </row>
    <row r="182" customFormat="false" ht="12.75" hidden="false" customHeight="false" outlineLevel="0" collapsed="false">
      <c r="A182" s="0"/>
      <c r="B182" s="0"/>
      <c r="C182" s="0"/>
      <c r="D182" s="0"/>
      <c r="E182" s="0"/>
      <c r="F182" s="0"/>
      <c r="G182" s="0"/>
      <c r="H182" s="0"/>
      <c r="I182" s="0"/>
      <c r="J182" s="0"/>
      <c r="K182" s="0"/>
      <c r="L182" s="0"/>
      <c r="M182" s="0"/>
      <c r="N182" s="0"/>
      <c r="O182" s="0"/>
      <c r="P182" s="0"/>
      <c r="Q182" s="0"/>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c r="IW182" s="0"/>
    </row>
    <row r="183" customFormat="false" ht="12.75" hidden="false" customHeight="false" outlineLevel="0" collapsed="false">
      <c r="A183" s="0"/>
      <c r="B183" s="0"/>
      <c r="C183" s="0"/>
      <c r="D183" s="0"/>
      <c r="E183" s="0"/>
      <c r="F183" s="0"/>
      <c r="G183" s="0"/>
      <c r="H183" s="0"/>
      <c r="I183" s="0"/>
      <c r="J183" s="0"/>
      <c r="K183" s="0"/>
      <c r="L183" s="0"/>
      <c r="M183" s="0"/>
      <c r="N183" s="0"/>
      <c r="O183" s="0"/>
      <c r="P183" s="0"/>
      <c r="Q183" s="0"/>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c r="IW183" s="0"/>
    </row>
    <row r="184" customFormat="false" ht="12.75" hidden="false" customHeight="false" outlineLevel="0" collapsed="false">
      <c r="A184" s="0"/>
      <c r="B184" s="0"/>
      <c r="C184" s="0"/>
      <c r="D184" s="0"/>
      <c r="E184" s="0"/>
      <c r="F184" s="0"/>
      <c r="G184" s="0"/>
      <c r="H184" s="0"/>
      <c r="I184" s="0"/>
      <c r="J184" s="0"/>
      <c r="K184" s="0"/>
      <c r="L184" s="0"/>
      <c r="M184" s="0"/>
      <c r="N184" s="0"/>
      <c r="O184" s="0"/>
      <c r="P184" s="0"/>
      <c r="Q184" s="0"/>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c r="IW184" s="0"/>
    </row>
    <row r="185" customFormat="false" ht="12.75" hidden="false" customHeight="false" outlineLevel="0" collapsed="false">
      <c r="A185" s="0"/>
      <c r="B185" s="0"/>
      <c r="C185" s="0"/>
      <c r="D185" s="0"/>
      <c r="E185" s="0"/>
      <c r="F185" s="0"/>
      <c r="G185" s="0"/>
      <c r="H185" s="0"/>
      <c r="I185" s="0"/>
      <c r="J185" s="0"/>
      <c r="K185" s="0"/>
      <c r="L185" s="0"/>
      <c r="M185" s="0"/>
      <c r="N185" s="0"/>
      <c r="O185" s="0"/>
      <c r="P185" s="0"/>
      <c r="Q185" s="0"/>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c r="IW185" s="0"/>
    </row>
    <row r="186" customFormat="false" ht="12.75" hidden="false" customHeight="false" outlineLevel="0" collapsed="false">
      <c r="A186" s="0"/>
      <c r="B186" s="0"/>
      <c r="C186" s="0"/>
      <c r="D186" s="0"/>
      <c r="E186" s="0"/>
      <c r="F186" s="0"/>
      <c r="G186" s="0"/>
      <c r="H186" s="0"/>
      <c r="I186" s="0"/>
      <c r="J186" s="0"/>
      <c r="K186" s="0"/>
      <c r="L186" s="0"/>
      <c r="M186" s="0"/>
      <c r="N186" s="0"/>
      <c r="O186" s="0"/>
      <c r="P186" s="0"/>
      <c r="Q186" s="0"/>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c r="IW186" s="0"/>
    </row>
    <row r="187" customFormat="false" ht="12.75" hidden="false" customHeight="false" outlineLevel="0" collapsed="false">
      <c r="A187" s="0"/>
      <c r="B187" s="0"/>
      <c r="C187" s="0"/>
      <c r="D187" s="0"/>
      <c r="E187" s="0"/>
      <c r="F187" s="0"/>
      <c r="G187" s="0"/>
      <c r="H187" s="0"/>
      <c r="I187" s="0"/>
      <c r="J187" s="0"/>
      <c r="K187" s="0"/>
      <c r="L187" s="0"/>
      <c r="M187" s="0"/>
      <c r="N187" s="0"/>
      <c r="O187" s="0"/>
      <c r="P187" s="0"/>
      <c r="Q187" s="0"/>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c r="IW187" s="0"/>
    </row>
    <row r="188" customFormat="false" ht="12.75" hidden="false" customHeight="false" outlineLevel="0" collapsed="false">
      <c r="A188" s="0"/>
      <c r="B188" s="0"/>
      <c r="C188" s="0"/>
      <c r="D188" s="0"/>
      <c r="E188" s="0"/>
      <c r="F188" s="0"/>
      <c r="G188" s="0"/>
      <c r="H188" s="0"/>
      <c r="I188" s="0"/>
      <c r="J188" s="0"/>
      <c r="K188" s="0"/>
      <c r="L188" s="0"/>
      <c r="M188" s="0"/>
      <c r="N188" s="0"/>
      <c r="O188" s="0"/>
      <c r="P188" s="0"/>
      <c r="Q188" s="0"/>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c r="IW188" s="0"/>
    </row>
    <row r="189" customFormat="false" ht="12.75" hidden="false" customHeight="false" outlineLevel="0" collapsed="false">
      <c r="A189" s="0"/>
      <c r="B189" s="0"/>
      <c r="C189" s="0"/>
      <c r="D189" s="0"/>
      <c r="E189" s="0"/>
      <c r="F189" s="0"/>
      <c r="G189" s="0"/>
      <c r="H189" s="0"/>
      <c r="I189" s="0"/>
      <c r="J189" s="0"/>
      <c r="K189" s="0"/>
      <c r="L189" s="0"/>
      <c r="M189" s="0"/>
      <c r="N189" s="0"/>
      <c r="O189" s="0"/>
      <c r="P189" s="0"/>
      <c r="Q189" s="0"/>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c r="IW189" s="0"/>
    </row>
    <row r="190" customFormat="false" ht="12.75" hidden="false" customHeight="false" outlineLevel="0" collapsed="false">
      <c r="A190" s="0"/>
      <c r="B190" s="0"/>
      <c r="C190" s="0"/>
      <c r="D190" s="0"/>
      <c r="E190" s="0"/>
      <c r="F190" s="0"/>
      <c r="G190" s="0"/>
      <c r="H190" s="0"/>
      <c r="I190" s="0"/>
      <c r="J190" s="0"/>
      <c r="K190" s="0"/>
      <c r="L190" s="0"/>
      <c r="M190" s="0"/>
      <c r="N190" s="0"/>
      <c r="O190" s="0"/>
      <c r="P190" s="0"/>
      <c r="Q190" s="0"/>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c r="IW190" s="0"/>
    </row>
    <row r="191" customFormat="false" ht="12.75" hidden="false" customHeight="false" outlineLevel="0" collapsed="false">
      <c r="A191" s="0"/>
      <c r="B191" s="0"/>
      <c r="C191" s="0"/>
      <c r="D191" s="0"/>
      <c r="E191" s="0"/>
      <c r="F191" s="0"/>
      <c r="G191" s="0"/>
      <c r="H191" s="0"/>
      <c r="I191" s="0"/>
      <c r="J191" s="0"/>
      <c r="K191" s="0"/>
      <c r="L191" s="0"/>
      <c r="M191" s="0"/>
      <c r="N191" s="0"/>
      <c r="O191" s="0"/>
      <c r="P191" s="0"/>
      <c r="Q191" s="0"/>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c r="IW191" s="0"/>
    </row>
    <row r="192" customFormat="false" ht="12.75" hidden="false" customHeight="false" outlineLevel="0" collapsed="false">
      <c r="A192" s="0"/>
      <c r="B192" s="0"/>
      <c r="C192" s="0"/>
      <c r="D192" s="0"/>
      <c r="E192" s="0"/>
      <c r="F192" s="0"/>
      <c r="G192" s="0"/>
      <c r="H192" s="0"/>
      <c r="I192" s="0"/>
      <c r="J192" s="0"/>
      <c r="K192" s="0"/>
      <c r="L192" s="0"/>
      <c r="M192" s="0"/>
      <c r="N192" s="0"/>
      <c r="O192" s="0"/>
      <c r="P192" s="0"/>
      <c r="Q192" s="0"/>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c r="IW192" s="0"/>
    </row>
    <row r="193" customFormat="false" ht="12.75" hidden="false" customHeight="false" outlineLevel="0" collapsed="false">
      <c r="A193" s="0"/>
      <c r="B193" s="0"/>
      <c r="C193" s="0"/>
      <c r="D193" s="0"/>
      <c r="E193" s="0"/>
      <c r="F193" s="0"/>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2.75" hidden="false" customHeight="false" outlineLevel="0" collapsed="false">
      <c r="A195" s="0"/>
      <c r="B195" s="0"/>
      <c r="C195" s="0"/>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c r="IW195" s="0"/>
    </row>
    <row r="196" customFormat="false" ht="12.75" hidden="false" customHeight="false" outlineLevel="0" collapsed="false">
      <c r="A196" s="0"/>
      <c r="B196" s="0"/>
      <c r="C196" s="0"/>
      <c r="D196" s="0"/>
      <c r="E196" s="0"/>
      <c r="F196" s="0"/>
      <c r="G196" s="0"/>
      <c r="H196" s="0"/>
      <c r="I196" s="0"/>
      <c r="J196" s="0"/>
      <c r="K196" s="0"/>
      <c r="L196" s="0"/>
      <c r="M196" s="0"/>
      <c r="N196" s="0"/>
      <c r="O196" s="0"/>
      <c r="P196" s="0"/>
      <c r="Q196" s="0"/>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c r="IW196" s="0"/>
    </row>
    <row r="197" customFormat="false" ht="12.75" hidden="false" customHeight="false" outlineLevel="0" collapsed="false">
      <c r="A197" s="0"/>
      <c r="B197" s="0"/>
      <c r="C197" s="0"/>
      <c r="D197" s="0"/>
      <c r="E197" s="0"/>
      <c r="F197" s="0"/>
      <c r="G197" s="0"/>
      <c r="H197" s="0"/>
      <c r="I197" s="0"/>
      <c r="J197" s="0"/>
      <c r="K197" s="0"/>
      <c r="L197" s="0"/>
      <c r="M197" s="0"/>
      <c r="N197" s="0"/>
      <c r="O197" s="0"/>
      <c r="P197" s="0"/>
      <c r="Q197" s="0"/>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c r="IW197" s="0"/>
    </row>
  </sheetData>
  <printOptions headings="false" gridLines="false" gridLinesSet="true" horizontalCentered="true" verticalCentered="false"/>
  <pageMargins left="0.2" right="0.747916666666667" top="0.220138888888889" bottom="0.570138888888889"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60" man="true" max="16383" min="0"/>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884"/>
  <sheetViews>
    <sheetView showFormulas="false" showGridLines="true" showRowColHeaders="true" showZeros="true" rightToLeft="false" tabSelected="false" showOutlineSymbols="true" defaultGridColor="true" view="normal" topLeftCell="A184" colorId="64" zoomScale="100" zoomScaleNormal="100" zoomScalePageLayoutView="100" workbookViewId="0">
      <selection pane="topLeft" activeCell="B185" activeCellId="0" sqref="B185"/>
    </sheetView>
  </sheetViews>
  <sheetFormatPr defaultColWidth="9.0546875" defaultRowHeight="12.75" customHeight="true" zeroHeight="false" outlineLevelRow="0" outlineLevelCol="0"/>
  <cols>
    <col collapsed="false" customWidth="true" hidden="false" outlineLevel="0" max="1" min="1" style="0" width="12.28"/>
    <col collapsed="false" customWidth="true" hidden="false" outlineLevel="0" max="2" min="2" style="0" width="12.14"/>
    <col collapsed="false" customWidth="true" hidden="false" outlineLevel="0" max="3" min="3" style="0" width="13.14"/>
    <col collapsed="false" customWidth="true" hidden="false" outlineLevel="0" max="4" min="4" style="0" width="14.28"/>
    <col collapsed="false" customWidth="true" hidden="false" outlineLevel="0" max="6" min="5" style="0" width="12.7"/>
    <col collapsed="false" customWidth="true" hidden="false" outlineLevel="0" max="7" min="7" style="0" width="13.99"/>
    <col collapsed="false" customWidth="true" hidden="false" outlineLevel="0" max="9" min="8" style="0" width="13.56"/>
    <col collapsed="false" customWidth="true" hidden="false" outlineLevel="0" max="11" min="10" style="0" width="12.7"/>
    <col collapsed="false" customWidth="true" hidden="false" outlineLevel="0" max="12" min="12" style="0" width="12.28"/>
    <col collapsed="false" customWidth="true" hidden="false" outlineLevel="0" max="13" min="13" style="0" width="1.56"/>
    <col collapsed="false" customWidth="true" hidden="false" outlineLevel="0" max="21" min="14" style="0" width="12.7"/>
    <col collapsed="false" customWidth="true" hidden="false" outlineLevel="0" max="22" min="22" style="0" width="12.28"/>
    <col collapsed="false" customWidth="true" hidden="false" outlineLevel="0" max="23" min="23" style="0" width="1.56"/>
    <col collapsed="false" customWidth="true" hidden="false" outlineLevel="0" max="31" min="31" style="0" width="12.28"/>
  </cols>
  <sheetData>
    <row r="1" customFormat="false" ht="12.75" hidden="false" customHeight="false" outlineLevel="0" collapsed="false">
      <c r="C1" s="0" t="s">
        <v>118</v>
      </c>
    </row>
    <row r="2" customFormat="false" ht="12.75" hidden="false" customHeight="false" outlineLevel="0" collapsed="false">
      <c r="A2" s="22" t="s">
        <v>119</v>
      </c>
      <c r="J2" s="22" t="s">
        <v>120</v>
      </c>
      <c r="Z2" s="22"/>
    </row>
    <row r="3" customFormat="false" ht="12.75" hidden="false" customHeight="false" outlineLevel="0" collapsed="false">
      <c r="A3" s="22" t="s">
        <v>121</v>
      </c>
      <c r="D3" s="22" t="s">
        <v>122</v>
      </c>
      <c r="J3" s="22" t="s">
        <v>123</v>
      </c>
      <c r="Z3" s="22"/>
    </row>
    <row r="4" customFormat="false" ht="12.75" hidden="false" customHeight="false" outlineLevel="0" collapsed="false">
      <c r="A4" s="0" t="s">
        <v>24</v>
      </c>
      <c r="D4" s="22" t="s">
        <v>124</v>
      </c>
      <c r="J4" s="0" t="s">
        <v>125</v>
      </c>
      <c r="K4" s="0" t="s">
        <v>126</v>
      </c>
      <c r="Z4" s="22"/>
    </row>
    <row r="5" customFormat="false" ht="12.75" hidden="false" customHeight="false" outlineLevel="0" collapsed="false">
      <c r="A5" s="0" t="s">
        <v>127</v>
      </c>
      <c r="D5" s="22" t="s">
        <v>128</v>
      </c>
      <c r="J5" s="0" t="s">
        <v>129</v>
      </c>
      <c r="K5" s="106" t="n">
        <v>47.625</v>
      </c>
      <c r="Z5" s="22"/>
    </row>
    <row r="6" customFormat="false" ht="12.75" hidden="false" customHeight="false" outlineLevel="0" collapsed="false">
      <c r="A6" s="0" t="s">
        <v>130</v>
      </c>
      <c r="D6" s="0" t="s">
        <v>82</v>
      </c>
      <c r="E6" s="0" t="s">
        <v>131</v>
      </c>
      <c r="J6" s="0" t="s">
        <v>132</v>
      </c>
      <c r="K6" s="107" t="n">
        <v>0.0657</v>
      </c>
      <c r="Z6" s="22"/>
    </row>
    <row r="7" customFormat="false" ht="12.75" hidden="false" customHeight="false" outlineLevel="0" collapsed="false">
      <c r="A7" s="0" t="s">
        <v>133</v>
      </c>
      <c r="D7" s="0" t="s">
        <v>80</v>
      </c>
      <c r="J7" s="0" t="s">
        <v>134</v>
      </c>
      <c r="K7" s="0" t="s">
        <v>135</v>
      </c>
      <c r="Z7" s="22"/>
    </row>
    <row r="8" customFormat="false" ht="12.75" hidden="false" customHeight="false" outlineLevel="0" collapsed="false">
      <c r="A8" s="0" t="s">
        <v>136</v>
      </c>
      <c r="D8" s="0" t="s">
        <v>84</v>
      </c>
      <c r="J8" s="0" t="s">
        <v>137</v>
      </c>
      <c r="K8" s="0" t="s">
        <v>138</v>
      </c>
      <c r="Z8" s="22"/>
    </row>
    <row r="9" customFormat="false" ht="12.75" hidden="false" customHeight="false" outlineLevel="0" collapsed="false">
      <c r="A9" s="0" t="s">
        <v>139</v>
      </c>
      <c r="D9" s="22" t="s">
        <v>140</v>
      </c>
      <c r="J9" s="0" t="s">
        <v>141</v>
      </c>
      <c r="K9" s="0" t="s">
        <v>142</v>
      </c>
      <c r="Z9" s="22"/>
    </row>
    <row r="10" customFormat="false" ht="12.75" hidden="false" customHeight="false" outlineLevel="0" collapsed="false">
      <c r="A10" s="0" t="s">
        <v>143</v>
      </c>
      <c r="D10" s="0" t="s">
        <v>144</v>
      </c>
      <c r="J10" s="0" t="s">
        <v>145</v>
      </c>
      <c r="K10" s="0" t="s">
        <v>146</v>
      </c>
      <c r="Z10" s="22"/>
    </row>
    <row r="11" customFormat="false" ht="12.75" hidden="false" customHeight="false" outlineLevel="0" collapsed="false">
      <c r="A11" s="0" t="s">
        <v>147</v>
      </c>
      <c r="J11" s="0" t="s">
        <v>148</v>
      </c>
      <c r="K11" s="32" t="n">
        <v>36780</v>
      </c>
      <c r="Z11" s="22"/>
    </row>
    <row r="12" customFormat="false" ht="12.75" hidden="false" customHeight="false" outlineLevel="0" collapsed="false">
      <c r="D12" s="0" t="s">
        <v>149</v>
      </c>
      <c r="J12" s="0" t="s">
        <v>150</v>
      </c>
      <c r="K12" s="0" t="s">
        <v>151</v>
      </c>
      <c r="Z12" s="22"/>
    </row>
    <row r="13" customFormat="false" ht="12.75" hidden="false" customHeight="false" outlineLevel="0" collapsed="false">
      <c r="D13" s="0" t="s">
        <v>152</v>
      </c>
      <c r="J13" s="0" t="s">
        <v>153</v>
      </c>
      <c r="K13" s="108" t="n">
        <v>0.39</v>
      </c>
    </row>
    <row r="14" customFormat="false" ht="12.75" hidden="false" customHeight="false" outlineLevel="0" collapsed="false">
      <c r="D14" s="86" t="s">
        <v>79</v>
      </c>
    </row>
    <row r="15" customFormat="false" ht="12.75" hidden="false" customHeight="false" outlineLevel="0" collapsed="false">
      <c r="D15" s="86" t="s">
        <v>154</v>
      </c>
    </row>
    <row r="16" customFormat="false" ht="12.75" hidden="false" customHeight="false" outlineLevel="0" collapsed="false">
      <c r="A16" s="0" t="s">
        <v>155</v>
      </c>
      <c r="B16" s="109" t="n">
        <v>36707</v>
      </c>
      <c r="D16" s="86"/>
    </row>
    <row r="18" customFormat="false" ht="12.75" hidden="false" customHeight="false" outlineLevel="0" collapsed="false">
      <c r="B18" s="23" t="s">
        <v>89</v>
      </c>
      <c r="C18" s="23" t="s">
        <v>142</v>
      </c>
    </row>
    <row r="19" customFormat="false" ht="12.75" hidden="false" customHeight="false" outlineLevel="0" collapsed="false">
      <c r="A19" s="110" t="s">
        <v>2</v>
      </c>
      <c r="B19" s="110" t="s">
        <v>125</v>
      </c>
      <c r="C19" s="110" t="s">
        <v>125</v>
      </c>
    </row>
    <row r="20" customFormat="false" ht="12.75" hidden="false" customHeight="false" outlineLevel="0" collapsed="false">
      <c r="A20" s="32" t="n">
        <v>36524</v>
      </c>
      <c r="B20" s="111"/>
      <c r="C20" s="112"/>
      <c r="AE20" s="113" t="n">
        <v>96248897</v>
      </c>
    </row>
    <row r="21" customFormat="false" ht="12.75" hidden="true" customHeight="false" outlineLevel="0" collapsed="false">
      <c r="A21" s="32" t="n">
        <v>36525</v>
      </c>
      <c r="B21" s="111" t="n">
        <v>44.375</v>
      </c>
      <c r="C21" s="112"/>
      <c r="D21" s="113"/>
      <c r="E21" s="113"/>
      <c r="F21" s="113"/>
      <c r="G21" s="113"/>
      <c r="H21" s="113"/>
      <c r="I21" s="113"/>
      <c r="J21" s="113"/>
      <c r="K21" s="113"/>
      <c r="L21" s="113"/>
      <c r="M21" s="70"/>
      <c r="N21" s="70"/>
      <c r="O21" s="70"/>
      <c r="P21" s="70"/>
      <c r="Q21" s="70"/>
      <c r="R21" s="70"/>
      <c r="S21" s="70"/>
      <c r="T21" s="70"/>
      <c r="U21" s="70"/>
      <c r="V21" s="70"/>
      <c r="W21" s="70"/>
      <c r="AE21" s="113" t="n">
        <v>96248897</v>
      </c>
    </row>
    <row r="22" customFormat="false" ht="12.75" hidden="true" customHeight="false" outlineLevel="0" collapsed="false">
      <c r="A22" s="32" t="n">
        <v>36528</v>
      </c>
      <c r="B22" s="111" t="n">
        <v>43.4375</v>
      </c>
      <c r="C22" s="112"/>
      <c r="D22" s="113"/>
      <c r="E22" s="113"/>
      <c r="F22" s="113"/>
      <c r="G22" s="113"/>
      <c r="H22" s="113"/>
      <c r="I22" s="113"/>
      <c r="J22" s="113"/>
      <c r="K22" s="113"/>
      <c r="L22" s="113"/>
      <c r="M22" s="70"/>
      <c r="N22" s="70"/>
      <c r="O22" s="70"/>
      <c r="P22" s="70"/>
      <c r="Q22" s="70"/>
      <c r="R22" s="70"/>
      <c r="S22" s="70"/>
      <c r="T22" s="70"/>
      <c r="U22" s="70"/>
      <c r="V22" s="70"/>
      <c r="W22" s="70"/>
      <c r="AE22" s="113" t="n">
        <v>98042808.8516768</v>
      </c>
    </row>
    <row r="23" customFormat="false" ht="12.75" hidden="true" customHeight="false" outlineLevel="0" collapsed="false">
      <c r="A23" s="32" t="n">
        <v>36529</v>
      </c>
      <c r="B23" s="111" t="n">
        <v>42.5</v>
      </c>
      <c r="C23" s="112"/>
      <c r="D23" s="113"/>
      <c r="E23" s="113"/>
      <c r="F23" s="113"/>
      <c r="G23" s="113"/>
      <c r="H23" s="113"/>
      <c r="I23" s="113"/>
      <c r="J23" s="113"/>
      <c r="K23" s="113"/>
      <c r="L23" s="113"/>
      <c r="M23" s="70"/>
      <c r="N23" s="70"/>
      <c r="O23" s="70"/>
      <c r="P23" s="70"/>
      <c r="Q23" s="70"/>
      <c r="R23" s="70"/>
      <c r="S23" s="70"/>
      <c r="T23" s="70"/>
      <c r="U23" s="70"/>
      <c r="V23" s="70"/>
      <c r="W23" s="70"/>
      <c r="AE23" s="113" t="n">
        <v>97778336.4716768</v>
      </c>
    </row>
    <row r="24" customFormat="false" ht="12.75" hidden="true" customHeight="false" outlineLevel="0" collapsed="false">
      <c r="A24" s="32" t="n">
        <v>36530</v>
      </c>
      <c r="B24" s="111" t="n">
        <v>44</v>
      </c>
      <c r="C24" s="112"/>
      <c r="D24" s="28"/>
      <c r="E24" s="28"/>
      <c r="F24" s="113"/>
      <c r="G24" s="113"/>
      <c r="H24" s="113"/>
      <c r="I24" s="113"/>
      <c r="J24" s="113"/>
      <c r="K24" s="113"/>
      <c r="L24" s="113"/>
      <c r="M24" s="70"/>
      <c r="N24" s="70"/>
      <c r="O24" s="70"/>
      <c r="P24" s="70"/>
      <c r="Q24" s="70"/>
      <c r="R24" s="70"/>
      <c r="S24" s="70"/>
      <c r="T24" s="70"/>
      <c r="U24" s="70"/>
      <c r="V24" s="70"/>
      <c r="W24" s="70"/>
      <c r="AE24" s="28" t="n">
        <v>98196364</v>
      </c>
    </row>
    <row r="25" customFormat="false" ht="12.75" hidden="true" customHeight="false" outlineLevel="0" collapsed="false">
      <c r="A25" s="32" t="n">
        <v>36531</v>
      </c>
      <c r="B25" s="111" t="n">
        <v>47.9375</v>
      </c>
      <c r="C25" s="112"/>
      <c r="D25" s="28"/>
      <c r="E25" s="28"/>
      <c r="F25" s="113"/>
      <c r="G25" s="113"/>
      <c r="H25" s="113"/>
      <c r="I25" s="113"/>
      <c r="J25" s="113"/>
      <c r="K25" s="113"/>
      <c r="L25" s="113"/>
      <c r="M25" s="70"/>
      <c r="N25" s="70"/>
      <c r="O25" s="70"/>
      <c r="P25" s="70"/>
      <c r="Q25" s="70"/>
      <c r="R25" s="70"/>
      <c r="S25" s="70"/>
      <c r="T25" s="70"/>
      <c r="U25" s="70"/>
      <c r="V25" s="70"/>
      <c r="W25" s="70"/>
      <c r="AE25" s="28" t="n">
        <v>99296891.7316768</v>
      </c>
    </row>
    <row r="26" customFormat="false" ht="12.75" hidden="true" customHeight="false" outlineLevel="0" collapsed="false">
      <c r="A26" s="32" t="n">
        <v>36532</v>
      </c>
      <c r="B26" s="111" t="n">
        <v>49.0625</v>
      </c>
      <c r="C26" s="112"/>
      <c r="D26" s="28"/>
      <c r="E26" s="28"/>
      <c r="F26" s="113"/>
      <c r="G26" s="113"/>
      <c r="H26" s="113"/>
      <c r="I26" s="113"/>
      <c r="J26" s="113"/>
      <c r="K26" s="113"/>
      <c r="L26" s="113"/>
      <c r="M26" s="70"/>
      <c r="N26" s="70"/>
      <c r="O26" s="70"/>
      <c r="P26" s="70"/>
      <c r="Q26" s="70"/>
      <c r="R26" s="70"/>
      <c r="S26" s="70"/>
      <c r="T26" s="70"/>
      <c r="U26" s="70"/>
      <c r="V26" s="70"/>
      <c r="W26" s="70"/>
      <c r="AE26" s="28" t="n">
        <v>99609919</v>
      </c>
    </row>
    <row r="27" customFormat="false" ht="12.75" hidden="true" customHeight="false" outlineLevel="0" collapsed="false">
      <c r="A27" s="32" t="n">
        <v>36535</v>
      </c>
      <c r="B27" s="111" t="n">
        <v>47.3125</v>
      </c>
      <c r="C27" s="112"/>
      <c r="D27" s="28"/>
      <c r="E27" s="28"/>
      <c r="F27" s="113"/>
      <c r="G27" s="113"/>
      <c r="H27" s="113"/>
      <c r="I27" s="113"/>
      <c r="J27" s="113"/>
      <c r="K27" s="113"/>
      <c r="L27" s="113"/>
      <c r="M27" s="70"/>
      <c r="N27" s="70"/>
      <c r="O27" s="70"/>
      <c r="P27" s="70"/>
      <c r="Q27" s="70"/>
      <c r="R27" s="70"/>
      <c r="S27" s="70"/>
      <c r="T27" s="70"/>
      <c r="U27" s="70"/>
      <c r="V27" s="70"/>
      <c r="W27" s="70"/>
      <c r="AE27" s="28" t="n">
        <v>99114002.2316768</v>
      </c>
    </row>
    <row r="28" customFormat="false" ht="12.75" hidden="true" customHeight="false" outlineLevel="0" collapsed="false">
      <c r="A28" s="32" t="n">
        <v>36536</v>
      </c>
      <c r="B28" s="111" t="n">
        <v>47.625</v>
      </c>
      <c r="C28" s="112" t="n">
        <v>5.26</v>
      </c>
      <c r="D28" s="28"/>
      <c r="E28" s="28"/>
      <c r="F28" s="113"/>
      <c r="G28" s="113"/>
      <c r="H28" s="113"/>
      <c r="I28" s="113"/>
      <c r="J28" s="113"/>
      <c r="K28" s="113"/>
      <c r="L28" s="113"/>
      <c r="M28" s="70"/>
      <c r="N28" s="70"/>
      <c r="O28" s="70"/>
      <c r="P28" s="70"/>
      <c r="Q28" s="70"/>
      <c r="R28" s="70"/>
      <c r="S28" s="70"/>
      <c r="T28" s="70"/>
      <c r="U28" s="70"/>
      <c r="V28" s="70"/>
      <c r="W28" s="70"/>
      <c r="AE28" s="28" t="n">
        <v>99199529.8616768</v>
      </c>
    </row>
    <row r="29" customFormat="false" ht="12.75" hidden="true" customHeight="false" outlineLevel="0" collapsed="false">
      <c r="A29" s="32" t="n">
        <v>36537</v>
      </c>
      <c r="B29" s="111" t="n">
        <v>51.5</v>
      </c>
      <c r="C29" s="112" t="n">
        <v>5.819089</v>
      </c>
      <c r="D29" s="28"/>
      <c r="E29" s="28"/>
      <c r="F29" s="28"/>
      <c r="G29" s="113"/>
      <c r="H29" s="113"/>
      <c r="I29" s="113"/>
      <c r="J29" s="113"/>
      <c r="K29" s="28"/>
      <c r="L29" s="28"/>
      <c r="M29" s="70"/>
      <c r="N29" s="70"/>
      <c r="O29" s="70"/>
      <c r="P29" s="70"/>
      <c r="Q29" s="70"/>
      <c r="R29" s="70"/>
      <c r="S29" s="70"/>
      <c r="T29" s="70"/>
      <c r="U29" s="70"/>
      <c r="V29" s="70"/>
      <c r="W29" s="70"/>
      <c r="AE29" s="28" t="n">
        <v>124936958</v>
      </c>
    </row>
    <row r="30" customFormat="false" ht="12.75" hidden="true" customHeight="false" outlineLevel="0" collapsed="false">
      <c r="A30" s="32" t="n">
        <v>36538</v>
      </c>
      <c r="B30" s="111" t="n">
        <v>53.375</v>
      </c>
      <c r="C30" s="112" t="n">
        <v>5.230405</v>
      </c>
      <c r="D30" s="28"/>
      <c r="E30" s="28"/>
      <c r="F30" s="28"/>
      <c r="G30" s="113"/>
      <c r="H30" s="113"/>
      <c r="I30" s="113"/>
      <c r="J30" s="113"/>
      <c r="K30" s="113"/>
      <c r="L30" s="113"/>
      <c r="M30" s="70"/>
      <c r="N30" s="70"/>
      <c r="O30" s="70"/>
      <c r="P30" s="70"/>
      <c r="Q30" s="70"/>
      <c r="R30" s="70"/>
      <c r="S30" s="70"/>
      <c r="T30" s="70"/>
      <c r="U30" s="70"/>
      <c r="V30" s="70"/>
      <c r="W30" s="70"/>
      <c r="Y30" s="27"/>
      <c r="AE30" s="28" t="n">
        <v>137815966</v>
      </c>
    </row>
    <row r="31" customFormat="false" ht="12.75" hidden="true" customHeight="false" outlineLevel="0" collapsed="false">
      <c r="A31" s="32" t="n">
        <v>36539</v>
      </c>
      <c r="B31" s="111" t="n">
        <v>56.375</v>
      </c>
      <c r="C31" s="112" t="n">
        <v>2.544309</v>
      </c>
      <c r="D31" s="28"/>
      <c r="E31" s="28"/>
      <c r="F31" s="28"/>
      <c r="G31" s="113"/>
      <c r="H31" s="113"/>
      <c r="I31" s="113"/>
      <c r="J31" s="113"/>
      <c r="K31" s="28"/>
      <c r="L31" s="113"/>
      <c r="M31" s="70"/>
      <c r="N31" s="70"/>
      <c r="O31" s="70"/>
      <c r="P31" s="70"/>
      <c r="Q31" s="70"/>
      <c r="R31" s="70"/>
      <c r="S31" s="70"/>
      <c r="T31" s="70"/>
      <c r="U31" s="70"/>
      <c r="V31" s="70"/>
      <c r="W31" s="70"/>
      <c r="AE31" s="28" t="n">
        <v>157866941</v>
      </c>
    </row>
    <row r="32" customFormat="false" ht="12.75" hidden="true" customHeight="false" outlineLevel="0" collapsed="false">
      <c r="A32" s="32" t="n">
        <v>36543</v>
      </c>
      <c r="B32" s="111" t="n">
        <v>55.5</v>
      </c>
      <c r="C32" s="112" t="n">
        <v>2.7112</v>
      </c>
      <c r="D32" s="28"/>
      <c r="E32" s="28"/>
      <c r="F32" s="28"/>
      <c r="G32" s="113"/>
      <c r="H32" s="113"/>
      <c r="I32" s="113"/>
      <c r="J32" s="113"/>
      <c r="K32" s="28"/>
      <c r="L32" s="28"/>
      <c r="M32" s="70"/>
      <c r="N32" s="70"/>
      <c r="O32" s="70"/>
      <c r="P32" s="70"/>
      <c r="Q32" s="70"/>
      <c r="R32" s="70"/>
      <c r="S32" s="70"/>
      <c r="T32" s="70"/>
      <c r="U32" s="70"/>
      <c r="V32" s="70"/>
      <c r="W32" s="70"/>
    </row>
    <row r="33" customFormat="false" ht="12.75" hidden="true" customHeight="false" outlineLevel="0" collapsed="false">
      <c r="A33" s="32" t="n">
        <v>36544</v>
      </c>
      <c r="B33" s="111" t="n">
        <v>53.5</v>
      </c>
      <c r="C33" s="112" t="n">
        <v>3.199056</v>
      </c>
      <c r="D33" s="28"/>
      <c r="E33" s="28"/>
      <c r="F33" s="28"/>
      <c r="G33" s="113"/>
      <c r="H33" s="113"/>
      <c r="I33" s="113"/>
      <c r="J33" s="113"/>
      <c r="K33" s="28"/>
      <c r="L33" s="28"/>
      <c r="M33" s="70"/>
      <c r="N33" s="70"/>
      <c r="O33" s="70"/>
      <c r="P33" s="70"/>
      <c r="Q33" s="70"/>
      <c r="R33" s="70"/>
      <c r="S33" s="70"/>
      <c r="T33" s="70"/>
      <c r="U33" s="70"/>
      <c r="V33" s="70"/>
      <c r="W33" s="70"/>
    </row>
    <row r="34" customFormat="false" ht="12.75" hidden="true" customHeight="false" outlineLevel="0" collapsed="false">
      <c r="A34" s="32" t="n">
        <v>36545</v>
      </c>
      <c r="B34" s="111" t="n">
        <v>67.5</v>
      </c>
      <c r="C34" s="112" t="n">
        <v>0.918455</v>
      </c>
      <c r="D34" s="28"/>
      <c r="E34" s="28"/>
      <c r="F34" s="28"/>
      <c r="G34" s="113"/>
      <c r="H34" s="113"/>
      <c r="I34" s="113"/>
      <c r="J34" s="113"/>
      <c r="K34" s="28"/>
      <c r="L34" s="28"/>
      <c r="M34" s="70"/>
      <c r="N34" s="70"/>
      <c r="O34" s="70"/>
      <c r="P34" s="70"/>
      <c r="Q34" s="70"/>
      <c r="R34" s="70"/>
      <c r="S34" s="70"/>
      <c r="T34" s="70"/>
      <c r="U34" s="70"/>
      <c r="V34" s="70"/>
      <c r="W34" s="70"/>
    </row>
    <row r="35" customFormat="false" ht="12.75" hidden="true" customHeight="false" outlineLevel="0" collapsed="false">
      <c r="A35" s="32" t="n">
        <v>36546</v>
      </c>
      <c r="B35" s="111" t="n">
        <v>71.625</v>
      </c>
      <c r="C35" s="112" t="n">
        <v>0.624136</v>
      </c>
      <c r="D35" s="28"/>
      <c r="E35" s="28"/>
      <c r="F35" s="28"/>
      <c r="G35" s="113"/>
      <c r="H35" s="113"/>
      <c r="I35" s="113"/>
      <c r="J35" s="113"/>
      <c r="K35" s="28"/>
      <c r="L35" s="28"/>
      <c r="M35" s="70"/>
      <c r="N35" s="70"/>
      <c r="O35" s="70"/>
      <c r="P35" s="70"/>
      <c r="Q35" s="70"/>
      <c r="R35" s="70"/>
      <c r="S35" s="70"/>
      <c r="T35" s="70"/>
      <c r="U35" s="70"/>
      <c r="V35" s="70"/>
      <c r="W35" s="70"/>
    </row>
    <row r="36" customFormat="false" ht="12.75" hidden="true" customHeight="false" outlineLevel="0" collapsed="false">
      <c r="A36" s="32" t="n">
        <v>36549</v>
      </c>
      <c r="B36" s="111" t="n">
        <v>65</v>
      </c>
      <c r="C36" s="112" t="n">
        <v>1.129162</v>
      </c>
      <c r="D36" s="28"/>
      <c r="E36" s="28"/>
      <c r="F36" s="28"/>
      <c r="G36" s="113"/>
      <c r="H36" s="113"/>
      <c r="I36" s="113"/>
      <c r="J36" s="113"/>
      <c r="K36" s="28"/>
      <c r="L36" s="28"/>
      <c r="M36" s="70"/>
      <c r="N36" s="70"/>
      <c r="O36" s="70"/>
      <c r="P36" s="70"/>
      <c r="Q36" s="70"/>
      <c r="R36" s="70"/>
      <c r="S36" s="70"/>
      <c r="T36" s="70"/>
      <c r="U36" s="70"/>
      <c r="V36" s="70"/>
      <c r="W36" s="70"/>
    </row>
    <row r="37" customFormat="false" ht="12.75" hidden="true" customHeight="false" outlineLevel="0" collapsed="false">
      <c r="A37" s="32" t="n">
        <v>36550</v>
      </c>
      <c r="B37" s="111" t="n">
        <v>61.25</v>
      </c>
      <c r="C37" s="112" t="n">
        <v>1.585198</v>
      </c>
      <c r="D37" s="28"/>
      <c r="E37" s="28"/>
      <c r="F37" s="28"/>
      <c r="G37" s="113"/>
      <c r="H37" s="113"/>
      <c r="I37" s="113"/>
      <c r="J37" s="113"/>
      <c r="K37" s="28"/>
      <c r="L37" s="28"/>
      <c r="M37" s="70"/>
      <c r="N37" s="70"/>
      <c r="O37" s="70"/>
      <c r="P37" s="70"/>
      <c r="Q37" s="70"/>
      <c r="R37" s="70"/>
      <c r="S37" s="70"/>
      <c r="T37" s="70"/>
      <c r="U37" s="70"/>
      <c r="V37" s="70"/>
      <c r="W37" s="70"/>
    </row>
    <row r="38" customFormat="false" ht="12.75" hidden="true" customHeight="false" outlineLevel="0" collapsed="false">
      <c r="A38" s="32" t="n">
        <v>36551</v>
      </c>
      <c r="B38" s="111" t="n">
        <v>61.125</v>
      </c>
      <c r="C38" s="112" t="n">
        <v>1.598711</v>
      </c>
      <c r="D38" s="28"/>
      <c r="E38" s="28"/>
      <c r="F38" s="28"/>
      <c r="G38" s="113"/>
      <c r="H38" s="113"/>
      <c r="I38" s="113"/>
      <c r="J38" s="113"/>
      <c r="K38" s="28"/>
      <c r="L38" s="28"/>
      <c r="M38" s="70"/>
      <c r="N38" s="70"/>
      <c r="O38" s="70"/>
      <c r="P38" s="70"/>
      <c r="Q38" s="70"/>
      <c r="R38" s="70"/>
      <c r="S38" s="70"/>
      <c r="T38" s="70"/>
      <c r="U38" s="70"/>
      <c r="V38" s="70"/>
      <c r="W38" s="70"/>
    </row>
    <row r="39" customFormat="false" ht="12.75" hidden="true" customHeight="false" outlineLevel="0" collapsed="false">
      <c r="A39" s="32" t="n">
        <v>36552</v>
      </c>
      <c r="B39" s="111" t="n">
        <v>61</v>
      </c>
      <c r="C39" s="112" t="n">
        <v>1.609097</v>
      </c>
      <c r="D39" s="28"/>
      <c r="E39" s="28"/>
      <c r="F39" s="28"/>
      <c r="G39" s="113"/>
      <c r="H39" s="113"/>
      <c r="I39" s="113"/>
      <c r="J39" s="113"/>
      <c r="K39" s="28"/>
      <c r="L39" s="28"/>
      <c r="M39" s="70"/>
      <c r="N39" s="70"/>
      <c r="O39" s="70"/>
      <c r="P39" s="70"/>
      <c r="Q39" s="70"/>
      <c r="R39" s="70"/>
      <c r="S39" s="70"/>
      <c r="T39" s="70"/>
      <c r="U39" s="70"/>
      <c r="V39" s="70"/>
      <c r="W39" s="70"/>
    </row>
    <row r="40" customFormat="false" ht="12.75" hidden="true" customHeight="false" outlineLevel="0" collapsed="false">
      <c r="A40" s="32" t="n">
        <v>36553</v>
      </c>
      <c r="B40" s="111" t="n">
        <v>60.1875</v>
      </c>
      <c r="C40" s="112" t="n">
        <v>1.715927</v>
      </c>
      <c r="D40" s="28"/>
      <c r="E40" s="28"/>
      <c r="F40" s="28"/>
      <c r="G40" s="113"/>
      <c r="H40" s="113"/>
      <c r="I40" s="113"/>
      <c r="J40" s="113"/>
      <c r="K40" s="28"/>
      <c r="L40" s="28"/>
      <c r="M40" s="70"/>
      <c r="N40" s="70"/>
      <c r="O40" s="70"/>
      <c r="P40" s="70"/>
      <c r="Q40" s="70"/>
      <c r="R40" s="70"/>
      <c r="S40" s="70"/>
      <c r="T40" s="70"/>
      <c r="U40" s="70"/>
      <c r="V40" s="70"/>
      <c r="W40" s="70"/>
    </row>
    <row r="41" customFormat="false" ht="12.75" hidden="true" customHeight="false" outlineLevel="0" collapsed="false">
      <c r="A41" s="32" t="n">
        <v>36556</v>
      </c>
      <c r="B41" s="111" t="n">
        <v>67.875</v>
      </c>
      <c r="C41" s="112" t="n">
        <v>0.824618</v>
      </c>
      <c r="D41" s="28"/>
      <c r="E41" s="28"/>
      <c r="F41" s="28"/>
      <c r="G41" s="113"/>
      <c r="H41" s="113"/>
      <c r="I41" s="113"/>
      <c r="J41" s="113"/>
      <c r="K41" s="28"/>
      <c r="L41" s="28"/>
      <c r="M41" s="70"/>
      <c r="N41" s="70"/>
      <c r="O41" s="70"/>
      <c r="P41" s="70"/>
      <c r="Q41" s="70"/>
      <c r="R41" s="70"/>
      <c r="S41" s="70"/>
      <c r="T41" s="70"/>
      <c r="U41" s="70"/>
      <c r="V41" s="70"/>
      <c r="W41" s="70"/>
    </row>
    <row r="42" customFormat="false" ht="12.75" hidden="true" customHeight="false" outlineLevel="0" collapsed="false">
      <c r="A42" s="32" t="n">
        <v>36557</v>
      </c>
      <c r="B42" s="111" t="n">
        <v>64.5</v>
      </c>
      <c r="C42" s="112" t="n">
        <v>1.130075</v>
      </c>
      <c r="D42" s="28"/>
      <c r="E42" s="28"/>
      <c r="F42" s="28"/>
      <c r="G42" s="113"/>
      <c r="H42" s="113"/>
      <c r="I42" s="113"/>
      <c r="J42" s="113"/>
      <c r="K42" s="28"/>
      <c r="L42" s="28"/>
      <c r="M42" s="70"/>
      <c r="N42" s="70"/>
      <c r="O42" s="70"/>
      <c r="P42" s="70"/>
      <c r="Q42" s="70"/>
      <c r="R42" s="70"/>
      <c r="S42" s="70"/>
      <c r="T42" s="70"/>
      <c r="U42" s="70"/>
      <c r="V42" s="70"/>
      <c r="W42" s="70"/>
    </row>
    <row r="43" customFormat="false" ht="12.75" hidden="true" customHeight="false" outlineLevel="0" collapsed="false">
      <c r="A43" s="32" t="n">
        <v>36558</v>
      </c>
      <c r="B43" s="111" t="n">
        <v>62.875</v>
      </c>
      <c r="C43" s="112" t="n">
        <v>1.309425</v>
      </c>
      <c r="D43" s="28"/>
      <c r="E43" s="28"/>
      <c r="F43" s="28"/>
      <c r="G43" s="113"/>
      <c r="H43" s="113"/>
      <c r="I43" s="113"/>
      <c r="J43" s="113"/>
      <c r="K43" s="28"/>
      <c r="L43" s="28"/>
      <c r="M43" s="70"/>
      <c r="N43" s="70"/>
      <c r="O43" s="70"/>
      <c r="P43" s="70"/>
      <c r="Q43" s="70"/>
      <c r="R43" s="70"/>
      <c r="S43" s="70"/>
      <c r="T43" s="70"/>
      <c r="U43" s="70"/>
      <c r="V43" s="70"/>
      <c r="W43" s="70"/>
    </row>
    <row r="44" customFormat="false" ht="12.75" hidden="true" customHeight="false" outlineLevel="0" collapsed="false">
      <c r="A44" s="32" t="n">
        <v>36559</v>
      </c>
      <c r="B44" s="111" t="n">
        <v>63.6875</v>
      </c>
      <c r="C44" s="112" t="n">
        <v>1.208927</v>
      </c>
      <c r="D44" s="28"/>
      <c r="E44" s="28"/>
      <c r="F44" s="28"/>
      <c r="G44" s="113"/>
      <c r="H44" s="113"/>
      <c r="I44" s="113"/>
      <c r="J44" s="113"/>
      <c r="K44" s="28"/>
      <c r="L44" s="28"/>
      <c r="M44" s="70"/>
      <c r="N44" s="70"/>
      <c r="O44" s="70"/>
      <c r="P44" s="70"/>
      <c r="Q44" s="70"/>
      <c r="R44" s="70"/>
      <c r="S44" s="70"/>
      <c r="T44" s="70"/>
      <c r="U44" s="70"/>
      <c r="V44" s="70"/>
      <c r="W44" s="70"/>
    </row>
    <row r="45" customFormat="false" ht="12.75" hidden="true" customHeight="false" outlineLevel="0" collapsed="false">
      <c r="A45" s="32" t="n">
        <v>36560</v>
      </c>
      <c r="B45" s="111" t="n">
        <v>61.75</v>
      </c>
      <c r="C45" s="112" t="n">
        <v>1.441843</v>
      </c>
      <c r="D45" s="28"/>
      <c r="E45" s="28"/>
      <c r="F45" s="28"/>
      <c r="G45" s="113"/>
      <c r="H45" s="113"/>
      <c r="I45" s="113"/>
      <c r="J45" s="113"/>
      <c r="K45" s="28"/>
      <c r="L45" s="28"/>
      <c r="M45" s="70"/>
      <c r="N45" s="70"/>
      <c r="O45" s="70"/>
      <c r="P45" s="70"/>
      <c r="Q45" s="70"/>
      <c r="R45" s="70"/>
      <c r="S45" s="70"/>
      <c r="T45" s="70"/>
      <c r="U45" s="70"/>
      <c r="V45" s="70"/>
      <c r="W45" s="70"/>
    </row>
    <row r="46" customFormat="false" ht="12.75" hidden="true" customHeight="false" outlineLevel="0" collapsed="false">
      <c r="A46" s="32" t="n">
        <v>36561</v>
      </c>
      <c r="B46" s="111"/>
      <c r="C46" s="112"/>
      <c r="D46" s="28"/>
      <c r="E46" s="28"/>
      <c r="F46" s="28"/>
      <c r="G46" s="113"/>
      <c r="H46" s="113"/>
      <c r="I46" s="113"/>
      <c r="J46" s="113"/>
      <c r="K46" s="28"/>
      <c r="L46" s="28"/>
      <c r="M46" s="70"/>
      <c r="N46" s="70"/>
      <c r="O46" s="70"/>
      <c r="P46" s="70"/>
      <c r="Q46" s="70"/>
      <c r="R46" s="70"/>
      <c r="S46" s="70"/>
      <c r="T46" s="70"/>
      <c r="U46" s="70"/>
      <c r="V46" s="70"/>
      <c r="W46" s="70"/>
    </row>
    <row r="47" customFormat="false" ht="12.75" hidden="true" customHeight="false" outlineLevel="0" collapsed="false">
      <c r="A47" s="32" t="n">
        <v>36562</v>
      </c>
      <c r="B47" s="111"/>
      <c r="C47" s="112"/>
      <c r="D47" s="28"/>
      <c r="E47" s="28"/>
      <c r="F47" s="28"/>
      <c r="G47" s="113"/>
      <c r="H47" s="113"/>
      <c r="I47" s="113"/>
      <c r="J47" s="113"/>
      <c r="K47" s="28"/>
      <c r="L47" s="28"/>
      <c r="M47" s="70"/>
      <c r="N47" s="70"/>
      <c r="O47" s="70"/>
      <c r="P47" s="70"/>
      <c r="Q47" s="70"/>
      <c r="R47" s="70"/>
      <c r="S47" s="70"/>
      <c r="T47" s="70"/>
      <c r="U47" s="70"/>
      <c r="V47" s="70"/>
      <c r="W47" s="70"/>
    </row>
    <row r="48" customFormat="false" ht="12.75" hidden="true" customHeight="false" outlineLevel="0" collapsed="false">
      <c r="A48" s="32" t="n">
        <v>36563</v>
      </c>
      <c r="B48" s="111" t="n">
        <v>62.5</v>
      </c>
      <c r="C48" s="112" t="n">
        <v>1.314535</v>
      </c>
      <c r="D48" s="28"/>
      <c r="E48" s="28"/>
      <c r="F48" s="28"/>
      <c r="G48" s="113"/>
      <c r="H48" s="113"/>
      <c r="I48" s="113"/>
      <c r="J48" s="113"/>
      <c r="K48" s="28"/>
      <c r="L48" s="28"/>
      <c r="M48" s="70"/>
      <c r="N48" s="70"/>
      <c r="O48" s="70"/>
      <c r="P48" s="70"/>
      <c r="Q48" s="70"/>
      <c r="R48" s="70"/>
      <c r="S48" s="70"/>
      <c r="T48" s="70"/>
      <c r="U48" s="70"/>
      <c r="V48" s="70"/>
      <c r="W48" s="70"/>
    </row>
    <row r="49" customFormat="false" ht="12.75" hidden="true" customHeight="false" outlineLevel="0" collapsed="false">
      <c r="A49" s="32" t="n">
        <v>36564</v>
      </c>
      <c r="B49" s="111" t="n">
        <v>66.125</v>
      </c>
      <c r="C49" s="112" t="n">
        <v>0.92471</v>
      </c>
      <c r="D49" s="28"/>
      <c r="E49" s="28"/>
      <c r="F49" s="28"/>
      <c r="G49" s="113"/>
      <c r="H49" s="113"/>
      <c r="I49" s="113"/>
      <c r="J49" s="113"/>
      <c r="K49" s="28"/>
      <c r="L49" s="28"/>
      <c r="M49" s="70"/>
      <c r="N49" s="70"/>
      <c r="O49" s="70"/>
      <c r="P49" s="70"/>
      <c r="Q49" s="70"/>
      <c r="R49" s="70"/>
      <c r="S49" s="70"/>
      <c r="T49" s="70"/>
      <c r="U49" s="70"/>
      <c r="V49" s="70"/>
      <c r="W49" s="70"/>
    </row>
    <row r="50" customFormat="false" ht="12.75" hidden="true" customHeight="false" outlineLevel="0" collapsed="false">
      <c r="A50" s="32" t="n">
        <v>36565</v>
      </c>
      <c r="B50" s="111" t="n">
        <v>66.4375</v>
      </c>
      <c r="C50" s="112" t="n">
        <v>0.890176</v>
      </c>
      <c r="D50" s="28"/>
      <c r="E50" s="28"/>
      <c r="F50" s="28"/>
      <c r="G50" s="113"/>
      <c r="H50" s="113"/>
      <c r="I50" s="113"/>
      <c r="J50" s="113"/>
      <c r="K50" s="28"/>
      <c r="L50" s="28"/>
      <c r="M50" s="70"/>
      <c r="N50" s="70"/>
      <c r="O50" s="70"/>
      <c r="P50" s="70"/>
      <c r="Q50" s="70"/>
      <c r="R50" s="70"/>
      <c r="S50" s="70"/>
      <c r="T50" s="70"/>
      <c r="U50" s="70"/>
      <c r="V50" s="70"/>
      <c r="W50" s="70"/>
    </row>
    <row r="51" customFormat="false" ht="12.75" hidden="true" customHeight="false" outlineLevel="0" collapsed="false">
      <c r="A51" s="32" t="n">
        <v>36566</v>
      </c>
      <c r="B51" s="111" t="n">
        <v>67.625</v>
      </c>
      <c r="C51" s="112" t="n">
        <v>0.787187</v>
      </c>
      <c r="D51" s="28"/>
      <c r="E51" s="28"/>
      <c r="F51" s="28"/>
      <c r="G51" s="113"/>
      <c r="H51" s="113"/>
      <c r="I51" s="113"/>
      <c r="J51" s="113"/>
      <c r="K51" s="28"/>
      <c r="L51" s="28"/>
      <c r="M51" s="70"/>
      <c r="N51" s="70"/>
      <c r="O51" s="70"/>
      <c r="P51" s="70"/>
      <c r="Q51" s="70"/>
      <c r="R51" s="70"/>
      <c r="S51" s="70"/>
      <c r="T51" s="70"/>
      <c r="U51" s="70"/>
      <c r="V51" s="70"/>
      <c r="W51" s="70"/>
    </row>
    <row r="52" customFormat="false" ht="12.75" hidden="true" customHeight="false" outlineLevel="0" collapsed="false">
      <c r="A52" s="32" t="n">
        <v>36567</v>
      </c>
      <c r="B52" s="111" t="n">
        <v>65.875</v>
      </c>
      <c r="C52" s="112" t="n">
        <v>0.930363</v>
      </c>
      <c r="D52" s="28"/>
      <c r="E52" s="28"/>
      <c r="F52" s="28"/>
      <c r="G52" s="113"/>
      <c r="H52" s="113"/>
      <c r="I52" s="113"/>
      <c r="J52" s="113"/>
      <c r="K52" s="28"/>
      <c r="L52" s="28"/>
      <c r="M52" s="70"/>
      <c r="N52" s="70"/>
      <c r="O52" s="70"/>
      <c r="P52" s="70"/>
      <c r="Q52" s="70"/>
      <c r="R52" s="70"/>
      <c r="S52" s="70"/>
      <c r="T52" s="70"/>
      <c r="U52" s="70"/>
      <c r="V52" s="70"/>
      <c r="W52" s="70"/>
    </row>
    <row r="53" customFormat="false" ht="12.75" hidden="true" customHeight="false" outlineLevel="0" collapsed="false">
      <c r="A53" s="32" t="n">
        <v>36568</v>
      </c>
      <c r="B53" s="111"/>
      <c r="C53" s="112"/>
      <c r="D53" s="28"/>
      <c r="E53" s="28"/>
      <c r="F53" s="28"/>
      <c r="G53" s="113"/>
      <c r="H53" s="113"/>
      <c r="I53" s="113"/>
      <c r="J53" s="113"/>
      <c r="K53" s="28"/>
      <c r="L53" s="28"/>
      <c r="M53" s="70"/>
      <c r="N53" s="70"/>
      <c r="O53" s="70"/>
      <c r="P53" s="70"/>
      <c r="Q53" s="70"/>
      <c r="R53" s="70"/>
      <c r="S53" s="70"/>
      <c r="T53" s="70"/>
      <c r="U53" s="70"/>
      <c r="V53" s="70"/>
      <c r="W53" s="70"/>
    </row>
    <row r="54" customFormat="false" ht="12.75" hidden="true" customHeight="false" outlineLevel="0" collapsed="false">
      <c r="A54" s="32" t="n">
        <v>36569</v>
      </c>
      <c r="B54" s="111"/>
      <c r="C54" s="112"/>
      <c r="D54" s="28"/>
      <c r="E54" s="28"/>
      <c r="F54" s="28"/>
      <c r="G54" s="113"/>
      <c r="H54" s="113"/>
      <c r="I54" s="113"/>
      <c r="J54" s="113"/>
      <c r="K54" s="28"/>
      <c r="L54" s="28"/>
      <c r="M54" s="70"/>
      <c r="N54" s="70"/>
      <c r="O54" s="70"/>
      <c r="P54" s="70"/>
      <c r="Q54" s="70"/>
      <c r="R54" s="70"/>
      <c r="S54" s="70"/>
      <c r="T54" s="70"/>
      <c r="U54" s="70"/>
      <c r="V54" s="70"/>
      <c r="W54" s="70"/>
    </row>
    <row r="55" customFormat="false" ht="12.75" hidden="true" customHeight="false" outlineLevel="0" collapsed="false">
      <c r="A55" s="32" t="n">
        <v>36570</v>
      </c>
      <c r="B55" s="111" t="n">
        <v>67.8125</v>
      </c>
      <c r="C55" s="112" t="n">
        <v>0.750704</v>
      </c>
      <c r="D55" s="28"/>
      <c r="E55" s="28"/>
      <c r="F55" s="28"/>
      <c r="G55" s="113"/>
      <c r="H55" s="113"/>
      <c r="I55" s="113"/>
      <c r="J55" s="113"/>
      <c r="K55" s="28"/>
      <c r="L55" s="28"/>
      <c r="M55" s="70"/>
      <c r="N55" s="70"/>
      <c r="O55" s="70"/>
      <c r="P55" s="70"/>
      <c r="Q55" s="70"/>
      <c r="R55" s="70"/>
      <c r="S55" s="70"/>
      <c r="T55" s="70"/>
      <c r="U55" s="70"/>
      <c r="V55" s="70"/>
      <c r="W55" s="70"/>
    </row>
    <row r="56" customFormat="false" ht="12.75" hidden="true" customHeight="false" outlineLevel="0" collapsed="false">
      <c r="A56" s="32" t="n">
        <v>36571</v>
      </c>
      <c r="B56" s="111" t="n">
        <v>68.9375</v>
      </c>
      <c r="C56" s="112" t="n">
        <v>0.66312</v>
      </c>
      <c r="D56" s="28"/>
      <c r="E56" s="28"/>
      <c r="F56" s="28"/>
      <c r="G56" s="113"/>
      <c r="H56" s="113"/>
      <c r="I56" s="113"/>
      <c r="J56" s="113"/>
      <c r="K56" s="28"/>
      <c r="L56" s="28"/>
      <c r="M56" s="70"/>
      <c r="N56" s="70"/>
      <c r="O56" s="70"/>
      <c r="P56" s="70"/>
      <c r="Q56" s="70"/>
      <c r="R56" s="70"/>
      <c r="S56" s="70"/>
      <c r="T56" s="70"/>
      <c r="U56" s="70"/>
      <c r="V56" s="70"/>
      <c r="W56" s="70"/>
    </row>
    <row r="57" customFormat="false" ht="12.75" hidden="true" customHeight="false" outlineLevel="0" collapsed="false">
      <c r="A57" s="32" t="n">
        <v>36572</v>
      </c>
      <c r="B57" s="111" t="n">
        <v>69.875</v>
      </c>
      <c r="C57" s="112" t="n">
        <v>0.599125</v>
      </c>
      <c r="D57" s="28"/>
      <c r="E57" s="28"/>
      <c r="F57" s="28"/>
      <c r="G57" s="113"/>
      <c r="H57" s="113"/>
      <c r="I57" s="113"/>
      <c r="J57" s="113"/>
      <c r="K57" s="28"/>
      <c r="L57" s="28"/>
      <c r="M57" s="70"/>
      <c r="N57" s="70"/>
      <c r="O57" s="70"/>
      <c r="P57" s="70"/>
      <c r="Q57" s="70"/>
      <c r="R57" s="70"/>
      <c r="S57" s="70"/>
      <c r="T57" s="70"/>
      <c r="U57" s="70"/>
      <c r="V57" s="70"/>
      <c r="W57" s="70"/>
    </row>
    <row r="58" customFormat="false" ht="12.75" hidden="true" customHeight="false" outlineLevel="0" collapsed="false">
      <c r="A58" s="32" t="n">
        <v>36573</v>
      </c>
      <c r="B58" s="111" t="n">
        <v>70.3125</v>
      </c>
      <c r="C58" s="112" t="n">
        <v>0.5694</v>
      </c>
      <c r="D58" s="28"/>
      <c r="E58" s="28"/>
      <c r="F58" s="28"/>
      <c r="G58" s="113"/>
      <c r="H58" s="113"/>
      <c r="I58" s="113"/>
      <c r="J58" s="113"/>
      <c r="K58" s="28"/>
      <c r="L58" s="28"/>
      <c r="M58" s="70"/>
      <c r="N58" s="70"/>
      <c r="O58" s="70"/>
      <c r="P58" s="70"/>
      <c r="Q58" s="70"/>
      <c r="R58" s="70"/>
      <c r="S58" s="70"/>
      <c r="T58" s="70"/>
      <c r="U58" s="70"/>
      <c r="V58" s="70"/>
      <c r="W58" s="70"/>
    </row>
    <row r="59" customFormat="false" ht="12.75" hidden="true" customHeight="false" outlineLevel="0" collapsed="false">
      <c r="A59" s="32" t="n">
        <v>36574</v>
      </c>
      <c r="B59" s="111" t="n">
        <v>69.1875</v>
      </c>
      <c r="C59" s="112" t="n">
        <v>0.629161</v>
      </c>
      <c r="D59" s="28"/>
      <c r="E59" s="28"/>
      <c r="F59" s="28"/>
      <c r="G59" s="113"/>
      <c r="H59" s="113"/>
      <c r="I59" s="113"/>
      <c r="J59" s="113"/>
      <c r="K59" s="28"/>
      <c r="L59" s="28"/>
      <c r="M59" s="70"/>
      <c r="N59" s="70"/>
      <c r="O59" s="70"/>
      <c r="P59" s="70"/>
      <c r="Q59" s="70"/>
      <c r="R59" s="70"/>
      <c r="S59" s="70"/>
      <c r="T59" s="70"/>
      <c r="U59" s="70"/>
      <c r="V59" s="70"/>
      <c r="W59" s="70"/>
    </row>
    <row r="60" customFormat="false" ht="12.75" hidden="true" customHeight="false" outlineLevel="0" collapsed="false">
      <c r="A60" s="32" t="n">
        <v>36575</v>
      </c>
      <c r="B60" s="111"/>
      <c r="C60" s="112"/>
      <c r="D60" s="28"/>
      <c r="E60" s="28"/>
      <c r="F60" s="28"/>
      <c r="G60" s="113"/>
      <c r="H60" s="113"/>
      <c r="I60" s="113"/>
      <c r="J60" s="113"/>
      <c r="K60" s="28"/>
      <c r="L60" s="28"/>
      <c r="M60" s="70"/>
      <c r="N60" s="70"/>
      <c r="O60" s="70"/>
      <c r="P60" s="70"/>
      <c r="Q60" s="70"/>
      <c r="R60" s="70"/>
      <c r="S60" s="70"/>
      <c r="T60" s="70"/>
      <c r="U60" s="70"/>
      <c r="V60" s="70"/>
      <c r="W60" s="70"/>
    </row>
    <row r="61" customFormat="false" ht="12.75" hidden="true" customHeight="false" outlineLevel="0" collapsed="false">
      <c r="A61" s="32" t="n">
        <v>36576</v>
      </c>
      <c r="B61" s="111"/>
      <c r="C61" s="112"/>
      <c r="D61" s="28"/>
      <c r="E61" s="28"/>
      <c r="F61" s="28"/>
      <c r="G61" s="113"/>
      <c r="H61" s="113"/>
      <c r="I61" s="113"/>
      <c r="J61" s="113"/>
      <c r="K61" s="28"/>
      <c r="L61" s="28"/>
      <c r="M61" s="70"/>
      <c r="N61" s="70"/>
      <c r="O61" s="70"/>
      <c r="P61" s="70"/>
      <c r="Q61" s="70"/>
      <c r="R61" s="70"/>
      <c r="S61" s="70"/>
      <c r="T61" s="70"/>
      <c r="U61" s="70"/>
      <c r="V61" s="70"/>
      <c r="W61" s="70"/>
    </row>
    <row r="62" customFormat="false" ht="12.75" hidden="true" customHeight="false" outlineLevel="0" collapsed="false">
      <c r="A62" s="32" t="n">
        <v>36577</v>
      </c>
      <c r="B62" s="111"/>
      <c r="C62" s="112"/>
      <c r="D62" s="28"/>
      <c r="E62" s="28"/>
      <c r="F62" s="28"/>
      <c r="G62" s="113"/>
      <c r="H62" s="113"/>
      <c r="I62" s="113"/>
      <c r="J62" s="113"/>
      <c r="K62" s="28"/>
      <c r="L62" s="28"/>
      <c r="M62" s="70"/>
      <c r="N62" s="70"/>
      <c r="O62" s="70"/>
      <c r="P62" s="70"/>
      <c r="Q62" s="70"/>
      <c r="R62" s="70"/>
      <c r="S62" s="70"/>
      <c r="T62" s="70"/>
      <c r="U62" s="70"/>
      <c r="V62" s="70"/>
      <c r="W62" s="70"/>
    </row>
    <row r="63" customFormat="false" ht="12.75" hidden="true" customHeight="false" outlineLevel="0" collapsed="false">
      <c r="A63" s="32" t="n">
        <v>36578</v>
      </c>
      <c r="B63" s="111" t="n">
        <v>66</v>
      </c>
      <c r="C63" s="112" t="n">
        <v>0.846793</v>
      </c>
      <c r="D63" s="28"/>
      <c r="E63" s="28"/>
      <c r="F63" s="28"/>
      <c r="G63" s="113"/>
      <c r="H63" s="113"/>
      <c r="I63" s="113"/>
      <c r="J63" s="113"/>
      <c r="K63" s="28"/>
      <c r="L63" s="28"/>
      <c r="M63" s="70"/>
      <c r="N63" s="70"/>
      <c r="O63" s="70"/>
      <c r="P63" s="70"/>
      <c r="Q63" s="70"/>
      <c r="R63" s="70"/>
      <c r="S63" s="70"/>
      <c r="T63" s="70"/>
      <c r="U63" s="70"/>
      <c r="V63" s="70"/>
      <c r="W63" s="70"/>
    </row>
    <row r="64" customFormat="false" ht="12.75" hidden="true" customHeight="false" outlineLevel="0" collapsed="false">
      <c r="A64" s="32" t="n">
        <v>36579</v>
      </c>
      <c r="B64" s="111" t="n">
        <v>65.4375</v>
      </c>
      <c r="C64" s="112" t="n">
        <v>0.892428</v>
      </c>
      <c r="D64" s="28"/>
      <c r="E64" s="28"/>
      <c r="F64" s="28"/>
      <c r="G64" s="113"/>
      <c r="H64" s="113"/>
      <c r="I64" s="113"/>
      <c r="J64" s="113"/>
      <c r="K64" s="28"/>
      <c r="L64" s="28"/>
      <c r="M64" s="70"/>
      <c r="N64" s="70"/>
      <c r="O64" s="70"/>
      <c r="P64" s="70"/>
      <c r="Q64" s="70"/>
      <c r="R64" s="70"/>
      <c r="S64" s="70"/>
      <c r="T64" s="70"/>
      <c r="U64" s="70"/>
      <c r="V64" s="70"/>
      <c r="W64" s="70"/>
    </row>
    <row r="65" customFormat="false" ht="12.75" hidden="true" customHeight="false" outlineLevel="0" collapsed="false">
      <c r="A65" s="32" t="n">
        <v>36580</v>
      </c>
      <c r="B65" s="111" t="n">
        <v>65.5625</v>
      </c>
      <c r="C65" s="112" t="n">
        <v>0.873299</v>
      </c>
      <c r="D65" s="28"/>
      <c r="E65" s="28"/>
      <c r="F65" s="28"/>
      <c r="G65" s="113"/>
      <c r="H65" s="113"/>
      <c r="I65" s="113"/>
      <c r="J65" s="113"/>
      <c r="K65" s="28"/>
      <c r="L65" s="28"/>
      <c r="M65" s="70"/>
      <c r="N65" s="70"/>
      <c r="O65" s="70"/>
      <c r="P65" s="70"/>
      <c r="Q65" s="70"/>
      <c r="R65" s="70"/>
      <c r="S65" s="70"/>
      <c r="T65" s="70"/>
      <c r="U65" s="70"/>
      <c r="V65" s="70"/>
      <c r="W65" s="70"/>
    </row>
    <row r="66" customFormat="false" ht="12.75" hidden="true" customHeight="false" outlineLevel="0" collapsed="false">
      <c r="A66" s="32" t="n">
        <v>36581</v>
      </c>
      <c r="B66" s="111" t="n">
        <v>65.625</v>
      </c>
      <c r="C66" s="112" t="n">
        <v>0.861168</v>
      </c>
      <c r="D66" s="28"/>
      <c r="E66" s="28"/>
      <c r="F66" s="28"/>
      <c r="G66" s="113"/>
      <c r="H66" s="113"/>
      <c r="I66" s="113"/>
      <c r="J66" s="113"/>
      <c r="K66" s="28"/>
      <c r="L66" s="28"/>
      <c r="M66" s="70"/>
      <c r="N66" s="70"/>
      <c r="O66" s="70"/>
      <c r="P66" s="70"/>
      <c r="Q66" s="70"/>
      <c r="R66" s="70"/>
      <c r="S66" s="70"/>
      <c r="T66" s="70"/>
      <c r="U66" s="70"/>
      <c r="V66" s="70"/>
      <c r="W66" s="70"/>
    </row>
    <row r="67" customFormat="false" ht="12.75" hidden="true" customHeight="false" outlineLevel="0" collapsed="false">
      <c r="A67" s="32" t="n">
        <v>36582</v>
      </c>
      <c r="B67" s="111"/>
      <c r="C67" s="112"/>
      <c r="D67" s="28"/>
      <c r="E67" s="28"/>
      <c r="F67" s="28"/>
      <c r="G67" s="113"/>
      <c r="H67" s="113"/>
      <c r="I67" s="113"/>
      <c r="J67" s="113"/>
      <c r="K67" s="28"/>
      <c r="L67" s="28"/>
      <c r="M67" s="70"/>
      <c r="N67" s="70"/>
      <c r="O67" s="70"/>
      <c r="P67" s="70"/>
      <c r="Q67" s="70"/>
      <c r="R67" s="70"/>
      <c r="S67" s="70"/>
      <c r="T67" s="70"/>
      <c r="U67" s="70"/>
      <c r="V67" s="70"/>
      <c r="W67" s="70"/>
    </row>
    <row r="68" customFormat="false" ht="12.75" hidden="true" customHeight="false" outlineLevel="0" collapsed="false">
      <c r="A68" s="32" t="n">
        <v>36583</v>
      </c>
      <c r="B68" s="111"/>
      <c r="C68" s="112"/>
      <c r="D68" s="28"/>
      <c r="E68" s="28"/>
      <c r="F68" s="28"/>
      <c r="G68" s="113"/>
      <c r="H68" s="113"/>
      <c r="I68" s="113"/>
      <c r="J68" s="113"/>
      <c r="K68" s="28"/>
      <c r="L68" s="28"/>
      <c r="M68" s="70"/>
      <c r="N68" s="70"/>
      <c r="O68" s="70"/>
      <c r="P68" s="70"/>
      <c r="Q68" s="70"/>
      <c r="R68" s="70"/>
      <c r="S68" s="70"/>
      <c r="T68" s="70"/>
      <c r="U68" s="70"/>
      <c r="V68" s="70"/>
      <c r="W68" s="70"/>
    </row>
    <row r="69" customFormat="false" ht="12.75" hidden="true" customHeight="false" outlineLevel="0" collapsed="false">
      <c r="A69" s="32" t="n">
        <v>36584</v>
      </c>
      <c r="B69" s="111" t="n">
        <v>64.8125</v>
      </c>
      <c r="C69" s="112" t="n">
        <v>0.904338</v>
      </c>
      <c r="D69" s="28"/>
      <c r="E69" s="28"/>
      <c r="F69" s="28"/>
      <c r="G69" s="113"/>
      <c r="H69" s="113"/>
      <c r="I69" s="113"/>
      <c r="J69" s="113"/>
      <c r="K69" s="28"/>
      <c r="L69" s="28"/>
      <c r="M69" s="70"/>
      <c r="N69" s="70"/>
      <c r="O69" s="70"/>
      <c r="P69" s="70"/>
      <c r="Q69" s="70"/>
      <c r="R69" s="70"/>
      <c r="S69" s="70"/>
      <c r="T69" s="70"/>
      <c r="U69" s="70"/>
      <c r="V69" s="70"/>
      <c r="W69" s="70"/>
    </row>
    <row r="70" customFormat="false" ht="12.75" hidden="true" customHeight="false" outlineLevel="0" collapsed="false">
      <c r="A70" s="32" t="n">
        <v>36585</v>
      </c>
      <c r="B70" s="111" t="n">
        <v>68.75</v>
      </c>
      <c r="C70" s="112" t="n">
        <v>0.591064</v>
      </c>
      <c r="D70" s="28"/>
      <c r="E70" s="28"/>
      <c r="F70" s="28"/>
      <c r="G70" s="113"/>
      <c r="H70" s="113"/>
      <c r="I70" s="113"/>
      <c r="J70" s="113"/>
      <c r="K70" s="28"/>
      <c r="L70" s="28"/>
      <c r="M70" s="70"/>
      <c r="N70" s="70"/>
      <c r="O70" s="70"/>
      <c r="P70" s="70"/>
      <c r="Q70" s="70"/>
      <c r="R70" s="70"/>
      <c r="S70" s="70"/>
      <c r="T70" s="70"/>
      <c r="U70" s="70"/>
      <c r="V70" s="70"/>
      <c r="W70" s="70"/>
    </row>
    <row r="71" customFormat="false" ht="12.75" hidden="true" customHeight="false" outlineLevel="0" collapsed="false">
      <c r="A71" s="32" t="n">
        <v>36586</v>
      </c>
      <c r="B71" s="111" t="n">
        <v>69</v>
      </c>
      <c r="C71" s="112" t="n">
        <v>0.57167</v>
      </c>
      <c r="D71" s="28"/>
      <c r="E71" s="28"/>
      <c r="F71" s="28"/>
      <c r="G71" s="113"/>
      <c r="H71" s="113"/>
      <c r="I71" s="113"/>
      <c r="J71" s="113"/>
      <c r="K71" s="28"/>
      <c r="L71" s="28"/>
      <c r="M71" s="70"/>
      <c r="N71" s="70"/>
      <c r="O71" s="70"/>
      <c r="P71" s="70"/>
      <c r="Q71" s="70"/>
      <c r="R71" s="70"/>
      <c r="S71" s="70"/>
      <c r="T71" s="70"/>
      <c r="U71" s="70"/>
      <c r="V71" s="70"/>
      <c r="W71" s="70"/>
    </row>
    <row r="72" customFormat="false" ht="12.75" hidden="true" customHeight="false" outlineLevel="0" collapsed="false">
      <c r="A72" s="32" t="n">
        <v>36587</v>
      </c>
      <c r="B72" s="111" t="n">
        <v>68.375</v>
      </c>
      <c r="C72" s="112" t="n">
        <v>0.602935</v>
      </c>
      <c r="D72" s="28"/>
      <c r="E72" s="28"/>
      <c r="F72" s="28"/>
      <c r="G72" s="113"/>
      <c r="H72" s="113"/>
      <c r="I72" s="113"/>
      <c r="J72" s="113"/>
      <c r="K72" s="28"/>
      <c r="L72" s="28"/>
      <c r="M72" s="70"/>
      <c r="N72" s="70"/>
      <c r="O72" s="70"/>
      <c r="P72" s="70"/>
      <c r="Q72" s="70"/>
      <c r="R72" s="70"/>
      <c r="S72" s="70"/>
      <c r="T72" s="70"/>
      <c r="U72" s="70"/>
      <c r="V72" s="70"/>
      <c r="W72" s="70"/>
    </row>
    <row r="73" customFormat="false" ht="12.75" hidden="true" customHeight="false" outlineLevel="0" collapsed="false">
      <c r="A73" s="32" t="n">
        <v>36588</v>
      </c>
      <c r="B73" s="111" t="n">
        <v>68.5</v>
      </c>
      <c r="C73" s="112" t="n">
        <v>0.590468</v>
      </c>
      <c r="D73" s="28"/>
      <c r="E73" s="28"/>
      <c r="F73" s="28"/>
      <c r="G73" s="113"/>
      <c r="H73" s="113"/>
      <c r="I73" s="113"/>
      <c r="J73" s="113"/>
      <c r="K73" s="28"/>
      <c r="L73" s="28"/>
      <c r="M73" s="70"/>
      <c r="N73" s="70"/>
      <c r="O73" s="70"/>
      <c r="P73" s="70"/>
      <c r="Q73" s="70"/>
      <c r="R73" s="70"/>
      <c r="S73" s="70"/>
      <c r="T73" s="70"/>
      <c r="U73" s="70"/>
      <c r="V73" s="70"/>
      <c r="W73" s="70"/>
    </row>
    <row r="74" customFormat="false" ht="12.75" hidden="false" customHeight="false" outlineLevel="0" collapsed="false">
      <c r="A74" s="32" t="n">
        <v>36589</v>
      </c>
      <c r="B74" s="111"/>
      <c r="C74" s="112"/>
      <c r="D74" s="28"/>
      <c r="E74" s="28"/>
      <c r="F74" s="28"/>
      <c r="G74" s="113"/>
      <c r="H74" s="113"/>
      <c r="I74" s="113"/>
      <c r="J74" s="113"/>
      <c r="K74" s="28"/>
      <c r="L74" s="28"/>
      <c r="M74" s="70"/>
      <c r="N74" s="70"/>
      <c r="O74" s="70"/>
      <c r="P74" s="70"/>
      <c r="Q74" s="70"/>
      <c r="R74" s="70"/>
      <c r="S74" s="70"/>
      <c r="T74" s="70"/>
      <c r="U74" s="70"/>
      <c r="V74" s="70"/>
      <c r="W74" s="70"/>
    </row>
    <row r="75" customFormat="false" ht="12.75" hidden="false" customHeight="false" outlineLevel="0" collapsed="false">
      <c r="A75" s="32" t="n">
        <v>36590</v>
      </c>
      <c r="B75" s="111"/>
      <c r="C75" s="112"/>
      <c r="D75" s="28"/>
      <c r="E75" s="28"/>
      <c r="F75" s="28"/>
      <c r="G75" s="113"/>
      <c r="H75" s="113"/>
      <c r="I75" s="113"/>
      <c r="J75" s="113"/>
      <c r="K75" s="28"/>
      <c r="L75" s="28"/>
      <c r="M75" s="70"/>
      <c r="N75" s="70"/>
      <c r="O75" s="70"/>
      <c r="P75" s="70"/>
      <c r="Q75" s="70"/>
      <c r="R75" s="70"/>
      <c r="S75" s="70"/>
      <c r="T75" s="70"/>
      <c r="U75" s="70"/>
      <c r="V75" s="70"/>
      <c r="W75" s="70"/>
    </row>
    <row r="76" customFormat="false" ht="12.75" hidden="false" customHeight="false" outlineLevel="0" collapsed="false">
      <c r="A76" s="32" t="n">
        <v>36591</v>
      </c>
      <c r="B76" s="111" t="n">
        <v>68.75</v>
      </c>
      <c r="C76" s="112" t="n">
        <v>0.560472</v>
      </c>
      <c r="D76" s="28"/>
      <c r="E76" s="28"/>
      <c r="F76" s="28"/>
      <c r="G76" s="113"/>
      <c r="H76" s="113"/>
      <c r="I76" s="113"/>
      <c r="J76" s="113"/>
      <c r="K76" s="28"/>
      <c r="L76" s="28"/>
      <c r="M76" s="70"/>
      <c r="N76" s="70"/>
      <c r="O76" s="70"/>
      <c r="P76" s="70"/>
      <c r="Q76" s="70"/>
      <c r="R76" s="70"/>
      <c r="S76" s="70"/>
      <c r="T76" s="70"/>
      <c r="U76" s="70"/>
      <c r="V76" s="70"/>
      <c r="W76" s="70"/>
    </row>
    <row r="77" customFormat="false" ht="12.75" hidden="false" customHeight="false" outlineLevel="0" collapsed="false">
      <c r="A77" s="32" t="n">
        <v>36592</v>
      </c>
      <c r="B77" s="111" t="n">
        <v>71.3125</v>
      </c>
      <c r="C77" s="112" t="n">
        <v>0.419254</v>
      </c>
      <c r="D77" s="28"/>
      <c r="E77" s="28"/>
      <c r="F77" s="28"/>
      <c r="G77" s="113"/>
      <c r="H77" s="113"/>
      <c r="I77" s="113"/>
      <c r="J77" s="113"/>
      <c r="K77" s="28"/>
      <c r="L77" s="28"/>
      <c r="M77" s="70"/>
      <c r="N77" s="70"/>
      <c r="O77" s="70"/>
      <c r="P77" s="70"/>
      <c r="Q77" s="70"/>
      <c r="R77" s="70"/>
      <c r="S77" s="70"/>
      <c r="T77" s="70"/>
      <c r="U77" s="70"/>
      <c r="V77" s="70"/>
      <c r="W77" s="70"/>
    </row>
    <row r="78" customFormat="false" ht="12.75" hidden="false" customHeight="false" outlineLevel="0" collapsed="false">
      <c r="A78" s="32" t="n">
        <v>36593</v>
      </c>
      <c r="B78" s="111" t="n">
        <v>67.1875</v>
      </c>
      <c r="C78" s="112" t="n">
        <v>0.65239</v>
      </c>
      <c r="D78" s="28"/>
      <c r="E78" s="28"/>
      <c r="F78" s="28"/>
      <c r="G78" s="113"/>
      <c r="H78" s="113"/>
      <c r="I78" s="113"/>
      <c r="J78" s="113"/>
      <c r="K78" s="28"/>
      <c r="L78" s="28"/>
      <c r="M78" s="70"/>
      <c r="N78" s="70"/>
      <c r="O78" s="70"/>
      <c r="P78" s="70"/>
      <c r="Q78" s="70"/>
      <c r="R78" s="70"/>
      <c r="S78" s="70"/>
      <c r="T78" s="70"/>
      <c r="U78" s="70"/>
      <c r="V78" s="70"/>
      <c r="W78" s="70"/>
    </row>
    <row r="79" customFormat="false" ht="12.75" hidden="false" customHeight="false" outlineLevel="0" collapsed="false">
      <c r="A79" s="32" t="n">
        <v>36594</v>
      </c>
      <c r="B79" s="111" t="n">
        <v>65.9375</v>
      </c>
      <c r="C79" s="112" t="n">
        <v>0.739134</v>
      </c>
      <c r="D79" s="28"/>
      <c r="E79" s="28"/>
      <c r="F79" s="28"/>
      <c r="G79" s="113"/>
      <c r="H79" s="113"/>
      <c r="I79" s="113"/>
      <c r="J79" s="113"/>
      <c r="K79" s="28"/>
      <c r="L79" s="28"/>
      <c r="M79" s="70"/>
      <c r="N79" s="70"/>
      <c r="O79" s="70"/>
      <c r="P79" s="70"/>
      <c r="Q79" s="70"/>
      <c r="R79" s="70"/>
      <c r="S79" s="70"/>
      <c r="T79" s="70"/>
      <c r="U79" s="70"/>
      <c r="V79" s="70"/>
      <c r="W79" s="70"/>
    </row>
    <row r="80" customFormat="false" ht="12.75" hidden="false" customHeight="false" outlineLevel="0" collapsed="false">
      <c r="A80" s="32" t="n">
        <v>36595</v>
      </c>
      <c r="B80" s="111" t="n">
        <v>68.125</v>
      </c>
      <c r="C80" s="112" t="n">
        <v>0.576058</v>
      </c>
      <c r="D80" s="28"/>
      <c r="E80" s="28"/>
      <c r="F80" s="28"/>
      <c r="G80" s="113"/>
      <c r="H80" s="113"/>
      <c r="I80" s="113"/>
      <c r="J80" s="113"/>
      <c r="K80" s="28"/>
      <c r="L80" s="28"/>
      <c r="M80" s="70"/>
      <c r="N80" s="70"/>
      <c r="O80" s="70"/>
      <c r="P80" s="70"/>
      <c r="Q80" s="70"/>
      <c r="R80" s="70"/>
      <c r="S80" s="70"/>
      <c r="T80" s="70"/>
      <c r="U80" s="70"/>
      <c r="V80" s="70"/>
      <c r="W80" s="70"/>
    </row>
    <row r="81" customFormat="false" ht="12.75" hidden="false" customHeight="false" outlineLevel="0" collapsed="false">
      <c r="A81" s="32" t="n">
        <v>36596</v>
      </c>
      <c r="B81" s="111"/>
      <c r="C81" s="112"/>
      <c r="D81" s="28"/>
      <c r="E81" s="28"/>
      <c r="F81" s="28"/>
      <c r="G81" s="113"/>
      <c r="H81" s="113"/>
      <c r="I81" s="113"/>
      <c r="J81" s="113"/>
      <c r="K81" s="28"/>
      <c r="L81" s="28"/>
      <c r="M81" s="70"/>
      <c r="N81" s="70"/>
      <c r="O81" s="70"/>
      <c r="P81" s="70"/>
      <c r="Q81" s="70"/>
      <c r="R81" s="70"/>
      <c r="S81" s="70"/>
      <c r="T81" s="70"/>
      <c r="U81" s="70"/>
      <c r="V81" s="70"/>
      <c r="W81" s="70"/>
    </row>
    <row r="82" customFormat="false" ht="12.75" hidden="false" customHeight="false" outlineLevel="0" collapsed="false">
      <c r="A82" s="32" t="n">
        <v>36597</v>
      </c>
      <c r="B82" s="111"/>
      <c r="C82" s="112"/>
      <c r="D82" s="28"/>
      <c r="E82" s="28"/>
      <c r="F82" s="28"/>
      <c r="G82" s="113"/>
      <c r="H82" s="113"/>
      <c r="I82" s="113"/>
      <c r="J82" s="113"/>
      <c r="K82" s="28"/>
      <c r="L82" s="28"/>
      <c r="M82" s="70"/>
      <c r="N82" s="70"/>
      <c r="O82" s="70"/>
      <c r="P82" s="70"/>
      <c r="Q82" s="70"/>
      <c r="R82" s="70"/>
      <c r="S82" s="70"/>
      <c r="T82" s="70"/>
      <c r="U82" s="70"/>
      <c r="V82" s="70"/>
      <c r="W82" s="70"/>
    </row>
    <row r="83" customFormat="false" ht="12.75" hidden="false" customHeight="false" outlineLevel="0" collapsed="false">
      <c r="A83" s="32" t="n">
        <v>36598</v>
      </c>
      <c r="B83" s="111" t="n">
        <v>66</v>
      </c>
      <c r="C83" s="112" t="n">
        <v>0.710032</v>
      </c>
      <c r="D83" s="28"/>
      <c r="E83" s="28"/>
      <c r="F83" s="28"/>
      <c r="G83" s="113"/>
      <c r="H83" s="113"/>
      <c r="I83" s="113"/>
      <c r="J83" s="113"/>
      <c r="K83" s="28"/>
      <c r="L83" s="28"/>
      <c r="M83" s="70"/>
      <c r="N83" s="70"/>
      <c r="O83" s="70"/>
      <c r="P83" s="70"/>
      <c r="Q83" s="70"/>
      <c r="R83" s="70"/>
      <c r="S83" s="70"/>
      <c r="T83" s="70"/>
      <c r="U83" s="70"/>
      <c r="V83" s="70"/>
      <c r="W83" s="70"/>
    </row>
    <row r="84" customFormat="false" ht="12.75" hidden="false" customHeight="false" outlineLevel="0" collapsed="false">
      <c r="A84" s="32" t="n">
        <v>36599</v>
      </c>
      <c r="B84" s="111" t="n">
        <v>65.1875</v>
      </c>
      <c r="C84" s="112" t="n">
        <v>0.766848</v>
      </c>
      <c r="D84" s="28"/>
      <c r="E84" s="28"/>
      <c r="F84" s="28"/>
      <c r="G84" s="113"/>
      <c r="H84" s="113"/>
      <c r="I84" s="113"/>
      <c r="J84" s="113"/>
      <c r="K84" s="28"/>
      <c r="L84" s="28"/>
      <c r="M84" s="70"/>
      <c r="N84" s="70"/>
      <c r="O84" s="70"/>
      <c r="P84" s="70"/>
      <c r="Q84" s="70"/>
      <c r="R84" s="70"/>
      <c r="S84" s="70"/>
      <c r="T84" s="70"/>
      <c r="U84" s="70"/>
      <c r="V84" s="70"/>
      <c r="W84" s="70"/>
    </row>
    <row r="85" customFormat="false" ht="12.75" hidden="false" customHeight="false" outlineLevel="0" collapsed="false">
      <c r="A85" s="32" t="n">
        <v>36600</v>
      </c>
      <c r="B85" s="111" t="n">
        <v>68.4375</v>
      </c>
      <c r="C85" s="112" t="n">
        <v>0.531577</v>
      </c>
      <c r="D85" s="28"/>
      <c r="E85" s="28"/>
      <c r="F85" s="28"/>
      <c r="G85" s="113"/>
      <c r="H85" s="113"/>
      <c r="I85" s="113"/>
      <c r="J85" s="113"/>
      <c r="K85" s="28"/>
      <c r="L85" s="28"/>
      <c r="M85" s="70"/>
      <c r="N85" s="70"/>
      <c r="O85" s="70"/>
      <c r="P85" s="70"/>
      <c r="Q85" s="70"/>
      <c r="R85" s="70"/>
      <c r="S85" s="70"/>
      <c r="T85" s="70"/>
      <c r="U85" s="70"/>
      <c r="V85" s="70"/>
      <c r="W85" s="70"/>
    </row>
    <row r="86" customFormat="false" ht="12.75" hidden="false" customHeight="false" outlineLevel="0" collapsed="false">
      <c r="A86" s="32" t="n">
        <v>36601</v>
      </c>
      <c r="B86" s="111" t="n">
        <v>69.4375</v>
      </c>
      <c r="C86" s="112" t="n">
        <v>0.468456</v>
      </c>
      <c r="D86" s="28"/>
      <c r="E86" s="28"/>
      <c r="F86" s="28"/>
      <c r="G86" s="113"/>
      <c r="H86" s="113"/>
      <c r="I86" s="113"/>
      <c r="J86" s="113"/>
      <c r="K86" s="28"/>
      <c r="L86" s="28"/>
      <c r="M86" s="70"/>
      <c r="N86" s="70"/>
      <c r="O86" s="70"/>
      <c r="P86" s="70"/>
      <c r="Q86" s="70"/>
      <c r="R86" s="70"/>
      <c r="S86" s="70"/>
      <c r="T86" s="70"/>
      <c r="U86" s="70"/>
      <c r="V86" s="70"/>
      <c r="W86" s="70"/>
    </row>
    <row r="87" customFormat="false" ht="12.75" hidden="false" customHeight="false" outlineLevel="0" collapsed="false">
      <c r="A87" s="32" t="n">
        <v>36602</v>
      </c>
      <c r="B87" s="111" t="n">
        <v>69.25</v>
      </c>
      <c r="C87" s="112" t="n">
        <v>0.474112</v>
      </c>
      <c r="D87" s="28"/>
      <c r="E87" s="28"/>
      <c r="F87" s="28"/>
      <c r="G87" s="113"/>
      <c r="H87" s="113"/>
      <c r="I87" s="113"/>
      <c r="J87" s="113"/>
      <c r="K87" s="28"/>
      <c r="L87" s="28"/>
      <c r="M87" s="70"/>
      <c r="N87" s="70"/>
      <c r="O87" s="70"/>
      <c r="P87" s="70"/>
      <c r="Q87" s="70"/>
      <c r="R87" s="70"/>
      <c r="S87" s="70"/>
      <c r="T87" s="70"/>
      <c r="U87" s="70"/>
      <c r="V87" s="70"/>
      <c r="W87" s="70"/>
    </row>
    <row r="88" customFormat="false" ht="12.75" hidden="false" customHeight="false" outlineLevel="0" collapsed="false">
      <c r="A88" s="32" t="n">
        <v>36603</v>
      </c>
      <c r="B88" s="111"/>
      <c r="C88" s="112"/>
      <c r="D88" s="28"/>
      <c r="E88" s="28"/>
      <c r="F88" s="28"/>
      <c r="G88" s="113"/>
      <c r="H88" s="113"/>
      <c r="I88" s="113"/>
      <c r="J88" s="113"/>
      <c r="K88" s="28"/>
      <c r="L88" s="28"/>
      <c r="M88" s="70"/>
      <c r="N88" s="70"/>
      <c r="O88" s="70"/>
      <c r="P88" s="70"/>
      <c r="Q88" s="70"/>
      <c r="R88" s="70"/>
      <c r="S88" s="70"/>
      <c r="T88" s="70"/>
      <c r="U88" s="70"/>
      <c r="V88" s="70"/>
      <c r="W88" s="70"/>
    </row>
    <row r="89" customFormat="false" ht="12.75" hidden="false" customHeight="false" outlineLevel="0" collapsed="false">
      <c r="A89" s="32" t="n">
        <v>36604</v>
      </c>
      <c r="B89" s="111"/>
      <c r="C89" s="112"/>
      <c r="D89" s="28"/>
      <c r="E89" s="28"/>
      <c r="F89" s="28"/>
      <c r="G89" s="113"/>
      <c r="H89" s="113"/>
      <c r="I89" s="113"/>
      <c r="J89" s="113"/>
      <c r="K89" s="28"/>
      <c r="L89" s="28"/>
      <c r="M89" s="70"/>
      <c r="N89" s="70"/>
      <c r="O89" s="70"/>
      <c r="P89" s="70"/>
      <c r="Q89" s="70"/>
      <c r="R89" s="70"/>
      <c r="S89" s="70"/>
      <c r="T89" s="70"/>
      <c r="U89" s="70"/>
      <c r="V89" s="70"/>
      <c r="W89" s="70"/>
    </row>
    <row r="90" customFormat="false" ht="12.75" hidden="false" customHeight="false" outlineLevel="0" collapsed="false">
      <c r="A90" s="32" t="n">
        <v>36605</v>
      </c>
      <c r="B90" s="111" t="n">
        <v>68.5625</v>
      </c>
      <c r="C90" s="112" t="n">
        <v>0.497724</v>
      </c>
      <c r="D90" s="28"/>
      <c r="E90" s="28"/>
      <c r="F90" s="28"/>
      <c r="G90" s="113"/>
      <c r="H90" s="113"/>
      <c r="I90" s="113"/>
      <c r="J90" s="113"/>
      <c r="K90" s="28"/>
      <c r="L90" s="28"/>
      <c r="M90" s="70"/>
      <c r="N90" s="70"/>
      <c r="O90" s="70"/>
      <c r="P90" s="70"/>
      <c r="Q90" s="70"/>
      <c r="R90" s="70"/>
      <c r="S90" s="70"/>
      <c r="T90" s="70"/>
      <c r="U90" s="70"/>
      <c r="V90" s="70"/>
      <c r="W90" s="70"/>
    </row>
    <row r="91" customFormat="false" ht="12.75" hidden="false" customHeight="false" outlineLevel="0" collapsed="false">
      <c r="A91" s="32" t="n">
        <v>36606</v>
      </c>
      <c r="B91" s="111" t="n">
        <v>71.75</v>
      </c>
      <c r="C91" s="112" t="n">
        <v>0.337168</v>
      </c>
      <c r="D91" s="28"/>
      <c r="E91" s="28"/>
      <c r="F91" s="28"/>
      <c r="G91" s="113"/>
      <c r="H91" s="113"/>
      <c r="I91" s="113"/>
      <c r="J91" s="113"/>
      <c r="K91" s="28"/>
      <c r="L91" s="28"/>
      <c r="M91" s="70"/>
      <c r="N91" s="70"/>
      <c r="O91" s="70"/>
      <c r="P91" s="70"/>
      <c r="Q91" s="70"/>
      <c r="R91" s="70"/>
      <c r="S91" s="70"/>
      <c r="T91" s="70"/>
      <c r="U91" s="70"/>
      <c r="V91" s="70"/>
      <c r="W91" s="70"/>
    </row>
    <row r="92" customFormat="false" ht="12.75" hidden="false" customHeight="false" outlineLevel="0" collapsed="false">
      <c r="A92" s="32" t="n">
        <v>36607</v>
      </c>
      <c r="B92" s="111" t="n">
        <v>75.0625</v>
      </c>
      <c r="C92" s="112" t="n">
        <v>0.226111</v>
      </c>
      <c r="D92" s="28"/>
      <c r="E92" s="28"/>
      <c r="F92" s="28"/>
      <c r="G92" s="113"/>
      <c r="H92" s="113"/>
      <c r="I92" s="113"/>
      <c r="J92" s="113"/>
      <c r="K92" s="28"/>
      <c r="L92" s="28"/>
      <c r="M92" s="70"/>
      <c r="N92" s="70"/>
      <c r="O92" s="70"/>
      <c r="P92" s="70"/>
      <c r="Q92" s="70"/>
      <c r="R92" s="70"/>
      <c r="S92" s="70"/>
      <c r="T92" s="70"/>
      <c r="U92" s="70"/>
      <c r="V92" s="70"/>
      <c r="W92" s="70"/>
    </row>
    <row r="93" customFormat="false" ht="12.75" hidden="false" customHeight="false" outlineLevel="0" collapsed="false">
      <c r="A93" s="32" t="n">
        <v>36608</v>
      </c>
      <c r="B93" s="111" t="n">
        <v>73.75</v>
      </c>
      <c r="C93" s="112" t="n">
        <v>0.257824</v>
      </c>
      <c r="D93" s="28"/>
      <c r="E93" s="28"/>
      <c r="F93" s="28"/>
      <c r="G93" s="113"/>
      <c r="H93" s="113"/>
      <c r="I93" s="113"/>
      <c r="J93" s="113"/>
      <c r="K93" s="28"/>
      <c r="L93" s="28"/>
      <c r="M93" s="70"/>
      <c r="N93" s="70"/>
      <c r="O93" s="70"/>
      <c r="P93" s="70"/>
      <c r="Q93" s="70"/>
      <c r="R93" s="70"/>
      <c r="S93" s="70"/>
      <c r="T93" s="70"/>
      <c r="U93" s="70"/>
      <c r="V93" s="70"/>
      <c r="W93" s="70"/>
    </row>
    <row r="94" customFormat="false" ht="12.75" hidden="false" customHeight="false" outlineLevel="0" collapsed="false">
      <c r="A94" s="32" t="n">
        <v>36609</v>
      </c>
      <c r="B94" s="111" t="n">
        <v>72</v>
      </c>
      <c r="C94" s="112" t="n">
        <v>0.316364</v>
      </c>
      <c r="D94" s="28"/>
      <c r="E94" s="28"/>
      <c r="F94" s="28"/>
      <c r="G94" s="113"/>
      <c r="H94" s="113"/>
      <c r="I94" s="113"/>
      <c r="J94" s="113"/>
      <c r="K94" s="28"/>
      <c r="L94" s="28"/>
      <c r="M94" s="70"/>
      <c r="N94" s="70"/>
      <c r="O94" s="70"/>
      <c r="P94" s="70"/>
      <c r="Q94" s="70"/>
      <c r="R94" s="70"/>
      <c r="S94" s="70"/>
      <c r="T94" s="70"/>
      <c r="U94" s="70"/>
      <c r="V94" s="70"/>
      <c r="W94" s="70"/>
    </row>
    <row r="95" customFormat="false" ht="12.75" hidden="false" customHeight="false" outlineLevel="0" collapsed="false">
      <c r="A95" s="32" t="n">
        <v>36610</v>
      </c>
      <c r="B95" s="111"/>
      <c r="C95" s="112"/>
      <c r="D95" s="28"/>
      <c r="E95" s="28"/>
      <c r="F95" s="28"/>
      <c r="G95" s="113"/>
      <c r="H95" s="113"/>
      <c r="I95" s="113"/>
      <c r="J95" s="113"/>
      <c r="K95" s="28"/>
      <c r="L95" s="28"/>
      <c r="M95" s="70"/>
      <c r="N95" s="70"/>
      <c r="O95" s="70"/>
      <c r="P95" s="70"/>
      <c r="Q95" s="70"/>
      <c r="R95" s="70"/>
      <c r="S95" s="70"/>
      <c r="T95" s="70"/>
      <c r="U95" s="70"/>
      <c r="V95" s="70"/>
      <c r="W95" s="70"/>
    </row>
    <row r="96" customFormat="false" ht="12.75" hidden="false" customHeight="false" outlineLevel="0" collapsed="false">
      <c r="A96" s="32" t="n">
        <v>36611</v>
      </c>
      <c r="B96" s="111"/>
      <c r="C96" s="112"/>
      <c r="D96" s="28"/>
      <c r="E96" s="28"/>
      <c r="F96" s="28"/>
      <c r="G96" s="113"/>
      <c r="H96" s="113"/>
      <c r="I96" s="113"/>
      <c r="J96" s="113"/>
      <c r="K96" s="28"/>
      <c r="L96" s="28"/>
      <c r="M96" s="70"/>
      <c r="N96" s="70"/>
      <c r="O96" s="70"/>
      <c r="P96" s="70"/>
      <c r="Q96" s="70"/>
      <c r="R96" s="70"/>
      <c r="S96" s="70"/>
      <c r="T96" s="70"/>
      <c r="U96" s="70"/>
      <c r="V96" s="70"/>
      <c r="W96" s="70"/>
    </row>
    <row r="97" customFormat="false" ht="12.75" hidden="false" customHeight="false" outlineLevel="0" collapsed="false">
      <c r="A97" s="32" t="n">
        <v>36612</v>
      </c>
      <c r="B97" s="111" t="n">
        <v>75.3125</v>
      </c>
      <c r="C97" s="112" t="n">
        <v>0.203843</v>
      </c>
      <c r="D97" s="28"/>
      <c r="E97" s="28"/>
      <c r="F97" s="28"/>
      <c r="G97" s="113"/>
      <c r="H97" s="113"/>
      <c r="I97" s="113"/>
      <c r="J97" s="113"/>
      <c r="K97" s="28"/>
      <c r="L97" s="28"/>
      <c r="M97" s="70"/>
      <c r="N97" s="70"/>
      <c r="O97" s="70"/>
      <c r="P97" s="70"/>
      <c r="Q97" s="70"/>
      <c r="R97" s="70"/>
      <c r="S97" s="70"/>
      <c r="T97" s="70"/>
      <c r="U97" s="70"/>
      <c r="V97" s="70"/>
      <c r="W97" s="70"/>
    </row>
    <row r="98" customFormat="false" ht="12.75" hidden="false" customHeight="false" outlineLevel="0" collapsed="false">
      <c r="A98" s="32" t="n">
        <v>36613</v>
      </c>
      <c r="B98" s="111" t="n">
        <v>72.8125</v>
      </c>
      <c r="C98" s="112" t="n">
        <v>0.272918</v>
      </c>
      <c r="D98" s="28"/>
      <c r="E98" s="28"/>
      <c r="F98" s="28"/>
      <c r="G98" s="113"/>
      <c r="H98" s="113"/>
      <c r="I98" s="113"/>
      <c r="J98" s="113"/>
      <c r="K98" s="28"/>
      <c r="L98" s="28"/>
      <c r="M98" s="70"/>
      <c r="N98" s="70"/>
      <c r="O98" s="70"/>
      <c r="P98" s="70"/>
      <c r="Q98" s="70"/>
      <c r="R98" s="70"/>
      <c r="S98" s="70"/>
      <c r="T98" s="70"/>
      <c r="U98" s="70"/>
      <c r="V98" s="70"/>
      <c r="W98" s="70"/>
    </row>
    <row r="99" customFormat="false" ht="12.75" hidden="false" customHeight="false" outlineLevel="0" collapsed="false">
      <c r="A99" s="32" t="n">
        <v>36614</v>
      </c>
      <c r="B99" s="111" t="n">
        <v>76.5</v>
      </c>
      <c r="C99" s="112" t="n">
        <v>0.170036</v>
      </c>
      <c r="D99" s="28"/>
      <c r="E99" s="28"/>
      <c r="F99" s="28"/>
      <c r="G99" s="113"/>
      <c r="H99" s="113"/>
      <c r="I99" s="113"/>
      <c r="J99" s="113"/>
      <c r="K99" s="28"/>
      <c r="L99" s="28"/>
      <c r="M99" s="70"/>
      <c r="N99" s="70"/>
      <c r="O99" s="70"/>
      <c r="P99" s="70"/>
      <c r="Q99" s="70"/>
      <c r="R99" s="70"/>
      <c r="S99" s="70"/>
      <c r="T99" s="70"/>
      <c r="U99" s="70"/>
      <c r="V99" s="70"/>
      <c r="W99" s="70"/>
    </row>
    <row r="100" customFormat="false" ht="12.75" hidden="false" customHeight="false" outlineLevel="0" collapsed="false">
      <c r="A100" s="32" t="n">
        <v>36615</v>
      </c>
      <c r="B100" s="111" t="n">
        <v>72.0625</v>
      </c>
      <c r="C100" s="112" t="n">
        <v>0.29098</v>
      </c>
      <c r="D100" s="28"/>
      <c r="E100" s="28"/>
      <c r="F100" s="28"/>
      <c r="G100" s="113"/>
      <c r="H100" s="113"/>
      <c r="I100" s="113"/>
      <c r="J100" s="113"/>
      <c r="K100" s="28"/>
      <c r="L100" s="28"/>
      <c r="M100" s="70"/>
      <c r="N100" s="70"/>
      <c r="O100" s="70"/>
      <c r="P100" s="70"/>
      <c r="Q100" s="70"/>
      <c r="R100" s="70"/>
      <c r="S100" s="70"/>
      <c r="T100" s="70"/>
      <c r="U100" s="70"/>
      <c r="V100" s="70"/>
      <c r="W100" s="70"/>
    </row>
    <row r="101" customFormat="false" ht="12.75" hidden="false" customHeight="false" outlineLevel="0" collapsed="false">
      <c r="A101" s="32" t="n">
        <v>36616</v>
      </c>
      <c r="B101" s="111" t="n">
        <v>74.875</v>
      </c>
      <c r="C101" s="112" t="n">
        <v>0.202556</v>
      </c>
      <c r="D101" s="28"/>
      <c r="E101" s="28"/>
      <c r="F101" s="28"/>
      <c r="G101" s="113"/>
      <c r="H101" s="113"/>
      <c r="I101" s="113"/>
      <c r="J101" s="113"/>
      <c r="K101" s="28"/>
      <c r="L101" s="28"/>
      <c r="M101" s="70"/>
      <c r="N101" s="70"/>
      <c r="O101" s="70"/>
      <c r="P101" s="70"/>
      <c r="Q101" s="70"/>
      <c r="R101" s="70"/>
      <c r="S101" s="70"/>
      <c r="T101" s="70"/>
      <c r="U101" s="70"/>
      <c r="V101" s="70"/>
      <c r="W101" s="70"/>
    </row>
    <row r="102" customFormat="false" ht="12.75" hidden="false" customHeight="false" outlineLevel="0" collapsed="false">
      <c r="A102" s="32" t="n">
        <v>36617</v>
      </c>
      <c r="B102" s="111"/>
      <c r="C102" s="112"/>
      <c r="D102" s="28"/>
      <c r="E102" s="28"/>
      <c r="F102" s="28"/>
      <c r="G102" s="113"/>
      <c r="H102" s="113"/>
      <c r="I102" s="113"/>
      <c r="J102" s="113"/>
      <c r="K102" s="28"/>
      <c r="L102" s="28"/>
      <c r="M102" s="70"/>
      <c r="N102" s="70"/>
      <c r="O102" s="70"/>
      <c r="P102" s="70"/>
      <c r="Q102" s="70"/>
      <c r="R102" s="70"/>
      <c r="S102" s="70"/>
      <c r="T102" s="70"/>
      <c r="U102" s="70"/>
      <c r="V102" s="70"/>
      <c r="W102" s="70"/>
    </row>
    <row r="103" customFormat="false" ht="12.75" hidden="false" customHeight="false" outlineLevel="0" collapsed="false">
      <c r="A103" s="32" t="n">
        <v>36618</v>
      </c>
      <c r="B103" s="111"/>
      <c r="C103" s="112"/>
      <c r="D103" s="28"/>
      <c r="E103" s="28"/>
      <c r="F103" s="28"/>
      <c r="G103" s="113"/>
      <c r="H103" s="113"/>
      <c r="I103" s="113"/>
      <c r="J103" s="113"/>
      <c r="K103" s="28"/>
      <c r="L103" s="28"/>
      <c r="M103" s="70"/>
      <c r="N103" s="70"/>
      <c r="O103" s="70"/>
      <c r="P103" s="70"/>
      <c r="Q103" s="70"/>
      <c r="R103" s="70"/>
      <c r="S103" s="70"/>
      <c r="T103" s="70"/>
      <c r="U103" s="70"/>
      <c r="V103" s="70"/>
      <c r="W103" s="70"/>
    </row>
    <row r="104" customFormat="false" ht="12.75" hidden="false" customHeight="false" outlineLevel="0" collapsed="false">
      <c r="A104" s="32" t="n">
        <v>36619</v>
      </c>
      <c r="B104" s="111" t="n">
        <v>73.5625</v>
      </c>
      <c r="C104" s="112" t="n">
        <v>0.226626</v>
      </c>
      <c r="D104" s="28"/>
      <c r="E104" s="28"/>
      <c r="F104" s="28"/>
      <c r="G104" s="113"/>
      <c r="H104" s="113"/>
      <c r="I104" s="113"/>
      <c r="J104" s="113"/>
      <c r="K104" s="28"/>
      <c r="L104" s="28"/>
      <c r="M104" s="70"/>
      <c r="N104" s="70"/>
      <c r="O104" s="70"/>
      <c r="P104" s="70"/>
      <c r="Q104" s="70"/>
      <c r="R104" s="70"/>
      <c r="S104" s="70"/>
      <c r="T104" s="70"/>
      <c r="U104" s="70"/>
      <c r="V104" s="70"/>
      <c r="W104" s="70"/>
    </row>
    <row r="105" customFormat="false" ht="12.75" hidden="false" customHeight="false" outlineLevel="0" collapsed="false">
      <c r="A105" s="32" t="n">
        <v>36620</v>
      </c>
      <c r="B105" s="111" t="n">
        <v>65.4375</v>
      </c>
      <c r="C105" s="112" t="n">
        <v>0.613341</v>
      </c>
      <c r="D105" s="28"/>
      <c r="E105" s="28"/>
      <c r="F105" s="28"/>
      <c r="G105" s="113"/>
      <c r="H105" s="113"/>
      <c r="I105" s="113"/>
      <c r="J105" s="113"/>
      <c r="K105" s="28"/>
      <c r="L105" s="28"/>
      <c r="M105" s="70"/>
      <c r="N105" s="70"/>
      <c r="O105" s="70"/>
      <c r="P105" s="70"/>
      <c r="Q105" s="70"/>
      <c r="R105" s="70"/>
      <c r="S105" s="70"/>
      <c r="T105" s="70"/>
      <c r="U105" s="70"/>
      <c r="V105" s="70"/>
      <c r="W105" s="70"/>
    </row>
    <row r="106" customFormat="false" ht="12.75" hidden="false" customHeight="false" outlineLevel="0" collapsed="false">
      <c r="A106" s="32" t="n">
        <v>36621</v>
      </c>
      <c r="B106" s="111" t="n">
        <v>66.5625</v>
      </c>
      <c r="C106" s="112" t="n">
        <v>0.526943</v>
      </c>
      <c r="D106" s="28"/>
      <c r="E106" s="28"/>
      <c r="F106" s="28"/>
      <c r="G106" s="113"/>
      <c r="H106" s="113"/>
      <c r="I106" s="113"/>
      <c r="J106" s="113"/>
      <c r="K106" s="28"/>
      <c r="L106" s="28"/>
      <c r="M106" s="70"/>
      <c r="N106" s="70"/>
      <c r="O106" s="70"/>
      <c r="P106" s="70"/>
      <c r="Q106" s="70"/>
      <c r="R106" s="70"/>
      <c r="S106" s="70"/>
      <c r="T106" s="70"/>
      <c r="U106" s="70"/>
      <c r="V106" s="70"/>
      <c r="W106" s="70"/>
    </row>
    <row r="107" customFormat="false" ht="12.75" hidden="false" customHeight="false" outlineLevel="0" collapsed="false">
      <c r="A107" s="32" t="n">
        <v>36622</v>
      </c>
      <c r="B107" s="111" t="n">
        <v>67.9375</v>
      </c>
      <c r="C107" s="112" t="n">
        <v>0.442616</v>
      </c>
      <c r="D107" s="28"/>
      <c r="E107" s="28"/>
      <c r="F107" s="28"/>
      <c r="G107" s="113"/>
      <c r="H107" s="113"/>
      <c r="I107" s="113"/>
      <c r="J107" s="113"/>
      <c r="K107" s="28"/>
      <c r="L107" s="28"/>
      <c r="M107" s="70"/>
      <c r="N107" s="70"/>
      <c r="O107" s="70"/>
      <c r="P107" s="70"/>
      <c r="Q107" s="70"/>
      <c r="R107" s="70"/>
      <c r="S107" s="70"/>
      <c r="T107" s="70"/>
      <c r="U107" s="70"/>
      <c r="V107" s="70"/>
      <c r="W107" s="70"/>
    </row>
    <row r="108" customFormat="false" ht="12.75" hidden="false" customHeight="false" outlineLevel="0" collapsed="false">
      <c r="A108" s="32" t="n">
        <v>36623</v>
      </c>
      <c r="B108" s="111" t="n">
        <v>71.5</v>
      </c>
      <c r="C108" s="112" t="n">
        <v>0.278724</v>
      </c>
      <c r="D108" s="28"/>
      <c r="E108" s="28"/>
      <c r="F108" s="28"/>
      <c r="G108" s="113"/>
      <c r="H108" s="113"/>
      <c r="I108" s="113"/>
      <c r="J108" s="113"/>
      <c r="K108" s="28"/>
      <c r="L108" s="28"/>
      <c r="M108" s="70"/>
      <c r="N108" s="70"/>
      <c r="O108" s="70"/>
      <c r="P108" s="70"/>
      <c r="Q108" s="70"/>
      <c r="R108" s="70"/>
      <c r="S108" s="70"/>
      <c r="T108" s="70"/>
      <c r="U108" s="70"/>
      <c r="V108" s="70"/>
      <c r="W108" s="70"/>
    </row>
    <row r="109" customFormat="false" ht="12.75" hidden="false" customHeight="false" outlineLevel="0" collapsed="false">
      <c r="A109" s="32" t="n">
        <v>36624</v>
      </c>
      <c r="B109" s="111"/>
      <c r="C109" s="112"/>
      <c r="D109" s="28"/>
      <c r="E109" s="28"/>
      <c r="F109" s="28"/>
      <c r="G109" s="113"/>
      <c r="H109" s="113"/>
      <c r="I109" s="113"/>
      <c r="J109" s="113"/>
      <c r="K109" s="28"/>
      <c r="L109" s="28"/>
      <c r="M109" s="70"/>
      <c r="N109" s="70"/>
      <c r="O109" s="70"/>
      <c r="P109" s="70"/>
      <c r="Q109" s="70"/>
      <c r="R109" s="70"/>
      <c r="S109" s="70"/>
      <c r="T109" s="70"/>
      <c r="U109" s="70"/>
      <c r="V109" s="70"/>
      <c r="W109" s="70"/>
    </row>
    <row r="110" customFormat="false" ht="12.75" hidden="false" customHeight="false" outlineLevel="0" collapsed="false">
      <c r="A110" s="32" t="n">
        <v>36625</v>
      </c>
      <c r="B110" s="111"/>
      <c r="C110" s="112"/>
      <c r="D110" s="28"/>
      <c r="E110" s="28"/>
      <c r="F110" s="28"/>
      <c r="G110" s="113"/>
      <c r="H110" s="113"/>
      <c r="I110" s="113"/>
      <c r="J110" s="113"/>
      <c r="K110" s="28"/>
      <c r="L110" s="28"/>
      <c r="M110" s="70"/>
      <c r="N110" s="70"/>
      <c r="O110" s="70"/>
      <c r="P110" s="70"/>
      <c r="Q110" s="70"/>
      <c r="R110" s="70"/>
      <c r="S110" s="70"/>
      <c r="T110" s="70"/>
      <c r="U110" s="70"/>
      <c r="V110" s="70"/>
      <c r="W110" s="70"/>
    </row>
    <row r="111" customFormat="false" ht="12.75" hidden="false" customHeight="false" outlineLevel="0" collapsed="false">
      <c r="A111" s="32" t="n">
        <v>36626</v>
      </c>
      <c r="B111" s="111" t="n">
        <v>70.25</v>
      </c>
      <c r="C111" s="112" t="n">
        <v>0.310577</v>
      </c>
      <c r="D111" s="28"/>
      <c r="E111" s="28"/>
      <c r="F111" s="28"/>
      <c r="G111" s="113"/>
      <c r="H111" s="113"/>
      <c r="I111" s="113"/>
      <c r="J111" s="113"/>
      <c r="K111" s="28"/>
      <c r="L111" s="28"/>
      <c r="M111" s="70"/>
      <c r="N111" s="70"/>
      <c r="O111" s="70"/>
      <c r="P111" s="70"/>
      <c r="Q111" s="70"/>
      <c r="R111" s="70"/>
      <c r="S111" s="70"/>
      <c r="T111" s="70"/>
      <c r="U111" s="70"/>
      <c r="V111" s="70"/>
      <c r="W111" s="70"/>
    </row>
    <row r="112" customFormat="false" ht="12.75" hidden="false" customHeight="false" outlineLevel="0" collapsed="false">
      <c r="A112" s="32" t="n">
        <v>36627</v>
      </c>
      <c r="B112" s="111" t="n">
        <v>69.125</v>
      </c>
      <c r="C112" s="112" t="n">
        <v>0.356593</v>
      </c>
      <c r="D112" s="28"/>
      <c r="E112" s="28"/>
      <c r="F112" s="28"/>
      <c r="G112" s="113"/>
      <c r="H112" s="113"/>
      <c r="I112" s="113"/>
      <c r="J112" s="113"/>
      <c r="K112" s="28"/>
      <c r="L112" s="28"/>
      <c r="M112" s="70"/>
      <c r="N112" s="70"/>
      <c r="O112" s="70"/>
      <c r="P112" s="70"/>
      <c r="Q112" s="70"/>
      <c r="R112" s="70"/>
      <c r="S112" s="70"/>
      <c r="T112" s="70"/>
      <c r="U112" s="70"/>
      <c r="V112" s="70"/>
      <c r="W112" s="70"/>
    </row>
    <row r="113" customFormat="false" ht="12.75" hidden="false" customHeight="false" outlineLevel="0" collapsed="false">
      <c r="A113" s="32" t="n">
        <v>36628</v>
      </c>
      <c r="B113" s="111" t="n">
        <v>71.125</v>
      </c>
      <c r="C113" s="112" t="n">
        <v>0.271799</v>
      </c>
      <c r="D113" s="28"/>
      <c r="E113" s="28"/>
      <c r="F113" s="28"/>
      <c r="G113" s="113"/>
      <c r="H113" s="113"/>
      <c r="I113" s="113"/>
      <c r="J113" s="113"/>
      <c r="K113" s="28"/>
      <c r="L113" s="28"/>
      <c r="M113" s="70"/>
      <c r="N113" s="70"/>
      <c r="O113" s="70"/>
      <c r="P113" s="70"/>
      <c r="Q113" s="70"/>
      <c r="R113" s="70"/>
      <c r="S113" s="70"/>
      <c r="T113" s="70"/>
      <c r="U113" s="70"/>
      <c r="V113" s="70"/>
      <c r="W113" s="70"/>
    </row>
    <row r="114" customFormat="false" ht="12.75" hidden="false" customHeight="false" outlineLevel="0" collapsed="false">
      <c r="A114" s="32" t="n">
        <v>36629</v>
      </c>
      <c r="B114" s="111" t="n">
        <v>73.8125</v>
      </c>
      <c r="C114" s="112" t="n">
        <v>0.187805</v>
      </c>
      <c r="D114" s="28"/>
      <c r="E114" s="28"/>
      <c r="F114" s="28"/>
      <c r="G114" s="113"/>
      <c r="H114" s="113"/>
      <c r="I114" s="113"/>
      <c r="J114" s="113"/>
      <c r="K114" s="28"/>
      <c r="L114" s="28"/>
      <c r="M114" s="70"/>
      <c r="N114" s="70"/>
      <c r="O114" s="70"/>
      <c r="P114" s="70"/>
      <c r="Q114" s="70"/>
      <c r="R114" s="70"/>
      <c r="S114" s="70"/>
      <c r="T114" s="70"/>
      <c r="U114" s="70"/>
      <c r="V114" s="70"/>
      <c r="W114" s="70"/>
    </row>
    <row r="115" customFormat="false" ht="12.75" hidden="false" customHeight="false" outlineLevel="0" collapsed="false">
      <c r="A115" s="32" t="n">
        <v>36630</v>
      </c>
      <c r="B115" s="111" t="n">
        <v>69</v>
      </c>
      <c r="C115" s="112" t="n">
        <v>0.34812</v>
      </c>
      <c r="D115" s="28"/>
      <c r="E115" s="28"/>
      <c r="F115" s="28"/>
      <c r="G115" s="113"/>
      <c r="H115" s="113"/>
      <c r="I115" s="113"/>
      <c r="J115" s="113"/>
      <c r="K115" s="28"/>
      <c r="L115" s="28"/>
      <c r="M115" s="70"/>
      <c r="N115" s="70"/>
      <c r="O115" s="70"/>
      <c r="P115" s="70"/>
      <c r="Q115" s="70"/>
      <c r="R115" s="70"/>
      <c r="S115" s="70"/>
      <c r="T115" s="70"/>
      <c r="U115" s="70"/>
      <c r="V115" s="70"/>
      <c r="W115" s="70"/>
    </row>
    <row r="116" customFormat="false" ht="12.75" hidden="false" customHeight="false" outlineLevel="0" collapsed="false">
      <c r="A116" s="32" t="n">
        <v>36631</v>
      </c>
      <c r="B116" s="111"/>
      <c r="C116" s="112"/>
      <c r="D116" s="28"/>
      <c r="E116" s="28"/>
      <c r="F116" s="28"/>
      <c r="G116" s="113"/>
      <c r="H116" s="113"/>
      <c r="I116" s="113"/>
      <c r="J116" s="113"/>
      <c r="K116" s="28"/>
      <c r="L116" s="28"/>
      <c r="M116" s="70"/>
      <c r="N116" s="70"/>
      <c r="O116" s="70"/>
      <c r="P116" s="70"/>
      <c r="Q116" s="70"/>
      <c r="R116" s="70"/>
      <c r="S116" s="70"/>
      <c r="T116" s="70"/>
      <c r="U116" s="70"/>
      <c r="V116" s="70"/>
      <c r="W116" s="70"/>
    </row>
    <row r="117" customFormat="false" ht="12.75" hidden="false" customHeight="false" outlineLevel="0" collapsed="false">
      <c r="A117" s="32" t="n">
        <v>36632</v>
      </c>
      <c r="B117" s="111"/>
      <c r="C117" s="112"/>
      <c r="D117" s="28"/>
      <c r="E117" s="28"/>
      <c r="F117" s="28"/>
      <c r="G117" s="113"/>
      <c r="H117" s="113"/>
      <c r="I117" s="113"/>
      <c r="J117" s="113"/>
      <c r="K117" s="28"/>
      <c r="L117" s="28"/>
      <c r="M117" s="70"/>
      <c r="N117" s="70"/>
      <c r="O117" s="70"/>
      <c r="P117" s="70"/>
      <c r="Q117" s="70"/>
      <c r="R117" s="70"/>
      <c r="S117" s="70"/>
      <c r="T117" s="70"/>
      <c r="U117" s="70"/>
      <c r="V117" s="70"/>
      <c r="W117" s="70"/>
    </row>
    <row r="118" customFormat="false" ht="12.75" hidden="false" customHeight="false" outlineLevel="0" collapsed="false">
      <c r="A118" s="32" t="n">
        <v>36633</v>
      </c>
      <c r="B118" s="111" t="n">
        <v>66.75</v>
      </c>
      <c r="C118" s="112"/>
      <c r="D118" s="28"/>
      <c r="E118" s="28"/>
      <c r="F118" s="28"/>
      <c r="G118" s="113"/>
      <c r="H118" s="113"/>
      <c r="I118" s="113"/>
      <c r="J118" s="113"/>
      <c r="K118" s="28"/>
      <c r="L118" s="28"/>
      <c r="M118" s="70"/>
      <c r="N118" s="70"/>
      <c r="O118" s="70"/>
      <c r="P118" s="70"/>
      <c r="Q118" s="70"/>
      <c r="R118" s="70"/>
      <c r="S118" s="70"/>
      <c r="T118" s="70"/>
      <c r="U118" s="70"/>
      <c r="V118" s="70"/>
      <c r="W118" s="70"/>
    </row>
    <row r="119" customFormat="false" ht="12.75" hidden="false" customHeight="false" outlineLevel="0" collapsed="false">
      <c r="A119" s="32" t="n">
        <v>36634</v>
      </c>
      <c r="B119" s="111" t="n">
        <v>68</v>
      </c>
      <c r="C119" s="112"/>
      <c r="D119" s="28"/>
      <c r="E119" s="28"/>
      <c r="F119" s="28"/>
      <c r="G119" s="113"/>
      <c r="H119" s="113"/>
      <c r="I119" s="113"/>
      <c r="J119" s="113"/>
      <c r="K119" s="28"/>
      <c r="L119" s="28"/>
      <c r="M119" s="70"/>
      <c r="N119" s="70"/>
      <c r="O119" s="70"/>
      <c r="P119" s="70"/>
      <c r="Q119" s="70"/>
      <c r="R119" s="70"/>
      <c r="S119" s="70"/>
      <c r="T119" s="70"/>
      <c r="U119" s="70"/>
      <c r="V119" s="70"/>
      <c r="W119" s="70"/>
    </row>
    <row r="120" customFormat="false" ht="12.75" hidden="false" customHeight="false" outlineLevel="0" collapsed="false">
      <c r="A120" s="32" t="n">
        <v>36635</v>
      </c>
      <c r="B120" s="111" t="n">
        <v>70.5</v>
      </c>
      <c r="C120" s="112"/>
      <c r="D120" s="28"/>
      <c r="E120" s="28"/>
      <c r="F120" s="28"/>
      <c r="G120" s="113"/>
      <c r="H120" s="113"/>
      <c r="I120" s="113"/>
      <c r="J120" s="113"/>
      <c r="K120" s="28"/>
      <c r="L120" s="28"/>
      <c r="M120" s="70"/>
      <c r="N120" s="70"/>
      <c r="O120" s="70"/>
      <c r="P120" s="70"/>
      <c r="Q120" s="70"/>
      <c r="R120" s="70"/>
      <c r="S120" s="70"/>
      <c r="T120" s="70"/>
      <c r="U120" s="70"/>
      <c r="V120" s="70"/>
      <c r="W120" s="70"/>
    </row>
    <row r="121" customFormat="false" ht="12.75" hidden="false" customHeight="false" outlineLevel="0" collapsed="false">
      <c r="A121" s="32" t="n">
        <v>36636</v>
      </c>
      <c r="B121" s="111" t="n">
        <v>71</v>
      </c>
      <c r="C121" s="112"/>
      <c r="D121" s="28"/>
      <c r="E121" s="28"/>
      <c r="F121" s="28"/>
      <c r="G121" s="113"/>
      <c r="H121" s="113"/>
      <c r="I121" s="113"/>
      <c r="J121" s="113"/>
      <c r="K121" s="28"/>
      <c r="L121" s="28"/>
      <c r="M121" s="70"/>
      <c r="N121" s="70"/>
      <c r="O121" s="70"/>
      <c r="P121" s="70"/>
      <c r="Q121" s="70"/>
      <c r="R121" s="70"/>
      <c r="S121" s="70"/>
      <c r="T121" s="70"/>
      <c r="U121" s="70"/>
      <c r="V121" s="70"/>
      <c r="W121" s="70"/>
    </row>
    <row r="122" customFormat="false" ht="12.75" hidden="false" customHeight="false" outlineLevel="0" collapsed="false">
      <c r="A122" s="32" t="n">
        <v>36637</v>
      </c>
      <c r="B122" s="111"/>
      <c r="C122" s="112"/>
      <c r="D122" s="28"/>
      <c r="E122" s="28"/>
      <c r="F122" s="28"/>
      <c r="G122" s="113"/>
      <c r="H122" s="113"/>
      <c r="I122" s="113"/>
      <c r="J122" s="113"/>
      <c r="K122" s="28"/>
      <c r="L122" s="28"/>
      <c r="M122" s="70"/>
      <c r="N122" s="70"/>
      <c r="O122" s="70"/>
      <c r="P122" s="70"/>
      <c r="Q122" s="70"/>
      <c r="R122" s="70"/>
      <c r="S122" s="70"/>
      <c r="T122" s="70"/>
      <c r="U122" s="70"/>
      <c r="V122" s="70"/>
      <c r="W122" s="70"/>
    </row>
    <row r="123" customFormat="false" ht="12.75" hidden="false" customHeight="false" outlineLevel="0" collapsed="false">
      <c r="A123" s="32" t="n">
        <v>36638</v>
      </c>
      <c r="B123" s="111"/>
      <c r="C123" s="112"/>
      <c r="D123" s="28"/>
      <c r="E123" s="28"/>
      <c r="F123" s="28"/>
      <c r="G123" s="113"/>
      <c r="H123" s="113"/>
      <c r="I123" s="113"/>
      <c r="J123" s="113"/>
      <c r="K123" s="28"/>
      <c r="L123" s="28"/>
      <c r="M123" s="70"/>
      <c r="N123" s="70"/>
      <c r="O123" s="70"/>
      <c r="P123" s="70"/>
      <c r="Q123" s="70"/>
      <c r="R123" s="70"/>
      <c r="S123" s="70"/>
      <c r="T123" s="70"/>
      <c r="U123" s="70"/>
      <c r="V123" s="70"/>
      <c r="W123" s="70"/>
    </row>
    <row r="124" customFormat="false" ht="12.75" hidden="false" customHeight="false" outlineLevel="0" collapsed="false">
      <c r="A124" s="32" t="n">
        <v>36639</v>
      </c>
      <c r="B124" s="111"/>
      <c r="C124" s="112"/>
      <c r="D124" s="28"/>
      <c r="E124" s="28"/>
      <c r="F124" s="28"/>
      <c r="G124" s="113"/>
      <c r="H124" s="113"/>
      <c r="I124" s="113"/>
      <c r="J124" s="113"/>
      <c r="K124" s="28"/>
      <c r="L124" s="28"/>
      <c r="M124" s="70"/>
      <c r="N124" s="70"/>
      <c r="O124" s="70"/>
      <c r="P124" s="70"/>
      <c r="Q124" s="70"/>
      <c r="R124" s="70"/>
      <c r="S124" s="70"/>
      <c r="T124" s="70"/>
      <c r="U124" s="70"/>
      <c r="V124" s="70"/>
      <c r="W124" s="70"/>
    </row>
    <row r="125" customFormat="false" ht="12.75" hidden="false" customHeight="false" outlineLevel="0" collapsed="false">
      <c r="A125" s="32" t="n">
        <v>36640</v>
      </c>
      <c r="B125" s="111" t="n">
        <v>70.5</v>
      </c>
      <c r="C125" s="112"/>
      <c r="D125" s="28"/>
      <c r="E125" s="28"/>
      <c r="F125" s="28"/>
      <c r="G125" s="113"/>
      <c r="H125" s="113"/>
      <c r="I125" s="113"/>
      <c r="J125" s="113"/>
      <c r="K125" s="28"/>
      <c r="L125" s="28"/>
      <c r="M125" s="70"/>
      <c r="N125" s="70"/>
      <c r="O125" s="70"/>
      <c r="P125" s="70"/>
      <c r="Q125" s="70"/>
      <c r="R125" s="70"/>
      <c r="S125" s="70"/>
      <c r="T125" s="70"/>
      <c r="U125" s="70"/>
      <c r="V125" s="70"/>
      <c r="W125" s="70"/>
    </row>
    <row r="126" customFormat="false" ht="12.75" hidden="false" customHeight="false" outlineLevel="0" collapsed="false">
      <c r="A126" s="32" t="n">
        <v>36641</v>
      </c>
      <c r="B126" s="111" t="n">
        <v>73.75</v>
      </c>
      <c r="C126" s="112"/>
      <c r="D126" s="28"/>
      <c r="E126" s="28"/>
      <c r="F126" s="28"/>
      <c r="G126" s="113"/>
      <c r="H126" s="113"/>
      <c r="I126" s="113"/>
      <c r="J126" s="113"/>
      <c r="K126" s="28"/>
      <c r="L126" s="28"/>
      <c r="M126" s="70"/>
      <c r="N126" s="70"/>
      <c r="O126" s="70"/>
      <c r="P126" s="70"/>
      <c r="Q126" s="70"/>
      <c r="R126" s="70"/>
      <c r="S126" s="70"/>
      <c r="T126" s="70"/>
      <c r="U126" s="70"/>
      <c r="V126" s="70"/>
      <c r="W126" s="70"/>
    </row>
    <row r="127" customFormat="false" ht="12.75" hidden="false" customHeight="false" outlineLevel="0" collapsed="false">
      <c r="A127" s="32" t="n">
        <v>36642</v>
      </c>
      <c r="B127" s="111" t="n">
        <v>72.9375</v>
      </c>
      <c r="C127" s="112"/>
      <c r="D127" s="28"/>
      <c r="E127" s="28"/>
      <c r="F127" s="28"/>
      <c r="G127" s="113"/>
      <c r="H127" s="113"/>
      <c r="I127" s="113"/>
      <c r="J127" s="113"/>
      <c r="K127" s="28"/>
      <c r="L127" s="28"/>
      <c r="M127" s="70"/>
      <c r="N127" s="70"/>
      <c r="O127" s="70"/>
      <c r="P127" s="70"/>
      <c r="Q127" s="70"/>
      <c r="R127" s="70"/>
      <c r="S127" s="70"/>
      <c r="T127" s="70"/>
      <c r="U127" s="70"/>
      <c r="V127" s="70"/>
      <c r="W127" s="70"/>
    </row>
    <row r="128" customFormat="false" ht="12.75" hidden="false" customHeight="false" outlineLevel="0" collapsed="false">
      <c r="A128" s="32" t="n">
        <v>36643</v>
      </c>
      <c r="B128" s="111" t="n">
        <v>71.9375</v>
      </c>
      <c r="C128" s="112"/>
      <c r="D128" s="28"/>
      <c r="E128" s="28"/>
      <c r="F128" s="28"/>
      <c r="G128" s="113"/>
      <c r="H128" s="113"/>
      <c r="I128" s="113"/>
      <c r="J128" s="113"/>
      <c r="K128" s="28"/>
      <c r="L128" s="28"/>
      <c r="M128" s="70"/>
      <c r="N128" s="70"/>
      <c r="O128" s="70"/>
      <c r="P128" s="70"/>
      <c r="Q128" s="70"/>
      <c r="R128" s="70"/>
      <c r="S128" s="70"/>
      <c r="T128" s="70"/>
      <c r="U128" s="70"/>
      <c r="V128" s="70"/>
      <c r="W128" s="70"/>
    </row>
    <row r="129" customFormat="false" ht="12.75" hidden="false" customHeight="false" outlineLevel="0" collapsed="false">
      <c r="A129" s="32" t="n">
        <v>36644</v>
      </c>
      <c r="B129" s="111" t="n">
        <v>69.6875</v>
      </c>
      <c r="C129" s="112"/>
      <c r="D129" s="28"/>
      <c r="E129" s="28"/>
      <c r="F129" s="28"/>
      <c r="G129" s="113"/>
      <c r="H129" s="113"/>
      <c r="I129" s="113"/>
      <c r="J129" s="113"/>
      <c r="K129" s="28"/>
      <c r="L129" s="28"/>
      <c r="M129" s="70"/>
      <c r="N129" s="70"/>
      <c r="O129" s="70"/>
      <c r="P129" s="70"/>
      <c r="Q129" s="70"/>
      <c r="R129" s="70"/>
      <c r="S129" s="70"/>
      <c r="T129" s="70"/>
      <c r="U129" s="70"/>
      <c r="V129" s="70"/>
      <c r="W129" s="70"/>
    </row>
    <row r="130" customFormat="false" ht="12.75" hidden="false" customHeight="false" outlineLevel="0" collapsed="false">
      <c r="A130" s="32" t="n">
        <v>36645</v>
      </c>
      <c r="B130" s="111"/>
      <c r="C130" s="112"/>
      <c r="D130" s="28"/>
      <c r="E130" s="28"/>
      <c r="F130" s="28"/>
      <c r="G130" s="113"/>
      <c r="H130" s="113"/>
      <c r="I130" s="113"/>
      <c r="J130" s="113"/>
      <c r="K130" s="28"/>
      <c r="L130" s="28"/>
      <c r="M130" s="70"/>
      <c r="N130" s="70"/>
      <c r="O130" s="70"/>
      <c r="P130" s="70"/>
      <c r="Q130" s="70"/>
      <c r="R130" s="70"/>
      <c r="S130" s="70"/>
      <c r="T130" s="70"/>
      <c r="U130" s="70"/>
      <c r="V130" s="70"/>
      <c r="W130" s="70"/>
    </row>
    <row r="131" customFormat="false" ht="12.75" hidden="false" customHeight="false" outlineLevel="0" collapsed="false">
      <c r="A131" s="32" t="n">
        <v>36646</v>
      </c>
      <c r="B131" s="111"/>
      <c r="C131" s="112"/>
      <c r="D131" s="28"/>
      <c r="E131" s="28"/>
      <c r="F131" s="28"/>
      <c r="G131" s="113"/>
      <c r="H131" s="113"/>
      <c r="I131" s="113"/>
      <c r="J131" s="113"/>
      <c r="K131" s="28"/>
      <c r="L131" s="28"/>
      <c r="M131" s="70"/>
      <c r="N131" s="70"/>
      <c r="O131" s="70"/>
      <c r="P131" s="70"/>
      <c r="Q131" s="70"/>
      <c r="R131" s="70"/>
      <c r="S131" s="70"/>
      <c r="T131" s="70"/>
      <c r="U131" s="70"/>
      <c r="V131" s="70"/>
      <c r="W131" s="70"/>
    </row>
    <row r="132" customFormat="false" ht="12.75" hidden="false" customHeight="false" outlineLevel="0" collapsed="false">
      <c r="A132" s="32" t="n">
        <v>36647</v>
      </c>
      <c r="B132" s="111" t="n">
        <v>72.3125</v>
      </c>
      <c r="C132" s="112"/>
      <c r="D132" s="28"/>
      <c r="E132" s="28"/>
      <c r="F132" s="28"/>
      <c r="G132" s="113"/>
      <c r="H132" s="113"/>
      <c r="I132" s="113"/>
      <c r="J132" s="113"/>
      <c r="K132" s="28"/>
      <c r="L132" s="28"/>
      <c r="M132" s="70"/>
      <c r="N132" s="70"/>
      <c r="O132" s="70"/>
      <c r="P132" s="70"/>
      <c r="Q132" s="70"/>
      <c r="R132" s="70"/>
      <c r="S132" s="70"/>
      <c r="T132" s="70"/>
      <c r="U132" s="70"/>
      <c r="V132" s="70"/>
      <c r="W132" s="70"/>
    </row>
    <row r="133" customFormat="false" ht="12.75" hidden="false" customHeight="false" outlineLevel="0" collapsed="false">
      <c r="A133" s="32" t="n">
        <v>36648</v>
      </c>
      <c r="B133" s="111" t="n">
        <v>76</v>
      </c>
      <c r="C133" s="112"/>
      <c r="D133" s="28"/>
      <c r="E133" s="28"/>
      <c r="F133" s="28"/>
      <c r="G133" s="113"/>
      <c r="H133" s="113"/>
      <c r="I133" s="113"/>
      <c r="J133" s="113"/>
      <c r="K133" s="28"/>
      <c r="L133" s="28"/>
      <c r="M133" s="70"/>
      <c r="N133" s="70"/>
      <c r="O133" s="70"/>
      <c r="P133" s="70"/>
      <c r="Q133" s="70"/>
      <c r="R133" s="70"/>
      <c r="S133" s="70"/>
      <c r="T133" s="70"/>
      <c r="U133" s="70"/>
      <c r="V133" s="70"/>
      <c r="W133" s="70"/>
    </row>
    <row r="134" customFormat="false" ht="12.75" hidden="false" customHeight="false" outlineLevel="0" collapsed="false">
      <c r="A134" s="32" t="n">
        <v>36649</v>
      </c>
      <c r="B134" s="111" t="n">
        <v>74.625</v>
      </c>
      <c r="C134" s="112"/>
      <c r="D134" s="28"/>
      <c r="E134" s="28"/>
      <c r="F134" s="28"/>
      <c r="G134" s="113"/>
      <c r="H134" s="113"/>
      <c r="I134" s="113"/>
      <c r="J134" s="113"/>
      <c r="K134" s="28"/>
      <c r="L134" s="28"/>
      <c r="M134" s="70"/>
      <c r="N134" s="70"/>
      <c r="O134" s="70"/>
      <c r="P134" s="70"/>
      <c r="Q134" s="70"/>
      <c r="R134" s="70"/>
      <c r="S134" s="70"/>
      <c r="T134" s="70"/>
      <c r="U134" s="70"/>
      <c r="V134" s="70"/>
      <c r="W134" s="70"/>
    </row>
    <row r="135" customFormat="false" ht="12.75" hidden="false" customHeight="false" outlineLevel="0" collapsed="false">
      <c r="A135" s="32" t="n">
        <v>36650</v>
      </c>
      <c r="B135" s="111" t="n">
        <v>74.375</v>
      </c>
      <c r="C135" s="112"/>
      <c r="D135" s="28"/>
      <c r="E135" s="28"/>
      <c r="F135" s="28"/>
      <c r="G135" s="113"/>
      <c r="H135" s="113"/>
      <c r="I135" s="113"/>
      <c r="J135" s="113"/>
      <c r="K135" s="28"/>
      <c r="L135" s="28"/>
      <c r="M135" s="70"/>
      <c r="N135" s="70"/>
      <c r="O135" s="70"/>
      <c r="P135" s="70"/>
      <c r="Q135" s="70"/>
      <c r="R135" s="70"/>
      <c r="S135" s="70"/>
      <c r="T135" s="70"/>
      <c r="U135" s="70"/>
      <c r="V135" s="70"/>
      <c r="W135" s="70"/>
    </row>
    <row r="136" customFormat="false" ht="12.75" hidden="false" customHeight="false" outlineLevel="0" collapsed="false">
      <c r="A136" s="32" t="n">
        <v>36651</v>
      </c>
      <c r="B136" s="111" t="n">
        <v>74.25</v>
      </c>
      <c r="C136" s="112"/>
      <c r="D136" s="28"/>
      <c r="E136" s="28"/>
      <c r="F136" s="28"/>
      <c r="G136" s="113"/>
      <c r="H136" s="113"/>
      <c r="I136" s="113"/>
      <c r="J136" s="113"/>
      <c r="K136" s="28"/>
      <c r="L136" s="28"/>
      <c r="M136" s="70"/>
      <c r="N136" s="70"/>
      <c r="O136" s="70"/>
      <c r="P136" s="70"/>
      <c r="Q136" s="70"/>
      <c r="R136" s="70"/>
      <c r="S136" s="70"/>
      <c r="T136" s="70"/>
      <c r="U136" s="70"/>
      <c r="V136" s="70"/>
      <c r="W136" s="70"/>
    </row>
    <row r="137" customFormat="false" ht="12.75" hidden="false" customHeight="false" outlineLevel="0" collapsed="false">
      <c r="A137" s="32" t="n">
        <v>36652</v>
      </c>
      <c r="B137" s="111"/>
      <c r="C137" s="112"/>
      <c r="D137" s="28"/>
      <c r="E137" s="28"/>
      <c r="F137" s="28"/>
      <c r="G137" s="113"/>
      <c r="H137" s="113"/>
      <c r="I137" s="113"/>
      <c r="J137" s="113"/>
      <c r="K137" s="28"/>
      <c r="L137" s="28"/>
      <c r="M137" s="70"/>
      <c r="N137" s="70"/>
      <c r="O137" s="70"/>
      <c r="P137" s="70"/>
      <c r="Q137" s="70"/>
      <c r="R137" s="70"/>
      <c r="S137" s="70"/>
      <c r="T137" s="70"/>
      <c r="U137" s="70"/>
      <c r="V137" s="70"/>
      <c r="W137" s="70"/>
    </row>
    <row r="138" customFormat="false" ht="12.75" hidden="false" customHeight="false" outlineLevel="0" collapsed="false">
      <c r="A138" s="32" t="n">
        <v>36653</v>
      </c>
      <c r="B138" s="111"/>
      <c r="C138" s="112"/>
      <c r="D138" s="28"/>
      <c r="E138" s="28"/>
      <c r="F138" s="28"/>
      <c r="G138" s="113"/>
      <c r="H138" s="113"/>
      <c r="I138" s="113"/>
      <c r="J138" s="113"/>
      <c r="K138" s="28"/>
      <c r="L138" s="28"/>
      <c r="M138" s="70"/>
      <c r="N138" s="70"/>
      <c r="O138" s="70"/>
      <c r="P138" s="70"/>
      <c r="Q138" s="70"/>
      <c r="R138" s="70"/>
      <c r="S138" s="70"/>
      <c r="T138" s="70"/>
      <c r="U138" s="70"/>
      <c r="V138" s="70"/>
      <c r="W138" s="70"/>
    </row>
    <row r="139" customFormat="false" ht="12.75" hidden="false" customHeight="false" outlineLevel="0" collapsed="false">
      <c r="A139" s="32" t="n">
        <v>36654</v>
      </c>
      <c r="B139" s="111" t="n">
        <v>75.125</v>
      </c>
      <c r="C139" s="112"/>
      <c r="D139" s="28"/>
      <c r="E139" s="28"/>
      <c r="F139" s="28"/>
      <c r="G139" s="113"/>
      <c r="H139" s="113"/>
      <c r="I139" s="113"/>
      <c r="J139" s="113"/>
      <c r="K139" s="28"/>
      <c r="L139" s="28"/>
      <c r="M139" s="70"/>
      <c r="N139" s="70"/>
      <c r="O139" s="70"/>
      <c r="P139" s="70"/>
      <c r="Q139" s="70"/>
      <c r="R139" s="70"/>
      <c r="S139" s="70"/>
      <c r="T139" s="70"/>
      <c r="U139" s="70"/>
      <c r="V139" s="70"/>
      <c r="W139" s="70"/>
    </row>
    <row r="140" customFormat="false" ht="12.75" hidden="false" customHeight="false" outlineLevel="0" collapsed="false">
      <c r="A140" s="32" t="n">
        <v>36655</v>
      </c>
      <c r="B140" s="111" t="n">
        <v>72.5625</v>
      </c>
      <c r="C140" s="112"/>
      <c r="D140" s="28"/>
      <c r="E140" s="28"/>
      <c r="F140" s="28"/>
      <c r="G140" s="113"/>
      <c r="H140" s="113"/>
      <c r="I140" s="113"/>
      <c r="J140" s="113"/>
      <c r="K140" s="28"/>
      <c r="L140" s="28"/>
      <c r="M140" s="70"/>
      <c r="N140" s="70"/>
      <c r="O140" s="70"/>
      <c r="P140" s="70"/>
      <c r="Q140" s="70"/>
      <c r="R140" s="70"/>
      <c r="S140" s="70"/>
      <c r="T140" s="70"/>
      <c r="U140" s="70"/>
      <c r="V140" s="70"/>
      <c r="W140" s="70"/>
    </row>
    <row r="141" customFormat="false" ht="12.75" hidden="false" customHeight="false" outlineLevel="0" collapsed="false">
      <c r="A141" s="32" t="n">
        <v>36656</v>
      </c>
      <c r="B141" s="111" t="n">
        <v>74.75</v>
      </c>
      <c r="C141" s="112"/>
      <c r="D141" s="28"/>
      <c r="E141" s="28"/>
      <c r="F141" s="28"/>
      <c r="G141" s="113"/>
      <c r="H141" s="113"/>
      <c r="I141" s="113"/>
      <c r="J141" s="113"/>
      <c r="K141" s="28"/>
      <c r="L141" s="28"/>
      <c r="M141" s="70"/>
      <c r="N141" s="70"/>
      <c r="O141" s="70"/>
      <c r="P141" s="70"/>
      <c r="Q141" s="70"/>
      <c r="R141" s="70"/>
      <c r="S141" s="70"/>
      <c r="T141" s="70"/>
      <c r="U141" s="70"/>
      <c r="V141" s="70"/>
      <c r="W141" s="70"/>
    </row>
    <row r="142" customFormat="false" ht="12.75" hidden="false" customHeight="false" outlineLevel="0" collapsed="false">
      <c r="A142" s="32" t="n">
        <v>36657</v>
      </c>
      <c r="B142" s="111" t="n">
        <v>77</v>
      </c>
      <c r="C142" s="112"/>
      <c r="D142" s="28"/>
      <c r="E142" s="28"/>
      <c r="F142" s="28"/>
      <c r="G142" s="113"/>
      <c r="H142" s="113"/>
      <c r="I142" s="113"/>
      <c r="J142" s="113"/>
      <c r="K142" s="28"/>
      <c r="L142" s="28"/>
      <c r="M142" s="70"/>
      <c r="N142" s="70"/>
      <c r="O142" s="70"/>
      <c r="P142" s="70"/>
      <c r="Q142" s="70"/>
      <c r="R142" s="70"/>
      <c r="S142" s="70"/>
      <c r="T142" s="70"/>
      <c r="U142" s="70"/>
      <c r="V142" s="70"/>
      <c r="W142" s="70"/>
    </row>
    <row r="143" customFormat="false" ht="12.75" hidden="false" customHeight="false" outlineLevel="0" collapsed="false">
      <c r="A143" s="32" t="n">
        <v>36658</v>
      </c>
      <c r="B143" s="111" t="n">
        <v>75.5625</v>
      </c>
      <c r="C143" s="112"/>
      <c r="D143" s="28"/>
      <c r="E143" s="28"/>
      <c r="F143" s="28"/>
      <c r="G143" s="113"/>
      <c r="H143" s="113"/>
      <c r="I143" s="113"/>
      <c r="J143" s="113"/>
      <c r="K143" s="28"/>
      <c r="L143" s="28"/>
      <c r="M143" s="70"/>
      <c r="N143" s="70"/>
      <c r="O143" s="70"/>
      <c r="P143" s="70"/>
      <c r="Q143" s="70"/>
      <c r="R143" s="70"/>
      <c r="S143" s="70"/>
      <c r="T143" s="70"/>
      <c r="U143" s="70"/>
      <c r="V143" s="70"/>
      <c r="W143" s="70"/>
    </row>
    <row r="144" customFormat="false" ht="12.75" hidden="false" customHeight="false" outlineLevel="0" collapsed="false">
      <c r="A144" s="32" t="n">
        <v>36659</v>
      </c>
      <c r="B144" s="111"/>
      <c r="C144" s="112"/>
      <c r="D144" s="28"/>
      <c r="E144" s="28"/>
      <c r="F144" s="28"/>
      <c r="G144" s="113"/>
      <c r="H144" s="113"/>
      <c r="I144" s="113"/>
      <c r="J144" s="113"/>
      <c r="K144" s="28"/>
      <c r="L144" s="28"/>
      <c r="M144" s="70"/>
      <c r="N144" s="70"/>
      <c r="O144" s="70"/>
      <c r="P144" s="70"/>
      <c r="Q144" s="70"/>
      <c r="R144" s="70"/>
      <c r="S144" s="70"/>
      <c r="T144" s="70"/>
      <c r="U144" s="70"/>
      <c r="V144" s="70"/>
      <c r="W144" s="70"/>
    </row>
    <row r="145" customFormat="false" ht="12.75" hidden="false" customHeight="false" outlineLevel="0" collapsed="false">
      <c r="A145" s="32" t="n">
        <v>36660</v>
      </c>
      <c r="B145" s="111"/>
      <c r="C145" s="112"/>
      <c r="D145" s="28"/>
      <c r="E145" s="28"/>
      <c r="F145" s="28"/>
      <c r="G145" s="113"/>
      <c r="H145" s="113"/>
      <c r="I145" s="113"/>
      <c r="J145" s="113"/>
      <c r="K145" s="28"/>
      <c r="L145" s="28"/>
      <c r="M145" s="70"/>
      <c r="N145" s="70"/>
      <c r="O145" s="70"/>
      <c r="P145" s="70"/>
      <c r="Q145" s="70"/>
      <c r="R145" s="70"/>
      <c r="S145" s="70"/>
      <c r="T145" s="70"/>
      <c r="U145" s="70"/>
      <c r="V145" s="70"/>
      <c r="W145" s="70"/>
    </row>
    <row r="146" customFormat="false" ht="12.75" hidden="false" customHeight="false" outlineLevel="0" collapsed="false">
      <c r="A146" s="32" t="n">
        <v>36661</v>
      </c>
      <c r="B146" s="111" t="n">
        <v>76.9375</v>
      </c>
      <c r="C146" s="112"/>
      <c r="D146" s="28"/>
      <c r="E146" s="28"/>
      <c r="F146" s="28"/>
      <c r="G146" s="113"/>
      <c r="H146" s="113"/>
      <c r="I146" s="113"/>
      <c r="J146" s="113"/>
      <c r="K146" s="28"/>
      <c r="L146" s="28"/>
      <c r="M146" s="70"/>
      <c r="N146" s="70"/>
      <c r="O146" s="70"/>
      <c r="P146" s="70"/>
      <c r="Q146" s="70"/>
      <c r="R146" s="70"/>
      <c r="S146" s="70"/>
      <c r="T146" s="70"/>
      <c r="U146" s="70"/>
      <c r="V146" s="70"/>
      <c r="W146" s="70"/>
    </row>
    <row r="147" customFormat="false" ht="12.75" hidden="false" customHeight="false" outlineLevel="0" collapsed="false">
      <c r="A147" s="32" t="n">
        <v>36662</v>
      </c>
      <c r="B147" s="111" t="n">
        <v>77.875</v>
      </c>
      <c r="C147" s="112"/>
      <c r="D147" s="28"/>
      <c r="E147" s="28"/>
      <c r="F147" s="28"/>
      <c r="G147" s="113"/>
      <c r="H147" s="113"/>
      <c r="I147" s="113"/>
      <c r="J147" s="113"/>
      <c r="K147" s="28"/>
      <c r="L147" s="28"/>
      <c r="M147" s="70"/>
      <c r="N147" s="70"/>
      <c r="O147" s="70"/>
      <c r="P147" s="70"/>
      <c r="Q147" s="70"/>
      <c r="R147" s="70"/>
      <c r="S147" s="70"/>
      <c r="T147" s="70"/>
      <c r="U147" s="70"/>
      <c r="V147" s="70"/>
      <c r="W147" s="70"/>
    </row>
    <row r="148" customFormat="false" ht="12.75" hidden="false" customHeight="false" outlineLevel="0" collapsed="false">
      <c r="A148" s="32" t="n">
        <v>36663</v>
      </c>
      <c r="B148" s="111" t="n">
        <v>77.5</v>
      </c>
      <c r="C148" s="112"/>
      <c r="D148" s="28"/>
      <c r="E148" s="28"/>
      <c r="F148" s="28"/>
      <c r="G148" s="113"/>
      <c r="H148" s="113"/>
      <c r="I148" s="113"/>
      <c r="J148" s="113"/>
      <c r="K148" s="28"/>
      <c r="L148" s="28"/>
      <c r="M148" s="70"/>
      <c r="N148" s="70"/>
      <c r="O148" s="70"/>
      <c r="P148" s="70"/>
      <c r="Q148" s="70"/>
      <c r="R148" s="70"/>
      <c r="S148" s="70"/>
      <c r="T148" s="70"/>
      <c r="U148" s="70"/>
      <c r="V148" s="70"/>
      <c r="W148" s="70"/>
    </row>
    <row r="149" customFormat="false" ht="12.75" hidden="false" customHeight="false" outlineLevel="0" collapsed="false">
      <c r="A149" s="32" t="n">
        <v>36664</v>
      </c>
      <c r="B149" s="111" t="n">
        <v>77.125</v>
      </c>
      <c r="C149" s="112"/>
      <c r="D149" s="28"/>
      <c r="E149" s="28"/>
      <c r="F149" s="28"/>
      <c r="G149" s="113"/>
      <c r="H149" s="113"/>
      <c r="I149" s="113"/>
      <c r="J149" s="113"/>
      <c r="K149" s="28"/>
      <c r="L149" s="28"/>
      <c r="M149" s="70"/>
      <c r="N149" s="70"/>
      <c r="O149" s="70"/>
      <c r="P149" s="70"/>
      <c r="Q149" s="70"/>
      <c r="R149" s="70"/>
      <c r="S149" s="70"/>
      <c r="T149" s="70"/>
      <c r="U149" s="70"/>
      <c r="V149" s="70"/>
      <c r="W149" s="70"/>
    </row>
    <row r="150" customFormat="false" ht="12.75" hidden="false" customHeight="false" outlineLevel="0" collapsed="false">
      <c r="A150" s="32" t="n">
        <v>36665</v>
      </c>
      <c r="B150" s="111" t="n">
        <v>76.625</v>
      </c>
      <c r="C150" s="112"/>
      <c r="D150" s="28"/>
      <c r="E150" s="28"/>
      <c r="F150" s="28"/>
      <c r="G150" s="113"/>
      <c r="H150" s="113"/>
      <c r="I150" s="113"/>
      <c r="J150" s="113"/>
      <c r="K150" s="28"/>
      <c r="L150" s="28"/>
      <c r="M150" s="70"/>
      <c r="N150" s="70"/>
      <c r="O150" s="70"/>
      <c r="P150" s="70"/>
      <c r="Q150" s="70"/>
      <c r="R150" s="70"/>
      <c r="S150" s="70"/>
      <c r="T150" s="70"/>
      <c r="U150" s="70"/>
      <c r="V150" s="70"/>
      <c r="W150" s="70"/>
    </row>
    <row r="151" customFormat="false" ht="12.75" hidden="false" customHeight="false" outlineLevel="0" collapsed="false">
      <c r="A151" s="32" t="n">
        <v>36666</v>
      </c>
      <c r="B151" s="111"/>
      <c r="C151" s="112"/>
      <c r="D151" s="28"/>
      <c r="E151" s="28"/>
      <c r="F151" s="28"/>
      <c r="G151" s="113"/>
      <c r="H151" s="113"/>
      <c r="I151" s="113"/>
      <c r="J151" s="113"/>
      <c r="K151" s="28"/>
      <c r="L151" s="28"/>
      <c r="M151" s="70"/>
      <c r="N151" s="70"/>
      <c r="O151" s="70"/>
      <c r="P151" s="70"/>
      <c r="Q151" s="70"/>
      <c r="R151" s="70"/>
      <c r="S151" s="70"/>
      <c r="T151" s="70"/>
      <c r="U151" s="70"/>
      <c r="V151" s="70"/>
      <c r="W151" s="70"/>
    </row>
    <row r="152" customFormat="false" ht="12.75" hidden="false" customHeight="false" outlineLevel="0" collapsed="false">
      <c r="A152" s="32" t="n">
        <v>36667</v>
      </c>
      <c r="B152" s="111"/>
      <c r="C152" s="112"/>
      <c r="D152" s="28"/>
      <c r="E152" s="28"/>
      <c r="F152" s="28"/>
      <c r="G152" s="113"/>
      <c r="H152" s="113"/>
      <c r="I152" s="113"/>
      <c r="J152" s="113"/>
      <c r="K152" s="28"/>
      <c r="L152" s="28"/>
      <c r="M152" s="70"/>
      <c r="N152" s="70"/>
      <c r="O152" s="70"/>
      <c r="P152" s="70"/>
      <c r="Q152" s="70"/>
      <c r="R152" s="70"/>
      <c r="S152" s="70"/>
      <c r="T152" s="70"/>
      <c r="U152" s="70"/>
      <c r="V152" s="70"/>
      <c r="W152" s="70"/>
    </row>
    <row r="153" customFormat="false" ht="12.75" hidden="false" customHeight="false" outlineLevel="0" collapsed="false">
      <c r="A153" s="32" t="n">
        <v>36668</v>
      </c>
      <c r="B153" s="111" t="n">
        <v>73.25</v>
      </c>
      <c r="C153" s="112"/>
      <c r="D153" s="28"/>
      <c r="E153" s="28"/>
      <c r="F153" s="28"/>
      <c r="G153" s="113"/>
      <c r="H153" s="113"/>
      <c r="I153" s="113"/>
      <c r="J153" s="113"/>
      <c r="K153" s="28"/>
      <c r="L153" s="28"/>
      <c r="M153" s="70"/>
      <c r="N153" s="70"/>
      <c r="O153" s="70"/>
      <c r="P153" s="70"/>
      <c r="Q153" s="70"/>
      <c r="R153" s="70"/>
      <c r="S153" s="70"/>
      <c r="T153" s="70"/>
      <c r="U153" s="70"/>
      <c r="V153" s="70"/>
      <c r="W153" s="70"/>
    </row>
    <row r="154" customFormat="false" ht="12.75" hidden="false" customHeight="false" outlineLevel="0" collapsed="false">
      <c r="A154" s="32" t="n">
        <v>36669</v>
      </c>
      <c r="B154" s="111" t="n">
        <v>69.875</v>
      </c>
      <c r="C154" s="112"/>
      <c r="D154" s="28"/>
      <c r="E154" s="28"/>
      <c r="F154" s="28"/>
      <c r="G154" s="113"/>
      <c r="H154" s="113"/>
      <c r="I154" s="113"/>
      <c r="J154" s="113"/>
      <c r="K154" s="28"/>
      <c r="L154" s="28"/>
      <c r="M154" s="70"/>
      <c r="N154" s="70"/>
      <c r="O154" s="70"/>
      <c r="P154" s="70"/>
      <c r="Q154" s="70"/>
      <c r="R154" s="70"/>
      <c r="S154" s="70"/>
      <c r="T154" s="70"/>
      <c r="U154" s="70"/>
      <c r="V154" s="70"/>
      <c r="W154" s="70"/>
    </row>
    <row r="155" customFormat="false" ht="12.75" hidden="false" customHeight="false" outlineLevel="0" collapsed="false">
      <c r="A155" s="32" t="n">
        <v>36670</v>
      </c>
      <c r="B155" s="111" t="n">
        <v>67.4375</v>
      </c>
      <c r="C155" s="112"/>
      <c r="D155" s="28"/>
      <c r="E155" s="28"/>
      <c r="F155" s="28"/>
      <c r="G155" s="113"/>
      <c r="H155" s="113"/>
      <c r="I155" s="113"/>
      <c r="J155" s="113"/>
      <c r="K155" s="28"/>
      <c r="L155" s="28"/>
      <c r="M155" s="70"/>
      <c r="N155" s="70"/>
      <c r="O155" s="70"/>
      <c r="P155" s="70"/>
      <c r="Q155" s="70"/>
      <c r="R155" s="70"/>
      <c r="S155" s="70"/>
      <c r="T155" s="70"/>
      <c r="U155" s="70"/>
      <c r="V155" s="70"/>
      <c r="W155" s="70"/>
    </row>
    <row r="156" customFormat="false" ht="12.75" hidden="false" customHeight="false" outlineLevel="0" collapsed="false">
      <c r="A156" s="32" t="n">
        <v>36671</v>
      </c>
      <c r="B156" s="111" t="n">
        <v>69.9375</v>
      </c>
      <c r="C156" s="112"/>
      <c r="D156" s="28"/>
      <c r="E156" s="28"/>
      <c r="F156" s="28"/>
      <c r="G156" s="113"/>
      <c r="H156" s="113"/>
      <c r="I156" s="113"/>
      <c r="J156" s="113"/>
      <c r="K156" s="28"/>
      <c r="L156" s="28"/>
      <c r="M156" s="70"/>
      <c r="N156" s="70"/>
      <c r="O156" s="70"/>
      <c r="P156" s="70"/>
      <c r="Q156" s="70"/>
      <c r="R156" s="70"/>
      <c r="S156" s="70"/>
      <c r="T156" s="70"/>
      <c r="U156" s="70"/>
      <c r="V156" s="70"/>
      <c r="W156" s="70"/>
    </row>
    <row r="157" customFormat="false" ht="12.75" hidden="false" customHeight="false" outlineLevel="0" collapsed="false">
      <c r="A157" s="32" t="n">
        <v>36672</v>
      </c>
      <c r="B157" s="111" t="n">
        <v>69.9375</v>
      </c>
      <c r="C157" s="112"/>
      <c r="D157" s="28"/>
      <c r="E157" s="28"/>
      <c r="F157" s="28"/>
      <c r="G157" s="113"/>
      <c r="H157" s="113"/>
      <c r="I157" s="113"/>
      <c r="J157" s="113"/>
      <c r="K157" s="28"/>
      <c r="L157" s="28"/>
      <c r="M157" s="70"/>
      <c r="N157" s="70"/>
      <c r="O157" s="70"/>
      <c r="P157" s="70"/>
      <c r="Q157" s="70"/>
      <c r="R157" s="70"/>
      <c r="S157" s="70"/>
      <c r="T157" s="70"/>
      <c r="U157" s="70"/>
      <c r="V157" s="70"/>
      <c r="W157" s="70"/>
    </row>
    <row r="158" customFormat="false" ht="12.75" hidden="false" customHeight="false" outlineLevel="0" collapsed="false">
      <c r="A158" s="32" t="n">
        <v>36673</v>
      </c>
      <c r="B158" s="111"/>
      <c r="C158" s="112"/>
      <c r="D158" s="28"/>
      <c r="E158" s="28"/>
      <c r="F158" s="28"/>
      <c r="G158" s="113"/>
      <c r="H158" s="113"/>
      <c r="I158" s="113"/>
      <c r="J158" s="113"/>
      <c r="K158" s="28"/>
      <c r="L158" s="28"/>
      <c r="M158" s="70"/>
      <c r="N158" s="70"/>
      <c r="O158" s="70"/>
      <c r="P158" s="70"/>
      <c r="Q158" s="70"/>
      <c r="R158" s="70"/>
      <c r="S158" s="70"/>
      <c r="T158" s="70"/>
      <c r="U158" s="70"/>
      <c r="V158" s="70"/>
      <c r="W158" s="70"/>
    </row>
    <row r="159" customFormat="false" ht="12.75" hidden="false" customHeight="false" outlineLevel="0" collapsed="false">
      <c r="A159" s="32" t="n">
        <v>36674</v>
      </c>
      <c r="B159" s="111"/>
      <c r="C159" s="112"/>
      <c r="D159" s="28"/>
      <c r="E159" s="28"/>
      <c r="F159" s="28"/>
      <c r="G159" s="113"/>
      <c r="H159" s="113"/>
      <c r="I159" s="113"/>
      <c r="J159" s="113"/>
      <c r="K159" s="28"/>
      <c r="L159" s="28"/>
      <c r="M159" s="70"/>
      <c r="N159" s="70"/>
      <c r="O159" s="70"/>
      <c r="P159" s="70"/>
      <c r="Q159" s="70"/>
      <c r="R159" s="70"/>
      <c r="S159" s="70"/>
      <c r="T159" s="70"/>
      <c r="U159" s="70"/>
      <c r="V159" s="70"/>
      <c r="W159" s="70"/>
    </row>
    <row r="160" customFormat="false" ht="12.75" hidden="false" customHeight="false" outlineLevel="0" collapsed="false">
      <c r="A160" s="32" t="n">
        <v>36675</v>
      </c>
      <c r="B160" s="111"/>
      <c r="C160" s="112"/>
      <c r="D160" s="28"/>
      <c r="E160" s="28"/>
      <c r="F160" s="28"/>
      <c r="G160" s="113"/>
      <c r="H160" s="113"/>
      <c r="I160" s="113"/>
      <c r="J160" s="113"/>
      <c r="K160" s="28"/>
      <c r="L160" s="28"/>
      <c r="M160" s="70"/>
      <c r="N160" s="70"/>
      <c r="O160" s="70"/>
      <c r="P160" s="70"/>
      <c r="Q160" s="70"/>
      <c r="R160" s="70"/>
      <c r="S160" s="70"/>
      <c r="T160" s="70"/>
      <c r="U160" s="70"/>
      <c r="V160" s="70"/>
      <c r="W160" s="70"/>
    </row>
    <row r="161" customFormat="false" ht="12.75" hidden="false" customHeight="false" outlineLevel="0" collapsed="false">
      <c r="A161" s="32" t="n">
        <v>36676</v>
      </c>
      <c r="B161" s="111" t="n">
        <v>69.75</v>
      </c>
      <c r="C161" s="112"/>
      <c r="D161" s="28"/>
      <c r="E161" s="28"/>
      <c r="F161" s="28"/>
      <c r="G161" s="113"/>
      <c r="H161" s="113"/>
      <c r="I161" s="113"/>
      <c r="J161" s="113"/>
      <c r="K161" s="28"/>
      <c r="L161" s="28"/>
      <c r="M161" s="70"/>
      <c r="N161" s="70"/>
      <c r="O161" s="70"/>
      <c r="P161" s="70"/>
      <c r="Q161" s="70"/>
      <c r="R161" s="70"/>
      <c r="S161" s="70"/>
      <c r="T161" s="70"/>
      <c r="U161" s="70"/>
      <c r="V161" s="70"/>
      <c r="W161" s="70"/>
    </row>
    <row r="162" customFormat="false" ht="12.75" hidden="false" customHeight="false" outlineLevel="0" collapsed="false">
      <c r="A162" s="32" t="n">
        <v>36677</v>
      </c>
      <c r="B162" s="111" t="n">
        <v>72.875</v>
      </c>
      <c r="C162" s="112"/>
      <c r="D162" s="28"/>
      <c r="E162" s="28"/>
      <c r="F162" s="28"/>
      <c r="G162" s="113"/>
      <c r="H162" s="113"/>
      <c r="I162" s="113"/>
      <c r="J162" s="113"/>
      <c r="K162" s="28"/>
      <c r="L162" s="28"/>
      <c r="M162" s="70"/>
      <c r="N162" s="70"/>
      <c r="O162" s="70"/>
      <c r="P162" s="70"/>
      <c r="Q162" s="70"/>
      <c r="R162" s="70"/>
      <c r="S162" s="70"/>
      <c r="T162" s="70"/>
      <c r="U162" s="70"/>
      <c r="V162" s="70"/>
      <c r="W162" s="70"/>
    </row>
    <row r="163" customFormat="false" ht="12.75" hidden="false" customHeight="false" outlineLevel="0" collapsed="false">
      <c r="A163" s="32" t="n">
        <v>36678</v>
      </c>
      <c r="B163" s="111" t="n">
        <v>71.125</v>
      </c>
      <c r="C163" s="112"/>
      <c r="D163" s="28"/>
      <c r="E163" s="28"/>
      <c r="F163" s="28"/>
      <c r="G163" s="113"/>
      <c r="H163" s="113"/>
      <c r="I163" s="113"/>
      <c r="J163" s="113"/>
      <c r="K163" s="28"/>
      <c r="L163" s="28"/>
      <c r="M163" s="70"/>
      <c r="N163" s="70"/>
      <c r="O163" s="70"/>
      <c r="P163" s="70"/>
      <c r="Q163" s="70"/>
      <c r="R163" s="70"/>
      <c r="S163" s="70"/>
      <c r="T163" s="70"/>
      <c r="U163" s="70"/>
      <c r="V163" s="70"/>
      <c r="W163" s="70"/>
    </row>
    <row r="164" customFormat="false" ht="12.75" hidden="false" customHeight="false" outlineLevel="0" collapsed="false">
      <c r="A164" s="32" t="n">
        <v>36679</v>
      </c>
      <c r="B164" s="111" t="n">
        <v>69.5</v>
      </c>
      <c r="C164" s="112"/>
      <c r="D164" s="28"/>
      <c r="E164" s="28"/>
      <c r="F164" s="28"/>
      <c r="G164" s="113"/>
      <c r="H164" s="113"/>
      <c r="I164" s="113"/>
      <c r="J164" s="113"/>
      <c r="K164" s="28"/>
      <c r="L164" s="28"/>
      <c r="M164" s="70"/>
      <c r="N164" s="70"/>
      <c r="O164" s="70"/>
      <c r="P164" s="70"/>
      <c r="Q164" s="70"/>
      <c r="R164" s="70"/>
      <c r="S164" s="70"/>
      <c r="T164" s="70"/>
      <c r="U164" s="70"/>
      <c r="V164" s="70"/>
      <c r="W164" s="70"/>
    </row>
    <row r="165" customFormat="false" ht="12.75" hidden="false" customHeight="false" outlineLevel="0" collapsed="false">
      <c r="A165" s="32" t="n">
        <v>36680</v>
      </c>
      <c r="B165" s="111"/>
      <c r="C165" s="112"/>
      <c r="D165" s="28"/>
      <c r="E165" s="28"/>
      <c r="F165" s="28"/>
      <c r="G165" s="113"/>
      <c r="H165" s="113"/>
      <c r="I165" s="113"/>
      <c r="J165" s="113"/>
      <c r="K165" s="28"/>
      <c r="L165" s="28"/>
      <c r="M165" s="70"/>
      <c r="N165" s="70"/>
      <c r="O165" s="70"/>
      <c r="P165" s="70"/>
      <c r="Q165" s="70"/>
      <c r="R165" s="70"/>
      <c r="S165" s="70"/>
      <c r="T165" s="70"/>
      <c r="U165" s="70"/>
      <c r="V165" s="70"/>
      <c r="W165" s="70"/>
    </row>
    <row r="166" customFormat="false" ht="12.75" hidden="false" customHeight="false" outlineLevel="0" collapsed="false">
      <c r="A166" s="32" t="n">
        <v>36681</v>
      </c>
      <c r="B166" s="111"/>
      <c r="C166" s="112"/>
      <c r="D166" s="28"/>
      <c r="E166" s="28"/>
      <c r="F166" s="28"/>
      <c r="G166" s="113"/>
      <c r="H166" s="113"/>
      <c r="I166" s="113"/>
      <c r="J166" s="113"/>
      <c r="K166" s="28"/>
      <c r="L166" s="28"/>
      <c r="M166" s="70"/>
      <c r="N166" s="70"/>
      <c r="O166" s="70"/>
      <c r="P166" s="70"/>
      <c r="Q166" s="70"/>
      <c r="R166" s="70"/>
      <c r="S166" s="70"/>
      <c r="T166" s="70"/>
      <c r="U166" s="70"/>
      <c r="V166" s="70"/>
      <c r="W166" s="70"/>
    </row>
    <row r="167" customFormat="false" ht="12.75" hidden="false" customHeight="false" outlineLevel="0" collapsed="false">
      <c r="A167" s="32" t="n">
        <v>36682</v>
      </c>
      <c r="B167" s="111" t="n">
        <v>66</v>
      </c>
      <c r="C167" s="112"/>
      <c r="D167" s="28"/>
      <c r="E167" s="28"/>
      <c r="F167" s="28"/>
      <c r="G167" s="113"/>
      <c r="H167" s="113"/>
      <c r="I167" s="113"/>
      <c r="J167" s="113"/>
      <c r="K167" s="28"/>
      <c r="L167" s="28"/>
      <c r="M167" s="70"/>
      <c r="N167" s="70"/>
      <c r="O167" s="70"/>
      <c r="P167" s="70"/>
      <c r="Q167" s="70"/>
      <c r="R167" s="70"/>
      <c r="S167" s="70"/>
      <c r="T167" s="70"/>
      <c r="U167" s="70"/>
      <c r="V167" s="70"/>
      <c r="W167" s="70"/>
    </row>
    <row r="168" customFormat="false" ht="12.75" hidden="false" customHeight="false" outlineLevel="0" collapsed="false">
      <c r="A168" s="32" t="n">
        <v>36683</v>
      </c>
      <c r="B168" s="111" t="n">
        <v>70.1875</v>
      </c>
      <c r="C168" s="112"/>
      <c r="D168" s="28"/>
      <c r="E168" s="28"/>
      <c r="F168" s="28"/>
      <c r="G168" s="113"/>
      <c r="H168" s="113"/>
      <c r="I168" s="113"/>
      <c r="J168" s="113"/>
      <c r="K168" s="28"/>
      <c r="L168" s="28"/>
      <c r="M168" s="70"/>
      <c r="N168" s="70"/>
      <c r="O168" s="70"/>
      <c r="P168" s="70"/>
      <c r="Q168" s="70"/>
      <c r="R168" s="70"/>
      <c r="S168" s="70"/>
      <c r="T168" s="70"/>
      <c r="U168" s="70"/>
      <c r="V168" s="70"/>
      <c r="W168" s="70"/>
    </row>
    <row r="169" customFormat="false" ht="12.75" hidden="false" customHeight="false" outlineLevel="0" collapsed="false">
      <c r="A169" s="32" t="n">
        <v>36684</v>
      </c>
      <c r="B169" s="111" t="n">
        <v>71.375</v>
      </c>
      <c r="C169" s="112"/>
      <c r="D169" s="28"/>
      <c r="E169" s="28"/>
      <c r="F169" s="28"/>
      <c r="G169" s="113"/>
      <c r="H169" s="113"/>
      <c r="I169" s="113"/>
      <c r="J169" s="113"/>
      <c r="K169" s="28"/>
      <c r="L169" s="28"/>
      <c r="M169" s="70"/>
      <c r="N169" s="70"/>
      <c r="O169" s="70"/>
      <c r="P169" s="70"/>
      <c r="Q169" s="70"/>
      <c r="R169" s="70"/>
      <c r="S169" s="70"/>
      <c r="T169" s="70"/>
      <c r="U169" s="70"/>
      <c r="V169" s="70"/>
      <c r="W169" s="70"/>
    </row>
    <row r="170" customFormat="false" ht="12.75" hidden="false" customHeight="false" outlineLevel="0" collapsed="false">
      <c r="A170" s="32" t="n">
        <v>36685</v>
      </c>
      <c r="B170" s="111" t="n">
        <v>73.0625</v>
      </c>
      <c r="C170" s="112"/>
      <c r="D170" s="28"/>
      <c r="E170" s="28"/>
      <c r="F170" s="28"/>
      <c r="G170" s="113"/>
      <c r="H170" s="113"/>
      <c r="I170" s="113"/>
      <c r="J170" s="113"/>
      <c r="K170" s="28"/>
      <c r="L170" s="28"/>
      <c r="M170" s="70"/>
      <c r="N170" s="70"/>
      <c r="O170" s="70"/>
      <c r="P170" s="70"/>
      <c r="Q170" s="70"/>
      <c r="R170" s="70"/>
      <c r="S170" s="70"/>
      <c r="T170" s="70"/>
      <c r="U170" s="70"/>
      <c r="V170" s="70"/>
      <c r="W170" s="70"/>
    </row>
    <row r="171" customFormat="false" ht="12.75" hidden="false" customHeight="false" outlineLevel="0" collapsed="false">
      <c r="A171" s="32" t="n">
        <v>36686</v>
      </c>
      <c r="B171" s="111" t="n">
        <v>71.5</v>
      </c>
      <c r="C171" s="112"/>
      <c r="D171" s="28"/>
      <c r="E171" s="28"/>
      <c r="F171" s="28"/>
      <c r="G171" s="113"/>
      <c r="H171" s="113"/>
      <c r="I171" s="113"/>
      <c r="J171" s="113"/>
      <c r="K171" s="28"/>
      <c r="L171" s="28"/>
      <c r="M171" s="70"/>
      <c r="N171" s="70"/>
      <c r="O171" s="70"/>
      <c r="P171" s="70"/>
      <c r="Q171" s="70"/>
      <c r="R171" s="70"/>
      <c r="S171" s="70"/>
      <c r="T171" s="70"/>
      <c r="U171" s="70"/>
      <c r="V171" s="70"/>
      <c r="W171" s="70"/>
    </row>
    <row r="172" customFormat="false" ht="12.75" hidden="false" customHeight="false" outlineLevel="0" collapsed="false">
      <c r="A172" s="32" t="n">
        <v>36687</v>
      </c>
      <c r="B172" s="111"/>
      <c r="C172" s="112"/>
      <c r="D172" s="28"/>
      <c r="E172" s="28"/>
      <c r="F172" s="28"/>
      <c r="G172" s="113"/>
      <c r="H172" s="113"/>
      <c r="I172" s="113"/>
      <c r="J172" s="113"/>
      <c r="K172" s="28"/>
      <c r="L172" s="28"/>
      <c r="M172" s="70"/>
      <c r="N172" s="70"/>
      <c r="O172" s="70"/>
      <c r="P172" s="70"/>
      <c r="Q172" s="70"/>
      <c r="R172" s="70"/>
      <c r="S172" s="70"/>
      <c r="T172" s="70"/>
      <c r="U172" s="70"/>
      <c r="V172" s="70"/>
      <c r="W172" s="70"/>
    </row>
    <row r="173" customFormat="false" ht="12.75" hidden="false" customHeight="false" outlineLevel="0" collapsed="false">
      <c r="A173" s="32" t="n">
        <v>36688</v>
      </c>
      <c r="B173" s="111"/>
      <c r="C173" s="112"/>
      <c r="D173" s="28"/>
      <c r="E173" s="28"/>
      <c r="F173" s="28"/>
      <c r="G173" s="113"/>
      <c r="H173" s="113"/>
      <c r="I173" s="113"/>
      <c r="J173" s="113"/>
      <c r="K173" s="28"/>
      <c r="L173" s="28"/>
      <c r="M173" s="70"/>
      <c r="N173" s="70"/>
      <c r="O173" s="70"/>
      <c r="P173" s="70"/>
      <c r="Q173" s="70"/>
      <c r="R173" s="70"/>
      <c r="S173" s="70"/>
      <c r="T173" s="70"/>
      <c r="U173" s="70"/>
      <c r="V173" s="70"/>
      <c r="W173" s="70"/>
    </row>
    <row r="174" customFormat="false" ht="12.75" hidden="false" customHeight="false" outlineLevel="0" collapsed="false">
      <c r="A174" s="32" t="n">
        <v>36689</v>
      </c>
      <c r="B174" s="111" t="n">
        <v>73.25</v>
      </c>
      <c r="C174" s="112"/>
      <c r="D174" s="28"/>
      <c r="E174" s="28"/>
      <c r="F174" s="28"/>
      <c r="G174" s="113"/>
      <c r="H174" s="113"/>
      <c r="I174" s="113"/>
      <c r="J174" s="113"/>
      <c r="K174" s="28"/>
      <c r="L174" s="28"/>
      <c r="M174" s="70"/>
      <c r="N174" s="70"/>
      <c r="O174" s="70"/>
      <c r="P174" s="70"/>
      <c r="Q174" s="70"/>
      <c r="R174" s="70"/>
      <c r="S174" s="70"/>
      <c r="T174" s="70"/>
      <c r="U174" s="70"/>
      <c r="V174" s="70"/>
      <c r="W174" s="70"/>
    </row>
    <row r="175" customFormat="false" ht="12.75" hidden="false" customHeight="false" outlineLevel="0" collapsed="false">
      <c r="A175" s="32" t="n">
        <v>36690</v>
      </c>
      <c r="B175" s="111" t="n">
        <v>74</v>
      </c>
      <c r="C175" s="112"/>
      <c r="D175" s="28"/>
      <c r="E175" s="28"/>
      <c r="F175" s="28"/>
      <c r="G175" s="113"/>
      <c r="H175" s="113"/>
      <c r="I175" s="113"/>
      <c r="J175" s="113"/>
      <c r="K175" s="28"/>
      <c r="L175" s="28"/>
      <c r="M175" s="70"/>
      <c r="N175" s="70"/>
      <c r="O175" s="70"/>
      <c r="P175" s="70"/>
      <c r="Q175" s="70"/>
      <c r="R175" s="70"/>
      <c r="S175" s="70"/>
      <c r="T175" s="70"/>
      <c r="U175" s="70"/>
      <c r="V175" s="70"/>
      <c r="W175" s="70"/>
    </row>
    <row r="176" customFormat="false" ht="12.75" hidden="false" customHeight="false" outlineLevel="0" collapsed="false">
      <c r="A176" s="32" t="n">
        <v>36691</v>
      </c>
      <c r="B176" s="111" t="n">
        <v>72</v>
      </c>
      <c r="C176" s="112"/>
      <c r="D176" s="28"/>
      <c r="E176" s="28"/>
      <c r="F176" s="28"/>
      <c r="G176" s="113"/>
      <c r="H176" s="113"/>
      <c r="I176" s="113"/>
      <c r="J176" s="113"/>
      <c r="K176" s="28"/>
      <c r="L176" s="28"/>
      <c r="M176" s="70"/>
      <c r="N176" s="70"/>
      <c r="O176" s="70"/>
      <c r="P176" s="70"/>
      <c r="Q176" s="70"/>
      <c r="R176" s="70"/>
      <c r="S176" s="70"/>
      <c r="T176" s="70"/>
      <c r="U176" s="70"/>
      <c r="V176" s="70"/>
      <c r="W176" s="70"/>
    </row>
    <row r="177" customFormat="false" ht="12.75" hidden="false" customHeight="false" outlineLevel="0" collapsed="false">
      <c r="A177" s="32" t="n">
        <v>36692</v>
      </c>
      <c r="B177" s="111" t="n">
        <v>71.25</v>
      </c>
      <c r="C177" s="112"/>
      <c r="D177" s="28"/>
      <c r="E177" s="28"/>
      <c r="F177" s="28"/>
      <c r="G177" s="113"/>
      <c r="H177" s="113"/>
      <c r="I177" s="113"/>
      <c r="J177" s="113"/>
      <c r="K177" s="28"/>
      <c r="L177" s="28"/>
      <c r="M177" s="70"/>
      <c r="N177" s="70"/>
      <c r="O177" s="70"/>
      <c r="P177" s="70"/>
      <c r="Q177" s="70"/>
      <c r="R177" s="70"/>
      <c r="S177" s="70"/>
      <c r="T177" s="70"/>
      <c r="U177" s="70"/>
      <c r="V177" s="70"/>
      <c r="W177" s="70"/>
    </row>
    <row r="178" customFormat="false" ht="12.75" hidden="false" customHeight="false" outlineLevel="0" collapsed="false">
      <c r="A178" s="32" t="n">
        <v>36693</v>
      </c>
      <c r="B178" s="111" t="n">
        <v>71.625</v>
      </c>
      <c r="C178" s="112"/>
      <c r="D178" s="28"/>
      <c r="E178" s="28"/>
      <c r="F178" s="28"/>
      <c r="G178" s="113"/>
      <c r="H178" s="113"/>
      <c r="I178" s="113"/>
      <c r="J178" s="113"/>
      <c r="K178" s="28"/>
      <c r="L178" s="28"/>
      <c r="M178" s="70"/>
      <c r="N178" s="70"/>
      <c r="O178" s="70"/>
      <c r="P178" s="70"/>
      <c r="Q178" s="70"/>
      <c r="R178" s="70"/>
      <c r="S178" s="70"/>
      <c r="T178" s="70"/>
      <c r="U178" s="70"/>
      <c r="V178" s="70"/>
      <c r="W178" s="70"/>
    </row>
    <row r="179" customFormat="false" ht="12.75" hidden="false" customHeight="false" outlineLevel="0" collapsed="false">
      <c r="A179" s="32" t="n">
        <v>36694</v>
      </c>
      <c r="B179" s="111"/>
      <c r="C179" s="112"/>
      <c r="D179" s="28"/>
      <c r="E179" s="28"/>
      <c r="F179" s="28"/>
      <c r="G179" s="113"/>
      <c r="H179" s="113"/>
      <c r="I179" s="113"/>
      <c r="J179" s="113"/>
      <c r="K179" s="28"/>
      <c r="L179" s="28"/>
      <c r="M179" s="70"/>
      <c r="N179" s="70"/>
      <c r="O179" s="70"/>
      <c r="P179" s="70"/>
      <c r="Q179" s="70"/>
      <c r="R179" s="70"/>
      <c r="S179" s="70"/>
      <c r="T179" s="70"/>
      <c r="U179" s="70"/>
      <c r="V179" s="70"/>
      <c r="W179" s="70"/>
    </row>
    <row r="180" customFormat="false" ht="12.75" hidden="false" customHeight="false" outlineLevel="0" collapsed="false">
      <c r="A180" s="32" t="n">
        <v>36695</v>
      </c>
      <c r="B180" s="111"/>
      <c r="C180" s="112"/>
      <c r="D180" s="28"/>
      <c r="E180" s="28"/>
      <c r="F180" s="28"/>
      <c r="G180" s="113"/>
      <c r="H180" s="113"/>
      <c r="I180" s="113"/>
      <c r="J180" s="113"/>
      <c r="K180" s="28"/>
      <c r="L180" s="28"/>
      <c r="M180" s="70"/>
      <c r="N180" s="70"/>
      <c r="O180" s="70"/>
      <c r="P180" s="70"/>
      <c r="Q180" s="70"/>
      <c r="R180" s="70"/>
      <c r="S180" s="70"/>
      <c r="T180" s="70"/>
      <c r="U180" s="70"/>
      <c r="V180" s="70"/>
      <c r="W180" s="70"/>
    </row>
    <row r="181" customFormat="false" ht="12.75" hidden="false" customHeight="false" outlineLevel="0" collapsed="false">
      <c r="A181" s="32" t="n">
        <v>36696</v>
      </c>
      <c r="B181" s="111" t="n">
        <v>71.0625</v>
      </c>
      <c r="C181" s="112"/>
      <c r="D181" s="28"/>
      <c r="E181" s="28"/>
      <c r="F181" s="28"/>
      <c r="G181" s="113"/>
      <c r="H181" s="113"/>
      <c r="I181" s="113"/>
      <c r="J181" s="113"/>
      <c r="K181" s="28"/>
      <c r="L181" s="28"/>
      <c r="M181" s="70"/>
      <c r="N181" s="70"/>
      <c r="O181" s="70"/>
      <c r="P181" s="70"/>
      <c r="Q181" s="70"/>
      <c r="R181" s="70"/>
      <c r="S181" s="70"/>
      <c r="T181" s="70"/>
      <c r="U181" s="70"/>
      <c r="V181" s="70"/>
      <c r="W181" s="70"/>
    </row>
    <row r="182" customFormat="false" ht="12.75" hidden="false" customHeight="false" outlineLevel="0" collapsed="false">
      <c r="A182" s="32" t="n">
        <v>36697</v>
      </c>
      <c r="B182" s="111" t="n">
        <v>72.6875</v>
      </c>
      <c r="C182" s="112"/>
      <c r="D182" s="28"/>
      <c r="E182" s="28"/>
      <c r="F182" s="28"/>
      <c r="G182" s="113"/>
      <c r="H182" s="113"/>
      <c r="I182" s="113"/>
      <c r="J182" s="113"/>
      <c r="K182" s="28"/>
      <c r="L182" s="28"/>
      <c r="M182" s="70"/>
      <c r="N182" s="70"/>
      <c r="O182" s="70"/>
      <c r="P182" s="70"/>
      <c r="Q182" s="70"/>
      <c r="R182" s="70"/>
      <c r="S182" s="70"/>
      <c r="T182" s="70"/>
      <c r="U182" s="70"/>
      <c r="V182" s="70"/>
      <c r="W182" s="70"/>
    </row>
    <row r="183" customFormat="false" ht="12.75" hidden="false" customHeight="false" outlineLevel="0" collapsed="false">
      <c r="A183" s="32" t="n">
        <v>36698</v>
      </c>
      <c r="B183" s="111" t="n">
        <v>74.1875</v>
      </c>
      <c r="C183" s="112"/>
      <c r="D183" s="28"/>
      <c r="E183" s="28"/>
      <c r="F183" s="28"/>
      <c r="G183" s="113"/>
      <c r="H183" s="113"/>
      <c r="I183" s="113"/>
      <c r="J183" s="113"/>
      <c r="K183" s="28"/>
      <c r="L183" s="28"/>
      <c r="M183" s="70"/>
      <c r="N183" s="70"/>
      <c r="O183" s="70"/>
      <c r="P183" s="70"/>
      <c r="Q183" s="70"/>
      <c r="R183" s="70"/>
      <c r="S183" s="70"/>
      <c r="T183" s="70"/>
      <c r="U183" s="70"/>
      <c r="V183" s="70"/>
      <c r="W183" s="70"/>
    </row>
    <row r="184" customFormat="false" ht="12.75" hidden="false" customHeight="false" outlineLevel="0" collapsed="false">
      <c r="A184" s="32" t="n">
        <v>36699</v>
      </c>
      <c r="B184" s="111" t="n">
        <v>73.4375</v>
      </c>
      <c r="C184" s="112"/>
      <c r="D184" s="28"/>
      <c r="E184" s="28"/>
      <c r="F184" s="28"/>
      <c r="G184" s="113"/>
      <c r="H184" s="113"/>
      <c r="I184" s="113"/>
      <c r="J184" s="113"/>
      <c r="K184" s="28"/>
      <c r="L184" s="28"/>
      <c r="M184" s="70"/>
      <c r="N184" s="70"/>
      <c r="O184" s="70"/>
      <c r="P184" s="70"/>
      <c r="Q184" s="70"/>
      <c r="R184" s="70"/>
      <c r="S184" s="70"/>
      <c r="T184" s="70"/>
      <c r="U184" s="70"/>
      <c r="V184" s="70"/>
      <c r="W184" s="70"/>
    </row>
    <row r="185" customFormat="false" ht="12.75" hidden="false" customHeight="false" outlineLevel="0" collapsed="false">
      <c r="A185" s="32" t="n">
        <v>36700</v>
      </c>
      <c r="B185" s="111" t="n">
        <v>73.1875</v>
      </c>
      <c r="C185" s="112"/>
      <c r="D185" s="28"/>
      <c r="E185" s="28"/>
      <c r="F185" s="28"/>
      <c r="G185" s="113"/>
      <c r="H185" s="113"/>
      <c r="I185" s="113"/>
      <c r="J185" s="113"/>
      <c r="K185" s="28"/>
      <c r="L185" s="28"/>
      <c r="M185" s="70"/>
      <c r="N185" s="70"/>
      <c r="O185" s="70"/>
      <c r="P185" s="70"/>
      <c r="Q185" s="70"/>
      <c r="R185" s="70"/>
      <c r="S185" s="70"/>
      <c r="T185" s="70"/>
      <c r="U185" s="70"/>
      <c r="V185" s="70"/>
      <c r="W185" s="70"/>
    </row>
    <row r="186" customFormat="false" ht="12.75" hidden="false" customHeight="false" outlineLevel="0" collapsed="false">
      <c r="A186" s="32" t="n">
        <v>36701</v>
      </c>
      <c r="B186" s="111"/>
      <c r="C186" s="112"/>
      <c r="D186" s="28"/>
      <c r="E186" s="28"/>
      <c r="F186" s="28"/>
      <c r="G186" s="113"/>
      <c r="H186" s="113"/>
      <c r="I186" s="113"/>
      <c r="J186" s="113"/>
      <c r="K186" s="28"/>
      <c r="L186" s="28"/>
      <c r="M186" s="70"/>
      <c r="N186" s="70"/>
      <c r="O186" s="70"/>
      <c r="P186" s="70"/>
      <c r="Q186" s="70"/>
      <c r="R186" s="70"/>
      <c r="S186" s="70"/>
      <c r="T186" s="70"/>
      <c r="U186" s="70"/>
      <c r="V186" s="70"/>
      <c r="W186" s="70"/>
    </row>
    <row r="187" customFormat="false" ht="12.75" hidden="false" customHeight="false" outlineLevel="0" collapsed="false">
      <c r="A187" s="32" t="n">
        <v>36702</v>
      </c>
      <c r="B187" s="111"/>
      <c r="C187" s="112"/>
      <c r="D187" s="28"/>
      <c r="E187" s="28"/>
      <c r="F187" s="28"/>
      <c r="G187" s="113"/>
      <c r="H187" s="113"/>
      <c r="I187" s="113"/>
      <c r="J187" s="113"/>
      <c r="K187" s="28"/>
      <c r="L187" s="28"/>
      <c r="M187" s="70"/>
      <c r="N187" s="70"/>
      <c r="O187" s="70"/>
      <c r="P187" s="70"/>
      <c r="Q187" s="70"/>
      <c r="R187" s="70"/>
      <c r="S187" s="70"/>
      <c r="T187" s="70"/>
      <c r="U187" s="70"/>
      <c r="V187" s="70"/>
      <c r="W187" s="70"/>
    </row>
    <row r="188" customFormat="false" ht="12.75" hidden="false" customHeight="false" outlineLevel="0" collapsed="false">
      <c r="A188" s="32" t="n">
        <v>36703</v>
      </c>
      <c r="B188" s="111" t="n">
        <v>69.625</v>
      </c>
      <c r="C188" s="112"/>
      <c r="D188" s="28"/>
      <c r="E188" s="28"/>
      <c r="F188" s="28"/>
      <c r="G188" s="113"/>
      <c r="H188" s="113"/>
      <c r="I188" s="113"/>
      <c r="J188" s="113"/>
      <c r="K188" s="28"/>
      <c r="L188" s="28"/>
      <c r="M188" s="70"/>
      <c r="N188" s="70"/>
      <c r="O188" s="70"/>
      <c r="P188" s="70"/>
      <c r="Q188" s="70"/>
      <c r="R188" s="70"/>
      <c r="S188" s="70"/>
      <c r="T188" s="70"/>
      <c r="U188" s="70"/>
      <c r="V188" s="70"/>
      <c r="W188" s="70"/>
    </row>
    <row r="189" customFormat="false" ht="12.75" hidden="false" customHeight="false" outlineLevel="0" collapsed="false">
      <c r="A189" s="32" t="n">
        <v>36704</v>
      </c>
      <c r="B189" s="111" t="n">
        <v>68.75</v>
      </c>
      <c r="C189" s="112"/>
      <c r="D189" s="28"/>
      <c r="E189" s="28"/>
      <c r="F189" s="28"/>
      <c r="G189" s="113"/>
      <c r="H189" s="113"/>
      <c r="I189" s="113"/>
      <c r="J189" s="113"/>
      <c r="K189" s="28"/>
      <c r="L189" s="28"/>
      <c r="M189" s="70"/>
      <c r="N189" s="70"/>
      <c r="O189" s="70"/>
      <c r="P189" s="70"/>
      <c r="Q189" s="70"/>
      <c r="R189" s="70"/>
      <c r="S189" s="70"/>
      <c r="T189" s="70"/>
      <c r="U189" s="70"/>
      <c r="V189" s="70"/>
      <c r="W189" s="70"/>
    </row>
    <row r="190" customFormat="false" ht="12.75" hidden="false" customHeight="false" outlineLevel="0" collapsed="false">
      <c r="A190" s="32" t="n">
        <v>36705</v>
      </c>
      <c r="B190" s="111" t="n">
        <v>68.80859</v>
      </c>
      <c r="C190" s="112"/>
      <c r="D190" s="28"/>
      <c r="E190" s="28"/>
      <c r="F190" s="28"/>
      <c r="G190" s="113"/>
      <c r="H190" s="113"/>
      <c r="I190" s="113"/>
      <c r="J190" s="113"/>
      <c r="K190" s="28"/>
      <c r="L190" s="28"/>
      <c r="M190" s="70"/>
      <c r="N190" s="70"/>
      <c r="O190" s="70"/>
      <c r="P190" s="70"/>
      <c r="Q190" s="70"/>
      <c r="R190" s="70"/>
      <c r="S190" s="70"/>
      <c r="T190" s="70"/>
      <c r="U190" s="70"/>
      <c r="V190" s="70"/>
      <c r="W190" s="70"/>
    </row>
    <row r="191" customFormat="false" ht="12.75" hidden="false" customHeight="false" outlineLevel="0" collapsed="false">
      <c r="A191" s="32" t="n">
        <v>36706</v>
      </c>
      <c r="B191" s="111" t="n">
        <v>68.5</v>
      </c>
      <c r="C191" s="112"/>
      <c r="D191" s="28"/>
      <c r="E191" s="28"/>
      <c r="F191" s="28"/>
      <c r="G191" s="113"/>
      <c r="H191" s="113"/>
      <c r="I191" s="113"/>
      <c r="J191" s="113"/>
      <c r="K191" s="28"/>
      <c r="L191" s="28"/>
      <c r="M191" s="70"/>
      <c r="N191" s="70"/>
      <c r="O191" s="70"/>
      <c r="P191" s="70"/>
      <c r="Q191" s="70"/>
      <c r="R191" s="70"/>
      <c r="S191" s="70"/>
      <c r="T191" s="70"/>
      <c r="U191" s="70"/>
      <c r="V191" s="70"/>
      <c r="W191" s="70"/>
    </row>
    <row r="192" customFormat="false" ht="12.75" hidden="false" customHeight="false" outlineLevel="0" collapsed="false">
      <c r="A192" s="32" t="n">
        <v>36707</v>
      </c>
      <c r="B192" s="111" t="n">
        <v>64.5</v>
      </c>
      <c r="C192" s="112"/>
      <c r="D192" s="28"/>
      <c r="E192" s="28"/>
      <c r="F192" s="28"/>
      <c r="G192" s="113"/>
      <c r="H192" s="113"/>
      <c r="I192" s="113"/>
      <c r="J192" s="113"/>
      <c r="K192" s="28"/>
      <c r="L192" s="28"/>
      <c r="M192" s="70"/>
      <c r="N192" s="70"/>
      <c r="O192" s="70"/>
      <c r="P192" s="70"/>
      <c r="Q192" s="70"/>
      <c r="R192" s="70"/>
      <c r="S192" s="70"/>
      <c r="T192" s="70"/>
      <c r="U192" s="70"/>
      <c r="V192" s="70"/>
      <c r="W192" s="70"/>
    </row>
    <row r="193" customFormat="false" ht="12.75" hidden="false" customHeight="false" outlineLevel="0" collapsed="false">
      <c r="A193" s="32" t="n">
        <v>36708</v>
      </c>
      <c r="B193" s="111"/>
      <c r="C193" s="112"/>
      <c r="D193" s="28"/>
      <c r="E193" s="28"/>
      <c r="F193" s="28"/>
      <c r="G193" s="113"/>
      <c r="H193" s="113"/>
      <c r="I193" s="113"/>
      <c r="J193" s="113"/>
      <c r="K193" s="28"/>
      <c r="L193" s="28"/>
      <c r="M193" s="70"/>
      <c r="N193" s="70"/>
      <c r="O193" s="70"/>
      <c r="P193" s="70"/>
      <c r="Q193" s="70"/>
      <c r="R193" s="70"/>
      <c r="S193" s="70"/>
      <c r="T193" s="70"/>
      <c r="U193" s="70"/>
      <c r="V193" s="70"/>
      <c r="W193" s="70"/>
    </row>
    <row r="194" customFormat="false" ht="12.75" hidden="false" customHeight="false" outlineLevel="0" collapsed="false">
      <c r="A194" s="32" t="n">
        <v>36709</v>
      </c>
      <c r="B194" s="111"/>
      <c r="C194" s="112"/>
      <c r="D194" s="28"/>
      <c r="E194" s="28"/>
      <c r="F194" s="28"/>
      <c r="G194" s="113"/>
      <c r="H194" s="113"/>
      <c r="I194" s="113"/>
      <c r="J194" s="113"/>
      <c r="K194" s="28"/>
      <c r="L194" s="28"/>
      <c r="M194" s="70"/>
      <c r="N194" s="70"/>
      <c r="O194" s="70"/>
      <c r="P194" s="70"/>
      <c r="Q194" s="70"/>
      <c r="R194" s="70"/>
      <c r="S194" s="70"/>
      <c r="T194" s="70"/>
      <c r="U194" s="70"/>
      <c r="V194" s="70"/>
      <c r="W194" s="70"/>
    </row>
    <row r="195" customFormat="false" ht="12.75" hidden="false" customHeight="false" outlineLevel="0" collapsed="false">
      <c r="A195" s="32" t="n">
        <v>36710</v>
      </c>
      <c r="B195" s="111"/>
      <c r="C195" s="112"/>
      <c r="D195" s="28"/>
      <c r="E195" s="28"/>
      <c r="F195" s="28"/>
      <c r="G195" s="113"/>
      <c r="H195" s="113"/>
      <c r="I195" s="113"/>
      <c r="J195" s="113"/>
      <c r="K195" s="28"/>
      <c r="L195" s="28"/>
      <c r="M195" s="70"/>
      <c r="N195" s="70"/>
      <c r="O195" s="70"/>
      <c r="P195" s="70"/>
      <c r="Q195" s="70"/>
      <c r="R195" s="70"/>
      <c r="S195" s="70"/>
      <c r="T195" s="70"/>
      <c r="U195" s="70"/>
      <c r="V195" s="70"/>
      <c r="W195" s="70"/>
    </row>
    <row r="196" customFormat="false" ht="12.75" hidden="false" customHeight="false" outlineLevel="0" collapsed="false">
      <c r="A196" s="32" t="n">
        <v>36711</v>
      </c>
      <c r="B196" s="111"/>
      <c r="C196" s="112"/>
      <c r="D196" s="28"/>
      <c r="E196" s="28"/>
      <c r="F196" s="28"/>
      <c r="G196" s="113"/>
      <c r="H196" s="113"/>
      <c r="I196" s="113"/>
      <c r="J196" s="113"/>
      <c r="K196" s="28"/>
      <c r="L196" s="28"/>
      <c r="M196" s="70"/>
      <c r="N196" s="70"/>
      <c r="O196" s="70"/>
      <c r="P196" s="70"/>
      <c r="Q196" s="70"/>
      <c r="R196" s="70"/>
      <c r="S196" s="70"/>
      <c r="T196" s="70"/>
      <c r="U196" s="70"/>
      <c r="V196" s="70"/>
      <c r="W196" s="70"/>
    </row>
    <row r="197" customFormat="false" ht="12.75" hidden="false" customHeight="false" outlineLevel="0" collapsed="false">
      <c r="A197" s="32" t="n">
        <v>36712</v>
      </c>
      <c r="B197" s="111"/>
      <c r="C197" s="112"/>
      <c r="D197" s="28"/>
      <c r="E197" s="28"/>
      <c r="F197" s="28"/>
      <c r="G197" s="113"/>
      <c r="H197" s="113"/>
      <c r="I197" s="113"/>
      <c r="J197" s="113"/>
      <c r="K197" s="28"/>
      <c r="L197" s="28"/>
      <c r="M197" s="70"/>
      <c r="N197" s="70"/>
      <c r="O197" s="70"/>
      <c r="P197" s="70"/>
      <c r="Q197" s="70"/>
      <c r="R197" s="70"/>
      <c r="S197" s="70"/>
      <c r="T197" s="70"/>
      <c r="U197" s="70"/>
      <c r="V197" s="70"/>
      <c r="W197" s="70"/>
    </row>
    <row r="198" customFormat="false" ht="12.75" hidden="false" customHeight="false" outlineLevel="0" collapsed="false">
      <c r="A198" s="32" t="n">
        <v>36713</v>
      </c>
      <c r="B198" s="111"/>
      <c r="C198" s="112"/>
      <c r="D198" s="28"/>
      <c r="E198" s="28"/>
      <c r="F198" s="28"/>
      <c r="G198" s="113"/>
      <c r="H198" s="113"/>
      <c r="I198" s="113"/>
      <c r="J198" s="113"/>
      <c r="K198" s="28"/>
      <c r="L198" s="28"/>
      <c r="M198" s="70"/>
      <c r="N198" s="70"/>
      <c r="O198" s="70"/>
      <c r="P198" s="70"/>
      <c r="Q198" s="70"/>
      <c r="R198" s="70"/>
      <c r="S198" s="70"/>
      <c r="T198" s="70"/>
      <c r="U198" s="70"/>
      <c r="V198" s="70"/>
      <c r="W198" s="70"/>
    </row>
    <row r="199" customFormat="false" ht="12.75" hidden="false" customHeight="false" outlineLevel="0" collapsed="false">
      <c r="A199" s="32" t="n">
        <v>36714</v>
      </c>
      <c r="B199" s="111"/>
      <c r="C199" s="112"/>
      <c r="D199" s="28"/>
      <c r="E199" s="28"/>
      <c r="F199" s="28"/>
      <c r="G199" s="113"/>
      <c r="H199" s="113"/>
      <c r="I199" s="113"/>
      <c r="J199" s="113"/>
      <c r="K199" s="28"/>
      <c r="L199" s="28"/>
      <c r="M199" s="70"/>
      <c r="N199" s="70"/>
      <c r="O199" s="70"/>
      <c r="P199" s="70"/>
      <c r="Q199" s="70"/>
      <c r="R199" s="70"/>
      <c r="S199" s="70"/>
      <c r="T199" s="70"/>
      <c r="U199" s="70"/>
      <c r="V199" s="70"/>
      <c r="W199" s="70"/>
    </row>
    <row r="200" customFormat="false" ht="12.75" hidden="false" customHeight="false" outlineLevel="0" collapsed="false">
      <c r="A200" s="32" t="n">
        <v>36715</v>
      </c>
      <c r="B200" s="111"/>
      <c r="C200" s="112"/>
      <c r="D200" s="28"/>
      <c r="E200" s="28"/>
      <c r="F200" s="28"/>
      <c r="G200" s="113"/>
      <c r="H200" s="113"/>
      <c r="I200" s="113"/>
      <c r="J200" s="113"/>
      <c r="K200" s="28"/>
      <c r="L200" s="28"/>
      <c r="M200" s="70"/>
      <c r="N200" s="70"/>
      <c r="O200" s="70"/>
      <c r="P200" s="70"/>
      <c r="Q200" s="70"/>
      <c r="R200" s="70"/>
      <c r="S200" s="70"/>
      <c r="T200" s="70"/>
      <c r="U200" s="70"/>
      <c r="V200" s="70"/>
      <c r="W200" s="70"/>
    </row>
    <row r="201" customFormat="false" ht="12.75" hidden="false" customHeight="false" outlineLevel="0" collapsed="false">
      <c r="A201" s="32" t="n">
        <v>36716</v>
      </c>
      <c r="B201" s="111"/>
      <c r="C201" s="112"/>
      <c r="D201" s="28"/>
      <c r="E201" s="28"/>
      <c r="F201" s="28"/>
      <c r="G201" s="113"/>
      <c r="H201" s="113"/>
      <c r="I201" s="113"/>
      <c r="J201" s="113"/>
      <c r="K201" s="28"/>
      <c r="L201" s="28"/>
      <c r="M201" s="70"/>
      <c r="N201" s="70"/>
      <c r="O201" s="70"/>
      <c r="P201" s="70"/>
      <c r="Q201" s="70"/>
      <c r="R201" s="70"/>
      <c r="S201" s="70"/>
      <c r="T201" s="70"/>
      <c r="U201" s="70"/>
      <c r="V201" s="70"/>
      <c r="W201" s="70"/>
    </row>
    <row r="202" customFormat="false" ht="12.75" hidden="false" customHeight="false" outlineLevel="0" collapsed="false">
      <c r="A202" s="32" t="n">
        <v>36717</v>
      </c>
      <c r="B202" s="111"/>
      <c r="C202" s="112"/>
      <c r="D202" s="28"/>
      <c r="E202" s="28"/>
      <c r="F202" s="28"/>
      <c r="G202" s="113"/>
      <c r="H202" s="113"/>
      <c r="I202" s="113"/>
      <c r="J202" s="113"/>
      <c r="K202" s="28"/>
      <c r="L202" s="28"/>
      <c r="M202" s="70"/>
      <c r="N202" s="70"/>
      <c r="O202" s="70"/>
      <c r="P202" s="70"/>
      <c r="Q202" s="70"/>
      <c r="R202" s="70"/>
      <c r="S202" s="70"/>
      <c r="T202" s="70"/>
      <c r="U202" s="70"/>
      <c r="V202" s="70"/>
      <c r="W202" s="70"/>
    </row>
    <row r="203" customFormat="false" ht="12.75" hidden="false" customHeight="false" outlineLevel="0" collapsed="false">
      <c r="A203" s="32" t="n">
        <v>36718</v>
      </c>
      <c r="B203" s="111"/>
      <c r="C203" s="112"/>
      <c r="D203" s="28"/>
      <c r="E203" s="28"/>
      <c r="F203" s="28"/>
      <c r="G203" s="113"/>
      <c r="H203" s="113"/>
      <c r="I203" s="113"/>
      <c r="J203" s="113"/>
      <c r="K203" s="28"/>
      <c r="L203" s="28"/>
      <c r="M203" s="70"/>
      <c r="N203" s="70"/>
      <c r="O203" s="70"/>
      <c r="P203" s="70"/>
      <c r="Q203" s="70"/>
      <c r="R203" s="70"/>
      <c r="S203" s="70"/>
      <c r="T203" s="70"/>
      <c r="U203" s="70"/>
      <c r="V203" s="70"/>
      <c r="W203" s="70"/>
    </row>
    <row r="204" customFormat="false" ht="12.75" hidden="false" customHeight="false" outlineLevel="0" collapsed="false">
      <c r="A204" s="32" t="n">
        <v>36719</v>
      </c>
      <c r="B204" s="111"/>
      <c r="C204" s="112"/>
      <c r="D204" s="28"/>
      <c r="E204" s="28"/>
      <c r="F204" s="28"/>
      <c r="G204" s="113"/>
      <c r="H204" s="113"/>
      <c r="I204" s="113"/>
      <c r="J204" s="113"/>
      <c r="K204" s="28"/>
      <c r="L204" s="28"/>
      <c r="M204" s="70"/>
      <c r="N204" s="70"/>
      <c r="O204" s="70"/>
      <c r="P204" s="70"/>
      <c r="Q204" s="70"/>
      <c r="R204" s="70"/>
      <c r="S204" s="70"/>
      <c r="T204" s="70"/>
      <c r="U204" s="70"/>
      <c r="V204" s="70"/>
      <c r="W204" s="70"/>
    </row>
    <row r="205" customFormat="false" ht="12.75" hidden="false" customHeight="false" outlineLevel="0" collapsed="false">
      <c r="A205" s="32" t="n">
        <v>36720</v>
      </c>
      <c r="B205" s="111"/>
      <c r="C205" s="112"/>
      <c r="D205" s="28"/>
      <c r="E205" s="28"/>
      <c r="F205" s="28"/>
      <c r="G205" s="113"/>
      <c r="H205" s="113"/>
      <c r="I205" s="113"/>
      <c r="J205" s="113"/>
      <c r="K205" s="28"/>
      <c r="L205" s="28"/>
      <c r="M205" s="70"/>
      <c r="N205" s="70"/>
      <c r="O205" s="70"/>
      <c r="P205" s="70"/>
      <c r="Q205" s="70"/>
      <c r="R205" s="70"/>
      <c r="S205" s="70"/>
      <c r="T205" s="70"/>
      <c r="U205" s="70"/>
      <c r="V205" s="70"/>
      <c r="W205" s="70"/>
    </row>
    <row r="206" customFormat="false" ht="12.75" hidden="false" customHeight="false" outlineLevel="0" collapsed="false">
      <c r="A206" s="32" t="n">
        <v>36721</v>
      </c>
      <c r="B206" s="111"/>
      <c r="C206" s="112"/>
      <c r="D206" s="28"/>
      <c r="E206" s="28"/>
      <c r="F206" s="28"/>
      <c r="G206" s="113"/>
      <c r="H206" s="113"/>
      <c r="I206" s="113"/>
      <c r="J206" s="113"/>
      <c r="K206" s="28"/>
      <c r="L206" s="28"/>
      <c r="M206" s="70"/>
      <c r="N206" s="70"/>
      <c r="O206" s="70"/>
      <c r="P206" s="70"/>
      <c r="Q206" s="70"/>
      <c r="R206" s="70"/>
      <c r="S206" s="70"/>
      <c r="T206" s="70"/>
      <c r="U206" s="70"/>
      <c r="V206" s="70"/>
      <c r="W206" s="70"/>
    </row>
    <row r="207" customFormat="false" ht="12.75" hidden="false" customHeight="false" outlineLevel="0" collapsed="false">
      <c r="A207" s="32" t="n">
        <v>36722</v>
      </c>
      <c r="B207" s="111"/>
      <c r="C207" s="112"/>
      <c r="D207" s="28"/>
      <c r="E207" s="28"/>
      <c r="F207" s="28"/>
      <c r="G207" s="113"/>
      <c r="H207" s="113"/>
      <c r="I207" s="113"/>
      <c r="J207" s="113"/>
      <c r="K207" s="28"/>
      <c r="L207" s="28"/>
      <c r="M207" s="70"/>
      <c r="N207" s="70"/>
      <c r="O207" s="70"/>
      <c r="P207" s="70"/>
      <c r="Q207" s="70"/>
      <c r="R207" s="70"/>
      <c r="S207" s="70"/>
      <c r="T207" s="70"/>
      <c r="U207" s="70"/>
      <c r="V207" s="70"/>
      <c r="W207" s="70"/>
    </row>
    <row r="208" customFormat="false" ht="12.75" hidden="false" customHeight="false" outlineLevel="0" collapsed="false">
      <c r="A208" s="32" t="n">
        <v>36723</v>
      </c>
      <c r="B208" s="111"/>
      <c r="C208" s="112"/>
      <c r="D208" s="28"/>
      <c r="E208" s="28"/>
      <c r="F208" s="28"/>
      <c r="G208" s="113"/>
      <c r="H208" s="113"/>
      <c r="I208" s="113"/>
      <c r="J208" s="113"/>
      <c r="K208" s="28"/>
      <c r="L208" s="28"/>
      <c r="M208" s="70"/>
      <c r="N208" s="70"/>
      <c r="O208" s="70"/>
      <c r="P208" s="70"/>
      <c r="Q208" s="70"/>
      <c r="R208" s="70"/>
      <c r="S208" s="70"/>
      <c r="T208" s="70"/>
      <c r="U208" s="70"/>
      <c r="V208" s="70"/>
      <c r="W208" s="70"/>
    </row>
    <row r="209" customFormat="false" ht="12.75" hidden="false" customHeight="false" outlineLevel="0" collapsed="false">
      <c r="A209" s="32" t="n">
        <v>36724</v>
      </c>
      <c r="B209" s="111"/>
      <c r="C209" s="112"/>
      <c r="D209" s="28"/>
      <c r="E209" s="28"/>
      <c r="F209" s="28"/>
      <c r="G209" s="113"/>
      <c r="H209" s="113"/>
      <c r="I209" s="113"/>
      <c r="J209" s="113"/>
      <c r="K209" s="28"/>
      <c r="L209" s="28"/>
      <c r="M209" s="70"/>
      <c r="N209" s="70"/>
      <c r="O209" s="70"/>
      <c r="P209" s="70"/>
      <c r="Q209" s="70"/>
      <c r="R209" s="70"/>
      <c r="S209" s="70"/>
      <c r="T209" s="70"/>
      <c r="U209" s="70"/>
      <c r="V209" s="70"/>
      <c r="W209" s="70"/>
    </row>
    <row r="210" customFormat="false" ht="12.75" hidden="false" customHeight="false" outlineLevel="0" collapsed="false">
      <c r="A210" s="32" t="n">
        <v>36725</v>
      </c>
      <c r="B210" s="111"/>
      <c r="C210" s="112"/>
      <c r="D210" s="28"/>
      <c r="E210" s="28"/>
      <c r="F210" s="28"/>
      <c r="G210" s="113"/>
      <c r="H210" s="113"/>
      <c r="I210" s="113"/>
      <c r="J210" s="113"/>
      <c r="K210" s="28"/>
      <c r="L210" s="28"/>
      <c r="M210" s="70"/>
      <c r="N210" s="70"/>
      <c r="O210" s="70"/>
      <c r="P210" s="70"/>
      <c r="Q210" s="70"/>
      <c r="R210" s="70"/>
      <c r="S210" s="70"/>
      <c r="T210" s="70"/>
      <c r="U210" s="70"/>
      <c r="V210" s="70"/>
      <c r="W210" s="70"/>
    </row>
    <row r="211" customFormat="false" ht="12.75" hidden="false" customHeight="false" outlineLevel="0" collapsed="false">
      <c r="A211" s="32" t="n">
        <v>36726</v>
      </c>
      <c r="B211" s="111"/>
      <c r="C211" s="112"/>
      <c r="D211" s="28"/>
      <c r="E211" s="28"/>
      <c r="F211" s="28"/>
      <c r="G211" s="113"/>
      <c r="H211" s="113"/>
      <c r="I211" s="113"/>
      <c r="J211" s="113"/>
      <c r="K211" s="28"/>
      <c r="L211" s="28"/>
      <c r="M211" s="70"/>
      <c r="N211" s="70"/>
      <c r="O211" s="70"/>
      <c r="P211" s="70"/>
      <c r="Q211" s="70"/>
      <c r="R211" s="70"/>
      <c r="S211" s="70"/>
      <c r="T211" s="70"/>
      <c r="U211" s="70"/>
      <c r="V211" s="70"/>
      <c r="W211" s="70"/>
    </row>
    <row r="212" customFormat="false" ht="12.75" hidden="false" customHeight="false" outlineLevel="0" collapsed="false">
      <c r="A212" s="32" t="n">
        <v>36727</v>
      </c>
      <c r="B212" s="111"/>
      <c r="C212" s="112"/>
      <c r="D212" s="28"/>
      <c r="E212" s="28"/>
      <c r="F212" s="28"/>
      <c r="G212" s="113"/>
      <c r="H212" s="113"/>
      <c r="I212" s="113"/>
      <c r="J212" s="113"/>
      <c r="K212" s="28"/>
      <c r="L212" s="28"/>
      <c r="M212" s="70"/>
      <c r="N212" s="70"/>
      <c r="O212" s="70"/>
      <c r="P212" s="70"/>
      <c r="Q212" s="70"/>
      <c r="R212" s="70"/>
      <c r="S212" s="70"/>
      <c r="T212" s="70"/>
      <c r="U212" s="70"/>
      <c r="V212" s="70"/>
      <c r="W212" s="70"/>
    </row>
    <row r="213" customFormat="false" ht="12.75" hidden="false" customHeight="false" outlineLevel="0" collapsed="false">
      <c r="A213" s="32" t="n">
        <v>36728</v>
      </c>
      <c r="B213" s="111"/>
      <c r="C213" s="112"/>
      <c r="D213" s="28"/>
      <c r="E213" s="28"/>
      <c r="F213" s="28"/>
      <c r="G213" s="113"/>
      <c r="H213" s="113"/>
      <c r="I213" s="113"/>
      <c r="J213" s="113"/>
      <c r="K213" s="28"/>
      <c r="L213" s="28"/>
      <c r="M213" s="70"/>
      <c r="N213" s="70"/>
      <c r="O213" s="70"/>
      <c r="P213" s="70"/>
      <c r="Q213" s="70"/>
      <c r="R213" s="70"/>
      <c r="S213" s="70"/>
      <c r="T213" s="70"/>
      <c r="U213" s="70"/>
      <c r="V213" s="70"/>
      <c r="W213" s="70"/>
    </row>
    <row r="214" customFormat="false" ht="12.75" hidden="false" customHeight="false" outlineLevel="0" collapsed="false">
      <c r="A214" s="32" t="n">
        <v>36729</v>
      </c>
      <c r="B214" s="111"/>
      <c r="C214" s="112"/>
      <c r="D214" s="28"/>
      <c r="E214" s="28"/>
      <c r="F214" s="28"/>
      <c r="G214" s="113"/>
      <c r="H214" s="113"/>
      <c r="I214" s="113"/>
      <c r="J214" s="113"/>
      <c r="K214" s="28"/>
      <c r="L214" s="28"/>
      <c r="M214" s="70"/>
      <c r="N214" s="70"/>
      <c r="O214" s="70"/>
      <c r="P214" s="70"/>
      <c r="Q214" s="70"/>
      <c r="R214" s="70"/>
      <c r="S214" s="70"/>
      <c r="T214" s="70"/>
      <c r="U214" s="70"/>
      <c r="V214" s="70"/>
      <c r="W214" s="70"/>
    </row>
    <row r="215" customFormat="false" ht="12.75" hidden="false" customHeight="false" outlineLevel="0" collapsed="false">
      <c r="A215" s="32" t="n">
        <v>36730</v>
      </c>
      <c r="B215" s="111"/>
      <c r="C215" s="112"/>
      <c r="D215" s="28"/>
      <c r="E215" s="28"/>
      <c r="F215" s="28"/>
      <c r="G215" s="113"/>
      <c r="H215" s="113"/>
      <c r="I215" s="113"/>
      <c r="J215" s="113"/>
      <c r="K215" s="28"/>
      <c r="L215" s="28"/>
      <c r="M215" s="70"/>
      <c r="N215" s="70"/>
      <c r="O215" s="70"/>
      <c r="P215" s="70"/>
      <c r="Q215" s="70"/>
      <c r="R215" s="70"/>
      <c r="S215" s="70"/>
      <c r="T215" s="70"/>
      <c r="U215" s="70"/>
      <c r="V215" s="70"/>
      <c r="W215" s="70"/>
    </row>
    <row r="216" customFormat="false" ht="12.75" hidden="false" customHeight="false" outlineLevel="0" collapsed="false">
      <c r="A216" s="32" t="n">
        <v>36731</v>
      </c>
      <c r="B216" s="111"/>
      <c r="C216" s="112"/>
      <c r="D216" s="28"/>
      <c r="E216" s="28"/>
      <c r="F216" s="28"/>
      <c r="G216" s="113"/>
      <c r="H216" s="113"/>
      <c r="I216" s="113"/>
      <c r="J216" s="113"/>
      <c r="K216" s="28"/>
      <c r="L216" s="28"/>
      <c r="M216" s="70"/>
      <c r="N216" s="70"/>
      <c r="O216" s="70"/>
      <c r="P216" s="70"/>
      <c r="Q216" s="70"/>
      <c r="R216" s="70"/>
      <c r="S216" s="70"/>
      <c r="T216" s="70"/>
      <c r="U216" s="70"/>
      <c r="V216" s="70"/>
      <c r="W216" s="70"/>
    </row>
    <row r="217" customFormat="false" ht="12.75" hidden="false" customHeight="false" outlineLevel="0" collapsed="false">
      <c r="A217" s="32" t="n">
        <v>36732</v>
      </c>
      <c r="B217" s="111"/>
      <c r="C217" s="112"/>
      <c r="D217" s="28"/>
      <c r="E217" s="28"/>
      <c r="F217" s="28"/>
      <c r="G217" s="113"/>
      <c r="H217" s="113"/>
      <c r="I217" s="113"/>
      <c r="J217" s="113"/>
      <c r="K217" s="28"/>
      <c r="L217" s="28"/>
      <c r="M217" s="70"/>
      <c r="N217" s="70"/>
      <c r="O217" s="70"/>
      <c r="P217" s="70"/>
      <c r="Q217" s="70"/>
      <c r="R217" s="70"/>
      <c r="S217" s="70"/>
      <c r="T217" s="70"/>
      <c r="U217" s="70"/>
      <c r="V217" s="70"/>
      <c r="W217" s="70"/>
    </row>
    <row r="218" customFormat="false" ht="12.75" hidden="false" customHeight="false" outlineLevel="0" collapsed="false">
      <c r="A218" s="32" t="n">
        <v>36733</v>
      </c>
      <c r="B218" s="111"/>
      <c r="C218" s="112"/>
      <c r="D218" s="28"/>
      <c r="E218" s="28"/>
      <c r="F218" s="28"/>
      <c r="G218" s="113"/>
      <c r="H218" s="113"/>
      <c r="I218" s="113"/>
      <c r="J218" s="113"/>
      <c r="K218" s="28"/>
      <c r="L218" s="28"/>
      <c r="M218" s="70"/>
      <c r="N218" s="70"/>
      <c r="O218" s="70"/>
      <c r="P218" s="70"/>
      <c r="Q218" s="70"/>
      <c r="R218" s="70"/>
      <c r="S218" s="70"/>
      <c r="T218" s="70"/>
      <c r="U218" s="70"/>
      <c r="V218" s="70"/>
      <c r="W218" s="70"/>
    </row>
    <row r="219" customFormat="false" ht="12.75" hidden="false" customHeight="false" outlineLevel="0" collapsed="false">
      <c r="A219" s="32" t="n">
        <v>36734</v>
      </c>
      <c r="B219" s="111"/>
      <c r="C219" s="112"/>
      <c r="D219" s="28"/>
      <c r="E219" s="28"/>
      <c r="F219" s="28"/>
      <c r="G219" s="113"/>
      <c r="H219" s="113"/>
      <c r="I219" s="113"/>
      <c r="J219" s="113"/>
      <c r="K219" s="28"/>
      <c r="L219" s="28"/>
      <c r="M219" s="70"/>
      <c r="N219" s="70"/>
      <c r="O219" s="70"/>
      <c r="P219" s="70"/>
      <c r="Q219" s="70"/>
      <c r="R219" s="70"/>
      <c r="S219" s="70"/>
      <c r="T219" s="70"/>
      <c r="U219" s="70"/>
      <c r="V219" s="70"/>
      <c r="W219" s="70"/>
    </row>
    <row r="220" customFormat="false" ht="12.75" hidden="false" customHeight="false" outlineLevel="0" collapsed="false">
      <c r="A220" s="32" t="n">
        <v>36735</v>
      </c>
      <c r="B220" s="111"/>
      <c r="C220" s="112"/>
      <c r="D220" s="28"/>
      <c r="E220" s="28"/>
      <c r="F220" s="28"/>
      <c r="G220" s="113"/>
      <c r="H220" s="113"/>
      <c r="I220" s="113"/>
      <c r="J220" s="113"/>
      <c r="K220" s="28"/>
      <c r="L220" s="28"/>
      <c r="M220" s="70"/>
      <c r="N220" s="70"/>
      <c r="O220" s="70"/>
      <c r="P220" s="70"/>
      <c r="Q220" s="70"/>
      <c r="R220" s="70"/>
      <c r="S220" s="70"/>
      <c r="T220" s="70"/>
      <c r="U220" s="70"/>
      <c r="V220" s="70"/>
      <c r="W220" s="70"/>
    </row>
    <row r="221" customFormat="false" ht="12.75" hidden="false" customHeight="false" outlineLevel="0" collapsed="false">
      <c r="A221" s="32" t="n">
        <v>36736</v>
      </c>
      <c r="B221" s="111"/>
      <c r="C221" s="112"/>
      <c r="D221" s="28"/>
      <c r="E221" s="28"/>
      <c r="F221" s="28"/>
      <c r="G221" s="113"/>
      <c r="H221" s="113"/>
      <c r="I221" s="113"/>
      <c r="J221" s="113"/>
      <c r="K221" s="28"/>
      <c r="L221" s="28"/>
      <c r="M221" s="70"/>
      <c r="N221" s="70"/>
      <c r="O221" s="70"/>
      <c r="P221" s="70"/>
      <c r="Q221" s="70"/>
      <c r="R221" s="70"/>
      <c r="S221" s="70"/>
      <c r="T221" s="70"/>
      <c r="U221" s="70"/>
      <c r="V221" s="70"/>
      <c r="W221" s="70"/>
    </row>
    <row r="222" customFormat="false" ht="12.75" hidden="false" customHeight="false" outlineLevel="0" collapsed="false">
      <c r="A222" s="32" t="n">
        <v>36737</v>
      </c>
      <c r="B222" s="111"/>
      <c r="C222" s="112"/>
      <c r="D222" s="28"/>
      <c r="E222" s="28"/>
      <c r="F222" s="28"/>
      <c r="G222" s="113"/>
      <c r="H222" s="113"/>
      <c r="I222" s="113"/>
      <c r="J222" s="113"/>
      <c r="K222" s="28"/>
      <c r="L222" s="28"/>
      <c r="M222" s="70"/>
      <c r="N222" s="70"/>
      <c r="O222" s="70"/>
      <c r="P222" s="70"/>
      <c r="Q222" s="70"/>
      <c r="R222" s="70"/>
      <c r="S222" s="70"/>
      <c r="T222" s="70"/>
      <c r="U222" s="70"/>
      <c r="V222" s="70"/>
      <c r="W222" s="70"/>
    </row>
    <row r="223" customFormat="false" ht="12.75" hidden="false" customHeight="false" outlineLevel="0" collapsed="false">
      <c r="A223" s="32" t="n">
        <v>36738</v>
      </c>
      <c r="B223" s="111"/>
      <c r="C223" s="112"/>
      <c r="D223" s="28"/>
      <c r="E223" s="28"/>
      <c r="F223" s="28"/>
      <c r="G223" s="113"/>
      <c r="H223" s="113"/>
      <c r="I223" s="113"/>
      <c r="J223" s="113"/>
      <c r="K223" s="28"/>
      <c r="L223" s="28"/>
      <c r="M223" s="70"/>
      <c r="N223" s="70"/>
      <c r="O223" s="70"/>
      <c r="P223" s="70"/>
      <c r="Q223" s="70"/>
      <c r="R223" s="70"/>
      <c r="S223" s="70"/>
      <c r="T223" s="70"/>
      <c r="U223" s="70"/>
      <c r="V223" s="70"/>
      <c r="W223" s="70"/>
    </row>
    <row r="224" customFormat="false" ht="12.75" hidden="false" customHeight="false" outlineLevel="0" collapsed="false">
      <c r="A224" s="32" t="n">
        <v>36739</v>
      </c>
      <c r="B224" s="111"/>
      <c r="C224" s="112"/>
      <c r="D224" s="28"/>
      <c r="E224" s="28"/>
      <c r="F224" s="28"/>
      <c r="G224" s="113"/>
      <c r="H224" s="113"/>
      <c r="I224" s="113"/>
      <c r="J224" s="113"/>
      <c r="K224" s="28"/>
      <c r="L224" s="28"/>
      <c r="M224" s="70"/>
      <c r="N224" s="70"/>
      <c r="O224" s="70"/>
      <c r="P224" s="70"/>
      <c r="Q224" s="70"/>
      <c r="R224" s="70"/>
      <c r="S224" s="70"/>
      <c r="T224" s="70"/>
      <c r="U224" s="70"/>
      <c r="V224" s="70"/>
      <c r="W224" s="70"/>
    </row>
    <row r="225" customFormat="false" ht="12.75" hidden="false" customHeight="false" outlineLevel="0" collapsed="false">
      <c r="A225" s="32" t="n">
        <v>36740</v>
      </c>
      <c r="B225" s="111"/>
      <c r="C225" s="112"/>
      <c r="D225" s="28"/>
      <c r="E225" s="28"/>
      <c r="F225" s="28"/>
      <c r="G225" s="113"/>
      <c r="H225" s="113"/>
      <c r="I225" s="113"/>
      <c r="J225" s="113"/>
      <c r="K225" s="28"/>
      <c r="L225" s="28"/>
      <c r="M225" s="70"/>
      <c r="N225" s="70"/>
      <c r="O225" s="70"/>
      <c r="P225" s="70"/>
      <c r="Q225" s="70"/>
      <c r="R225" s="70"/>
      <c r="S225" s="70"/>
      <c r="T225" s="70"/>
      <c r="U225" s="70"/>
      <c r="V225" s="70"/>
      <c r="W225" s="70"/>
    </row>
    <row r="226" customFormat="false" ht="12.75" hidden="false" customHeight="false" outlineLevel="0" collapsed="false">
      <c r="A226" s="32" t="n">
        <v>36741</v>
      </c>
      <c r="B226" s="111"/>
      <c r="C226" s="112"/>
      <c r="D226" s="28"/>
      <c r="E226" s="28"/>
      <c r="F226" s="28"/>
      <c r="G226" s="113"/>
      <c r="H226" s="113"/>
      <c r="I226" s="113"/>
      <c r="J226" s="113"/>
      <c r="K226" s="28"/>
      <c r="L226" s="28"/>
      <c r="M226" s="70"/>
      <c r="N226" s="70"/>
      <c r="O226" s="70"/>
      <c r="P226" s="70"/>
      <c r="Q226" s="70"/>
      <c r="R226" s="70"/>
      <c r="S226" s="70"/>
      <c r="T226" s="70"/>
      <c r="U226" s="70"/>
      <c r="V226" s="70"/>
      <c r="W226" s="70"/>
    </row>
    <row r="227" customFormat="false" ht="12.75" hidden="false" customHeight="false" outlineLevel="0" collapsed="false">
      <c r="A227" s="32" t="n">
        <v>36742</v>
      </c>
      <c r="B227" s="111"/>
      <c r="C227" s="112"/>
      <c r="D227" s="28"/>
      <c r="E227" s="28"/>
      <c r="F227" s="28"/>
      <c r="G227" s="113"/>
      <c r="H227" s="113"/>
      <c r="I227" s="113"/>
      <c r="J227" s="113"/>
      <c r="K227" s="28"/>
      <c r="L227" s="28"/>
      <c r="M227" s="70"/>
      <c r="N227" s="70"/>
      <c r="O227" s="70"/>
      <c r="P227" s="70"/>
      <c r="Q227" s="70"/>
      <c r="R227" s="70"/>
      <c r="S227" s="70"/>
      <c r="T227" s="70"/>
      <c r="U227" s="70"/>
      <c r="V227" s="70"/>
      <c r="W227" s="70"/>
    </row>
    <row r="228" customFormat="false" ht="12.75" hidden="false" customHeight="false" outlineLevel="0" collapsed="false">
      <c r="A228" s="32" t="n">
        <v>36743</v>
      </c>
      <c r="B228" s="111"/>
      <c r="C228" s="112"/>
      <c r="D228" s="28"/>
      <c r="E228" s="28"/>
      <c r="F228" s="28"/>
      <c r="G228" s="113"/>
      <c r="H228" s="113"/>
      <c r="I228" s="113"/>
      <c r="J228" s="113"/>
      <c r="K228" s="28"/>
      <c r="L228" s="28"/>
      <c r="M228" s="70"/>
      <c r="N228" s="70"/>
      <c r="O228" s="70"/>
      <c r="P228" s="70"/>
      <c r="Q228" s="70"/>
      <c r="R228" s="70"/>
      <c r="S228" s="70"/>
      <c r="T228" s="70"/>
      <c r="U228" s="70"/>
      <c r="V228" s="70"/>
      <c r="W228" s="70"/>
    </row>
    <row r="229" customFormat="false" ht="12.75" hidden="false" customHeight="false" outlineLevel="0" collapsed="false">
      <c r="A229" s="32" t="n">
        <v>36744</v>
      </c>
      <c r="B229" s="111"/>
      <c r="C229" s="112"/>
      <c r="D229" s="28"/>
      <c r="E229" s="28"/>
      <c r="F229" s="28"/>
      <c r="G229" s="113"/>
      <c r="H229" s="113"/>
      <c r="I229" s="113"/>
      <c r="J229" s="113"/>
      <c r="K229" s="28"/>
      <c r="L229" s="28"/>
      <c r="M229" s="70"/>
      <c r="N229" s="70"/>
      <c r="O229" s="70"/>
      <c r="P229" s="70"/>
      <c r="Q229" s="70"/>
      <c r="R229" s="70"/>
      <c r="S229" s="70"/>
      <c r="T229" s="70"/>
      <c r="U229" s="70"/>
      <c r="V229" s="70"/>
      <c r="W229" s="70"/>
    </row>
    <row r="230" customFormat="false" ht="12.75" hidden="false" customHeight="false" outlineLevel="0" collapsed="false">
      <c r="A230" s="32" t="n">
        <v>36745</v>
      </c>
      <c r="B230" s="111"/>
      <c r="C230" s="112"/>
      <c r="D230" s="28"/>
      <c r="E230" s="28"/>
      <c r="F230" s="28"/>
      <c r="G230" s="113"/>
      <c r="H230" s="113"/>
      <c r="I230" s="113"/>
      <c r="J230" s="113"/>
      <c r="K230" s="28"/>
      <c r="L230" s="28"/>
      <c r="M230" s="70"/>
      <c r="N230" s="70"/>
      <c r="O230" s="70"/>
      <c r="P230" s="70"/>
      <c r="Q230" s="70"/>
      <c r="R230" s="70"/>
      <c r="S230" s="70"/>
      <c r="T230" s="70"/>
      <c r="U230" s="70"/>
      <c r="V230" s="70"/>
      <c r="W230" s="70"/>
    </row>
    <row r="231" customFormat="false" ht="12.75" hidden="false" customHeight="false" outlineLevel="0" collapsed="false">
      <c r="A231" s="32" t="n">
        <v>36746</v>
      </c>
      <c r="B231" s="111"/>
      <c r="C231" s="112"/>
      <c r="D231" s="28"/>
      <c r="E231" s="28"/>
      <c r="F231" s="28"/>
      <c r="G231" s="113"/>
      <c r="H231" s="113"/>
      <c r="I231" s="113"/>
      <c r="J231" s="113"/>
      <c r="K231" s="28"/>
      <c r="L231" s="28"/>
      <c r="M231" s="70"/>
      <c r="N231" s="70"/>
      <c r="O231" s="70"/>
      <c r="P231" s="70"/>
      <c r="Q231" s="70"/>
      <c r="R231" s="70"/>
      <c r="S231" s="70"/>
      <c r="T231" s="70"/>
      <c r="U231" s="70"/>
      <c r="V231" s="70"/>
      <c r="W231" s="70"/>
    </row>
    <row r="232" customFormat="false" ht="12.75" hidden="false" customHeight="false" outlineLevel="0" collapsed="false">
      <c r="A232" s="32" t="n">
        <v>36747</v>
      </c>
      <c r="B232" s="111"/>
      <c r="C232" s="112"/>
      <c r="D232" s="28"/>
      <c r="E232" s="28"/>
      <c r="F232" s="28"/>
      <c r="G232" s="113"/>
      <c r="H232" s="113"/>
      <c r="I232" s="113"/>
      <c r="J232" s="113"/>
      <c r="K232" s="28"/>
      <c r="L232" s="28"/>
      <c r="M232" s="70"/>
      <c r="N232" s="70"/>
      <c r="O232" s="70"/>
      <c r="P232" s="70"/>
      <c r="Q232" s="70"/>
      <c r="R232" s="70"/>
      <c r="S232" s="70"/>
      <c r="T232" s="70"/>
      <c r="U232" s="70"/>
      <c r="V232" s="70"/>
      <c r="W232" s="70"/>
    </row>
    <row r="233" customFormat="false" ht="12.75" hidden="false" customHeight="false" outlineLevel="0" collapsed="false">
      <c r="A233" s="32" t="n">
        <v>36748</v>
      </c>
      <c r="B233" s="111"/>
      <c r="C233" s="112"/>
      <c r="D233" s="28"/>
      <c r="E233" s="28"/>
      <c r="F233" s="28"/>
      <c r="G233" s="113"/>
      <c r="H233" s="113"/>
      <c r="I233" s="113"/>
      <c r="J233" s="113"/>
      <c r="K233" s="28"/>
      <c r="L233" s="28"/>
      <c r="M233" s="70"/>
      <c r="N233" s="70"/>
      <c r="O233" s="70"/>
      <c r="P233" s="70"/>
      <c r="Q233" s="70"/>
      <c r="R233" s="70"/>
      <c r="S233" s="70"/>
      <c r="T233" s="70"/>
      <c r="U233" s="70"/>
      <c r="V233" s="70"/>
      <c r="W233" s="70"/>
    </row>
    <row r="234" customFormat="false" ht="12.75" hidden="false" customHeight="false" outlineLevel="0" collapsed="false">
      <c r="A234" s="32" t="n">
        <v>36749</v>
      </c>
      <c r="B234" s="111"/>
      <c r="C234" s="112"/>
      <c r="D234" s="28"/>
      <c r="E234" s="28"/>
      <c r="F234" s="28"/>
      <c r="G234" s="113"/>
      <c r="H234" s="113"/>
      <c r="I234" s="113"/>
      <c r="J234" s="113"/>
      <c r="K234" s="28"/>
      <c r="L234" s="28"/>
      <c r="M234" s="70"/>
      <c r="N234" s="70"/>
      <c r="O234" s="70"/>
      <c r="P234" s="70"/>
      <c r="Q234" s="70"/>
      <c r="R234" s="70"/>
      <c r="S234" s="70"/>
      <c r="T234" s="70"/>
      <c r="U234" s="70"/>
      <c r="V234" s="70"/>
      <c r="W234" s="70"/>
    </row>
    <row r="235" customFormat="false" ht="12.75" hidden="false" customHeight="false" outlineLevel="0" collapsed="false">
      <c r="A235" s="32" t="n">
        <v>36750</v>
      </c>
      <c r="B235" s="111"/>
      <c r="C235" s="112"/>
      <c r="D235" s="28"/>
      <c r="E235" s="28"/>
      <c r="F235" s="28"/>
      <c r="G235" s="113"/>
      <c r="H235" s="113"/>
      <c r="I235" s="113"/>
      <c r="J235" s="113"/>
      <c r="K235" s="28"/>
      <c r="L235" s="28"/>
      <c r="M235" s="70"/>
      <c r="N235" s="70"/>
      <c r="O235" s="70"/>
      <c r="P235" s="70"/>
      <c r="Q235" s="70"/>
      <c r="R235" s="70"/>
      <c r="S235" s="70"/>
      <c r="T235" s="70"/>
      <c r="U235" s="70"/>
      <c r="V235" s="70"/>
      <c r="W235" s="70"/>
    </row>
    <row r="236" customFormat="false" ht="12.75" hidden="false" customHeight="false" outlineLevel="0" collapsed="false">
      <c r="A236" s="32" t="n">
        <v>36751</v>
      </c>
      <c r="B236" s="111"/>
      <c r="C236" s="112"/>
      <c r="D236" s="28"/>
      <c r="E236" s="28"/>
      <c r="F236" s="28"/>
      <c r="G236" s="113"/>
      <c r="H236" s="113"/>
      <c r="I236" s="113"/>
      <c r="J236" s="113"/>
      <c r="K236" s="28"/>
      <c r="L236" s="28"/>
      <c r="M236" s="70"/>
      <c r="N236" s="70"/>
      <c r="O236" s="70"/>
      <c r="P236" s="70"/>
      <c r="Q236" s="70"/>
      <c r="R236" s="70"/>
      <c r="S236" s="70"/>
      <c r="T236" s="70"/>
      <c r="U236" s="70"/>
      <c r="V236" s="70"/>
      <c r="W236" s="70"/>
    </row>
    <row r="237" customFormat="false" ht="12.75" hidden="false" customHeight="false" outlineLevel="0" collapsed="false">
      <c r="A237" s="32" t="n">
        <v>36752</v>
      </c>
      <c r="B237" s="111"/>
      <c r="C237" s="112"/>
      <c r="D237" s="28"/>
      <c r="E237" s="28"/>
      <c r="F237" s="28"/>
      <c r="G237" s="113"/>
      <c r="H237" s="113"/>
      <c r="I237" s="113"/>
      <c r="J237" s="113"/>
      <c r="K237" s="28"/>
      <c r="L237" s="28"/>
      <c r="M237" s="70"/>
      <c r="N237" s="70"/>
      <c r="O237" s="70"/>
      <c r="P237" s="70"/>
      <c r="Q237" s="70"/>
      <c r="R237" s="70"/>
      <c r="S237" s="70"/>
      <c r="T237" s="70"/>
      <c r="U237" s="70"/>
      <c r="V237" s="70"/>
      <c r="W237" s="70"/>
    </row>
    <row r="238" customFormat="false" ht="12.75" hidden="false" customHeight="false" outlineLevel="0" collapsed="false">
      <c r="A238" s="32" t="n">
        <v>36753</v>
      </c>
      <c r="B238" s="111"/>
      <c r="C238" s="112"/>
      <c r="D238" s="28"/>
      <c r="E238" s="28"/>
      <c r="F238" s="28"/>
      <c r="G238" s="113"/>
      <c r="H238" s="113"/>
      <c r="I238" s="113"/>
      <c r="J238" s="113"/>
      <c r="K238" s="28"/>
      <c r="L238" s="28"/>
      <c r="M238" s="70"/>
      <c r="N238" s="70"/>
      <c r="O238" s="70"/>
      <c r="P238" s="70"/>
      <c r="Q238" s="70"/>
      <c r="R238" s="70"/>
      <c r="S238" s="70"/>
      <c r="T238" s="70"/>
      <c r="U238" s="70"/>
      <c r="V238" s="70"/>
      <c r="W238" s="70"/>
    </row>
    <row r="239" customFormat="false" ht="12.75" hidden="false" customHeight="false" outlineLevel="0" collapsed="false">
      <c r="A239" s="32" t="n">
        <v>36754</v>
      </c>
      <c r="B239" s="111"/>
      <c r="C239" s="112"/>
      <c r="D239" s="28"/>
      <c r="E239" s="28"/>
      <c r="F239" s="28"/>
      <c r="G239" s="113"/>
      <c r="H239" s="113"/>
      <c r="I239" s="113"/>
      <c r="J239" s="113"/>
      <c r="K239" s="28"/>
      <c r="L239" s="28"/>
      <c r="M239" s="70"/>
      <c r="N239" s="70"/>
      <c r="O239" s="70"/>
      <c r="P239" s="70"/>
      <c r="Q239" s="70"/>
      <c r="R239" s="70"/>
      <c r="S239" s="70"/>
      <c r="T239" s="70"/>
      <c r="U239" s="70"/>
      <c r="V239" s="70"/>
      <c r="W239" s="70"/>
    </row>
    <row r="240" customFormat="false" ht="12.75" hidden="false" customHeight="false" outlineLevel="0" collapsed="false">
      <c r="A240" s="32" t="n">
        <v>36755</v>
      </c>
      <c r="B240" s="111"/>
      <c r="C240" s="112"/>
      <c r="D240" s="28"/>
      <c r="E240" s="28"/>
      <c r="F240" s="28"/>
      <c r="G240" s="113"/>
      <c r="H240" s="113"/>
      <c r="I240" s="113"/>
      <c r="J240" s="113"/>
      <c r="K240" s="28"/>
      <c r="L240" s="28"/>
      <c r="M240" s="70"/>
      <c r="N240" s="70"/>
      <c r="O240" s="70"/>
      <c r="P240" s="70"/>
      <c r="Q240" s="70"/>
      <c r="R240" s="70"/>
      <c r="S240" s="70"/>
      <c r="T240" s="70"/>
      <c r="U240" s="70"/>
      <c r="V240" s="70"/>
      <c r="W240" s="70"/>
    </row>
    <row r="241" customFormat="false" ht="12.75" hidden="false" customHeight="false" outlineLevel="0" collapsed="false">
      <c r="A241" s="32" t="n">
        <v>36756</v>
      </c>
      <c r="B241" s="111"/>
      <c r="C241" s="112"/>
      <c r="D241" s="28"/>
      <c r="E241" s="28"/>
      <c r="F241" s="28"/>
      <c r="G241" s="113"/>
      <c r="H241" s="113"/>
      <c r="I241" s="113"/>
      <c r="J241" s="113"/>
      <c r="K241" s="28"/>
      <c r="L241" s="28"/>
      <c r="M241" s="70"/>
      <c r="N241" s="70"/>
      <c r="O241" s="70"/>
      <c r="P241" s="70"/>
      <c r="Q241" s="70"/>
      <c r="R241" s="70"/>
      <c r="S241" s="70"/>
      <c r="T241" s="70"/>
      <c r="U241" s="70"/>
      <c r="V241" s="70"/>
      <c r="W241" s="70"/>
    </row>
    <row r="242" customFormat="false" ht="12.75" hidden="false" customHeight="false" outlineLevel="0" collapsed="false">
      <c r="A242" s="32" t="n">
        <v>36757</v>
      </c>
      <c r="B242" s="111"/>
      <c r="C242" s="112"/>
      <c r="D242" s="28"/>
      <c r="E242" s="28"/>
      <c r="F242" s="28"/>
      <c r="G242" s="113"/>
      <c r="H242" s="113"/>
      <c r="I242" s="113"/>
      <c r="J242" s="113"/>
      <c r="K242" s="28"/>
      <c r="L242" s="28"/>
      <c r="M242" s="70"/>
      <c r="N242" s="70"/>
      <c r="O242" s="70"/>
      <c r="P242" s="70"/>
      <c r="Q242" s="70"/>
      <c r="R242" s="70"/>
      <c r="S242" s="70"/>
      <c r="T242" s="70"/>
      <c r="U242" s="70"/>
      <c r="V242" s="70"/>
      <c r="W242" s="70"/>
    </row>
    <row r="243" customFormat="false" ht="12.75" hidden="false" customHeight="false" outlineLevel="0" collapsed="false">
      <c r="A243" s="32" t="n">
        <v>36758</v>
      </c>
      <c r="B243" s="111"/>
      <c r="C243" s="112"/>
      <c r="D243" s="28"/>
      <c r="E243" s="28"/>
      <c r="F243" s="28"/>
      <c r="G243" s="113"/>
      <c r="H243" s="113"/>
      <c r="I243" s="113"/>
      <c r="J243" s="113"/>
      <c r="K243" s="28"/>
      <c r="L243" s="28"/>
      <c r="M243" s="70"/>
      <c r="N243" s="70"/>
      <c r="O243" s="70"/>
      <c r="P243" s="70"/>
      <c r="Q243" s="70"/>
      <c r="R243" s="70"/>
      <c r="S243" s="70"/>
      <c r="T243" s="70"/>
      <c r="U243" s="70"/>
      <c r="V243" s="70"/>
      <c r="W243" s="70"/>
    </row>
    <row r="244" customFormat="false" ht="12.75" hidden="false" customHeight="false" outlineLevel="0" collapsed="false">
      <c r="A244" s="32" t="n">
        <v>36759</v>
      </c>
      <c r="B244" s="111"/>
      <c r="C244" s="112"/>
      <c r="D244" s="28"/>
      <c r="E244" s="28"/>
      <c r="F244" s="28"/>
      <c r="G244" s="113"/>
      <c r="H244" s="113"/>
      <c r="I244" s="113"/>
      <c r="J244" s="113"/>
      <c r="K244" s="28"/>
      <c r="L244" s="28"/>
      <c r="M244" s="70"/>
      <c r="N244" s="70"/>
      <c r="O244" s="70"/>
      <c r="P244" s="70"/>
      <c r="Q244" s="70"/>
      <c r="R244" s="70"/>
      <c r="S244" s="70"/>
      <c r="T244" s="70"/>
      <c r="U244" s="70"/>
      <c r="V244" s="70"/>
      <c r="W244" s="70"/>
    </row>
    <row r="245" customFormat="false" ht="12.75" hidden="false" customHeight="false" outlineLevel="0" collapsed="false">
      <c r="A245" s="32" t="n">
        <v>36760</v>
      </c>
      <c r="B245" s="111"/>
      <c r="C245" s="112"/>
      <c r="D245" s="28"/>
      <c r="E245" s="28"/>
      <c r="F245" s="28"/>
      <c r="G245" s="113"/>
      <c r="H245" s="113"/>
      <c r="I245" s="113"/>
      <c r="J245" s="113"/>
      <c r="K245" s="28"/>
      <c r="L245" s="28"/>
      <c r="M245" s="70"/>
      <c r="N245" s="70"/>
      <c r="O245" s="70"/>
      <c r="P245" s="70"/>
      <c r="Q245" s="70"/>
      <c r="R245" s="70"/>
      <c r="S245" s="70"/>
      <c r="T245" s="70"/>
      <c r="U245" s="70"/>
      <c r="V245" s="70"/>
      <c r="W245" s="70"/>
    </row>
    <row r="246" customFormat="false" ht="12.75" hidden="false" customHeight="false" outlineLevel="0" collapsed="false">
      <c r="A246" s="32" t="n">
        <v>36761</v>
      </c>
      <c r="B246" s="111"/>
      <c r="C246" s="112"/>
      <c r="D246" s="28"/>
      <c r="E246" s="28"/>
      <c r="F246" s="28"/>
      <c r="G246" s="113"/>
      <c r="H246" s="113"/>
      <c r="I246" s="113"/>
      <c r="J246" s="113"/>
      <c r="K246" s="28"/>
      <c r="L246" s="28"/>
      <c r="M246" s="70"/>
      <c r="N246" s="70"/>
      <c r="O246" s="70"/>
      <c r="P246" s="70"/>
      <c r="Q246" s="70"/>
      <c r="R246" s="70"/>
      <c r="S246" s="70"/>
      <c r="T246" s="70"/>
      <c r="U246" s="70"/>
      <c r="V246" s="70"/>
      <c r="W246" s="70"/>
    </row>
    <row r="247" customFormat="false" ht="12.75" hidden="false" customHeight="false" outlineLevel="0" collapsed="false">
      <c r="A247" s="32" t="n">
        <v>36762</v>
      </c>
      <c r="B247" s="111"/>
      <c r="C247" s="112"/>
      <c r="D247" s="28"/>
      <c r="E247" s="28"/>
      <c r="F247" s="28"/>
      <c r="G247" s="113"/>
      <c r="H247" s="113"/>
      <c r="I247" s="113"/>
      <c r="J247" s="113"/>
      <c r="K247" s="28"/>
      <c r="L247" s="28"/>
      <c r="M247" s="70"/>
      <c r="N247" s="70"/>
      <c r="O247" s="70"/>
      <c r="P247" s="70"/>
      <c r="Q247" s="70"/>
      <c r="R247" s="70"/>
      <c r="S247" s="70"/>
      <c r="T247" s="70"/>
      <c r="U247" s="70"/>
      <c r="V247" s="70"/>
      <c r="W247" s="70"/>
    </row>
    <row r="248" customFormat="false" ht="12.75" hidden="false" customHeight="false" outlineLevel="0" collapsed="false">
      <c r="A248" s="32" t="n">
        <v>36763</v>
      </c>
      <c r="B248" s="111"/>
      <c r="C248" s="112"/>
      <c r="D248" s="28"/>
      <c r="E248" s="28"/>
      <c r="F248" s="28"/>
      <c r="G248" s="113"/>
      <c r="H248" s="113"/>
      <c r="I248" s="113"/>
      <c r="J248" s="113"/>
      <c r="K248" s="28"/>
      <c r="L248" s="28"/>
      <c r="M248" s="70"/>
      <c r="N248" s="70"/>
      <c r="O248" s="70"/>
      <c r="P248" s="70"/>
      <c r="Q248" s="70"/>
      <c r="R248" s="70"/>
      <c r="S248" s="70"/>
      <c r="T248" s="70"/>
      <c r="U248" s="70"/>
      <c r="V248" s="70"/>
      <c r="W248" s="70"/>
    </row>
    <row r="249" customFormat="false" ht="12.75" hidden="false" customHeight="false" outlineLevel="0" collapsed="false">
      <c r="A249" s="32" t="n">
        <v>36764</v>
      </c>
      <c r="B249" s="111"/>
      <c r="C249" s="112"/>
      <c r="D249" s="28"/>
      <c r="E249" s="28"/>
      <c r="F249" s="28"/>
      <c r="G249" s="113"/>
      <c r="H249" s="113"/>
      <c r="I249" s="113"/>
      <c r="J249" s="113"/>
      <c r="K249" s="28"/>
      <c r="L249" s="28"/>
      <c r="M249" s="70"/>
      <c r="N249" s="70"/>
      <c r="O249" s="70"/>
      <c r="P249" s="70"/>
      <c r="Q249" s="70"/>
      <c r="R249" s="70"/>
      <c r="S249" s="70"/>
      <c r="T249" s="70"/>
      <c r="U249" s="70"/>
      <c r="V249" s="70"/>
      <c r="W249" s="70"/>
    </row>
    <row r="250" customFormat="false" ht="12.75" hidden="false" customHeight="false" outlineLevel="0" collapsed="false">
      <c r="A250" s="32" t="n">
        <v>36765</v>
      </c>
      <c r="B250" s="111"/>
      <c r="C250" s="112"/>
      <c r="D250" s="28"/>
      <c r="E250" s="28"/>
      <c r="F250" s="28"/>
      <c r="G250" s="113"/>
      <c r="H250" s="113"/>
      <c r="I250" s="113"/>
      <c r="J250" s="113"/>
      <c r="K250" s="28"/>
      <c r="L250" s="28"/>
      <c r="M250" s="70"/>
      <c r="N250" s="70"/>
      <c r="O250" s="70"/>
      <c r="P250" s="70"/>
      <c r="Q250" s="70"/>
      <c r="R250" s="70"/>
      <c r="S250" s="70"/>
      <c r="T250" s="70"/>
      <c r="U250" s="70"/>
      <c r="V250" s="70"/>
      <c r="W250" s="70"/>
    </row>
    <row r="251" customFormat="false" ht="12.75" hidden="false" customHeight="false" outlineLevel="0" collapsed="false">
      <c r="A251" s="32" t="n">
        <v>36766</v>
      </c>
      <c r="B251" s="111"/>
      <c r="C251" s="112"/>
      <c r="D251" s="28"/>
      <c r="E251" s="28"/>
      <c r="F251" s="28"/>
      <c r="G251" s="113"/>
      <c r="H251" s="113"/>
      <c r="I251" s="113"/>
      <c r="J251" s="113"/>
      <c r="K251" s="28"/>
      <c r="L251" s="28"/>
      <c r="M251" s="70"/>
      <c r="N251" s="70"/>
      <c r="O251" s="70"/>
      <c r="P251" s="70"/>
      <c r="Q251" s="70"/>
      <c r="R251" s="70"/>
      <c r="S251" s="70"/>
      <c r="T251" s="70"/>
      <c r="U251" s="70"/>
      <c r="V251" s="70"/>
      <c r="W251" s="70"/>
    </row>
    <row r="252" customFormat="false" ht="12.75" hidden="false" customHeight="false" outlineLevel="0" collapsed="false">
      <c r="A252" s="32" t="n">
        <v>36767</v>
      </c>
      <c r="B252" s="111"/>
      <c r="C252" s="112"/>
      <c r="D252" s="28"/>
      <c r="E252" s="28"/>
      <c r="F252" s="28"/>
      <c r="G252" s="113"/>
      <c r="H252" s="113"/>
      <c r="I252" s="113"/>
      <c r="J252" s="113"/>
      <c r="K252" s="28"/>
      <c r="L252" s="28"/>
      <c r="M252" s="70"/>
      <c r="N252" s="70"/>
      <c r="O252" s="70"/>
      <c r="P252" s="70"/>
      <c r="Q252" s="70"/>
      <c r="R252" s="70"/>
      <c r="S252" s="70"/>
      <c r="T252" s="70"/>
      <c r="U252" s="70"/>
      <c r="V252" s="70"/>
      <c r="W252" s="70"/>
    </row>
    <row r="253" customFormat="false" ht="12.75" hidden="false" customHeight="false" outlineLevel="0" collapsed="false">
      <c r="A253" s="32" t="n">
        <v>36768</v>
      </c>
      <c r="B253" s="111"/>
      <c r="C253" s="112"/>
      <c r="D253" s="28"/>
      <c r="E253" s="28"/>
      <c r="F253" s="28"/>
      <c r="G253" s="113"/>
      <c r="H253" s="113"/>
      <c r="I253" s="113"/>
      <c r="J253" s="113"/>
      <c r="K253" s="28"/>
      <c r="L253" s="28"/>
      <c r="M253" s="70"/>
      <c r="N253" s="70"/>
      <c r="O253" s="70"/>
      <c r="P253" s="70"/>
      <c r="Q253" s="70"/>
      <c r="R253" s="70"/>
      <c r="S253" s="70"/>
      <c r="T253" s="70"/>
      <c r="U253" s="70"/>
      <c r="V253" s="70"/>
      <c r="W253" s="70"/>
    </row>
    <row r="254" customFormat="false" ht="12.75" hidden="false" customHeight="false" outlineLevel="0" collapsed="false">
      <c r="A254" s="32" t="n">
        <v>36769</v>
      </c>
      <c r="B254" s="111"/>
      <c r="C254" s="112"/>
      <c r="D254" s="28"/>
      <c r="E254" s="28"/>
      <c r="F254" s="28"/>
      <c r="G254" s="113"/>
      <c r="H254" s="113"/>
      <c r="I254" s="113"/>
      <c r="J254" s="113"/>
      <c r="K254" s="28"/>
      <c r="L254" s="28"/>
      <c r="M254" s="70"/>
      <c r="N254" s="70"/>
      <c r="O254" s="70"/>
      <c r="P254" s="70"/>
      <c r="Q254" s="70"/>
      <c r="R254" s="70"/>
      <c r="S254" s="70"/>
      <c r="T254" s="70"/>
      <c r="U254" s="70"/>
      <c r="V254" s="70"/>
      <c r="W254" s="70"/>
    </row>
    <row r="255" customFormat="false" ht="12.75" hidden="false" customHeight="false" outlineLevel="0" collapsed="false">
      <c r="A255" s="32" t="n">
        <v>36770</v>
      </c>
      <c r="B255" s="111"/>
      <c r="C255" s="112"/>
      <c r="D255" s="28"/>
      <c r="E255" s="28"/>
      <c r="F255" s="28"/>
      <c r="G255" s="113"/>
      <c r="H255" s="113"/>
      <c r="I255" s="113"/>
      <c r="J255" s="113"/>
      <c r="K255" s="28"/>
      <c r="L255" s="28"/>
      <c r="M255" s="70"/>
      <c r="N255" s="70"/>
      <c r="O255" s="70"/>
      <c r="P255" s="70"/>
      <c r="Q255" s="70"/>
      <c r="R255" s="70"/>
      <c r="S255" s="70"/>
      <c r="T255" s="70"/>
      <c r="U255" s="70"/>
      <c r="V255" s="70"/>
      <c r="W255" s="70"/>
    </row>
    <row r="256" customFormat="false" ht="12.75" hidden="false" customHeight="false" outlineLevel="0" collapsed="false">
      <c r="A256" s="32" t="n">
        <v>36771</v>
      </c>
      <c r="B256" s="111"/>
      <c r="C256" s="112"/>
      <c r="D256" s="28"/>
      <c r="E256" s="28"/>
      <c r="F256" s="28"/>
      <c r="G256" s="113"/>
      <c r="H256" s="113"/>
      <c r="I256" s="113"/>
      <c r="J256" s="113"/>
      <c r="K256" s="28"/>
      <c r="L256" s="28"/>
      <c r="M256" s="70"/>
      <c r="N256" s="70"/>
      <c r="O256" s="70"/>
      <c r="P256" s="70"/>
      <c r="Q256" s="70"/>
      <c r="R256" s="70"/>
      <c r="S256" s="70"/>
      <c r="T256" s="70"/>
      <c r="U256" s="70"/>
      <c r="V256" s="70"/>
      <c r="W256" s="70"/>
    </row>
    <row r="257" customFormat="false" ht="12.75" hidden="false" customHeight="false" outlineLevel="0" collapsed="false">
      <c r="A257" s="32" t="n">
        <v>36772</v>
      </c>
      <c r="B257" s="111"/>
      <c r="C257" s="112"/>
      <c r="D257" s="28"/>
      <c r="E257" s="28"/>
      <c r="F257" s="28"/>
      <c r="G257" s="113"/>
      <c r="H257" s="113"/>
      <c r="I257" s="113"/>
      <c r="J257" s="113"/>
      <c r="K257" s="28"/>
      <c r="L257" s="28"/>
      <c r="M257" s="70"/>
      <c r="N257" s="70"/>
      <c r="O257" s="70"/>
      <c r="P257" s="70"/>
      <c r="Q257" s="70"/>
      <c r="R257" s="70"/>
      <c r="S257" s="70"/>
      <c r="T257" s="70"/>
      <c r="U257" s="70"/>
      <c r="V257" s="70"/>
      <c r="W257" s="70"/>
    </row>
    <row r="258" customFormat="false" ht="12.75" hidden="false" customHeight="false" outlineLevel="0" collapsed="false">
      <c r="A258" s="32" t="n">
        <v>36773</v>
      </c>
      <c r="B258" s="111"/>
      <c r="C258" s="112"/>
      <c r="D258" s="28"/>
      <c r="E258" s="28"/>
      <c r="F258" s="28"/>
      <c r="G258" s="113"/>
      <c r="H258" s="113"/>
      <c r="I258" s="113"/>
      <c r="J258" s="113"/>
      <c r="K258" s="28"/>
      <c r="L258" s="28"/>
      <c r="M258" s="70"/>
      <c r="N258" s="70"/>
      <c r="O258" s="70"/>
      <c r="P258" s="70"/>
      <c r="Q258" s="70"/>
      <c r="R258" s="70"/>
      <c r="S258" s="70"/>
      <c r="T258" s="70"/>
      <c r="U258" s="70"/>
      <c r="V258" s="70"/>
      <c r="W258" s="70"/>
    </row>
    <row r="259" customFormat="false" ht="12.75" hidden="false" customHeight="false" outlineLevel="0" collapsed="false">
      <c r="A259" s="32" t="n">
        <v>36774</v>
      </c>
      <c r="B259" s="111"/>
      <c r="C259" s="112"/>
      <c r="D259" s="28"/>
      <c r="E259" s="28"/>
      <c r="F259" s="28"/>
      <c r="G259" s="113"/>
      <c r="H259" s="113"/>
      <c r="I259" s="113"/>
      <c r="J259" s="113"/>
      <c r="K259" s="28"/>
      <c r="L259" s="28"/>
      <c r="M259" s="70"/>
      <c r="N259" s="70"/>
      <c r="O259" s="70"/>
      <c r="P259" s="70"/>
      <c r="Q259" s="70"/>
      <c r="R259" s="70"/>
      <c r="S259" s="70"/>
      <c r="T259" s="70"/>
      <c r="U259" s="70"/>
      <c r="V259" s="70"/>
      <c r="W259" s="70"/>
    </row>
    <row r="260" customFormat="false" ht="12.75" hidden="false" customHeight="false" outlineLevel="0" collapsed="false">
      <c r="A260" s="32" t="n">
        <v>36775</v>
      </c>
      <c r="B260" s="111"/>
      <c r="C260" s="112"/>
      <c r="D260" s="28"/>
      <c r="E260" s="28"/>
      <c r="F260" s="28"/>
      <c r="G260" s="113"/>
      <c r="H260" s="113"/>
      <c r="I260" s="113"/>
      <c r="J260" s="113"/>
      <c r="K260" s="28"/>
      <c r="L260" s="28"/>
      <c r="M260" s="70"/>
      <c r="N260" s="70"/>
      <c r="O260" s="70"/>
      <c r="P260" s="70"/>
      <c r="Q260" s="70"/>
      <c r="R260" s="70"/>
      <c r="S260" s="70"/>
      <c r="T260" s="70"/>
      <c r="U260" s="70"/>
      <c r="V260" s="70"/>
      <c r="W260" s="70"/>
    </row>
    <row r="261" customFormat="false" ht="12.75" hidden="false" customHeight="false" outlineLevel="0" collapsed="false">
      <c r="A261" s="32" t="n">
        <v>36776</v>
      </c>
      <c r="B261" s="111"/>
      <c r="C261" s="112"/>
      <c r="D261" s="28"/>
      <c r="E261" s="28"/>
      <c r="F261" s="28"/>
      <c r="G261" s="113"/>
      <c r="H261" s="113"/>
      <c r="I261" s="113"/>
      <c r="J261" s="113"/>
      <c r="K261" s="28"/>
      <c r="L261" s="28"/>
      <c r="M261" s="70"/>
      <c r="N261" s="70"/>
      <c r="O261" s="70"/>
      <c r="P261" s="70"/>
      <c r="Q261" s="70"/>
      <c r="R261" s="70"/>
      <c r="S261" s="70"/>
      <c r="T261" s="70"/>
      <c r="U261" s="70"/>
      <c r="V261" s="70"/>
      <c r="W261" s="70"/>
    </row>
    <row r="262" customFormat="false" ht="12.75" hidden="false" customHeight="false" outlineLevel="0" collapsed="false">
      <c r="A262" s="32" t="n">
        <v>36777</v>
      </c>
      <c r="B262" s="111"/>
      <c r="C262" s="112"/>
      <c r="D262" s="28"/>
      <c r="E262" s="28"/>
      <c r="F262" s="28"/>
      <c r="G262" s="113"/>
      <c r="H262" s="113"/>
      <c r="I262" s="113"/>
      <c r="J262" s="113"/>
      <c r="K262" s="28"/>
      <c r="L262" s="28"/>
      <c r="M262" s="70"/>
      <c r="N262" s="70"/>
      <c r="O262" s="70"/>
      <c r="P262" s="70"/>
      <c r="Q262" s="70"/>
      <c r="R262" s="70"/>
      <c r="S262" s="70"/>
      <c r="T262" s="70"/>
      <c r="U262" s="70"/>
      <c r="V262" s="70"/>
      <c r="W262" s="70"/>
    </row>
    <row r="263" customFormat="false" ht="12.75" hidden="false" customHeight="false" outlineLevel="0" collapsed="false">
      <c r="A263" s="32" t="n">
        <v>36778</v>
      </c>
      <c r="B263" s="111"/>
      <c r="C263" s="112"/>
      <c r="D263" s="28"/>
      <c r="E263" s="28"/>
      <c r="F263" s="28"/>
      <c r="G263" s="113"/>
      <c r="H263" s="113"/>
      <c r="I263" s="113"/>
      <c r="J263" s="113"/>
      <c r="K263" s="28"/>
      <c r="L263" s="28"/>
      <c r="M263" s="70"/>
      <c r="N263" s="70"/>
      <c r="O263" s="70"/>
      <c r="P263" s="70"/>
      <c r="Q263" s="70"/>
      <c r="R263" s="70"/>
      <c r="S263" s="70"/>
      <c r="T263" s="70"/>
      <c r="U263" s="70"/>
      <c r="V263" s="70"/>
      <c r="W263" s="70"/>
    </row>
    <row r="264" customFormat="false" ht="12.75" hidden="false" customHeight="false" outlineLevel="0" collapsed="false">
      <c r="A264" s="32" t="n">
        <v>36779</v>
      </c>
      <c r="B264" s="111"/>
      <c r="C264" s="112"/>
      <c r="D264" s="28"/>
      <c r="E264" s="28"/>
      <c r="F264" s="28"/>
      <c r="G264" s="113"/>
      <c r="H264" s="113"/>
      <c r="I264" s="113"/>
      <c r="J264" s="113"/>
      <c r="K264" s="28"/>
      <c r="L264" s="28"/>
      <c r="M264" s="70"/>
      <c r="N264" s="70"/>
      <c r="O264" s="70"/>
      <c r="P264" s="70"/>
      <c r="Q264" s="70"/>
      <c r="R264" s="70"/>
      <c r="S264" s="70"/>
      <c r="T264" s="70"/>
      <c r="U264" s="70"/>
      <c r="V264" s="70"/>
      <c r="W264" s="70"/>
    </row>
    <row r="265" customFormat="false" ht="12.75" hidden="false" customHeight="false" outlineLevel="0" collapsed="false">
      <c r="A265" s="32" t="n">
        <v>36780</v>
      </c>
      <c r="B265" s="111"/>
      <c r="C265" s="112"/>
      <c r="D265" s="28"/>
      <c r="E265" s="28"/>
      <c r="F265" s="28"/>
      <c r="G265" s="113"/>
      <c r="H265" s="113"/>
      <c r="I265" s="113"/>
      <c r="J265" s="113"/>
      <c r="K265" s="28"/>
      <c r="L265" s="28"/>
      <c r="M265" s="70"/>
      <c r="N265" s="70"/>
      <c r="O265" s="70"/>
      <c r="P265" s="70"/>
      <c r="Q265" s="70"/>
      <c r="R265" s="70"/>
      <c r="S265" s="70"/>
      <c r="T265" s="70"/>
      <c r="U265" s="70"/>
      <c r="V265" s="70"/>
      <c r="W265" s="70"/>
    </row>
    <row r="266" customFormat="false" ht="12.75" hidden="false" customHeight="false" outlineLevel="0" collapsed="false">
      <c r="A266" s="32" t="n">
        <v>36781</v>
      </c>
      <c r="B266" s="111"/>
      <c r="C266" s="112"/>
      <c r="D266" s="28"/>
      <c r="E266" s="28"/>
      <c r="F266" s="28"/>
      <c r="G266" s="113"/>
      <c r="H266" s="113"/>
      <c r="I266" s="113"/>
      <c r="J266" s="113"/>
      <c r="K266" s="28"/>
      <c r="L266" s="28"/>
      <c r="M266" s="70"/>
      <c r="N266" s="70"/>
      <c r="O266" s="70"/>
      <c r="P266" s="70"/>
      <c r="Q266" s="70"/>
      <c r="R266" s="70"/>
      <c r="S266" s="70"/>
      <c r="T266" s="70"/>
      <c r="U266" s="70"/>
      <c r="V266" s="70"/>
      <c r="W266" s="70"/>
    </row>
    <row r="267" customFormat="false" ht="12.75" hidden="false" customHeight="false" outlineLevel="0" collapsed="false">
      <c r="A267" s="32" t="n">
        <v>36782</v>
      </c>
      <c r="B267" s="111"/>
      <c r="C267" s="112"/>
      <c r="D267" s="28"/>
      <c r="E267" s="28"/>
      <c r="F267" s="28"/>
      <c r="G267" s="113"/>
      <c r="H267" s="113"/>
      <c r="I267" s="113"/>
      <c r="J267" s="113"/>
      <c r="K267" s="28"/>
      <c r="L267" s="28"/>
      <c r="M267" s="70"/>
      <c r="N267" s="70"/>
      <c r="O267" s="70"/>
      <c r="P267" s="70"/>
      <c r="Q267" s="70"/>
      <c r="R267" s="70"/>
      <c r="S267" s="70"/>
      <c r="T267" s="70"/>
      <c r="U267" s="70"/>
      <c r="V267" s="70"/>
      <c r="W267" s="70"/>
    </row>
    <row r="268" customFormat="false" ht="12.75" hidden="false" customHeight="false" outlineLevel="0" collapsed="false">
      <c r="A268" s="32" t="n">
        <v>36783</v>
      </c>
      <c r="B268" s="111"/>
      <c r="C268" s="112"/>
      <c r="D268" s="28"/>
      <c r="E268" s="28"/>
      <c r="F268" s="28"/>
      <c r="G268" s="113"/>
      <c r="H268" s="113"/>
      <c r="I268" s="113"/>
      <c r="J268" s="113"/>
      <c r="K268" s="28"/>
      <c r="L268" s="28"/>
      <c r="M268" s="70"/>
      <c r="N268" s="70"/>
      <c r="O268" s="70"/>
      <c r="P268" s="70"/>
      <c r="Q268" s="70"/>
      <c r="R268" s="70"/>
      <c r="S268" s="70"/>
      <c r="T268" s="70"/>
      <c r="U268" s="70"/>
      <c r="V268" s="70"/>
      <c r="W268" s="70"/>
    </row>
    <row r="269" customFormat="false" ht="12.75" hidden="false" customHeight="false" outlineLevel="0" collapsed="false">
      <c r="A269" s="32" t="n">
        <v>36784</v>
      </c>
      <c r="B269" s="111"/>
      <c r="C269" s="112"/>
      <c r="D269" s="28"/>
      <c r="E269" s="28"/>
      <c r="F269" s="28"/>
      <c r="G269" s="113"/>
      <c r="H269" s="113"/>
      <c r="I269" s="113"/>
      <c r="J269" s="113"/>
      <c r="K269" s="28"/>
      <c r="L269" s="28"/>
      <c r="M269" s="70"/>
      <c r="N269" s="70"/>
      <c r="O269" s="70"/>
      <c r="P269" s="70"/>
      <c r="Q269" s="70"/>
      <c r="R269" s="70"/>
      <c r="S269" s="70"/>
      <c r="T269" s="70"/>
      <c r="U269" s="70"/>
      <c r="V269" s="70"/>
      <c r="W269" s="70"/>
    </row>
    <row r="270" customFormat="false" ht="12.75" hidden="false" customHeight="false" outlineLevel="0" collapsed="false">
      <c r="A270" s="32" t="n">
        <v>36785</v>
      </c>
      <c r="B270" s="111"/>
      <c r="C270" s="112"/>
      <c r="D270" s="28"/>
      <c r="E270" s="28"/>
      <c r="F270" s="28"/>
      <c r="G270" s="113"/>
      <c r="H270" s="113"/>
      <c r="I270" s="113"/>
      <c r="J270" s="113"/>
      <c r="K270" s="28"/>
      <c r="L270" s="28"/>
      <c r="M270" s="70"/>
      <c r="N270" s="70"/>
      <c r="O270" s="70"/>
      <c r="P270" s="70"/>
      <c r="Q270" s="70"/>
      <c r="R270" s="70"/>
      <c r="S270" s="70"/>
      <c r="T270" s="70"/>
      <c r="U270" s="70"/>
      <c r="V270" s="70"/>
      <c r="W270" s="70"/>
    </row>
    <row r="271" customFormat="false" ht="12.75" hidden="false" customHeight="false" outlineLevel="0" collapsed="false">
      <c r="A271" s="32" t="n">
        <v>36786</v>
      </c>
      <c r="B271" s="111"/>
      <c r="C271" s="112"/>
      <c r="D271" s="28"/>
      <c r="E271" s="28"/>
      <c r="F271" s="28"/>
      <c r="G271" s="113"/>
      <c r="H271" s="113"/>
      <c r="I271" s="113"/>
      <c r="J271" s="113"/>
      <c r="K271" s="28"/>
      <c r="L271" s="28"/>
      <c r="M271" s="70"/>
      <c r="N271" s="70"/>
      <c r="O271" s="70"/>
      <c r="P271" s="70"/>
      <c r="Q271" s="70"/>
      <c r="R271" s="70"/>
      <c r="S271" s="70"/>
      <c r="T271" s="70"/>
      <c r="U271" s="70"/>
      <c r="V271" s="70"/>
      <c r="W271" s="70"/>
    </row>
    <row r="272" customFormat="false" ht="12.75" hidden="false" customHeight="false" outlineLevel="0" collapsed="false">
      <c r="A272" s="32" t="n">
        <v>36787</v>
      </c>
      <c r="B272" s="111"/>
      <c r="C272" s="112"/>
      <c r="D272" s="28"/>
      <c r="E272" s="28"/>
      <c r="F272" s="28"/>
      <c r="G272" s="113"/>
      <c r="H272" s="113"/>
      <c r="I272" s="113"/>
      <c r="J272" s="113"/>
      <c r="K272" s="28"/>
      <c r="L272" s="28"/>
      <c r="M272" s="70"/>
      <c r="N272" s="70"/>
      <c r="O272" s="70"/>
      <c r="P272" s="70"/>
      <c r="Q272" s="70"/>
      <c r="R272" s="70"/>
      <c r="S272" s="70"/>
      <c r="T272" s="70"/>
      <c r="U272" s="70"/>
      <c r="V272" s="70"/>
      <c r="W272" s="70"/>
    </row>
    <row r="273" customFormat="false" ht="12.75" hidden="false" customHeight="false" outlineLevel="0" collapsed="false">
      <c r="A273" s="32" t="n">
        <v>36788</v>
      </c>
      <c r="B273" s="111"/>
      <c r="C273" s="112"/>
      <c r="D273" s="28"/>
      <c r="E273" s="28"/>
      <c r="F273" s="28"/>
      <c r="G273" s="113"/>
      <c r="H273" s="113"/>
      <c r="I273" s="113"/>
      <c r="J273" s="113"/>
      <c r="K273" s="28"/>
      <c r="L273" s="28"/>
      <c r="M273" s="70"/>
      <c r="N273" s="70"/>
      <c r="O273" s="70"/>
      <c r="P273" s="70"/>
      <c r="Q273" s="70"/>
      <c r="R273" s="70"/>
      <c r="S273" s="70"/>
      <c r="T273" s="70"/>
      <c r="U273" s="70"/>
      <c r="V273" s="70"/>
      <c r="W273" s="70"/>
    </row>
    <row r="274" customFormat="false" ht="12.75" hidden="false" customHeight="false" outlineLevel="0" collapsed="false">
      <c r="A274" s="32" t="n">
        <v>36789</v>
      </c>
      <c r="B274" s="111"/>
      <c r="C274" s="112"/>
      <c r="D274" s="28"/>
      <c r="E274" s="28"/>
      <c r="F274" s="28"/>
      <c r="G274" s="113"/>
      <c r="H274" s="113"/>
      <c r="I274" s="113"/>
      <c r="J274" s="113"/>
      <c r="K274" s="28"/>
      <c r="L274" s="28"/>
      <c r="M274" s="70"/>
      <c r="N274" s="70"/>
      <c r="O274" s="70"/>
      <c r="P274" s="70"/>
      <c r="Q274" s="70"/>
      <c r="R274" s="70"/>
      <c r="S274" s="70"/>
      <c r="T274" s="70"/>
      <c r="U274" s="70"/>
      <c r="V274" s="70"/>
      <c r="W274" s="70"/>
    </row>
    <row r="275" customFormat="false" ht="12.75" hidden="false" customHeight="false" outlineLevel="0" collapsed="false">
      <c r="A275" s="32" t="n">
        <v>36790</v>
      </c>
      <c r="B275" s="111"/>
      <c r="C275" s="112"/>
      <c r="D275" s="28"/>
      <c r="E275" s="28"/>
      <c r="F275" s="28"/>
      <c r="G275" s="113"/>
      <c r="H275" s="113"/>
      <c r="I275" s="113"/>
      <c r="J275" s="113"/>
      <c r="K275" s="28"/>
      <c r="L275" s="28"/>
      <c r="M275" s="70"/>
      <c r="N275" s="70"/>
      <c r="O275" s="70"/>
      <c r="P275" s="70"/>
      <c r="Q275" s="70"/>
      <c r="R275" s="70"/>
      <c r="S275" s="70"/>
      <c r="T275" s="70"/>
      <c r="U275" s="70"/>
      <c r="V275" s="70"/>
      <c r="W275" s="70"/>
    </row>
    <row r="276" customFormat="false" ht="12.75" hidden="false" customHeight="false" outlineLevel="0" collapsed="false">
      <c r="A276" s="32" t="n">
        <v>36791</v>
      </c>
      <c r="B276" s="111"/>
      <c r="C276" s="112"/>
      <c r="D276" s="28"/>
      <c r="E276" s="28"/>
      <c r="F276" s="28"/>
      <c r="G276" s="113"/>
      <c r="H276" s="113"/>
      <c r="I276" s="113"/>
      <c r="J276" s="113"/>
      <c r="K276" s="28"/>
      <c r="L276" s="28"/>
      <c r="M276" s="70"/>
      <c r="N276" s="70"/>
      <c r="O276" s="70"/>
      <c r="P276" s="70"/>
      <c r="Q276" s="70"/>
      <c r="R276" s="70"/>
      <c r="S276" s="70"/>
      <c r="T276" s="70"/>
      <c r="U276" s="70"/>
      <c r="V276" s="70"/>
      <c r="W276" s="70"/>
    </row>
    <row r="277" customFormat="false" ht="12.75" hidden="false" customHeight="false" outlineLevel="0" collapsed="false">
      <c r="A277" s="32" t="n">
        <v>36792</v>
      </c>
      <c r="B277" s="111"/>
      <c r="C277" s="112"/>
      <c r="D277" s="28"/>
      <c r="E277" s="28"/>
      <c r="F277" s="28"/>
      <c r="G277" s="113"/>
      <c r="H277" s="113"/>
      <c r="I277" s="113"/>
      <c r="J277" s="113"/>
      <c r="K277" s="28"/>
      <c r="L277" s="28"/>
      <c r="M277" s="70"/>
      <c r="N277" s="70"/>
      <c r="O277" s="70"/>
      <c r="P277" s="70"/>
      <c r="Q277" s="70"/>
      <c r="R277" s="70"/>
      <c r="S277" s="70"/>
      <c r="T277" s="70"/>
      <c r="U277" s="70"/>
      <c r="V277" s="70"/>
      <c r="W277" s="70"/>
    </row>
    <row r="278" customFormat="false" ht="12.75" hidden="false" customHeight="false" outlineLevel="0" collapsed="false">
      <c r="A278" s="32" t="n">
        <v>36793</v>
      </c>
      <c r="B278" s="111"/>
      <c r="C278" s="112"/>
      <c r="D278" s="28"/>
      <c r="E278" s="28"/>
      <c r="F278" s="28"/>
      <c r="G278" s="113"/>
      <c r="H278" s="113"/>
      <c r="I278" s="113"/>
      <c r="J278" s="113"/>
      <c r="K278" s="28"/>
      <c r="L278" s="28"/>
      <c r="M278" s="70"/>
      <c r="N278" s="70"/>
      <c r="O278" s="70"/>
      <c r="P278" s="70"/>
      <c r="Q278" s="70"/>
      <c r="R278" s="70"/>
      <c r="S278" s="70"/>
      <c r="T278" s="70"/>
      <c r="U278" s="70"/>
      <c r="V278" s="70"/>
      <c r="W278" s="70"/>
    </row>
    <row r="279" customFormat="false" ht="12.75" hidden="false" customHeight="false" outlineLevel="0" collapsed="false">
      <c r="A279" s="32" t="n">
        <v>36794</v>
      </c>
      <c r="B279" s="111"/>
      <c r="C279" s="112"/>
      <c r="D279" s="28"/>
      <c r="E279" s="28"/>
      <c r="F279" s="28"/>
      <c r="G279" s="113"/>
      <c r="H279" s="113"/>
      <c r="I279" s="113"/>
      <c r="J279" s="113"/>
      <c r="K279" s="28"/>
      <c r="L279" s="28"/>
      <c r="M279" s="70"/>
      <c r="N279" s="70"/>
      <c r="O279" s="70"/>
      <c r="P279" s="70"/>
      <c r="Q279" s="70"/>
      <c r="R279" s="70"/>
      <c r="S279" s="70"/>
      <c r="T279" s="70"/>
      <c r="U279" s="70"/>
      <c r="V279" s="70"/>
      <c r="W279" s="70"/>
    </row>
    <row r="280" customFormat="false" ht="12.75" hidden="false" customHeight="false" outlineLevel="0" collapsed="false">
      <c r="A280" s="32" t="n">
        <v>36795</v>
      </c>
      <c r="B280" s="111"/>
      <c r="C280" s="112"/>
      <c r="D280" s="28"/>
      <c r="E280" s="28"/>
      <c r="F280" s="28"/>
      <c r="G280" s="113"/>
      <c r="H280" s="113"/>
      <c r="I280" s="113"/>
      <c r="J280" s="113"/>
      <c r="K280" s="28"/>
      <c r="L280" s="28"/>
      <c r="M280" s="70"/>
      <c r="N280" s="70"/>
      <c r="O280" s="70"/>
      <c r="P280" s="70"/>
      <c r="Q280" s="70"/>
      <c r="R280" s="70"/>
      <c r="S280" s="70"/>
      <c r="T280" s="70"/>
      <c r="U280" s="70"/>
      <c r="V280" s="70"/>
      <c r="W280" s="70"/>
    </row>
    <row r="281" customFormat="false" ht="12.75" hidden="false" customHeight="false" outlineLevel="0" collapsed="false">
      <c r="A281" s="32" t="n">
        <v>36796</v>
      </c>
      <c r="B281" s="111"/>
      <c r="C281" s="112"/>
      <c r="D281" s="28"/>
      <c r="E281" s="28"/>
      <c r="F281" s="28"/>
      <c r="G281" s="113"/>
      <c r="H281" s="113"/>
      <c r="I281" s="113"/>
      <c r="J281" s="113"/>
      <c r="K281" s="28"/>
      <c r="L281" s="28"/>
      <c r="M281" s="70"/>
      <c r="N281" s="70"/>
      <c r="O281" s="70"/>
      <c r="P281" s="70"/>
      <c r="Q281" s="70"/>
      <c r="R281" s="70"/>
      <c r="S281" s="70"/>
      <c r="T281" s="70"/>
      <c r="U281" s="70"/>
      <c r="V281" s="70"/>
      <c r="W281" s="70"/>
    </row>
    <row r="282" customFormat="false" ht="12.75" hidden="false" customHeight="false" outlineLevel="0" collapsed="false">
      <c r="A282" s="32" t="n">
        <v>36797</v>
      </c>
      <c r="B282" s="111"/>
      <c r="C282" s="112"/>
      <c r="D282" s="28"/>
      <c r="E282" s="28"/>
      <c r="F282" s="28"/>
      <c r="G282" s="113"/>
      <c r="H282" s="113"/>
      <c r="I282" s="113"/>
      <c r="J282" s="113"/>
      <c r="K282" s="28"/>
      <c r="L282" s="28"/>
      <c r="M282" s="70"/>
      <c r="N282" s="70"/>
      <c r="O282" s="70"/>
      <c r="P282" s="70"/>
      <c r="Q282" s="70"/>
      <c r="R282" s="70"/>
      <c r="S282" s="70"/>
      <c r="T282" s="70"/>
      <c r="U282" s="70"/>
      <c r="V282" s="70"/>
      <c r="W282" s="70"/>
    </row>
    <row r="283" customFormat="false" ht="12.75" hidden="false" customHeight="false" outlineLevel="0" collapsed="false">
      <c r="A283" s="32" t="n">
        <v>36798</v>
      </c>
      <c r="B283" s="111"/>
      <c r="C283" s="112"/>
      <c r="D283" s="28"/>
      <c r="E283" s="28"/>
      <c r="F283" s="28"/>
      <c r="G283" s="113"/>
      <c r="H283" s="113"/>
      <c r="I283" s="113"/>
      <c r="J283" s="113"/>
      <c r="K283" s="28"/>
      <c r="L283" s="28"/>
      <c r="M283" s="70"/>
      <c r="N283" s="70"/>
      <c r="O283" s="70"/>
      <c r="P283" s="70"/>
      <c r="Q283" s="70"/>
      <c r="R283" s="70"/>
      <c r="S283" s="70"/>
      <c r="T283" s="70"/>
      <c r="U283" s="70"/>
      <c r="V283" s="70"/>
      <c r="W283" s="70"/>
    </row>
    <row r="284" customFormat="false" ht="12.75" hidden="false" customHeight="false" outlineLevel="0" collapsed="false">
      <c r="A284" s="32" t="n">
        <v>36799</v>
      </c>
      <c r="B284" s="111"/>
      <c r="C284" s="112"/>
      <c r="D284" s="28"/>
      <c r="E284" s="28"/>
      <c r="F284" s="28"/>
      <c r="G284" s="113"/>
      <c r="H284" s="113"/>
      <c r="I284" s="113"/>
      <c r="J284" s="113"/>
      <c r="K284" s="28"/>
      <c r="L284" s="28"/>
      <c r="M284" s="70"/>
      <c r="N284" s="70"/>
      <c r="O284" s="70"/>
      <c r="P284" s="70"/>
      <c r="Q284" s="70"/>
      <c r="R284" s="70"/>
      <c r="S284" s="70"/>
      <c r="T284" s="70"/>
      <c r="U284" s="70"/>
      <c r="V284" s="70"/>
      <c r="W284" s="70"/>
    </row>
    <row r="285" customFormat="false" ht="12.75" hidden="false" customHeight="false" outlineLevel="0" collapsed="false">
      <c r="A285" s="32" t="n">
        <v>36800</v>
      </c>
      <c r="B285" s="111"/>
      <c r="C285" s="112"/>
      <c r="D285" s="28"/>
      <c r="E285" s="28"/>
      <c r="F285" s="28"/>
      <c r="G285" s="113"/>
      <c r="H285" s="113"/>
      <c r="I285" s="113"/>
      <c r="J285" s="113"/>
      <c r="K285" s="28"/>
      <c r="L285" s="28"/>
      <c r="M285" s="70"/>
      <c r="N285" s="70"/>
      <c r="O285" s="70"/>
      <c r="P285" s="70"/>
      <c r="Q285" s="70"/>
      <c r="R285" s="70"/>
      <c r="S285" s="70"/>
      <c r="T285" s="70"/>
      <c r="U285" s="70"/>
      <c r="V285" s="70"/>
      <c r="W285" s="70"/>
    </row>
    <row r="286" customFormat="false" ht="12.75" hidden="false" customHeight="false" outlineLevel="0" collapsed="false">
      <c r="A286" s="32" t="n">
        <v>36801</v>
      </c>
      <c r="B286" s="111"/>
      <c r="C286" s="112"/>
      <c r="D286" s="28"/>
      <c r="E286" s="28"/>
      <c r="F286" s="28"/>
      <c r="G286" s="113"/>
      <c r="H286" s="113"/>
      <c r="I286" s="113"/>
      <c r="J286" s="113"/>
      <c r="K286" s="28"/>
      <c r="L286" s="28"/>
      <c r="M286" s="70"/>
      <c r="N286" s="70"/>
      <c r="O286" s="70"/>
      <c r="P286" s="70"/>
      <c r="Q286" s="70"/>
      <c r="R286" s="70"/>
      <c r="S286" s="70"/>
      <c r="T286" s="70"/>
      <c r="U286" s="70"/>
      <c r="V286" s="70"/>
      <c r="W286" s="70"/>
    </row>
    <row r="287" customFormat="false" ht="12.75" hidden="false" customHeight="false" outlineLevel="0" collapsed="false">
      <c r="A287" s="32" t="n">
        <v>36802</v>
      </c>
      <c r="B287" s="111"/>
      <c r="C287" s="112"/>
      <c r="D287" s="28"/>
      <c r="E287" s="28"/>
      <c r="F287" s="28"/>
      <c r="G287" s="113"/>
      <c r="H287" s="113"/>
      <c r="I287" s="113"/>
      <c r="J287" s="113"/>
      <c r="K287" s="28"/>
      <c r="L287" s="28"/>
      <c r="M287" s="70"/>
      <c r="N287" s="70"/>
      <c r="O287" s="70"/>
      <c r="P287" s="70"/>
      <c r="Q287" s="70"/>
      <c r="R287" s="70"/>
      <c r="S287" s="70"/>
      <c r="T287" s="70"/>
      <c r="U287" s="70"/>
      <c r="V287" s="70"/>
      <c r="W287" s="70"/>
    </row>
    <row r="288" customFormat="false" ht="12.75" hidden="false" customHeight="false" outlineLevel="0" collapsed="false">
      <c r="A288" s="32" t="n">
        <v>36803</v>
      </c>
      <c r="B288" s="111"/>
      <c r="C288" s="112"/>
      <c r="D288" s="28"/>
      <c r="E288" s="28"/>
      <c r="F288" s="28"/>
      <c r="G288" s="113"/>
      <c r="H288" s="113"/>
      <c r="I288" s="113"/>
      <c r="J288" s="113"/>
      <c r="K288" s="28"/>
      <c r="L288" s="28"/>
      <c r="M288" s="70"/>
      <c r="N288" s="70"/>
      <c r="O288" s="70"/>
      <c r="P288" s="70"/>
      <c r="Q288" s="70"/>
      <c r="R288" s="70"/>
      <c r="S288" s="70"/>
      <c r="T288" s="70"/>
      <c r="U288" s="70"/>
      <c r="V288" s="70"/>
      <c r="W288" s="70"/>
    </row>
    <row r="289" customFormat="false" ht="12.75" hidden="false" customHeight="false" outlineLevel="0" collapsed="false">
      <c r="A289" s="32" t="n">
        <v>36804</v>
      </c>
      <c r="B289" s="111"/>
      <c r="C289" s="112"/>
      <c r="D289" s="28"/>
      <c r="E289" s="28"/>
      <c r="F289" s="28"/>
      <c r="G289" s="113"/>
      <c r="H289" s="113"/>
      <c r="I289" s="113"/>
      <c r="J289" s="113"/>
      <c r="K289" s="28"/>
      <c r="L289" s="28"/>
      <c r="M289" s="70"/>
      <c r="N289" s="70"/>
      <c r="O289" s="70"/>
      <c r="P289" s="70"/>
      <c r="Q289" s="70"/>
      <c r="R289" s="70"/>
      <c r="S289" s="70"/>
      <c r="T289" s="70"/>
      <c r="U289" s="70"/>
      <c r="V289" s="70"/>
      <c r="W289" s="70"/>
    </row>
    <row r="290" customFormat="false" ht="12.75" hidden="false" customHeight="false" outlineLevel="0" collapsed="false">
      <c r="A290" s="32" t="n">
        <v>36805</v>
      </c>
      <c r="B290" s="111"/>
      <c r="C290" s="112"/>
      <c r="D290" s="28"/>
      <c r="E290" s="28"/>
      <c r="F290" s="28"/>
      <c r="G290" s="113"/>
      <c r="H290" s="113"/>
      <c r="I290" s="113"/>
      <c r="J290" s="113"/>
      <c r="K290" s="28"/>
      <c r="L290" s="28"/>
      <c r="M290" s="70"/>
      <c r="N290" s="70"/>
      <c r="O290" s="70"/>
      <c r="P290" s="70"/>
      <c r="Q290" s="70"/>
      <c r="R290" s="70"/>
      <c r="S290" s="70"/>
      <c r="T290" s="70"/>
      <c r="U290" s="70"/>
      <c r="V290" s="70"/>
      <c r="W290" s="70"/>
    </row>
    <row r="291" customFormat="false" ht="12.75" hidden="false" customHeight="false" outlineLevel="0" collapsed="false">
      <c r="A291" s="32" t="n">
        <v>36806</v>
      </c>
      <c r="B291" s="111"/>
      <c r="C291" s="112"/>
      <c r="D291" s="28"/>
      <c r="E291" s="28"/>
      <c r="F291" s="28"/>
      <c r="G291" s="113"/>
      <c r="H291" s="113"/>
      <c r="I291" s="113"/>
      <c r="J291" s="113"/>
      <c r="K291" s="28"/>
      <c r="L291" s="28"/>
      <c r="M291" s="70"/>
      <c r="N291" s="70"/>
      <c r="O291" s="70"/>
      <c r="P291" s="70"/>
      <c r="Q291" s="70"/>
      <c r="R291" s="70"/>
      <c r="S291" s="70"/>
      <c r="T291" s="70"/>
      <c r="U291" s="70"/>
      <c r="V291" s="70"/>
      <c r="W291" s="70"/>
    </row>
    <row r="292" customFormat="false" ht="12.75" hidden="false" customHeight="false" outlineLevel="0" collapsed="false">
      <c r="A292" s="32" t="n">
        <v>36807</v>
      </c>
      <c r="B292" s="111"/>
      <c r="C292" s="112"/>
      <c r="D292" s="28"/>
      <c r="E292" s="28"/>
      <c r="F292" s="28"/>
      <c r="G292" s="113"/>
      <c r="H292" s="113"/>
      <c r="I292" s="113"/>
      <c r="J292" s="113"/>
      <c r="K292" s="28"/>
      <c r="L292" s="28"/>
      <c r="M292" s="70"/>
      <c r="N292" s="70"/>
      <c r="O292" s="70"/>
      <c r="P292" s="70"/>
      <c r="Q292" s="70"/>
      <c r="R292" s="70"/>
      <c r="S292" s="70"/>
      <c r="T292" s="70"/>
      <c r="U292" s="70"/>
      <c r="V292" s="70"/>
      <c r="W292" s="70"/>
    </row>
    <row r="293" customFormat="false" ht="12.75" hidden="false" customHeight="false" outlineLevel="0" collapsed="false">
      <c r="A293" s="32" t="n">
        <v>36808</v>
      </c>
      <c r="B293" s="111"/>
      <c r="C293" s="112"/>
      <c r="D293" s="28"/>
      <c r="E293" s="28"/>
      <c r="F293" s="28"/>
      <c r="G293" s="113"/>
      <c r="H293" s="113"/>
      <c r="I293" s="113"/>
      <c r="J293" s="113"/>
      <c r="K293" s="28"/>
      <c r="L293" s="28"/>
      <c r="M293" s="70"/>
      <c r="N293" s="70"/>
      <c r="O293" s="70"/>
      <c r="P293" s="70"/>
      <c r="Q293" s="70"/>
      <c r="R293" s="70"/>
      <c r="S293" s="70"/>
      <c r="T293" s="70"/>
      <c r="U293" s="70"/>
      <c r="V293" s="70"/>
      <c r="W293" s="70"/>
    </row>
    <row r="294" customFormat="false" ht="12.75" hidden="false" customHeight="false" outlineLevel="0" collapsed="false">
      <c r="A294" s="32" t="n">
        <v>36809</v>
      </c>
      <c r="B294" s="111"/>
      <c r="C294" s="112"/>
      <c r="D294" s="28"/>
      <c r="E294" s="28"/>
      <c r="F294" s="28"/>
      <c r="G294" s="113"/>
      <c r="H294" s="113"/>
      <c r="I294" s="113"/>
      <c r="J294" s="113"/>
      <c r="K294" s="28"/>
      <c r="L294" s="28"/>
      <c r="M294" s="70"/>
      <c r="N294" s="70"/>
      <c r="O294" s="70"/>
      <c r="P294" s="70"/>
      <c r="Q294" s="70"/>
      <c r="R294" s="70"/>
      <c r="S294" s="70"/>
      <c r="T294" s="70"/>
      <c r="U294" s="70"/>
      <c r="V294" s="70"/>
      <c r="W294" s="70"/>
    </row>
    <row r="295" customFormat="false" ht="12.75" hidden="false" customHeight="false" outlineLevel="0" collapsed="false">
      <c r="A295" s="32" t="n">
        <v>36810</v>
      </c>
      <c r="B295" s="111"/>
      <c r="C295" s="112"/>
      <c r="D295" s="28"/>
      <c r="E295" s="28"/>
      <c r="F295" s="28"/>
      <c r="G295" s="113"/>
      <c r="H295" s="113"/>
      <c r="I295" s="113"/>
      <c r="J295" s="113"/>
      <c r="K295" s="28"/>
      <c r="L295" s="28"/>
      <c r="M295" s="70"/>
      <c r="N295" s="70"/>
      <c r="O295" s="70"/>
      <c r="P295" s="70"/>
      <c r="Q295" s="70"/>
      <c r="R295" s="70"/>
      <c r="S295" s="70"/>
      <c r="T295" s="70"/>
      <c r="U295" s="70"/>
      <c r="V295" s="70"/>
      <c r="W295" s="70"/>
    </row>
    <row r="296" customFormat="false" ht="12.75" hidden="false" customHeight="false" outlineLevel="0" collapsed="false">
      <c r="A296" s="32" t="n">
        <v>36811</v>
      </c>
      <c r="B296" s="111"/>
      <c r="C296" s="112"/>
      <c r="D296" s="28"/>
      <c r="E296" s="28"/>
      <c r="F296" s="28"/>
      <c r="G296" s="113"/>
      <c r="H296" s="113"/>
      <c r="I296" s="113"/>
      <c r="J296" s="113"/>
      <c r="K296" s="28"/>
      <c r="L296" s="28"/>
      <c r="M296" s="70"/>
      <c r="N296" s="70"/>
      <c r="O296" s="70"/>
      <c r="P296" s="70"/>
      <c r="Q296" s="70"/>
      <c r="R296" s="70"/>
      <c r="S296" s="70"/>
      <c r="T296" s="70"/>
      <c r="U296" s="70"/>
      <c r="V296" s="70"/>
      <c r="W296" s="70"/>
    </row>
    <row r="297" customFormat="false" ht="12.75" hidden="false" customHeight="false" outlineLevel="0" collapsed="false">
      <c r="A297" s="32" t="n">
        <v>36812</v>
      </c>
      <c r="B297" s="111"/>
      <c r="C297" s="112"/>
      <c r="D297" s="28"/>
      <c r="E297" s="28"/>
      <c r="F297" s="28"/>
      <c r="G297" s="113"/>
      <c r="H297" s="113"/>
      <c r="I297" s="113"/>
      <c r="J297" s="113"/>
      <c r="K297" s="28"/>
      <c r="L297" s="28"/>
      <c r="M297" s="70"/>
      <c r="N297" s="70"/>
      <c r="O297" s="70"/>
      <c r="P297" s="70"/>
      <c r="Q297" s="70"/>
      <c r="R297" s="70"/>
      <c r="S297" s="70"/>
      <c r="T297" s="70"/>
      <c r="U297" s="70"/>
      <c r="V297" s="70"/>
      <c r="W297" s="70"/>
    </row>
    <row r="298" customFormat="false" ht="12.75" hidden="false" customHeight="false" outlineLevel="0" collapsed="false">
      <c r="A298" s="32" t="n">
        <v>36813</v>
      </c>
      <c r="B298" s="111"/>
      <c r="C298" s="112"/>
      <c r="D298" s="28"/>
      <c r="E298" s="28"/>
      <c r="F298" s="28"/>
      <c r="G298" s="113"/>
      <c r="H298" s="113"/>
      <c r="I298" s="113"/>
      <c r="J298" s="113"/>
      <c r="K298" s="28"/>
      <c r="L298" s="28"/>
      <c r="M298" s="70"/>
      <c r="N298" s="70"/>
      <c r="O298" s="70"/>
      <c r="P298" s="70"/>
      <c r="Q298" s="70"/>
      <c r="R298" s="70"/>
      <c r="S298" s="70"/>
      <c r="T298" s="70"/>
      <c r="U298" s="70"/>
      <c r="V298" s="70"/>
      <c r="W298" s="70"/>
    </row>
    <row r="299" customFormat="false" ht="12.75" hidden="false" customHeight="false" outlineLevel="0" collapsed="false">
      <c r="A299" s="32" t="n">
        <v>36814</v>
      </c>
      <c r="B299" s="111"/>
      <c r="C299" s="112"/>
      <c r="D299" s="28"/>
      <c r="E299" s="28"/>
      <c r="F299" s="28"/>
      <c r="G299" s="113"/>
      <c r="H299" s="113"/>
      <c r="I299" s="113"/>
      <c r="J299" s="113"/>
      <c r="K299" s="28"/>
      <c r="L299" s="28"/>
      <c r="M299" s="70"/>
      <c r="N299" s="70"/>
      <c r="O299" s="70"/>
      <c r="P299" s="70"/>
      <c r="Q299" s="70"/>
      <c r="R299" s="70"/>
      <c r="S299" s="70"/>
      <c r="T299" s="70"/>
      <c r="U299" s="70"/>
      <c r="V299" s="70"/>
      <c r="W299" s="70"/>
    </row>
    <row r="300" customFormat="false" ht="12.75" hidden="false" customHeight="false" outlineLevel="0" collapsed="false">
      <c r="A300" s="32" t="n">
        <v>36815</v>
      </c>
      <c r="B300" s="111"/>
      <c r="C300" s="112"/>
      <c r="D300" s="28"/>
      <c r="E300" s="28"/>
      <c r="F300" s="28"/>
      <c r="G300" s="113"/>
      <c r="H300" s="113"/>
      <c r="I300" s="113"/>
      <c r="J300" s="113"/>
      <c r="K300" s="28"/>
      <c r="L300" s="28"/>
      <c r="M300" s="70"/>
      <c r="N300" s="70"/>
      <c r="O300" s="70"/>
      <c r="P300" s="70"/>
      <c r="Q300" s="70"/>
      <c r="R300" s="70"/>
      <c r="S300" s="70"/>
      <c r="T300" s="70"/>
      <c r="U300" s="70"/>
      <c r="V300" s="70"/>
      <c r="W300" s="70"/>
    </row>
    <row r="301" customFormat="false" ht="12.75" hidden="false" customHeight="false" outlineLevel="0" collapsed="false">
      <c r="A301" s="32" t="n">
        <v>36816</v>
      </c>
      <c r="B301" s="111"/>
      <c r="C301" s="112"/>
      <c r="D301" s="28"/>
      <c r="E301" s="28"/>
      <c r="F301" s="28"/>
      <c r="G301" s="113"/>
      <c r="H301" s="113"/>
      <c r="I301" s="113"/>
      <c r="J301" s="113"/>
      <c r="K301" s="28"/>
      <c r="L301" s="28"/>
      <c r="M301" s="70"/>
      <c r="N301" s="70"/>
      <c r="O301" s="70"/>
      <c r="P301" s="70"/>
      <c r="Q301" s="70"/>
      <c r="R301" s="70"/>
      <c r="S301" s="70"/>
      <c r="T301" s="70"/>
      <c r="U301" s="70"/>
      <c r="V301" s="70"/>
      <c r="W301" s="70"/>
    </row>
    <row r="302" customFormat="false" ht="12.75" hidden="false" customHeight="false" outlineLevel="0" collapsed="false">
      <c r="A302" s="32" t="n">
        <v>36817</v>
      </c>
      <c r="B302" s="111"/>
      <c r="C302" s="112"/>
      <c r="D302" s="28"/>
      <c r="E302" s="28"/>
      <c r="F302" s="28"/>
      <c r="G302" s="113"/>
      <c r="H302" s="113"/>
      <c r="I302" s="113"/>
      <c r="J302" s="113"/>
      <c r="K302" s="28"/>
      <c r="L302" s="28"/>
      <c r="M302" s="70"/>
      <c r="N302" s="70"/>
      <c r="O302" s="70"/>
      <c r="P302" s="70"/>
      <c r="Q302" s="70"/>
      <c r="R302" s="70"/>
      <c r="S302" s="70"/>
      <c r="T302" s="70"/>
      <c r="U302" s="70"/>
      <c r="V302" s="70"/>
      <c r="W302" s="70"/>
    </row>
    <row r="303" customFormat="false" ht="12.75" hidden="false" customHeight="false" outlineLevel="0" collapsed="false">
      <c r="A303" s="32" t="n">
        <v>36818</v>
      </c>
      <c r="B303" s="111"/>
      <c r="C303" s="112"/>
      <c r="D303" s="28"/>
      <c r="E303" s="28"/>
      <c r="F303" s="28"/>
      <c r="G303" s="113"/>
      <c r="H303" s="113"/>
      <c r="I303" s="113"/>
      <c r="J303" s="113"/>
      <c r="K303" s="28"/>
      <c r="L303" s="28"/>
      <c r="M303" s="70"/>
      <c r="N303" s="70"/>
      <c r="O303" s="70"/>
      <c r="P303" s="70"/>
      <c r="Q303" s="70"/>
      <c r="R303" s="70"/>
      <c r="S303" s="70"/>
      <c r="T303" s="70"/>
      <c r="U303" s="70"/>
      <c r="V303" s="70"/>
      <c r="W303" s="70"/>
    </row>
    <row r="304" customFormat="false" ht="12.75" hidden="false" customHeight="false" outlineLevel="0" collapsed="false">
      <c r="A304" s="32" t="n">
        <v>36819</v>
      </c>
      <c r="B304" s="111"/>
      <c r="C304" s="112"/>
      <c r="D304" s="28"/>
      <c r="E304" s="28"/>
      <c r="F304" s="28"/>
      <c r="G304" s="113"/>
      <c r="H304" s="113"/>
      <c r="I304" s="113"/>
      <c r="J304" s="113"/>
      <c r="K304" s="28"/>
      <c r="L304" s="28"/>
      <c r="M304" s="70"/>
      <c r="N304" s="70"/>
      <c r="O304" s="70"/>
      <c r="P304" s="70"/>
      <c r="Q304" s="70"/>
      <c r="R304" s="70"/>
      <c r="S304" s="70"/>
      <c r="T304" s="70"/>
      <c r="U304" s="70"/>
      <c r="V304" s="70"/>
      <c r="W304" s="70"/>
    </row>
    <row r="305" customFormat="false" ht="12.75" hidden="false" customHeight="false" outlineLevel="0" collapsed="false">
      <c r="A305" s="32" t="n">
        <v>36820</v>
      </c>
      <c r="B305" s="111"/>
      <c r="C305" s="112"/>
      <c r="D305" s="28"/>
      <c r="E305" s="28"/>
      <c r="F305" s="28"/>
      <c r="G305" s="113"/>
      <c r="H305" s="113"/>
      <c r="I305" s="113"/>
      <c r="J305" s="113"/>
      <c r="K305" s="28"/>
      <c r="L305" s="28"/>
      <c r="M305" s="70"/>
      <c r="N305" s="70"/>
      <c r="O305" s="70"/>
      <c r="P305" s="70"/>
      <c r="Q305" s="70"/>
      <c r="R305" s="70"/>
      <c r="S305" s="70"/>
      <c r="T305" s="70"/>
      <c r="U305" s="70"/>
      <c r="V305" s="70"/>
      <c r="W305" s="70"/>
    </row>
    <row r="306" customFormat="false" ht="12.75" hidden="false" customHeight="false" outlineLevel="0" collapsed="false">
      <c r="A306" s="32" t="n">
        <v>36821</v>
      </c>
      <c r="B306" s="111"/>
      <c r="C306" s="112"/>
      <c r="D306" s="28"/>
      <c r="E306" s="28"/>
      <c r="F306" s="28"/>
      <c r="G306" s="113"/>
      <c r="H306" s="113"/>
      <c r="I306" s="113"/>
      <c r="J306" s="113"/>
      <c r="K306" s="28"/>
      <c r="L306" s="28"/>
      <c r="M306" s="70"/>
      <c r="N306" s="70"/>
      <c r="O306" s="70"/>
      <c r="P306" s="70"/>
      <c r="Q306" s="70"/>
      <c r="R306" s="70"/>
      <c r="S306" s="70"/>
      <c r="T306" s="70"/>
      <c r="U306" s="70"/>
      <c r="V306" s="70"/>
      <c r="W306" s="70"/>
    </row>
    <row r="307" customFormat="false" ht="12.75" hidden="false" customHeight="false" outlineLevel="0" collapsed="false">
      <c r="A307" s="32" t="n">
        <v>36822</v>
      </c>
      <c r="B307" s="111"/>
      <c r="C307" s="112"/>
      <c r="D307" s="28"/>
      <c r="E307" s="28"/>
      <c r="F307" s="28"/>
      <c r="G307" s="113"/>
      <c r="H307" s="113"/>
      <c r="I307" s="113"/>
      <c r="J307" s="113"/>
      <c r="K307" s="28"/>
      <c r="L307" s="28"/>
      <c r="M307" s="70"/>
      <c r="N307" s="70"/>
      <c r="O307" s="70"/>
      <c r="P307" s="70"/>
      <c r="Q307" s="70"/>
      <c r="R307" s="70"/>
      <c r="S307" s="70"/>
      <c r="T307" s="70"/>
      <c r="U307" s="70"/>
      <c r="V307" s="70"/>
      <c r="W307" s="70"/>
    </row>
    <row r="308" customFormat="false" ht="12.75" hidden="false" customHeight="false" outlineLevel="0" collapsed="false">
      <c r="A308" s="32" t="n">
        <v>36823</v>
      </c>
      <c r="B308" s="111"/>
      <c r="C308" s="112"/>
      <c r="D308" s="28"/>
      <c r="E308" s="28"/>
      <c r="F308" s="28"/>
      <c r="G308" s="113"/>
      <c r="H308" s="113"/>
      <c r="I308" s="113"/>
      <c r="J308" s="113"/>
      <c r="K308" s="28"/>
      <c r="L308" s="28"/>
      <c r="M308" s="70"/>
      <c r="N308" s="70"/>
      <c r="O308" s="70"/>
      <c r="P308" s="70"/>
      <c r="Q308" s="70"/>
      <c r="R308" s="70"/>
      <c r="S308" s="70"/>
      <c r="T308" s="70"/>
      <c r="U308" s="70"/>
      <c r="V308" s="70"/>
      <c r="W308" s="70"/>
    </row>
    <row r="309" customFormat="false" ht="12.75" hidden="false" customHeight="false" outlineLevel="0" collapsed="false">
      <c r="A309" s="32" t="n">
        <v>36824</v>
      </c>
      <c r="B309" s="111"/>
      <c r="C309" s="112"/>
      <c r="D309" s="28"/>
      <c r="E309" s="28"/>
      <c r="F309" s="28"/>
      <c r="G309" s="113"/>
      <c r="H309" s="113"/>
      <c r="I309" s="113"/>
      <c r="J309" s="113"/>
      <c r="K309" s="28"/>
      <c r="L309" s="28"/>
      <c r="M309" s="70"/>
      <c r="N309" s="70"/>
      <c r="O309" s="70"/>
      <c r="P309" s="70"/>
      <c r="Q309" s="70"/>
      <c r="R309" s="70"/>
      <c r="S309" s="70"/>
      <c r="T309" s="70"/>
      <c r="U309" s="70"/>
      <c r="V309" s="70"/>
      <c r="W309" s="70"/>
    </row>
    <row r="310" customFormat="false" ht="12.75" hidden="false" customHeight="false" outlineLevel="0" collapsed="false">
      <c r="A310" s="32" t="n">
        <v>36825</v>
      </c>
      <c r="B310" s="111"/>
      <c r="C310" s="112"/>
      <c r="D310" s="28"/>
      <c r="E310" s="28"/>
      <c r="F310" s="28"/>
      <c r="G310" s="113"/>
      <c r="H310" s="113"/>
      <c r="I310" s="113"/>
      <c r="J310" s="113"/>
      <c r="K310" s="28"/>
      <c r="L310" s="28"/>
      <c r="M310" s="70"/>
      <c r="N310" s="70"/>
      <c r="O310" s="70"/>
      <c r="P310" s="70"/>
      <c r="Q310" s="70"/>
      <c r="R310" s="70"/>
      <c r="S310" s="70"/>
      <c r="T310" s="70"/>
      <c r="U310" s="70"/>
      <c r="V310" s="70"/>
      <c r="W310" s="70"/>
    </row>
    <row r="311" customFormat="false" ht="12.75" hidden="false" customHeight="false" outlineLevel="0" collapsed="false">
      <c r="A311" s="32" t="n">
        <v>36826</v>
      </c>
      <c r="B311" s="111"/>
      <c r="C311" s="112"/>
      <c r="D311" s="28"/>
      <c r="E311" s="28"/>
      <c r="F311" s="28"/>
      <c r="G311" s="113"/>
      <c r="H311" s="113"/>
      <c r="I311" s="113"/>
      <c r="J311" s="113"/>
      <c r="K311" s="28"/>
      <c r="L311" s="28"/>
      <c r="M311" s="70"/>
      <c r="N311" s="70"/>
      <c r="O311" s="70"/>
      <c r="P311" s="70"/>
      <c r="Q311" s="70"/>
      <c r="R311" s="70"/>
      <c r="S311" s="70"/>
      <c r="T311" s="70"/>
      <c r="U311" s="70"/>
      <c r="V311" s="70"/>
      <c r="W311" s="70"/>
    </row>
    <row r="312" customFormat="false" ht="12.75" hidden="false" customHeight="false" outlineLevel="0" collapsed="false">
      <c r="A312" s="32" t="n">
        <v>36827</v>
      </c>
      <c r="B312" s="111"/>
      <c r="C312" s="112"/>
      <c r="D312" s="28"/>
      <c r="E312" s="28"/>
      <c r="F312" s="28"/>
      <c r="G312" s="113"/>
      <c r="H312" s="113"/>
      <c r="I312" s="113"/>
      <c r="J312" s="113"/>
      <c r="K312" s="28"/>
      <c r="L312" s="28"/>
      <c r="M312" s="70"/>
      <c r="N312" s="70"/>
      <c r="O312" s="70"/>
      <c r="P312" s="70"/>
      <c r="Q312" s="70"/>
      <c r="R312" s="70"/>
      <c r="S312" s="70"/>
      <c r="T312" s="70"/>
      <c r="U312" s="70"/>
      <c r="V312" s="70"/>
      <c r="W312" s="70"/>
    </row>
    <row r="313" customFormat="false" ht="12.75" hidden="false" customHeight="false" outlineLevel="0" collapsed="false">
      <c r="A313" s="32" t="n">
        <v>36828</v>
      </c>
      <c r="B313" s="111"/>
      <c r="C313" s="112"/>
      <c r="D313" s="28"/>
      <c r="E313" s="28"/>
      <c r="F313" s="28"/>
      <c r="G313" s="113"/>
      <c r="H313" s="113"/>
      <c r="I313" s="113"/>
      <c r="J313" s="113"/>
      <c r="K313" s="28"/>
      <c r="L313" s="28"/>
      <c r="M313" s="70"/>
      <c r="N313" s="70"/>
      <c r="O313" s="70"/>
      <c r="P313" s="70"/>
      <c r="Q313" s="70"/>
      <c r="R313" s="70"/>
      <c r="S313" s="70"/>
      <c r="T313" s="70"/>
      <c r="U313" s="70"/>
      <c r="V313" s="70"/>
      <c r="W313" s="70"/>
    </row>
    <row r="314" customFormat="false" ht="12.75" hidden="false" customHeight="false" outlineLevel="0" collapsed="false">
      <c r="A314" s="32" t="n">
        <v>36829</v>
      </c>
      <c r="B314" s="111"/>
      <c r="C314" s="112"/>
      <c r="D314" s="28"/>
      <c r="E314" s="28"/>
      <c r="F314" s="28"/>
      <c r="G314" s="113"/>
      <c r="H314" s="113"/>
      <c r="I314" s="113"/>
      <c r="J314" s="113"/>
      <c r="K314" s="28"/>
      <c r="L314" s="28"/>
      <c r="M314" s="70"/>
      <c r="N314" s="70"/>
      <c r="O314" s="70"/>
      <c r="P314" s="70"/>
      <c r="Q314" s="70"/>
      <c r="R314" s="70"/>
      <c r="S314" s="70"/>
      <c r="T314" s="70"/>
      <c r="U314" s="70"/>
      <c r="V314" s="70"/>
      <c r="W314" s="70"/>
    </row>
    <row r="315" customFormat="false" ht="12.75" hidden="false" customHeight="false" outlineLevel="0" collapsed="false">
      <c r="A315" s="32" t="n">
        <v>36830</v>
      </c>
      <c r="B315" s="111"/>
      <c r="C315" s="112"/>
      <c r="D315" s="28"/>
      <c r="E315" s="28"/>
      <c r="F315" s="28"/>
      <c r="G315" s="113"/>
      <c r="H315" s="113"/>
      <c r="I315" s="113"/>
      <c r="J315" s="113"/>
      <c r="K315" s="28"/>
      <c r="L315" s="28"/>
      <c r="M315" s="70"/>
      <c r="N315" s="70"/>
      <c r="O315" s="70"/>
      <c r="P315" s="70"/>
      <c r="Q315" s="70"/>
      <c r="R315" s="70"/>
      <c r="S315" s="70"/>
      <c r="T315" s="70"/>
      <c r="U315" s="70"/>
      <c r="V315" s="70"/>
      <c r="W315" s="70"/>
    </row>
    <row r="316" customFormat="false" ht="12.75" hidden="false" customHeight="false" outlineLevel="0" collapsed="false">
      <c r="A316" s="32" t="n">
        <v>36831</v>
      </c>
      <c r="B316" s="111"/>
      <c r="C316" s="112"/>
      <c r="D316" s="28"/>
      <c r="E316" s="28"/>
      <c r="F316" s="28"/>
      <c r="G316" s="113"/>
      <c r="H316" s="113"/>
      <c r="I316" s="113"/>
      <c r="J316" s="113"/>
      <c r="K316" s="28"/>
      <c r="L316" s="28"/>
      <c r="M316" s="70"/>
      <c r="N316" s="70"/>
      <c r="O316" s="70"/>
      <c r="P316" s="70"/>
      <c r="Q316" s="70"/>
      <c r="R316" s="70"/>
      <c r="S316" s="70"/>
      <c r="T316" s="70"/>
      <c r="U316" s="70"/>
      <c r="V316" s="70"/>
      <c r="W316" s="70"/>
    </row>
    <row r="317" customFormat="false" ht="12.75" hidden="false" customHeight="false" outlineLevel="0" collapsed="false">
      <c r="A317" s="32" t="n">
        <v>36832</v>
      </c>
      <c r="B317" s="111"/>
      <c r="C317" s="112"/>
      <c r="D317" s="28"/>
      <c r="E317" s="28"/>
      <c r="F317" s="28"/>
      <c r="G317" s="113"/>
      <c r="H317" s="113"/>
      <c r="I317" s="113"/>
      <c r="J317" s="113"/>
      <c r="K317" s="28"/>
      <c r="L317" s="28"/>
      <c r="M317" s="70"/>
      <c r="N317" s="70"/>
      <c r="O317" s="70"/>
      <c r="P317" s="70"/>
      <c r="Q317" s="70"/>
      <c r="R317" s="70"/>
      <c r="S317" s="70"/>
      <c r="T317" s="70"/>
      <c r="U317" s="70"/>
      <c r="V317" s="70"/>
      <c r="W317" s="70"/>
    </row>
    <row r="318" customFormat="false" ht="12.75" hidden="false" customHeight="false" outlineLevel="0" collapsed="false">
      <c r="A318" s="32" t="n">
        <v>36833</v>
      </c>
      <c r="B318" s="111"/>
      <c r="C318" s="112"/>
      <c r="D318" s="28"/>
      <c r="E318" s="28"/>
      <c r="F318" s="28"/>
      <c r="G318" s="113"/>
      <c r="H318" s="113"/>
      <c r="I318" s="113"/>
      <c r="J318" s="113"/>
      <c r="K318" s="28"/>
      <c r="L318" s="28"/>
      <c r="M318" s="70"/>
      <c r="N318" s="70"/>
      <c r="O318" s="70"/>
      <c r="P318" s="70"/>
      <c r="Q318" s="70"/>
      <c r="R318" s="70"/>
      <c r="S318" s="70"/>
      <c r="T318" s="70"/>
      <c r="U318" s="70"/>
      <c r="V318" s="70"/>
      <c r="W318" s="70"/>
    </row>
    <row r="319" customFormat="false" ht="12.75" hidden="false" customHeight="false" outlineLevel="0" collapsed="false">
      <c r="A319" s="32" t="n">
        <v>36834</v>
      </c>
      <c r="B319" s="111"/>
      <c r="C319" s="112"/>
      <c r="D319" s="28"/>
      <c r="E319" s="28"/>
      <c r="F319" s="28"/>
      <c r="G319" s="113"/>
      <c r="H319" s="113"/>
      <c r="I319" s="113"/>
      <c r="J319" s="113"/>
      <c r="K319" s="28"/>
      <c r="L319" s="28"/>
      <c r="M319" s="70"/>
      <c r="N319" s="70"/>
      <c r="O319" s="70"/>
      <c r="P319" s="70"/>
      <c r="Q319" s="70"/>
      <c r="R319" s="70"/>
      <c r="S319" s="70"/>
      <c r="T319" s="70"/>
      <c r="U319" s="70"/>
      <c r="V319" s="70"/>
      <c r="W319" s="70"/>
    </row>
    <row r="320" customFormat="false" ht="12.75" hidden="false" customHeight="false" outlineLevel="0" collapsed="false">
      <c r="A320" s="32" t="n">
        <v>36835</v>
      </c>
      <c r="B320" s="111"/>
      <c r="C320" s="112"/>
      <c r="D320" s="28"/>
      <c r="E320" s="28"/>
      <c r="F320" s="28"/>
      <c r="G320" s="113"/>
      <c r="H320" s="113"/>
      <c r="I320" s="113"/>
      <c r="J320" s="113"/>
      <c r="K320" s="28"/>
      <c r="L320" s="28"/>
      <c r="M320" s="70"/>
      <c r="N320" s="70"/>
      <c r="O320" s="70"/>
      <c r="P320" s="70"/>
      <c r="Q320" s="70"/>
      <c r="R320" s="70"/>
      <c r="S320" s="70"/>
      <c r="T320" s="70"/>
      <c r="U320" s="70"/>
      <c r="V320" s="70"/>
      <c r="W320" s="70"/>
    </row>
    <row r="321" customFormat="false" ht="12.75" hidden="false" customHeight="false" outlineLevel="0" collapsed="false">
      <c r="A321" s="32" t="n">
        <v>36836</v>
      </c>
      <c r="B321" s="111"/>
      <c r="C321" s="112"/>
      <c r="D321" s="28"/>
      <c r="E321" s="28"/>
      <c r="F321" s="28"/>
      <c r="G321" s="113"/>
      <c r="H321" s="113"/>
      <c r="I321" s="113"/>
      <c r="J321" s="113"/>
      <c r="K321" s="28"/>
      <c r="L321" s="28"/>
      <c r="M321" s="70"/>
      <c r="N321" s="70"/>
      <c r="O321" s="70"/>
      <c r="P321" s="70"/>
      <c r="Q321" s="70"/>
      <c r="R321" s="70"/>
      <c r="S321" s="70"/>
      <c r="T321" s="70"/>
      <c r="U321" s="70"/>
      <c r="V321" s="70"/>
      <c r="W321" s="70"/>
    </row>
    <row r="322" customFormat="false" ht="12.75" hidden="false" customHeight="false" outlineLevel="0" collapsed="false">
      <c r="A322" s="32" t="n">
        <v>36837</v>
      </c>
      <c r="B322" s="111"/>
      <c r="C322" s="112"/>
      <c r="D322" s="28"/>
      <c r="E322" s="28"/>
      <c r="F322" s="28"/>
      <c r="G322" s="113"/>
      <c r="H322" s="113"/>
      <c r="I322" s="113"/>
      <c r="J322" s="113"/>
      <c r="K322" s="28"/>
      <c r="L322" s="28"/>
      <c r="M322" s="70"/>
      <c r="N322" s="70"/>
      <c r="O322" s="70"/>
      <c r="P322" s="70"/>
      <c r="Q322" s="70"/>
      <c r="R322" s="70"/>
      <c r="S322" s="70"/>
      <c r="T322" s="70"/>
      <c r="U322" s="70"/>
      <c r="V322" s="70"/>
      <c r="W322" s="70"/>
    </row>
    <row r="323" customFormat="false" ht="12.75" hidden="false" customHeight="false" outlineLevel="0" collapsed="false">
      <c r="A323" s="32" t="n">
        <v>36838</v>
      </c>
      <c r="B323" s="111"/>
      <c r="C323" s="112"/>
      <c r="D323" s="28"/>
      <c r="E323" s="28"/>
      <c r="F323" s="28"/>
      <c r="G323" s="113"/>
      <c r="H323" s="113"/>
      <c r="I323" s="113"/>
      <c r="J323" s="113"/>
      <c r="K323" s="28"/>
      <c r="L323" s="28"/>
      <c r="M323" s="70"/>
      <c r="N323" s="70"/>
      <c r="O323" s="70"/>
      <c r="P323" s="70"/>
      <c r="Q323" s="70"/>
      <c r="R323" s="70"/>
      <c r="S323" s="70"/>
      <c r="T323" s="70"/>
      <c r="U323" s="70"/>
      <c r="V323" s="70"/>
      <c r="W323" s="70"/>
    </row>
    <row r="324" customFormat="false" ht="12.75" hidden="false" customHeight="false" outlineLevel="0" collapsed="false">
      <c r="A324" s="32" t="n">
        <v>36839</v>
      </c>
      <c r="B324" s="111"/>
      <c r="C324" s="112"/>
      <c r="D324" s="28"/>
      <c r="E324" s="28"/>
      <c r="F324" s="28"/>
      <c r="G324" s="113"/>
      <c r="H324" s="113"/>
      <c r="I324" s="113"/>
      <c r="J324" s="113"/>
      <c r="K324" s="28"/>
      <c r="L324" s="28"/>
      <c r="M324" s="70"/>
      <c r="N324" s="70"/>
      <c r="O324" s="70"/>
      <c r="P324" s="70"/>
      <c r="Q324" s="70"/>
      <c r="R324" s="70"/>
      <c r="S324" s="70"/>
      <c r="T324" s="70"/>
      <c r="U324" s="70"/>
      <c r="V324" s="70"/>
      <c r="W324" s="70"/>
    </row>
    <row r="325" customFormat="false" ht="12.75" hidden="false" customHeight="false" outlineLevel="0" collapsed="false">
      <c r="A325" s="32" t="n">
        <v>36840</v>
      </c>
      <c r="B325" s="111"/>
      <c r="C325" s="112"/>
      <c r="D325" s="28"/>
      <c r="E325" s="28"/>
      <c r="F325" s="28"/>
      <c r="G325" s="113"/>
      <c r="H325" s="113"/>
      <c r="I325" s="113"/>
      <c r="J325" s="113"/>
      <c r="K325" s="28"/>
      <c r="L325" s="28"/>
      <c r="M325" s="70"/>
      <c r="N325" s="70"/>
      <c r="O325" s="70"/>
      <c r="P325" s="70"/>
      <c r="Q325" s="70"/>
      <c r="R325" s="70"/>
      <c r="S325" s="70"/>
      <c r="T325" s="70"/>
      <c r="U325" s="70"/>
      <c r="V325" s="70"/>
      <c r="W325" s="70"/>
    </row>
    <row r="326" customFormat="false" ht="12.75" hidden="false" customHeight="false" outlineLevel="0" collapsed="false">
      <c r="A326" s="32" t="n">
        <v>36841</v>
      </c>
      <c r="B326" s="111"/>
      <c r="C326" s="112"/>
      <c r="D326" s="28"/>
      <c r="E326" s="28"/>
      <c r="F326" s="28"/>
      <c r="G326" s="113"/>
      <c r="H326" s="113"/>
      <c r="I326" s="113"/>
      <c r="J326" s="113"/>
      <c r="K326" s="28"/>
      <c r="L326" s="28"/>
      <c r="M326" s="70"/>
      <c r="N326" s="70"/>
      <c r="O326" s="70"/>
      <c r="P326" s="70"/>
      <c r="Q326" s="70"/>
      <c r="R326" s="70"/>
      <c r="S326" s="70"/>
      <c r="T326" s="70"/>
      <c r="U326" s="70"/>
      <c r="V326" s="70"/>
      <c r="W326" s="70"/>
    </row>
    <row r="327" customFormat="false" ht="12.75" hidden="false" customHeight="false" outlineLevel="0" collapsed="false">
      <c r="A327" s="32" t="n">
        <v>36842</v>
      </c>
      <c r="B327" s="111"/>
      <c r="C327" s="112"/>
      <c r="D327" s="28"/>
      <c r="E327" s="28"/>
      <c r="F327" s="28"/>
      <c r="G327" s="113"/>
      <c r="H327" s="113"/>
      <c r="I327" s="113"/>
      <c r="J327" s="113"/>
      <c r="K327" s="28"/>
      <c r="L327" s="28"/>
      <c r="M327" s="70"/>
      <c r="N327" s="70"/>
      <c r="O327" s="70"/>
      <c r="P327" s="70"/>
      <c r="Q327" s="70"/>
      <c r="R327" s="70"/>
      <c r="S327" s="70"/>
      <c r="T327" s="70"/>
      <c r="U327" s="70"/>
      <c r="V327" s="70"/>
      <c r="W327" s="70"/>
    </row>
    <row r="328" customFormat="false" ht="12.75" hidden="false" customHeight="false" outlineLevel="0" collapsed="false">
      <c r="A328" s="32" t="n">
        <v>36843</v>
      </c>
      <c r="B328" s="111"/>
      <c r="C328" s="112"/>
      <c r="D328" s="28"/>
      <c r="E328" s="28"/>
      <c r="F328" s="28"/>
      <c r="G328" s="113"/>
      <c r="H328" s="113"/>
      <c r="I328" s="113"/>
      <c r="J328" s="113"/>
      <c r="K328" s="28"/>
      <c r="L328" s="28"/>
      <c r="M328" s="70"/>
      <c r="N328" s="70"/>
      <c r="O328" s="70"/>
      <c r="P328" s="70"/>
      <c r="Q328" s="70"/>
      <c r="R328" s="70"/>
      <c r="S328" s="70"/>
      <c r="T328" s="70"/>
      <c r="U328" s="70"/>
      <c r="V328" s="70"/>
      <c r="W328" s="70"/>
    </row>
    <row r="329" customFormat="false" ht="12.75" hidden="false" customHeight="false" outlineLevel="0" collapsed="false">
      <c r="A329" s="32" t="n">
        <v>36844</v>
      </c>
      <c r="B329" s="111"/>
      <c r="C329" s="112"/>
      <c r="D329" s="28"/>
      <c r="E329" s="28"/>
      <c r="F329" s="28"/>
      <c r="G329" s="113"/>
      <c r="H329" s="113"/>
      <c r="I329" s="113"/>
      <c r="J329" s="113"/>
      <c r="K329" s="28"/>
      <c r="L329" s="28"/>
      <c r="M329" s="70"/>
      <c r="N329" s="70"/>
      <c r="O329" s="70"/>
      <c r="P329" s="70"/>
      <c r="Q329" s="70"/>
      <c r="R329" s="70"/>
      <c r="S329" s="70"/>
      <c r="T329" s="70"/>
      <c r="U329" s="70"/>
      <c r="V329" s="70"/>
      <c r="W329" s="70"/>
    </row>
    <row r="330" customFormat="false" ht="12.75" hidden="false" customHeight="false" outlineLevel="0" collapsed="false">
      <c r="A330" s="32" t="n">
        <v>36845</v>
      </c>
      <c r="B330" s="111"/>
      <c r="C330" s="112"/>
      <c r="D330" s="28"/>
      <c r="E330" s="28"/>
      <c r="F330" s="28"/>
      <c r="G330" s="113"/>
      <c r="H330" s="113"/>
      <c r="I330" s="113"/>
      <c r="J330" s="113"/>
      <c r="K330" s="28"/>
      <c r="L330" s="28"/>
      <c r="M330" s="70"/>
      <c r="N330" s="70"/>
      <c r="O330" s="70"/>
      <c r="P330" s="70"/>
      <c r="Q330" s="70"/>
      <c r="R330" s="70"/>
      <c r="S330" s="70"/>
      <c r="T330" s="70"/>
      <c r="U330" s="70"/>
      <c r="V330" s="70"/>
      <c r="W330" s="70"/>
    </row>
    <row r="331" customFormat="false" ht="12.75" hidden="false" customHeight="false" outlineLevel="0" collapsed="false">
      <c r="A331" s="32" t="n">
        <v>36846</v>
      </c>
      <c r="B331" s="111"/>
      <c r="C331" s="112"/>
      <c r="D331" s="28"/>
      <c r="E331" s="28"/>
      <c r="F331" s="28"/>
      <c r="G331" s="113"/>
      <c r="H331" s="113"/>
      <c r="I331" s="113"/>
      <c r="J331" s="113"/>
      <c r="K331" s="28"/>
      <c r="L331" s="28"/>
      <c r="M331" s="70"/>
      <c r="N331" s="70"/>
      <c r="O331" s="70"/>
      <c r="P331" s="70"/>
      <c r="Q331" s="70"/>
      <c r="R331" s="70"/>
      <c r="S331" s="70"/>
      <c r="T331" s="70"/>
      <c r="U331" s="70"/>
      <c r="V331" s="70"/>
      <c r="W331" s="70"/>
    </row>
    <row r="332" customFormat="false" ht="12.75" hidden="false" customHeight="false" outlineLevel="0" collapsed="false">
      <c r="A332" s="32" t="n">
        <v>36847</v>
      </c>
      <c r="B332" s="111"/>
      <c r="C332" s="112"/>
      <c r="D332" s="28"/>
      <c r="E332" s="28"/>
      <c r="F332" s="28"/>
      <c r="G332" s="113"/>
      <c r="H332" s="113"/>
      <c r="I332" s="113"/>
      <c r="J332" s="113"/>
      <c r="K332" s="28"/>
      <c r="L332" s="28"/>
      <c r="M332" s="70"/>
      <c r="N332" s="70"/>
      <c r="O332" s="70"/>
      <c r="P332" s="70"/>
      <c r="Q332" s="70"/>
      <c r="R332" s="70"/>
      <c r="S332" s="70"/>
      <c r="T332" s="70"/>
      <c r="U332" s="70"/>
      <c r="V332" s="70"/>
      <c r="W332" s="70"/>
    </row>
    <row r="333" customFormat="false" ht="12.75" hidden="false" customHeight="false" outlineLevel="0" collapsed="false">
      <c r="A333" s="32" t="n">
        <v>36848</v>
      </c>
      <c r="B333" s="111"/>
      <c r="C333" s="112"/>
      <c r="D333" s="28"/>
      <c r="E333" s="28"/>
      <c r="F333" s="28"/>
      <c r="G333" s="113"/>
      <c r="H333" s="113"/>
      <c r="I333" s="113"/>
      <c r="J333" s="113"/>
      <c r="K333" s="28"/>
      <c r="L333" s="28"/>
      <c r="M333" s="70"/>
      <c r="N333" s="70"/>
      <c r="O333" s="70"/>
      <c r="P333" s="70"/>
      <c r="Q333" s="70"/>
      <c r="R333" s="70"/>
      <c r="S333" s="70"/>
      <c r="T333" s="70"/>
      <c r="U333" s="70"/>
      <c r="V333" s="70"/>
      <c r="W333" s="70"/>
    </row>
    <row r="334" customFormat="false" ht="12.75" hidden="false" customHeight="false" outlineLevel="0" collapsed="false">
      <c r="A334" s="32" t="n">
        <v>36849</v>
      </c>
      <c r="B334" s="111"/>
      <c r="C334" s="112"/>
      <c r="D334" s="28"/>
      <c r="E334" s="28"/>
      <c r="F334" s="28"/>
      <c r="G334" s="113"/>
      <c r="H334" s="113"/>
      <c r="I334" s="113"/>
      <c r="J334" s="113"/>
      <c r="K334" s="28"/>
      <c r="L334" s="28"/>
      <c r="M334" s="70"/>
      <c r="N334" s="70"/>
      <c r="O334" s="70"/>
      <c r="P334" s="70"/>
      <c r="Q334" s="70"/>
      <c r="R334" s="70"/>
      <c r="S334" s="70"/>
      <c r="T334" s="70"/>
      <c r="U334" s="70"/>
      <c r="V334" s="70"/>
      <c r="W334" s="70"/>
    </row>
    <row r="335" customFormat="false" ht="12.75" hidden="false" customHeight="false" outlineLevel="0" collapsed="false">
      <c r="A335" s="32" t="n">
        <v>36850</v>
      </c>
      <c r="B335" s="111"/>
      <c r="C335" s="112"/>
      <c r="D335" s="28"/>
      <c r="E335" s="28"/>
      <c r="F335" s="28"/>
      <c r="G335" s="113"/>
      <c r="H335" s="113"/>
      <c r="I335" s="113"/>
      <c r="J335" s="113"/>
      <c r="K335" s="28"/>
      <c r="L335" s="28"/>
      <c r="M335" s="70"/>
      <c r="N335" s="70"/>
      <c r="O335" s="70"/>
      <c r="P335" s="70"/>
      <c r="Q335" s="70"/>
      <c r="R335" s="70"/>
      <c r="S335" s="70"/>
      <c r="T335" s="70"/>
      <c r="U335" s="70"/>
      <c r="V335" s="70"/>
      <c r="W335" s="70"/>
    </row>
    <row r="336" customFormat="false" ht="12.75" hidden="false" customHeight="false" outlineLevel="0" collapsed="false">
      <c r="A336" s="32" t="n">
        <v>36851</v>
      </c>
      <c r="B336" s="111"/>
      <c r="C336" s="112"/>
      <c r="D336" s="28"/>
      <c r="E336" s="28"/>
      <c r="F336" s="28"/>
      <c r="G336" s="113"/>
      <c r="H336" s="113"/>
      <c r="I336" s="113"/>
      <c r="J336" s="113"/>
      <c r="K336" s="28"/>
      <c r="L336" s="28"/>
      <c r="M336" s="70"/>
      <c r="N336" s="70"/>
      <c r="O336" s="70"/>
      <c r="P336" s="70"/>
      <c r="Q336" s="70"/>
      <c r="R336" s="70"/>
      <c r="S336" s="70"/>
      <c r="T336" s="70"/>
      <c r="U336" s="70"/>
      <c r="V336" s="70"/>
      <c r="W336" s="70"/>
    </row>
    <row r="337" customFormat="false" ht="12.75" hidden="false" customHeight="false" outlineLevel="0" collapsed="false">
      <c r="A337" s="32" t="n">
        <v>36852</v>
      </c>
      <c r="B337" s="111"/>
      <c r="C337" s="112"/>
      <c r="D337" s="28"/>
      <c r="E337" s="28"/>
      <c r="F337" s="28"/>
      <c r="G337" s="113"/>
      <c r="H337" s="113"/>
      <c r="I337" s="113"/>
      <c r="J337" s="113"/>
      <c r="K337" s="28"/>
      <c r="L337" s="28"/>
      <c r="M337" s="70"/>
      <c r="N337" s="70"/>
      <c r="O337" s="70"/>
      <c r="P337" s="70"/>
      <c r="Q337" s="70"/>
      <c r="R337" s="70"/>
      <c r="S337" s="70"/>
      <c r="T337" s="70"/>
      <c r="U337" s="70"/>
      <c r="V337" s="70"/>
      <c r="W337" s="70"/>
    </row>
    <row r="338" customFormat="false" ht="12.75" hidden="false" customHeight="false" outlineLevel="0" collapsed="false">
      <c r="A338" s="32" t="n">
        <v>36853</v>
      </c>
      <c r="B338" s="111"/>
      <c r="C338" s="112"/>
      <c r="D338" s="28"/>
      <c r="E338" s="28"/>
      <c r="F338" s="28"/>
      <c r="G338" s="113"/>
      <c r="H338" s="113"/>
      <c r="I338" s="113"/>
      <c r="J338" s="113"/>
      <c r="K338" s="28"/>
      <c r="L338" s="28"/>
      <c r="M338" s="70"/>
      <c r="N338" s="70"/>
      <c r="O338" s="70"/>
      <c r="P338" s="70"/>
      <c r="Q338" s="70"/>
      <c r="R338" s="70"/>
      <c r="S338" s="70"/>
      <c r="T338" s="70"/>
      <c r="U338" s="70"/>
      <c r="V338" s="70"/>
      <c r="W338" s="70"/>
    </row>
    <row r="339" customFormat="false" ht="12.75" hidden="false" customHeight="false" outlineLevel="0" collapsed="false">
      <c r="A339" s="32" t="n">
        <v>36854</v>
      </c>
      <c r="B339" s="111"/>
      <c r="C339" s="112"/>
      <c r="D339" s="28"/>
      <c r="E339" s="28"/>
      <c r="F339" s="28"/>
      <c r="G339" s="113"/>
      <c r="H339" s="113"/>
      <c r="I339" s="113"/>
      <c r="J339" s="113"/>
      <c r="K339" s="28"/>
      <c r="L339" s="28"/>
      <c r="M339" s="70"/>
      <c r="N339" s="70"/>
      <c r="O339" s="70"/>
      <c r="P339" s="70"/>
      <c r="Q339" s="70"/>
      <c r="R339" s="70"/>
      <c r="S339" s="70"/>
      <c r="T339" s="70"/>
      <c r="U339" s="70"/>
      <c r="V339" s="70"/>
      <c r="W339" s="70"/>
    </row>
    <row r="340" customFormat="false" ht="12.75" hidden="false" customHeight="false" outlineLevel="0" collapsed="false">
      <c r="A340" s="32" t="n">
        <v>36855</v>
      </c>
      <c r="B340" s="111"/>
      <c r="C340" s="112"/>
      <c r="D340" s="28"/>
      <c r="E340" s="28"/>
      <c r="F340" s="28"/>
      <c r="G340" s="113"/>
      <c r="H340" s="113"/>
      <c r="I340" s="113"/>
      <c r="J340" s="113"/>
      <c r="K340" s="28"/>
      <c r="L340" s="28"/>
      <c r="M340" s="70"/>
      <c r="N340" s="70"/>
      <c r="O340" s="70"/>
      <c r="P340" s="70"/>
      <c r="Q340" s="70"/>
      <c r="R340" s="70"/>
      <c r="S340" s="70"/>
      <c r="T340" s="70"/>
      <c r="U340" s="70"/>
      <c r="V340" s="70"/>
      <c r="W340" s="70"/>
    </row>
    <row r="341" customFormat="false" ht="12.75" hidden="false" customHeight="false" outlineLevel="0" collapsed="false">
      <c r="A341" s="32" t="n">
        <v>36856</v>
      </c>
      <c r="B341" s="111"/>
      <c r="C341" s="112"/>
      <c r="D341" s="28"/>
      <c r="E341" s="28"/>
      <c r="F341" s="28"/>
      <c r="G341" s="113"/>
      <c r="H341" s="113"/>
      <c r="I341" s="113"/>
      <c r="J341" s="113"/>
      <c r="K341" s="28"/>
      <c r="L341" s="28"/>
      <c r="M341" s="70"/>
      <c r="N341" s="70"/>
      <c r="O341" s="70"/>
      <c r="P341" s="70"/>
      <c r="Q341" s="70"/>
      <c r="R341" s="70"/>
      <c r="S341" s="70"/>
      <c r="T341" s="70"/>
      <c r="U341" s="70"/>
      <c r="V341" s="70"/>
      <c r="W341" s="70"/>
    </row>
    <row r="342" customFormat="false" ht="12.75" hidden="false" customHeight="false" outlineLevel="0" collapsed="false">
      <c r="A342" s="32" t="n">
        <v>36857</v>
      </c>
      <c r="B342" s="111"/>
      <c r="C342" s="112"/>
      <c r="D342" s="28"/>
      <c r="E342" s="28"/>
      <c r="F342" s="28"/>
      <c r="G342" s="113"/>
      <c r="H342" s="113"/>
      <c r="I342" s="113"/>
      <c r="J342" s="113"/>
      <c r="K342" s="28"/>
      <c r="L342" s="28"/>
      <c r="M342" s="70"/>
      <c r="N342" s="70"/>
      <c r="O342" s="70"/>
      <c r="P342" s="70"/>
      <c r="Q342" s="70"/>
      <c r="R342" s="70"/>
      <c r="S342" s="70"/>
      <c r="T342" s="70"/>
      <c r="U342" s="70"/>
      <c r="V342" s="70"/>
      <c r="W342" s="70"/>
    </row>
    <row r="343" customFormat="false" ht="12.75" hidden="false" customHeight="false" outlineLevel="0" collapsed="false">
      <c r="A343" s="32" t="n">
        <v>36858</v>
      </c>
      <c r="B343" s="111"/>
      <c r="C343" s="112"/>
      <c r="D343" s="28"/>
      <c r="E343" s="28"/>
      <c r="F343" s="28"/>
      <c r="G343" s="113"/>
      <c r="H343" s="113"/>
      <c r="I343" s="113"/>
      <c r="J343" s="113"/>
      <c r="K343" s="28"/>
      <c r="L343" s="28"/>
      <c r="M343" s="70"/>
      <c r="N343" s="70"/>
      <c r="O343" s="70"/>
      <c r="P343" s="70"/>
      <c r="Q343" s="70"/>
      <c r="R343" s="70"/>
      <c r="S343" s="70"/>
      <c r="T343" s="70"/>
      <c r="U343" s="70"/>
      <c r="V343" s="70"/>
      <c r="W343" s="70"/>
    </row>
    <row r="344" customFormat="false" ht="12.75" hidden="false" customHeight="false" outlineLevel="0" collapsed="false">
      <c r="A344" s="32" t="n">
        <v>36859</v>
      </c>
      <c r="B344" s="111"/>
      <c r="C344" s="112"/>
      <c r="D344" s="28"/>
      <c r="E344" s="28"/>
      <c r="F344" s="28"/>
      <c r="G344" s="113"/>
      <c r="H344" s="113"/>
      <c r="I344" s="113"/>
      <c r="J344" s="113"/>
      <c r="K344" s="28"/>
      <c r="L344" s="28"/>
      <c r="M344" s="70"/>
      <c r="N344" s="70"/>
      <c r="O344" s="70"/>
      <c r="P344" s="70"/>
      <c r="Q344" s="70"/>
      <c r="R344" s="70"/>
      <c r="S344" s="70"/>
      <c r="T344" s="70"/>
      <c r="U344" s="70"/>
      <c r="V344" s="70"/>
      <c r="W344" s="70"/>
    </row>
    <row r="345" customFormat="false" ht="12.75" hidden="false" customHeight="false" outlineLevel="0" collapsed="false">
      <c r="A345" s="32" t="n">
        <v>36860</v>
      </c>
      <c r="B345" s="111"/>
      <c r="C345" s="112"/>
      <c r="D345" s="28"/>
      <c r="E345" s="28"/>
      <c r="F345" s="28"/>
      <c r="G345" s="113"/>
      <c r="H345" s="113"/>
      <c r="I345" s="113"/>
      <c r="J345" s="113"/>
      <c r="K345" s="28"/>
      <c r="L345" s="28"/>
      <c r="M345" s="70"/>
      <c r="N345" s="70"/>
      <c r="O345" s="70"/>
      <c r="P345" s="70"/>
      <c r="Q345" s="70"/>
      <c r="R345" s="70"/>
      <c r="S345" s="70"/>
      <c r="T345" s="70"/>
      <c r="U345" s="70"/>
      <c r="V345" s="70"/>
      <c r="W345" s="70"/>
    </row>
    <row r="346" customFormat="false" ht="12.75" hidden="false" customHeight="false" outlineLevel="0" collapsed="false">
      <c r="A346" s="32" t="n">
        <v>36861</v>
      </c>
      <c r="B346" s="111"/>
      <c r="C346" s="112"/>
      <c r="D346" s="28"/>
      <c r="E346" s="28"/>
      <c r="F346" s="28"/>
      <c r="G346" s="113"/>
      <c r="H346" s="113"/>
      <c r="I346" s="113"/>
      <c r="J346" s="113"/>
      <c r="K346" s="28"/>
      <c r="L346" s="28"/>
      <c r="M346" s="70"/>
      <c r="N346" s="70"/>
      <c r="O346" s="70"/>
      <c r="P346" s="70"/>
      <c r="Q346" s="70"/>
      <c r="R346" s="70"/>
      <c r="S346" s="70"/>
      <c r="T346" s="70"/>
      <c r="U346" s="70"/>
      <c r="V346" s="70"/>
      <c r="W346" s="70"/>
    </row>
    <row r="347" customFormat="false" ht="12.75" hidden="false" customHeight="false" outlineLevel="0" collapsed="false">
      <c r="A347" s="32" t="n">
        <v>36862</v>
      </c>
      <c r="B347" s="111"/>
      <c r="C347" s="112"/>
      <c r="D347" s="28"/>
      <c r="E347" s="28"/>
      <c r="F347" s="28"/>
      <c r="G347" s="113"/>
      <c r="H347" s="113"/>
      <c r="I347" s="113"/>
      <c r="J347" s="113"/>
      <c r="K347" s="28"/>
      <c r="L347" s="28"/>
      <c r="M347" s="70"/>
      <c r="N347" s="70"/>
      <c r="O347" s="70"/>
      <c r="P347" s="70"/>
      <c r="Q347" s="70"/>
      <c r="R347" s="70"/>
      <c r="S347" s="70"/>
      <c r="T347" s="70"/>
      <c r="U347" s="70"/>
      <c r="V347" s="70"/>
      <c r="W347" s="70"/>
    </row>
    <row r="348" customFormat="false" ht="12.75" hidden="false" customHeight="false" outlineLevel="0" collapsed="false">
      <c r="A348" s="32" t="n">
        <v>36863</v>
      </c>
      <c r="B348" s="111"/>
      <c r="C348" s="112"/>
      <c r="D348" s="28"/>
      <c r="E348" s="28"/>
      <c r="F348" s="28"/>
      <c r="G348" s="113"/>
      <c r="H348" s="113"/>
      <c r="I348" s="113"/>
      <c r="J348" s="113"/>
      <c r="K348" s="28"/>
      <c r="L348" s="28"/>
      <c r="M348" s="70"/>
      <c r="N348" s="70"/>
      <c r="O348" s="70"/>
      <c r="P348" s="70"/>
      <c r="Q348" s="70"/>
      <c r="R348" s="70"/>
      <c r="S348" s="70"/>
      <c r="T348" s="70"/>
      <c r="U348" s="70"/>
      <c r="V348" s="70"/>
      <c r="W348" s="70"/>
    </row>
    <row r="349" customFormat="false" ht="12.75" hidden="false" customHeight="false" outlineLevel="0" collapsed="false">
      <c r="A349" s="32" t="n">
        <v>36864</v>
      </c>
      <c r="B349" s="111"/>
      <c r="C349" s="112"/>
      <c r="D349" s="28"/>
      <c r="E349" s="28"/>
      <c r="F349" s="28"/>
      <c r="G349" s="113"/>
      <c r="H349" s="113"/>
      <c r="I349" s="113"/>
      <c r="J349" s="113"/>
      <c r="K349" s="28"/>
      <c r="L349" s="28"/>
      <c r="M349" s="70"/>
      <c r="N349" s="70"/>
      <c r="O349" s="70"/>
      <c r="P349" s="70"/>
      <c r="Q349" s="70"/>
      <c r="R349" s="70"/>
      <c r="S349" s="70"/>
      <c r="T349" s="70"/>
      <c r="U349" s="70"/>
      <c r="V349" s="70"/>
      <c r="W349" s="70"/>
    </row>
    <row r="350" customFormat="false" ht="12.75" hidden="false" customHeight="false" outlineLevel="0" collapsed="false">
      <c r="A350" s="32" t="n">
        <v>36865</v>
      </c>
      <c r="B350" s="111"/>
      <c r="C350" s="112"/>
      <c r="D350" s="28"/>
      <c r="E350" s="28"/>
      <c r="F350" s="28"/>
      <c r="G350" s="113"/>
      <c r="H350" s="113"/>
      <c r="I350" s="113"/>
      <c r="J350" s="113"/>
      <c r="K350" s="28"/>
      <c r="L350" s="28"/>
      <c r="M350" s="70"/>
      <c r="N350" s="70"/>
      <c r="O350" s="70"/>
      <c r="P350" s="70"/>
      <c r="Q350" s="70"/>
      <c r="R350" s="70"/>
      <c r="S350" s="70"/>
      <c r="T350" s="70"/>
      <c r="U350" s="70"/>
      <c r="V350" s="70"/>
      <c r="W350" s="70"/>
    </row>
    <row r="351" customFormat="false" ht="12.75" hidden="false" customHeight="false" outlineLevel="0" collapsed="false">
      <c r="A351" s="32" t="n">
        <v>36866</v>
      </c>
      <c r="B351" s="111"/>
      <c r="C351" s="112"/>
      <c r="D351" s="28"/>
      <c r="E351" s="28"/>
      <c r="F351" s="28"/>
      <c r="G351" s="113"/>
      <c r="H351" s="113"/>
      <c r="I351" s="113"/>
      <c r="J351" s="113"/>
      <c r="K351" s="28"/>
      <c r="L351" s="28"/>
      <c r="M351" s="70"/>
      <c r="N351" s="70"/>
      <c r="O351" s="70"/>
      <c r="P351" s="70"/>
      <c r="Q351" s="70"/>
      <c r="R351" s="70"/>
      <c r="S351" s="70"/>
      <c r="T351" s="70"/>
      <c r="U351" s="70"/>
      <c r="V351" s="70"/>
      <c r="W351" s="70"/>
    </row>
    <row r="352" customFormat="false" ht="12.75" hidden="false" customHeight="false" outlineLevel="0" collapsed="false">
      <c r="A352" s="32" t="n">
        <v>36867</v>
      </c>
      <c r="B352" s="111"/>
      <c r="C352" s="112"/>
      <c r="D352" s="28"/>
      <c r="E352" s="28"/>
      <c r="F352" s="28"/>
      <c r="G352" s="113"/>
      <c r="H352" s="113"/>
      <c r="I352" s="113"/>
      <c r="J352" s="113"/>
      <c r="K352" s="28"/>
      <c r="L352" s="28"/>
      <c r="M352" s="70"/>
      <c r="N352" s="70"/>
      <c r="O352" s="70"/>
      <c r="P352" s="70"/>
      <c r="Q352" s="70"/>
      <c r="R352" s="70"/>
      <c r="S352" s="70"/>
      <c r="T352" s="70"/>
      <c r="U352" s="70"/>
      <c r="V352" s="70"/>
      <c r="W352" s="70"/>
    </row>
    <row r="353" customFormat="false" ht="12.75" hidden="false" customHeight="false" outlineLevel="0" collapsed="false">
      <c r="A353" s="32" t="n">
        <v>36868</v>
      </c>
      <c r="B353" s="111"/>
      <c r="C353" s="112"/>
      <c r="D353" s="28"/>
      <c r="E353" s="28"/>
      <c r="F353" s="28"/>
      <c r="G353" s="113"/>
      <c r="H353" s="113"/>
      <c r="I353" s="113"/>
      <c r="J353" s="113"/>
      <c r="K353" s="28"/>
      <c r="L353" s="28"/>
      <c r="M353" s="70"/>
      <c r="N353" s="70"/>
      <c r="O353" s="70"/>
      <c r="P353" s="70"/>
      <c r="Q353" s="70"/>
      <c r="R353" s="70"/>
      <c r="S353" s="70"/>
      <c r="T353" s="70"/>
      <c r="U353" s="70"/>
      <c r="V353" s="70"/>
      <c r="W353" s="70"/>
    </row>
    <row r="354" customFormat="false" ht="12.75" hidden="false" customHeight="false" outlineLevel="0" collapsed="false">
      <c r="A354" s="32" t="n">
        <v>36869</v>
      </c>
      <c r="B354" s="111"/>
      <c r="C354" s="112"/>
      <c r="D354" s="28"/>
      <c r="E354" s="28"/>
      <c r="F354" s="28"/>
      <c r="G354" s="113"/>
      <c r="H354" s="113"/>
      <c r="I354" s="113"/>
      <c r="J354" s="113"/>
      <c r="K354" s="28"/>
      <c r="L354" s="28"/>
      <c r="M354" s="70"/>
      <c r="N354" s="70"/>
      <c r="O354" s="70"/>
      <c r="P354" s="70"/>
      <c r="Q354" s="70"/>
      <c r="R354" s="70"/>
      <c r="S354" s="70"/>
      <c r="T354" s="70"/>
      <c r="U354" s="70"/>
      <c r="V354" s="70"/>
      <c r="W354" s="70"/>
    </row>
    <row r="355" customFormat="false" ht="12.75" hidden="false" customHeight="false" outlineLevel="0" collapsed="false">
      <c r="A355" s="32" t="n">
        <v>36870</v>
      </c>
      <c r="B355" s="111"/>
      <c r="C355" s="112"/>
      <c r="D355" s="28"/>
      <c r="E355" s="28"/>
      <c r="F355" s="28"/>
      <c r="G355" s="113"/>
      <c r="H355" s="113"/>
      <c r="I355" s="113"/>
      <c r="J355" s="113"/>
      <c r="K355" s="28"/>
      <c r="L355" s="28"/>
      <c r="M355" s="70"/>
      <c r="N355" s="70"/>
      <c r="O355" s="70"/>
      <c r="P355" s="70"/>
      <c r="Q355" s="70"/>
      <c r="R355" s="70"/>
      <c r="S355" s="70"/>
      <c r="T355" s="70"/>
      <c r="U355" s="70"/>
      <c r="V355" s="70"/>
      <c r="W355" s="70"/>
    </row>
    <row r="356" customFormat="false" ht="12.75" hidden="false" customHeight="false" outlineLevel="0" collapsed="false">
      <c r="A356" s="32" t="n">
        <v>36871</v>
      </c>
      <c r="B356" s="111"/>
      <c r="C356" s="112"/>
      <c r="D356" s="28"/>
      <c r="E356" s="28"/>
      <c r="F356" s="28"/>
      <c r="G356" s="113"/>
      <c r="H356" s="113"/>
      <c r="I356" s="113"/>
      <c r="J356" s="113"/>
      <c r="K356" s="28"/>
      <c r="L356" s="28"/>
      <c r="M356" s="70"/>
      <c r="N356" s="70"/>
      <c r="O356" s="70"/>
      <c r="P356" s="70"/>
      <c r="Q356" s="70"/>
      <c r="R356" s="70"/>
      <c r="S356" s="70"/>
      <c r="T356" s="70"/>
      <c r="U356" s="70"/>
      <c r="V356" s="70"/>
      <c r="W356" s="70"/>
    </row>
    <row r="357" customFormat="false" ht="12.75" hidden="false" customHeight="false" outlineLevel="0" collapsed="false">
      <c r="A357" s="32" t="n">
        <v>36872</v>
      </c>
      <c r="B357" s="111"/>
      <c r="C357" s="112"/>
      <c r="D357" s="28"/>
      <c r="E357" s="28"/>
      <c r="F357" s="28"/>
      <c r="G357" s="113"/>
      <c r="H357" s="113"/>
      <c r="I357" s="113"/>
      <c r="J357" s="113"/>
      <c r="K357" s="28"/>
      <c r="L357" s="28"/>
      <c r="M357" s="70"/>
      <c r="N357" s="70"/>
      <c r="O357" s="70"/>
      <c r="P357" s="70"/>
      <c r="Q357" s="70"/>
      <c r="R357" s="70"/>
      <c r="S357" s="70"/>
      <c r="T357" s="70"/>
      <c r="U357" s="70"/>
      <c r="V357" s="70"/>
      <c r="W357" s="70"/>
    </row>
    <row r="358" customFormat="false" ht="12.75" hidden="false" customHeight="false" outlineLevel="0" collapsed="false">
      <c r="A358" s="32" t="n">
        <v>36873</v>
      </c>
      <c r="B358" s="111"/>
      <c r="C358" s="112"/>
      <c r="D358" s="28"/>
      <c r="E358" s="28"/>
      <c r="F358" s="28"/>
      <c r="G358" s="113"/>
      <c r="H358" s="113"/>
      <c r="I358" s="113"/>
      <c r="J358" s="113"/>
      <c r="K358" s="28"/>
      <c r="L358" s="28"/>
      <c r="M358" s="70"/>
      <c r="N358" s="70"/>
      <c r="O358" s="70"/>
      <c r="P358" s="70"/>
      <c r="Q358" s="70"/>
      <c r="R358" s="70"/>
      <c r="S358" s="70"/>
      <c r="T358" s="70"/>
      <c r="U358" s="70"/>
      <c r="V358" s="70"/>
      <c r="W358" s="70"/>
    </row>
    <row r="359" customFormat="false" ht="12.75" hidden="false" customHeight="false" outlineLevel="0" collapsed="false">
      <c r="A359" s="32" t="n">
        <v>36874</v>
      </c>
      <c r="B359" s="111"/>
      <c r="C359" s="112"/>
      <c r="D359" s="28"/>
      <c r="E359" s="28"/>
      <c r="F359" s="28"/>
      <c r="G359" s="113"/>
      <c r="H359" s="113"/>
      <c r="I359" s="113"/>
      <c r="J359" s="113"/>
      <c r="K359" s="28"/>
      <c r="L359" s="28"/>
      <c r="M359" s="70"/>
      <c r="N359" s="70"/>
      <c r="O359" s="70"/>
      <c r="P359" s="70"/>
      <c r="Q359" s="70"/>
      <c r="R359" s="70"/>
      <c r="S359" s="70"/>
      <c r="T359" s="70"/>
      <c r="U359" s="70"/>
      <c r="V359" s="70"/>
      <c r="W359" s="70"/>
    </row>
    <row r="360" customFormat="false" ht="12.75" hidden="false" customHeight="false" outlineLevel="0" collapsed="false">
      <c r="A360" s="32" t="n">
        <v>36875</v>
      </c>
      <c r="B360" s="111"/>
      <c r="C360" s="112"/>
      <c r="D360" s="28"/>
      <c r="E360" s="28"/>
      <c r="F360" s="28"/>
      <c r="G360" s="113"/>
      <c r="H360" s="113"/>
      <c r="I360" s="113"/>
      <c r="J360" s="113"/>
      <c r="K360" s="28"/>
      <c r="L360" s="28"/>
      <c r="M360" s="70"/>
      <c r="N360" s="70"/>
      <c r="O360" s="70"/>
      <c r="P360" s="70"/>
      <c r="Q360" s="70"/>
      <c r="R360" s="70"/>
      <c r="S360" s="70"/>
      <c r="T360" s="70"/>
      <c r="U360" s="70"/>
      <c r="V360" s="70"/>
      <c r="W360" s="70"/>
    </row>
    <row r="361" customFormat="false" ht="12.75" hidden="false" customHeight="false" outlineLevel="0" collapsed="false">
      <c r="A361" s="32" t="n">
        <v>36876</v>
      </c>
      <c r="B361" s="111"/>
      <c r="C361" s="112"/>
      <c r="D361" s="28"/>
      <c r="E361" s="28"/>
      <c r="F361" s="28"/>
      <c r="G361" s="113"/>
      <c r="H361" s="113"/>
      <c r="I361" s="113"/>
      <c r="J361" s="113"/>
      <c r="K361" s="28"/>
      <c r="L361" s="28"/>
      <c r="M361" s="70"/>
      <c r="N361" s="70"/>
      <c r="O361" s="70"/>
      <c r="P361" s="70"/>
      <c r="Q361" s="70"/>
      <c r="R361" s="70"/>
      <c r="S361" s="70"/>
      <c r="T361" s="70"/>
      <c r="U361" s="70"/>
      <c r="V361" s="70"/>
      <c r="W361" s="70"/>
    </row>
    <row r="362" customFormat="false" ht="12.75" hidden="false" customHeight="false" outlineLevel="0" collapsed="false">
      <c r="A362" s="32" t="n">
        <v>36877</v>
      </c>
      <c r="B362" s="111"/>
      <c r="C362" s="112"/>
      <c r="D362" s="28"/>
      <c r="E362" s="28"/>
      <c r="F362" s="28"/>
      <c r="G362" s="113"/>
      <c r="H362" s="113"/>
      <c r="I362" s="113"/>
      <c r="J362" s="113"/>
      <c r="K362" s="28"/>
      <c r="L362" s="28"/>
      <c r="M362" s="70"/>
      <c r="N362" s="70"/>
      <c r="O362" s="70"/>
      <c r="P362" s="70"/>
      <c r="Q362" s="70"/>
      <c r="R362" s="70"/>
      <c r="S362" s="70"/>
      <c r="T362" s="70"/>
      <c r="U362" s="70"/>
      <c r="V362" s="70"/>
      <c r="W362" s="70"/>
    </row>
    <row r="363" customFormat="false" ht="12.75" hidden="false" customHeight="false" outlineLevel="0" collapsed="false">
      <c r="A363" s="32" t="n">
        <v>36878</v>
      </c>
      <c r="B363" s="111"/>
      <c r="C363" s="112"/>
      <c r="D363" s="28"/>
      <c r="E363" s="28"/>
      <c r="F363" s="28"/>
      <c r="G363" s="113"/>
      <c r="H363" s="113"/>
      <c r="I363" s="113"/>
      <c r="J363" s="113"/>
      <c r="K363" s="28"/>
      <c r="L363" s="28"/>
      <c r="M363" s="70"/>
      <c r="N363" s="70"/>
      <c r="O363" s="70"/>
      <c r="P363" s="70"/>
      <c r="Q363" s="70"/>
      <c r="R363" s="70"/>
      <c r="S363" s="70"/>
      <c r="T363" s="70"/>
      <c r="U363" s="70"/>
      <c r="V363" s="70"/>
      <c r="W363" s="70"/>
    </row>
    <row r="364" customFormat="false" ht="12.75" hidden="false" customHeight="false" outlineLevel="0" collapsed="false">
      <c r="A364" s="32" t="n">
        <v>36879</v>
      </c>
      <c r="B364" s="111"/>
      <c r="C364" s="112"/>
      <c r="D364" s="28"/>
      <c r="E364" s="28"/>
      <c r="F364" s="28"/>
      <c r="G364" s="113"/>
      <c r="H364" s="113"/>
      <c r="I364" s="113"/>
      <c r="J364" s="113"/>
      <c r="K364" s="28"/>
      <c r="L364" s="28"/>
      <c r="M364" s="70"/>
      <c r="N364" s="70"/>
      <c r="O364" s="70"/>
      <c r="P364" s="70"/>
      <c r="Q364" s="70"/>
      <c r="R364" s="70"/>
      <c r="S364" s="70"/>
      <c r="T364" s="70"/>
      <c r="U364" s="70"/>
      <c r="V364" s="70"/>
      <c r="W364" s="70"/>
    </row>
    <row r="365" customFormat="false" ht="12.75" hidden="false" customHeight="false" outlineLevel="0" collapsed="false">
      <c r="A365" s="32" t="n">
        <v>36880</v>
      </c>
      <c r="B365" s="111"/>
      <c r="C365" s="112"/>
      <c r="D365" s="28"/>
      <c r="E365" s="28"/>
      <c r="F365" s="28"/>
      <c r="G365" s="113"/>
      <c r="H365" s="113"/>
      <c r="I365" s="113"/>
      <c r="J365" s="113"/>
      <c r="K365" s="28"/>
      <c r="L365" s="28"/>
      <c r="M365" s="70"/>
      <c r="N365" s="70"/>
      <c r="O365" s="70"/>
      <c r="P365" s="70"/>
      <c r="Q365" s="70"/>
      <c r="R365" s="70"/>
      <c r="S365" s="70"/>
      <c r="T365" s="70"/>
      <c r="U365" s="70"/>
      <c r="V365" s="70"/>
      <c r="W365" s="70"/>
    </row>
    <row r="366" customFormat="false" ht="12.75" hidden="false" customHeight="false" outlineLevel="0" collapsed="false">
      <c r="A366" s="32" t="n">
        <v>36881</v>
      </c>
      <c r="B366" s="111"/>
      <c r="C366" s="112"/>
      <c r="D366" s="28"/>
      <c r="E366" s="28"/>
      <c r="F366" s="28"/>
      <c r="G366" s="113"/>
      <c r="H366" s="113"/>
      <c r="I366" s="113"/>
      <c r="J366" s="113"/>
      <c r="K366" s="28"/>
      <c r="L366" s="28"/>
      <c r="M366" s="70"/>
      <c r="N366" s="70"/>
      <c r="O366" s="70"/>
      <c r="P366" s="70"/>
      <c r="Q366" s="70"/>
      <c r="R366" s="70"/>
      <c r="S366" s="70"/>
      <c r="T366" s="70"/>
      <c r="U366" s="70"/>
      <c r="V366" s="70"/>
      <c r="W366" s="70"/>
    </row>
    <row r="367" customFormat="false" ht="12.75" hidden="false" customHeight="false" outlineLevel="0" collapsed="false">
      <c r="A367" s="32" t="n">
        <v>36882</v>
      </c>
      <c r="B367" s="111"/>
      <c r="C367" s="112"/>
      <c r="D367" s="28"/>
      <c r="E367" s="28"/>
      <c r="F367" s="28"/>
      <c r="G367" s="113"/>
      <c r="H367" s="113"/>
      <c r="I367" s="113"/>
      <c r="J367" s="113"/>
      <c r="K367" s="28"/>
      <c r="L367" s="28"/>
      <c r="M367" s="70"/>
      <c r="N367" s="70"/>
      <c r="O367" s="70"/>
      <c r="P367" s="70"/>
      <c r="Q367" s="70"/>
      <c r="R367" s="70"/>
      <c r="S367" s="70"/>
      <c r="T367" s="70"/>
      <c r="U367" s="70"/>
      <c r="V367" s="70"/>
      <c r="W367" s="70"/>
    </row>
    <row r="368" customFormat="false" ht="12.75" hidden="false" customHeight="false" outlineLevel="0" collapsed="false">
      <c r="A368" s="32" t="n">
        <v>36883</v>
      </c>
      <c r="B368" s="111"/>
      <c r="C368" s="112"/>
      <c r="D368" s="28"/>
      <c r="E368" s="28"/>
      <c r="F368" s="28"/>
      <c r="G368" s="113"/>
      <c r="H368" s="113"/>
      <c r="I368" s="113"/>
      <c r="J368" s="113"/>
      <c r="K368" s="28"/>
      <c r="L368" s="28"/>
      <c r="M368" s="70"/>
      <c r="N368" s="70"/>
      <c r="O368" s="70"/>
      <c r="P368" s="70"/>
      <c r="Q368" s="70"/>
      <c r="R368" s="70"/>
      <c r="S368" s="70"/>
      <c r="T368" s="70"/>
      <c r="U368" s="70"/>
      <c r="V368" s="70"/>
      <c r="W368" s="70"/>
    </row>
    <row r="369" customFormat="false" ht="12.75" hidden="false" customHeight="false" outlineLevel="0" collapsed="false">
      <c r="A369" s="32" t="n">
        <v>36884</v>
      </c>
      <c r="B369" s="111"/>
      <c r="C369" s="112"/>
      <c r="D369" s="28"/>
      <c r="E369" s="28"/>
      <c r="F369" s="28"/>
      <c r="G369" s="113"/>
      <c r="H369" s="113"/>
      <c r="I369" s="113"/>
      <c r="J369" s="113"/>
      <c r="K369" s="28"/>
      <c r="L369" s="28"/>
      <c r="M369" s="70"/>
      <c r="N369" s="70"/>
      <c r="O369" s="70"/>
      <c r="P369" s="70"/>
      <c r="Q369" s="70"/>
      <c r="R369" s="70"/>
      <c r="S369" s="70"/>
      <c r="T369" s="70"/>
      <c r="U369" s="70"/>
      <c r="V369" s="70"/>
      <c r="W369" s="70"/>
    </row>
    <row r="370" customFormat="false" ht="12.75" hidden="false" customHeight="false" outlineLevel="0" collapsed="false">
      <c r="A370" s="32" t="n">
        <v>36885</v>
      </c>
      <c r="B370" s="111"/>
      <c r="C370" s="112"/>
      <c r="D370" s="28"/>
      <c r="E370" s="28"/>
      <c r="F370" s="28"/>
      <c r="G370" s="113"/>
      <c r="H370" s="113"/>
      <c r="I370" s="113"/>
      <c r="J370" s="113"/>
      <c r="K370" s="28"/>
      <c r="L370" s="28"/>
      <c r="M370" s="70"/>
      <c r="N370" s="70"/>
      <c r="O370" s="70"/>
      <c r="P370" s="70"/>
      <c r="Q370" s="70"/>
      <c r="R370" s="70"/>
      <c r="S370" s="70"/>
      <c r="T370" s="70"/>
      <c r="U370" s="70"/>
      <c r="V370" s="70"/>
      <c r="W370" s="70"/>
    </row>
    <row r="371" customFormat="false" ht="12.75" hidden="false" customHeight="false" outlineLevel="0" collapsed="false">
      <c r="A371" s="32" t="n">
        <v>36886</v>
      </c>
      <c r="B371" s="111"/>
      <c r="C371" s="112"/>
      <c r="D371" s="28"/>
      <c r="E371" s="28"/>
      <c r="F371" s="28"/>
      <c r="G371" s="113"/>
      <c r="H371" s="113"/>
      <c r="I371" s="113"/>
      <c r="J371" s="113"/>
      <c r="K371" s="28"/>
      <c r="L371" s="28"/>
      <c r="M371" s="70"/>
      <c r="N371" s="70"/>
      <c r="O371" s="70"/>
      <c r="P371" s="70"/>
      <c r="Q371" s="70"/>
      <c r="R371" s="70"/>
      <c r="S371" s="70"/>
      <c r="T371" s="70"/>
      <c r="U371" s="70"/>
      <c r="V371" s="70"/>
      <c r="W371" s="70"/>
    </row>
    <row r="372" customFormat="false" ht="12.75" hidden="false" customHeight="false" outlineLevel="0" collapsed="false">
      <c r="A372" s="32" t="n">
        <v>36887</v>
      </c>
      <c r="B372" s="111"/>
      <c r="C372" s="112"/>
      <c r="D372" s="28"/>
      <c r="E372" s="28"/>
      <c r="F372" s="28"/>
      <c r="G372" s="113"/>
      <c r="H372" s="113"/>
      <c r="I372" s="113"/>
      <c r="J372" s="113"/>
      <c r="K372" s="28"/>
      <c r="L372" s="28"/>
      <c r="M372" s="70"/>
      <c r="N372" s="70"/>
      <c r="O372" s="70"/>
      <c r="P372" s="70"/>
      <c r="Q372" s="70"/>
      <c r="R372" s="70"/>
      <c r="S372" s="70"/>
      <c r="T372" s="70"/>
      <c r="U372" s="70"/>
      <c r="V372" s="70"/>
      <c r="W372" s="70"/>
    </row>
    <row r="373" customFormat="false" ht="12.75" hidden="false" customHeight="false" outlineLevel="0" collapsed="false">
      <c r="A373" s="32" t="n">
        <v>36888</v>
      </c>
      <c r="B373" s="111"/>
      <c r="C373" s="112"/>
      <c r="D373" s="28"/>
      <c r="E373" s="28"/>
      <c r="F373" s="28"/>
      <c r="G373" s="113"/>
      <c r="H373" s="113"/>
      <c r="I373" s="113"/>
      <c r="J373" s="113"/>
      <c r="K373" s="28"/>
      <c r="L373" s="28"/>
      <c r="M373" s="70"/>
      <c r="N373" s="70"/>
      <c r="O373" s="70"/>
      <c r="P373" s="70"/>
      <c r="Q373" s="70"/>
      <c r="R373" s="70"/>
      <c r="S373" s="70"/>
      <c r="T373" s="70"/>
      <c r="U373" s="70"/>
      <c r="V373" s="70"/>
      <c r="W373" s="70"/>
    </row>
    <row r="374" customFormat="false" ht="12.75" hidden="false" customHeight="false" outlineLevel="0" collapsed="false">
      <c r="A374" s="32" t="n">
        <v>36889</v>
      </c>
      <c r="B374" s="111"/>
      <c r="C374" s="112"/>
      <c r="D374" s="28"/>
      <c r="E374" s="28"/>
      <c r="F374" s="28"/>
      <c r="G374" s="113"/>
      <c r="H374" s="113"/>
      <c r="I374" s="113"/>
      <c r="J374" s="113"/>
      <c r="K374" s="28"/>
      <c r="L374" s="28"/>
      <c r="M374" s="70"/>
      <c r="N374" s="70"/>
      <c r="O374" s="70"/>
      <c r="P374" s="70"/>
      <c r="Q374" s="70"/>
      <c r="R374" s="70"/>
      <c r="S374" s="70"/>
      <c r="T374" s="70"/>
      <c r="U374" s="70"/>
      <c r="V374" s="70"/>
      <c r="W374" s="70"/>
    </row>
    <row r="375" customFormat="false" ht="12.75" hidden="false" customHeight="false" outlineLevel="0" collapsed="false">
      <c r="A375" s="32" t="n">
        <v>36890</v>
      </c>
      <c r="B375" s="111"/>
      <c r="C375" s="112"/>
      <c r="D375" s="28"/>
      <c r="E375" s="28"/>
      <c r="F375" s="28"/>
      <c r="G375" s="113"/>
      <c r="H375" s="113"/>
      <c r="I375" s="113"/>
      <c r="J375" s="113"/>
      <c r="K375" s="28"/>
      <c r="L375" s="28"/>
      <c r="M375" s="70"/>
      <c r="N375" s="70"/>
      <c r="O375" s="70"/>
      <c r="P375" s="70"/>
      <c r="Q375" s="70"/>
      <c r="R375" s="70"/>
      <c r="S375" s="70"/>
      <c r="T375" s="70"/>
      <c r="U375" s="70"/>
      <c r="V375" s="70"/>
      <c r="W375" s="70"/>
    </row>
    <row r="376" customFormat="false" ht="12.75" hidden="false" customHeight="false" outlineLevel="0" collapsed="false">
      <c r="A376" s="32" t="n">
        <v>36891</v>
      </c>
      <c r="B376" s="111"/>
      <c r="C376" s="112"/>
      <c r="D376" s="28"/>
      <c r="E376" s="28"/>
      <c r="F376" s="28"/>
      <c r="G376" s="113"/>
      <c r="H376" s="113"/>
      <c r="I376" s="113"/>
      <c r="J376" s="113"/>
      <c r="K376" s="28"/>
      <c r="L376" s="28"/>
      <c r="M376" s="70"/>
      <c r="N376" s="70"/>
      <c r="O376" s="70"/>
      <c r="P376" s="70"/>
      <c r="Q376" s="70"/>
      <c r="R376" s="70"/>
      <c r="S376" s="70"/>
      <c r="T376" s="70"/>
      <c r="U376" s="70"/>
      <c r="V376" s="70"/>
      <c r="W376" s="70"/>
    </row>
    <row r="377" customFormat="false" ht="12.75" hidden="false" customHeight="false" outlineLevel="0" collapsed="false">
      <c r="A377" s="32" t="n">
        <v>36892</v>
      </c>
      <c r="B377" s="111"/>
      <c r="C377" s="112"/>
      <c r="D377" s="28"/>
      <c r="E377" s="28"/>
      <c r="F377" s="28"/>
      <c r="G377" s="113"/>
      <c r="H377" s="113"/>
      <c r="I377" s="113"/>
      <c r="J377" s="113"/>
      <c r="K377" s="28"/>
      <c r="L377" s="28"/>
      <c r="M377" s="70"/>
      <c r="N377" s="70"/>
      <c r="O377" s="70"/>
      <c r="P377" s="70"/>
      <c r="Q377" s="70"/>
      <c r="R377" s="70"/>
      <c r="S377" s="70"/>
      <c r="T377" s="70"/>
      <c r="U377" s="70"/>
      <c r="V377" s="70"/>
      <c r="W377" s="70"/>
    </row>
    <row r="378" customFormat="false" ht="12.75" hidden="false" customHeight="false" outlineLevel="0" collapsed="false">
      <c r="A378" s="32" t="n">
        <v>36893</v>
      </c>
      <c r="B378" s="111"/>
      <c r="C378" s="112"/>
      <c r="D378" s="28"/>
      <c r="E378" s="28"/>
      <c r="F378" s="28"/>
      <c r="G378" s="113"/>
      <c r="H378" s="113"/>
      <c r="I378" s="113"/>
      <c r="J378" s="113"/>
      <c r="K378" s="28"/>
      <c r="L378" s="28"/>
      <c r="M378" s="70"/>
      <c r="N378" s="70"/>
      <c r="O378" s="70"/>
      <c r="P378" s="70"/>
      <c r="Q378" s="70"/>
      <c r="R378" s="70"/>
      <c r="S378" s="70"/>
      <c r="T378" s="70"/>
      <c r="U378" s="70"/>
      <c r="V378" s="70"/>
      <c r="W378" s="70"/>
    </row>
    <row r="379" customFormat="false" ht="12.75" hidden="false" customHeight="false" outlineLevel="0" collapsed="false">
      <c r="A379" s="32" t="n">
        <v>36894</v>
      </c>
      <c r="B379" s="111"/>
      <c r="C379" s="112"/>
      <c r="D379" s="28"/>
      <c r="E379" s="28"/>
      <c r="F379" s="28"/>
      <c r="G379" s="113"/>
      <c r="H379" s="113"/>
      <c r="I379" s="113"/>
      <c r="J379" s="113"/>
      <c r="K379" s="28"/>
      <c r="L379" s="28"/>
      <c r="M379" s="70"/>
      <c r="N379" s="70"/>
      <c r="O379" s="70"/>
      <c r="P379" s="70"/>
      <c r="Q379" s="70"/>
      <c r="R379" s="70"/>
      <c r="S379" s="70"/>
      <c r="T379" s="70"/>
      <c r="U379" s="70"/>
      <c r="V379" s="70"/>
      <c r="W379" s="70"/>
    </row>
    <row r="380" customFormat="false" ht="12.75" hidden="false" customHeight="false" outlineLevel="0" collapsed="false">
      <c r="A380" s="32" t="n">
        <v>36895</v>
      </c>
      <c r="B380" s="111"/>
      <c r="C380" s="112"/>
      <c r="D380" s="28"/>
      <c r="E380" s="28"/>
      <c r="F380" s="28"/>
      <c r="G380" s="113"/>
      <c r="H380" s="113"/>
      <c r="I380" s="113"/>
      <c r="J380" s="113"/>
      <c r="K380" s="28"/>
      <c r="L380" s="28"/>
      <c r="M380" s="70"/>
      <c r="N380" s="70"/>
      <c r="O380" s="70"/>
      <c r="P380" s="70"/>
      <c r="Q380" s="70"/>
      <c r="R380" s="70"/>
      <c r="S380" s="70"/>
      <c r="T380" s="70"/>
      <c r="U380" s="70"/>
      <c r="V380" s="70"/>
      <c r="W380" s="70"/>
    </row>
    <row r="381" customFormat="false" ht="12.75" hidden="false" customHeight="false" outlineLevel="0" collapsed="false">
      <c r="A381" s="32" t="n">
        <v>36896</v>
      </c>
      <c r="B381" s="111"/>
      <c r="C381" s="112"/>
      <c r="D381" s="28"/>
      <c r="E381" s="28"/>
      <c r="F381" s="28"/>
      <c r="G381" s="113"/>
      <c r="H381" s="113"/>
      <c r="I381" s="113"/>
      <c r="J381" s="113"/>
      <c r="K381" s="28"/>
      <c r="L381" s="28"/>
      <c r="M381" s="70"/>
      <c r="N381" s="70"/>
      <c r="O381" s="70"/>
      <c r="P381" s="70"/>
      <c r="Q381" s="70"/>
      <c r="R381" s="70"/>
      <c r="S381" s="70"/>
      <c r="T381" s="70"/>
      <c r="U381" s="70"/>
      <c r="V381" s="70"/>
      <c r="W381" s="70"/>
    </row>
    <row r="382" customFormat="false" ht="12.75" hidden="false" customHeight="false" outlineLevel="0" collapsed="false">
      <c r="A382" s="32" t="n">
        <v>36897</v>
      </c>
      <c r="B382" s="111"/>
      <c r="C382" s="112"/>
      <c r="D382" s="28"/>
      <c r="E382" s="28"/>
      <c r="F382" s="28"/>
      <c r="G382" s="113"/>
      <c r="H382" s="113"/>
      <c r="I382" s="113"/>
      <c r="J382" s="113"/>
      <c r="K382" s="28"/>
      <c r="L382" s="28"/>
      <c r="M382" s="70"/>
      <c r="N382" s="70"/>
      <c r="O382" s="70"/>
      <c r="P382" s="70"/>
      <c r="Q382" s="70"/>
      <c r="R382" s="70"/>
      <c r="S382" s="70"/>
      <c r="T382" s="70"/>
      <c r="U382" s="70"/>
      <c r="V382" s="70"/>
      <c r="W382" s="70"/>
    </row>
    <row r="383" customFormat="false" ht="12.75" hidden="false" customHeight="false" outlineLevel="0" collapsed="false">
      <c r="A383" s="32" t="n">
        <v>36898</v>
      </c>
      <c r="B383" s="111"/>
      <c r="C383" s="112"/>
      <c r="D383" s="28"/>
      <c r="E383" s="28"/>
      <c r="F383" s="28"/>
      <c r="G383" s="113"/>
      <c r="H383" s="113"/>
      <c r="I383" s="113"/>
      <c r="J383" s="113"/>
      <c r="K383" s="28"/>
      <c r="L383" s="28"/>
      <c r="M383" s="70"/>
      <c r="N383" s="70"/>
      <c r="O383" s="70"/>
      <c r="P383" s="70"/>
      <c r="Q383" s="70"/>
      <c r="R383" s="70"/>
      <c r="S383" s="70"/>
      <c r="T383" s="70"/>
      <c r="U383" s="70"/>
      <c r="V383" s="70"/>
      <c r="W383" s="70"/>
    </row>
    <row r="384" customFormat="false" ht="12.75" hidden="false" customHeight="false" outlineLevel="0" collapsed="false">
      <c r="A384" s="32" t="n">
        <v>36899</v>
      </c>
      <c r="B384" s="111"/>
      <c r="C384" s="112"/>
      <c r="D384" s="28"/>
      <c r="E384" s="28"/>
      <c r="F384" s="28"/>
      <c r="G384" s="113"/>
      <c r="H384" s="113"/>
      <c r="I384" s="113"/>
      <c r="J384" s="113"/>
      <c r="K384" s="28"/>
      <c r="L384" s="28"/>
      <c r="M384" s="70"/>
      <c r="N384" s="70"/>
      <c r="O384" s="70"/>
      <c r="P384" s="70"/>
      <c r="Q384" s="70"/>
      <c r="R384" s="70"/>
      <c r="S384" s="70"/>
      <c r="T384" s="70"/>
      <c r="U384" s="70"/>
      <c r="V384" s="70"/>
      <c r="W384" s="70"/>
    </row>
    <row r="385" customFormat="false" ht="12.75" hidden="false" customHeight="false" outlineLevel="0" collapsed="false">
      <c r="A385" s="32" t="n">
        <v>36900</v>
      </c>
      <c r="B385" s="111"/>
      <c r="C385" s="112"/>
      <c r="D385" s="28"/>
      <c r="E385" s="28"/>
      <c r="F385" s="28"/>
      <c r="G385" s="113"/>
      <c r="H385" s="113"/>
      <c r="I385" s="113"/>
      <c r="J385" s="113"/>
      <c r="K385" s="28"/>
      <c r="L385" s="28"/>
      <c r="M385" s="70"/>
      <c r="N385" s="70"/>
      <c r="O385" s="70"/>
      <c r="P385" s="70"/>
      <c r="Q385" s="70"/>
      <c r="R385" s="70"/>
      <c r="S385" s="70"/>
      <c r="T385" s="70"/>
      <c r="U385" s="70"/>
      <c r="V385" s="70"/>
      <c r="W385" s="70"/>
    </row>
    <row r="386" customFormat="false" ht="12.75" hidden="false" customHeight="false" outlineLevel="0" collapsed="false">
      <c r="A386" s="32" t="n">
        <v>36901</v>
      </c>
      <c r="B386" s="111"/>
      <c r="C386" s="112"/>
      <c r="D386" s="28"/>
      <c r="E386" s="28"/>
      <c r="F386" s="28"/>
      <c r="G386" s="113"/>
      <c r="H386" s="113"/>
      <c r="I386" s="113"/>
      <c r="J386" s="113"/>
      <c r="K386" s="28"/>
      <c r="L386" s="28"/>
      <c r="M386" s="70"/>
      <c r="N386" s="70"/>
      <c r="O386" s="70"/>
      <c r="P386" s="70"/>
      <c r="Q386" s="70"/>
      <c r="R386" s="70"/>
      <c r="S386" s="70"/>
      <c r="T386" s="70"/>
      <c r="U386" s="70"/>
      <c r="V386" s="70"/>
      <c r="W386" s="70"/>
    </row>
    <row r="387" customFormat="false" ht="12.75" hidden="false" customHeight="false" outlineLevel="0" collapsed="false">
      <c r="A387" s="32" t="n">
        <v>36902</v>
      </c>
      <c r="B387" s="111"/>
      <c r="C387" s="112"/>
      <c r="D387" s="28"/>
      <c r="E387" s="28"/>
      <c r="F387" s="28"/>
      <c r="G387" s="113"/>
      <c r="H387" s="113"/>
      <c r="I387" s="113"/>
      <c r="J387" s="113"/>
      <c r="K387" s="28"/>
      <c r="L387" s="28"/>
      <c r="M387" s="70"/>
      <c r="N387" s="70"/>
      <c r="O387" s="70"/>
      <c r="P387" s="70"/>
      <c r="Q387" s="70"/>
      <c r="R387" s="70"/>
      <c r="S387" s="70"/>
      <c r="T387" s="70"/>
      <c r="U387" s="70"/>
      <c r="V387" s="70"/>
      <c r="W387" s="70"/>
    </row>
    <row r="388" customFormat="false" ht="12.75" hidden="false" customHeight="false" outlineLevel="0" collapsed="false">
      <c r="A388" s="32" t="n">
        <v>36903</v>
      </c>
      <c r="B388" s="111"/>
      <c r="C388" s="112"/>
      <c r="D388" s="28"/>
      <c r="E388" s="28"/>
      <c r="F388" s="28"/>
      <c r="G388" s="113"/>
      <c r="H388" s="113"/>
      <c r="I388" s="113"/>
      <c r="J388" s="113"/>
      <c r="K388" s="28"/>
      <c r="L388" s="28"/>
      <c r="M388" s="70"/>
      <c r="N388" s="70"/>
      <c r="O388" s="70"/>
      <c r="P388" s="70"/>
      <c r="Q388" s="70"/>
      <c r="R388" s="70"/>
      <c r="S388" s="70"/>
      <c r="T388" s="70"/>
      <c r="U388" s="70"/>
      <c r="V388" s="70"/>
      <c r="W388" s="70"/>
    </row>
    <row r="389" customFormat="false" ht="12.75" hidden="false" customHeight="false" outlineLevel="0" collapsed="false">
      <c r="A389" s="32" t="n">
        <v>36904</v>
      </c>
      <c r="B389" s="111"/>
      <c r="C389" s="112"/>
      <c r="D389" s="28"/>
      <c r="E389" s="28"/>
      <c r="F389" s="28"/>
      <c r="G389" s="113"/>
      <c r="H389" s="113"/>
      <c r="I389" s="113"/>
      <c r="J389" s="113"/>
      <c r="K389" s="28"/>
      <c r="L389" s="28"/>
      <c r="M389" s="70"/>
      <c r="N389" s="70"/>
      <c r="O389" s="70"/>
      <c r="P389" s="70"/>
      <c r="Q389" s="70"/>
      <c r="R389" s="70"/>
      <c r="S389" s="70"/>
      <c r="T389" s="70"/>
      <c r="U389" s="70"/>
      <c r="V389" s="70"/>
      <c r="W389" s="70"/>
    </row>
    <row r="390" customFormat="false" ht="12.75" hidden="false" customHeight="false" outlineLevel="0" collapsed="false">
      <c r="A390" s="32" t="n">
        <v>36905</v>
      </c>
      <c r="B390" s="111"/>
      <c r="C390" s="112"/>
      <c r="D390" s="28"/>
      <c r="E390" s="28"/>
      <c r="F390" s="28"/>
      <c r="G390" s="113"/>
      <c r="H390" s="113"/>
      <c r="I390" s="113"/>
      <c r="J390" s="113"/>
      <c r="K390" s="28"/>
      <c r="L390" s="28"/>
      <c r="M390" s="70"/>
      <c r="N390" s="70"/>
      <c r="O390" s="70"/>
      <c r="P390" s="70"/>
      <c r="Q390" s="70"/>
      <c r="R390" s="70"/>
      <c r="S390" s="70"/>
      <c r="T390" s="70"/>
      <c r="U390" s="70"/>
      <c r="V390" s="70"/>
      <c r="W390" s="70"/>
    </row>
    <row r="391" customFormat="false" ht="12.75" hidden="false" customHeight="false" outlineLevel="0" collapsed="false">
      <c r="A391" s="32" t="n">
        <v>36906</v>
      </c>
      <c r="B391" s="111"/>
      <c r="C391" s="112"/>
      <c r="D391" s="28"/>
      <c r="E391" s="28"/>
      <c r="F391" s="28"/>
      <c r="G391" s="113"/>
      <c r="H391" s="113"/>
      <c r="I391" s="113"/>
      <c r="J391" s="113"/>
      <c r="K391" s="28"/>
      <c r="L391" s="28"/>
      <c r="M391" s="70"/>
      <c r="N391" s="70"/>
      <c r="O391" s="70"/>
      <c r="P391" s="70"/>
      <c r="Q391" s="70"/>
      <c r="R391" s="70"/>
      <c r="S391" s="70"/>
      <c r="T391" s="70"/>
      <c r="U391" s="70"/>
      <c r="V391" s="70"/>
      <c r="W391" s="70"/>
    </row>
    <row r="392" customFormat="false" ht="12.75" hidden="false" customHeight="false" outlineLevel="0" collapsed="false">
      <c r="A392" s="32" t="n">
        <v>36907</v>
      </c>
      <c r="B392" s="111"/>
      <c r="C392" s="112"/>
      <c r="D392" s="28"/>
      <c r="E392" s="28"/>
      <c r="F392" s="28"/>
      <c r="G392" s="113"/>
      <c r="H392" s="113"/>
      <c r="I392" s="113"/>
      <c r="J392" s="113"/>
      <c r="K392" s="28"/>
      <c r="L392" s="28"/>
      <c r="M392" s="70"/>
      <c r="N392" s="70"/>
      <c r="O392" s="70"/>
      <c r="P392" s="70"/>
      <c r="Q392" s="70"/>
      <c r="R392" s="70"/>
      <c r="S392" s="70"/>
      <c r="T392" s="70"/>
      <c r="U392" s="70"/>
      <c r="V392" s="70"/>
      <c r="W392" s="70"/>
    </row>
    <row r="393" customFormat="false" ht="12.75" hidden="false" customHeight="false" outlineLevel="0" collapsed="false">
      <c r="A393" s="32" t="n">
        <v>36908</v>
      </c>
      <c r="B393" s="111"/>
      <c r="C393" s="112"/>
      <c r="D393" s="28"/>
      <c r="E393" s="28"/>
      <c r="F393" s="28"/>
      <c r="G393" s="113"/>
      <c r="H393" s="113"/>
      <c r="I393" s="113"/>
      <c r="J393" s="113"/>
      <c r="K393" s="28"/>
      <c r="L393" s="28"/>
      <c r="M393" s="70"/>
      <c r="N393" s="70"/>
      <c r="O393" s="70"/>
      <c r="P393" s="70"/>
      <c r="Q393" s="70"/>
      <c r="R393" s="70"/>
      <c r="S393" s="70"/>
      <c r="T393" s="70"/>
      <c r="U393" s="70"/>
      <c r="V393" s="70"/>
      <c r="W393" s="70"/>
    </row>
    <row r="394" customFormat="false" ht="12.75" hidden="false" customHeight="false" outlineLevel="0" collapsed="false">
      <c r="A394" s="32" t="n">
        <v>36909</v>
      </c>
      <c r="B394" s="111"/>
      <c r="C394" s="112"/>
      <c r="D394" s="28"/>
      <c r="E394" s="28"/>
      <c r="F394" s="28"/>
      <c r="G394" s="113"/>
      <c r="H394" s="113"/>
      <c r="I394" s="113"/>
      <c r="J394" s="113"/>
      <c r="K394" s="28"/>
      <c r="L394" s="28"/>
      <c r="M394" s="70"/>
      <c r="N394" s="70"/>
      <c r="O394" s="70"/>
      <c r="P394" s="70"/>
      <c r="Q394" s="70"/>
      <c r="R394" s="70"/>
      <c r="S394" s="70"/>
      <c r="T394" s="70"/>
      <c r="U394" s="70"/>
      <c r="V394" s="70"/>
      <c r="W394" s="70"/>
    </row>
    <row r="395" customFormat="false" ht="12.75" hidden="false" customHeight="false" outlineLevel="0" collapsed="false">
      <c r="A395" s="32" t="n">
        <v>36910</v>
      </c>
      <c r="B395" s="111"/>
      <c r="C395" s="112"/>
      <c r="D395" s="28"/>
      <c r="E395" s="28"/>
      <c r="F395" s="28"/>
      <c r="G395" s="113"/>
      <c r="H395" s="113"/>
      <c r="I395" s="113"/>
      <c r="J395" s="113"/>
      <c r="K395" s="28"/>
      <c r="L395" s="28"/>
      <c r="M395" s="70"/>
      <c r="N395" s="70"/>
      <c r="O395" s="70"/>
      <c r="P395" s="70"/>
      <c r="Q395" s="70"/>
      <c r="R395" s="70"/>
      <c r="S395" s="70"/>
      <c r="T395" s="70"/>
      <c r="U395" s="70"/>
      <c r="V395" s="70"/>
      <c r="W395" s="70"/>
    </row>
    <row r="396" customFormat="false" ht="12.75" hidden="false" customHeight="false" outlineLevel="0" collapsed="false">
      <c r="A396" s="32" t="n">
        <v>36911</v>
      </c>
      <c r="B396" s="111"/>
      <c r="C396" s="112"/>
      <c r="D396" s="28"/>
      <c r="E396" s="28"/>
      <c r="F396" s="28"/>
      <c r="G396" s="113"/>
      <c r="H396" s="113"/>
      <c r="I396" s="113"/>
      <c r="J396" s="113"/>
      <c r="K396" s="28"/>
      <c r="L396" s="28"/>
      <c r="M396" s="70"/>
      <c r="N396" s="70"/>
      <c r="O396" s="70"/>
      <c r="P396" s="70"/>
      <c r="Q396" s="70"/>
      <c r="R396" s="70"/>
      <c r="S396" s="70"/>
      <c r="T396" s="70"/>
      <c r="U396" s="70"/>
      <c r="V396" s="70"/>
      <c r="W396" s="70"/>
    </row>
    <row r="397" customFormat="false" ht="12.75" hidden="false" customHeight="false" outlineLevel="0" collapsed="false">
      <c r="A397" s="32" t="n">
        <v>36912</v>
      </c>
      <c r="B397" s="111"/>
      <c r="C397" s="112"/>
      <c r="D397" s="28"/>
      <c r="E397" s="28"/>
      <c r="F397" s="28"/>
      <c r="G397" s="113"/>
      <c r="H397" s="113"/>
      <c r="I397" s="113"/>
      <c r="J397" s="113"/>
      <c r="K397" s="28"/>
      <c r="L397" s="28"/>
      <c r="M397" s="70"/>
      <c r="N397" s="70"/>
      <c r="O397" s="70"/>
      <c r="P397" s="70"/>
      <c r="Q397" s="70"/>
      <c r="R397" s="70"/>
      <c r="S397" s="70"/>
      <c r="T397" s="70"/>
      <c r="U397" s="70"/>
      <c r="V397" s="70"/>
      <c r="W397" s="70"/>
    </row>
    <row r="398" customFormat="false" ht="12.75" hidden="false" customHeight="false" outlineLevel="0" collapsed="false">
      <c r="A398" s="32" t="n">
        <v>36913</v>
      </c>
      <c r="B398" s="111"/>
      <c r="C398" s="112"/>
      <c r="D398" s="28"/>
      <c r="E398" s="28"/>
      <c r="F398" s="28"/>
      <c r="G398" s="113"/>
      <c r="H398" s="113"/>
      <c r="I398" s="113"/>
      <c r="J398" s="113"/>
      <c r="K398" s="28"/>
      <c r="L398" s="28"/>
      <c r="M398" s="70"/>
      <c r="N398" s="70"/>
      <c r="O398" s="70"/>
      <c r="P398" s="70"/>
      <c r="Q398" s="70"/>
      <c r="R398" s="70"/>
      <c r="S398" s="70"/>
      <c r="T398" s="70"/>
      <c r="U398" s="70"/>
      <c r="V398" s="70"/>
      <c r="W398" s="70"/>
    </row>
    <row r="399" customFormat="false" ht="12.75" hidden="false" customHeight="false" outlineLevel="0" collapsed="false">
      <c r="A399" s="32" t="n">
        <v>36914</v>
      </c>
      <c r="B399" s="111"/>
      <c r="C399" s="112"/>
      <c r="D399" s="28"/>
      <c r="E399" s="28"/>
      <c r="F399" s="28"/>
      <c r="G399" s="113"/>
      <c r="H399" s="113"/>
      <c r="I399" s="113"/>
      <c r="J399" s="113"/>
      <c r="K399" s="28"/>
      <c r="L399" s="28"/>
      <c r="M399" s="70"/>
      <c r="N399" s="70"/>
      <c r="O399" s="70"/>
      <c r="P399" s="70"/>
      <c r="Q399" s="70"/>
      <c r="R399" s="70"/>
      <c r="S399" s="70"/>
      <c r="T399" s="70"/>
      <c r="U399" s="70"/>
      <c r="V399" s="70"/>
      <c r="W399" s="70"/>
    </row>
    <row r="400" customFormat="false" ht="12.75" hidden="false" customHeight="false" outlineLevel="0" collapsed="false">
      <c r="A400" s="32" t="n">
        <v>36915</v>
      </c>
      <c r="B400" s="111"/>
      <c r="C400" s="112"/>
      <c r="D400" s="28"/>
      <c r="E400" s="28"/>
      <c r="F400" s="28"/>
      <c r="G400" s="113"/>
      <c r="H400" s="113"/>
      <c r="I400" s="113"/>
      <c r="J400" s="113"/>
      <c r="K400" s="28"/>
      <c r="L400" s="28"/>
      <c r="M400" s="70"/>
      <c r="N400" s="70"/>
      <c r="O400" s="70"/>
      <c r="P400" s="70"/>
      <c r="Q400" s="70"/>
      <c r="R400" s="70"/>
      <c r="S400" s="70"/>
      <c r="T400" s="70"/>
      <c r="U400" s="70"/>
      <c r="V400" s="70"/>
      <c r="W400" s="70"/>
    </row>
    <row r="401" customFormat="false" ht="12.75" hidden="false" customHeight="false" outlineLevel="0" collapsed="false">
      <c r="A401" s="32" t="n">
        <v>36916</v>
      </c>
      <c r="B401" s="111"/>
      <c r="C401" s="112"/>
      <c r="D401" s="28"/>
      <c r="E401" s="28"/>
      <c r="F401" s="28"/>
      <c r="G401" s="113"/>
      <c r="H401" s="113"/>
      <c r="I401" s="113"/>
      <c r="J401" s="113"/>
      <c r="K401" s="28"/>
      <c r="L401" s="28"/>
      <c r="M401" s="70"/>
      <c r="N401" s="70"/>
      <c r="O401" s="70"/>
      <c r="P401" s="70"/>
      <c r="Q401" s="70"/>
      <c r="R401" s="70"/>
      <c r="S401" s="70"/>
      <c r="T401" s="70"/>
      <c r="U401" s="70"/>
      <c r="V401" s="70"/>
      <c r="W401" s="70"/>
    </row>
    <row r="402" customFormat="false" ht="12.75" hidden="false" customHeight="false" outlineLevel="0" collapsed="false">
      <c r="A402" s="32" t="n">
        <v>36917</v>
      </c>
      <c r="B402" s="111"/>
      <c r="C402" s="112"/>
      <c r="D402" s="28"/>
      <c r="E402" s="28"/>
      <c r="F402" s="28"/>
      <c r="G402" s="113"/>
      <c r="H402" s="113"/>
      <c r="I402" s="113"/>
      <c r="J402" s="113"/>
      <c r="K402" s="28"/>
      <c r="L402" s="28"/>
      <c r="M402" s="70"/>
      <c r="N402" s="70"/>
      <c r="O402" s="70"/>
      <c r="P402" s="70"/>
      <c r="Q402" s="70"/>
      <c r="R402" s="70"/>
      <c r="S402" s="70"/>
      <c r="T402" s="70"/>
      <c r="U402" s="70"/>
      <c r="V402" s="70"/>
      <c r="W402" s="70"/>
    </row>
    <row r="403" customFormat="false" ht="12.75" hidden="false" customHeight="false" outlineLevel="0" collapsed="false">
      <c r="A403" s="32" t="n">
        <v>36918</v>
      </c>
      <c r="B403" s="111"/>
      <c r="C403" s="112"/>
      <c r="D403" s="28"/>
      <c r="E403" s="28"/>
      <c r="F403" s="28"/>
      <c r="G403" s="113"/>
      <c r="H403" s="113"/>
      <c r="I403" s="113"/>
      <c r="J403" s="113"/>
      <c r="K403" s="28"/>
      <c r="L403" s="28"/>
      <c r="M403" s="70"/>
      <c r="N403" s="70"/>
      <c r="O403" s="70"/>
      <c r="P403" s="70"/>
      <c r="Q403" s="70"/>
      <c r="R403" s="70"/>
      <c r="S403" s="70"/>
      <c r="T403" s="70"/>
      <c r="U403" s="70"/>
      <c r="V403" s="70"/>
      <c r="W403" s="70"/>
    </row>
    <row r="404" customFormat="false" ht="12.75" hidden="false" customHeight="false" outlineLevel="0" collapsed="false">
      <c r="A404" s="32" t="n">
        <v>36919</v>
      </c>
      <c r="B404" s="111"/>
      <c r="C404" s="112"/>
      <c r="D404" s="28"/>
      <c r="E404" s="28"/>
      <c r="F404" s="28"/>
      <c r="G404" s="113"/>
      <c r="H404" s="113"/>
      <c r="I404" s="113"/>
      <c r="J404" s="113"/>
      <c r="K404" s="28"/>
      <c r="L404" s="28"/>
      <c r="M404" s="70"/>
      <c r="N404" s="70"/>
      <c r="O404" s="70"/>
      <c r="P404" s="70"/>
      <c r="Q404" s="70"/>
      <c r="R404" s="70"/>
      <c r="S404" s="70"/>
      <c r="T404" s="70"/>
      <c r="U404" s="70"/>
      <c r="V404" s="70"/>
      <c r="W404" s="70"/>
    </row>
    <row r="405" customFormat="false" ht="12.75" hidden="false" customHeight="false" outlineLevel="0" collapsed="false">
      <c r="A405" s="32" t="n">
        <v>36920</v>
      </c>
      <c r="B405" s="111"/>
      <c r="C405" s="112"/>
      <c r="D405" s="28"/>
      <c r="E405" s="28"/>
      <c r="F405" s="28"/>
      <c r="G405" s="113"/>
      <c r="H405" s="113"/>
      <c r="I405" s="113"/>
      <c r="J405" s="113"/>
      <c r="K405" s="28"/>
      <c r="L405" s="28"/>
      <c r="M405" s="70"/>
      <c r="N405" s="70"/>
      <c r="O405" s="70"/>
      <c r="P405" s="70"/>
      <c r="Q405" s="70"/>
      <c r="R405" s="70"/>
      <c r="S405" s="70"/>
      <c r="T405" s="70"/>
      <c r="U405" s="70"/>
      <c r="V405" s="70"/>
      <c r="W405" s="70"/>
    </row>
    <row r="406" customFormat="false" ht="12.75" hidden="false" customHeight="false" outlineLevel="0" collapsed="false">
      <c r="A406" s="32" t="n">
        <v>36921</v>
      </c>
      <c r="B406" s="111"/>
      <c r="C406" s="112"/>
      <c r="D406" s="28"/>
      <c r="E406" s="28"/>
      <c r="F406" s="28"/>
      <c r="G406" s="113"/>
      <c r="H406" s="113"/>
      <c r="I406" s="113"/>
      <c r="J406" s="113"/>
      <c r="K406" s="28"/>
      <c r="L406" s="28"/>
      <c r="M406" s="70"/>
      <c r="N406" s="70"/>
      <c r="O406" s="70"/>
      <c r="P406" s="70"/>
      <c r="Q406" s="70"/>
      <c r="R406" s="70"/>
      <c r="S406" s="70"/>
      <c r="T406" s="70"/>
      <c r="U406" s="70"/>
      <c r="V406" s="70"/>
      <c r="W406" s="70"/>
    </row>
    <row r="407" customFormat="false" ht="12.75" hidden="false" customHeight="false" outlineLevel="0" collapsed="false">
      <c r="A407" s="32" t="n">
        <v>36922</v>
      </c>
      <c r="B407" s="111"/>
      <c r="C407" s="112"/>
      <c r="D407" s="28"/>
      <c r="E407" s="28"/>
      <c r="F407" s="28"/>
      <c r="G407" s="113"/>
      <c r="H407" s="113"/>
      <c r="I407" s="113"/>
      <c r="J407" s="113"/>
      <c r="K407" s="28"/>
      <c r="L407" s="28"/>
      <c r="M407" s="70"/>
      <c r="N407" s="70"/>
      <c r="O407" s="70"/>
      <c r="P407" s="70"/>
      <c r="Q407" s="70"/>
      <c r="R407" s="70"/>
      <c r="S407" s="70"/>
      <c r="T407" s="70"/>
      <c r="U407" s="70"/>
      <c r="V407" s="70"/>
      <c r="W407" s="70"/>
    </row>
    <row r="408" customFormat="false" ht="12.75" hidden="false" customHeight="false" outlineLevel="0" collapsed="false">
      <c r="A408" s="32" t="n">
        <v>36923</v>
      </c>
      <c r="B408" s="111"/>
      <c r="C408" s="112"/>
      <c r="D408" s="28"/>
      <c r="E408" s="28"/>
      <c r="F408" s="28"/>
      <c r="G408" s="113"/>
      <c r="H408" s="113"/>
      <c r="I408" s="113"/>
      <c r="J408" s="113"/>
      <c r="K408" s="28"/>
      <c r="L408" s="28"/>
      <c r="M408" s="70"/>
      <c r="N408" s="70"/>
      <c r="O408" s="70"/>
      <c r="P408" s="70"/>
      <c r="Q408" s="70"/>
      <c r="R408" s="70"/>
      <c r="S408" s="70"/>
      <c r="T408" s="70"/>
      <c r="U408" s="70"/>
      <c r="V408" s="70"/>
      <c r="W408" s="70"/>
    </row>
    <row r="409" customFormat="false" ht="12.75" hidden="false" customHeight="false" outlineLevel="0" collapsed="false">
      <c r="A409" s="32" t="n">
        <v>36924</v>
      </c>
      <c r="B409" s="111"/>
      <c r="C409" s="112"/>
      <c r="D409" s="28"/>
      <c r="E409" s="28"/>
      <c r="F409" s="28"/>
      <c r="G409" s="113"/>
      <c r="H409" s="113"/>
      <c r="I409" s="113"/>
      <c r="J409" s="113"/>
      <c r="K409" s="28"/>
      <c r="L409" s="28"/>
      <c r="M409" s="70"/>
      <c r="N409" s="70"/>
      <c r="O409" s="70"/>
      <c r="P409" s="70"/>
      <c r="Q409" s="70"/>
      <c r="R409" s="70"/>
      <c r="S409" s="70"/>
      <c r="T409" s="70"/>
      <c r="U409" s="70"/>
      <c r="V409" s="70"/>
      <c r="W409" s="70"/>
    </row>
    <row r="410" customFormat="false" ht="12.75" hidden="false" customHeight="false" outlineLevel="0" collapsed="false">
      <c r="A410" s="32" t="n">
        <v>36925</v>
      </c>
      <c r="B410" s="111"/>
      <c r="C410" s="112"/>
      <c r="D410" s="28"/>
      <c r="E410" s="28"/>
      <c r="F410" s="28"/>
      <c r="G410" s="113"/>
      <c r="H410" s="113"/>
      <c r="I410" s="113"/>
      <c r="J410" s="113"/>
      <c r="K410" s="28"/>
      <c r="L410" s="28"/>
      <c r="M410" s="70"/>
      <c r="N410" s="70"/>
      <c r="O410" s="70"/>
      <c r="P410" s="70"/>
      <c r="Q410" s="70"/>
      <c r="R410" s="70"/>
      <c r="S410" s="70"/>
      <c r="T410" s="70"/>
      <c r="U410" s="70"/>
      <c r="V410" s="70"/>
      <c r="W410" s="70"/>
    </row>
    <row r="411" customFormat="false" ht="12.75" hidden="false" customHeight="false" outlineLevel="0" collapsed="false">
      <c r="A411" s="32" t="n">
        <v>36926</v>
      </c>
      <c r="B411" s="111"/>
      <c r="C411" s="112"/>
      <c r="D411" s="28"/>
      <c r="E411" s="28"/>
      <c r="F411" s="28"/>
      <c r="G411" s="113"/>
      <c r="H411" s="113"/>
      <c r="I411" s="113"/>
      <c r="J411" s="113"/>
      <c r="K411" s="28"/>
      <c r="L411" s="28"/>
      <c r="M411" s="70"/>
      <c r="N411" s="70"/>
      <c r="O411" s="70"/>
      <c r="P411" s="70"/>
      <c r="Q411" s="70"/>
      <c r="R411" s="70"/>
      <c r="S411" s="70"/>
      <c r="T411" s="70"/>
      <c r="U411" s="70"/>
      <c r="V411" s="70"/>
      <c r="W411" s="70"/>
    </row>
    <row r="412" customFormat="false" ht="12.75" hidden="false" customHeight="false" outlineLevel="0" collapsed="false">
      <c r="A412" s="32" t="n">
        <v>36927</v>
      </c>
      <c r="B412" s="111"/>
      <c r="C412" s="112"/>
      <c r="D412" s="28"/>
      <c r="E412" s="28"/>
      <c r="F412" s="28"/>
      <c r="G412" s="113"/>
      <c r="H412" s="113"/>
      <c r="I412" s="113"/>
      <c r="J412" s="113"/>
      <c r="K412" s="28"/>
      <c r="L412" s="28"/>
      <c r="M412" s="70"/>
      <c r="N412" s="70"/>
      <c r="O412" s="70"/>
      <c r="P412" s="70"/>
      <c r="Q412" s="70"/>
      <c r="R412" s="70"/>
      <c r="S412" s="70"/>
      <c r="T412" s="70"/>
      <c r="U412" s="70"/>
      <c r="V412" s="70"/>
      <c r="W412" s="70"/>
    </row>
    <row r="413" customFormat="false" ht="12.75" hidden="false" customHeight="false" outlineLevel="0" collapsed="false">
      <c r="A413" s="32" t="n">
        <v>36928</v>
      </c>
      <c r="B413" s="111"/>
      <c r="C413" s="112"/>
      <c r="D413" s="28"/>
      <c r="E413" s="28"/>
      <c r="F413" s="28"/>
      <c r="G413" s="113"/>
      <c r="H413" s="113"/>
      <c r="I413" s="113"/>
      <c r="J413" s="113"/>
      <c r="K413" s="28"/>
      <c r="L413" s="28"/>
      <c r="M413" s="70"/>
      <c r="N413" s="70"/>
      <c r="O413" s="70"/>
      <c r="P413" s="70"/>
      <c r="Q413" s="70"/>
      <c r="R413" s="70"/>
      <c r="S413" s="70"/>
      <c r="T413" s="70"/>
      <c r="U413" s="70"/>
      <c r="V413" s="70"/>
      <c r="W413" s="70"/>
    </row>
    <row r="414" customFormat="false" ht="12.75" hidden="false" customHeight="false" outlineLevel="0" collapsed="false">
      <c r="A414" s="32" t="n">
        <v>36929</v>
      </c>
      <c r="B414" s="111"/>
      <c r="C414" s="112"/>
      <c r="D414" s="28"/>
      <c r="E414" s="28"/>
      <c r="F414" s="28"/>
      <c r="G414" s="113"/>
      <c r="H414" s="113"/>
      <c r="I414" s="113"/>
      <c r="J414" s="113"/>
      <c r="K414" s="28"/>
      <c r="L414" s="28"/>
      <c r="M414" s="70"/>
      <c r="N414" s="70"/>
      <c r="O414" s="70"/>
      <c r="P414" s="70"/>
      <c r="Q414" s="70"/>
      <c r="R414" s="70"/>
      <c r="S414" s="70"/>
      <c r="T414" s="70"/>
      <c r="U414" s="70"/>
      <c r="V414" s="70"/>
      <c r="W414" s="70"/>
    </row>
    <row r="415" customFormat="false" ht="12.75" hidden="false" customHeight="false" outlineLevel="0" collapsed="false">
      <c r="A415" s="32" t="n">
        <v>36930</v>
      </c>
      <c r="B415" s="111"/>
      <c r="C415" s="112"/>
      <c r="D415" s="28"/>
      <c r="E415" s="28"/>
      <c r="F415" s="28"/>
      <c r="G415" s="113"/>
      <c r="H415" s="113"/>
      <c r="I415" s="113"/>
      <c r="J415" s="113"/>
      <c r="K415" s="28"/>
      <c r="L415" s="28"/>
      <c r="M415" s="70"/>
      <c r="N415" s="70"/>
      <c r="O415" s="70"/>
      <c r="P415" s="70"/>
      <c r="Q415" s="70"/>
      <c r="R415" s="70"/>
      <c r="S415" s="70"/>
      <c r="T415" s="70"/>
      <c r="U415" s="70"/>
      <c r="V415" s="70"/>
      <c r="W415" s="70"/>
    </row>
    <row r="416" customFormat="false" ht="12.75" hidden="false" customHeight="false" outlineLevel="0" collapsed="false">
      <c r="A416" s="32" t="n">
        <v>36931</v>
      </c>
      <c r="B416" s="111"/>
      <c r="C416" s="112"/>
      <c r="D416" s="28"/>
      <c r="E416" s="28"/>
      <c r="F416" s="28"/>
      <c r="G416" s="113"/>
      <c r="H416" s="113"/>
      <c r="I416" s="113"/>
      <c r="J416" s="113"/>
      <c r="K416" s="28"/>
      <c r="L416" s="28"/>
      <c r="M416" s="70"/>
      <c r="N416" s="70"/>
      <c r="O416" s="70"/>
      <c r="P416" s="70"/>
      <c r="Q416" s="70"/>
      <c r="R416" s="70"/>
      <c r="S416" s="70"/>
      <c r="T416" s="70"/>
      <c r="U416" s="70"/>
      <c r="V416" s="70"/>
      <c r="W416" s="70"/>
    </row>
    <row r="417" customFormat="false" ht="12.75" hidden="false" customHeight="false" outlineLevel="0" collapsed="false">
      <c r="A417" s="32" t="n">
        <v>36932</v>
      </c>
      <c r="B417" s="111"/>
      <c r="C417" s="112"/>
      <c r="D417" s="28"/>
      <c r="E417" s="28"/>
      <c r="F417" s="28"/>
      <c r="G417" s="113"/>
      <c r="H417" s="113"/>
      <c r="I417" s="113"/>
      <c r="J417" s="113"/>
      <c r="K417" s="28"/>
      <c r="L417" s="28"/>
      <c r="M417" s="70"/>
      <c r="N417" s="70"/>
      <c r="O417" s="70"/>
      <c r="P417" s="70"/>
      <c r="Q417" s="70"/>
      <c r="R417" s="70"/>
      <c r="S417" s="70"/>
      <c r="T417" s="70"/>
      <c r="U417" s="70"/>
      <c r="V417" s="70"/>
      <c r="W417" s="70"/>
    </row>
    <row r="418" customFormat="false" ht="12.75" hidden="false" customHeight="false" outlineLevel="0" collapsed="false">
      <c r="A418" s="32" t="n">
        <v>36933</v>
      </c>
      <c r="B418" s="111"/>
      <c r="C418" s="112"/>
      <c r="D418" s="28"/>
      <c r="E418" s="28"/>
      <c r="F418" s="28"/>
      <c r="G418" s="113"/>
      <c r="H418" s="113"/>
      <c r="I418" s="113"/>
      <c r="J418" s="113"/>
      <c r="K418" s="28"/>
      <c r="L418" s="28"/>
      <c r="M418" s="70"/>
      <c r="N418" s="70"/>
      <c r="O418" s="70"/>
      <c r="P418" s="70"/>
      <c r="Q418" s="70"/>
      <c r="R418" s="70"/>
      <c r="S418" s="70"/>
      <c r="T418" s="70"/>
      <c r="U418" s="70"/>
      <c r="V418" s="70"/>
      <c r="W418" s="70"/>
    </row>
    <row r="419" customFormat="false" ht="12.75" hidden="false" customHeight="false" outlineLevel="0" collapsed="false">
      <c r="A419" s="32" t="n">
        <v>36934</v>
      </c>
      <c r="B419" s="111"/>
      <c r="C419" s="112"/>
      <c r="D419" s="28"/>
      <c r="E419" s="28"/>
      <c r="F419" s="28"/>
      <c r="G419" s="113"/>
      <c r="H419" s="113"/>
      <c r="I419" s="113"/>
      <c r="J419" s="113"/>
      <c r="K419" s="28"/>
      <c r="L419" s="28"/>
      <c r="M419" s="70"/>
      <c r="N419" s="70"/>
      <c r="O419" s="70"/>
      <c r="P419" s="70"/>
      <c r="Q419" s="70"/>
      <c r="R419" s="70"/>
      <c r="S419" s="70"/>
      <c r="T419" s="70"/>
      <c r="U419" s="70"/>
      <c r="V419" s="70"/>
      <c r="W419" s="70"/>
    </row>
    <row r="420" customFormat="false" ht="12.75" hidden="false" customHeight="false" outlineLevel="0" collapsed="false">
      <c r="A420" s="32" t="n">
        <v>36935</v>
      </c>
      <c r="B420" s="111"/>
      <c r="C420" s="112"/>
      <c r="D420" s="28"/>
      <c r="E420" s="28"/>
      <c r="F420" s="28"/>
      <c r="G420" s="113"/>
      <c r="H420" s="113"/>
      <c r="I420" s="113"/>
      <c r="J420" s="113"/>
      <c r="K420" s="28"/>
      <c r="L420" s="28"/>
      <c r="M420" s="70"/>
      <c r="N420" s="70"/>
      <c r="O420" s="70"/>
      <c r="P420" s="70"/>
      <c r="Q420" s="70"/>
      <c r="R420" s="70"/>
      <c r="S420" s="70"/>
      <c r="T420" s="70"/>
      <c r="U420" s="70"/>
      <c r="V420" s="70"/>
      <c r="W420" s="70"/>
    </row>
    <row r="421" customFormat="false" ht="12.75" hidden="false" customHeight="false" outlineLevel="0" collapsed="false">
      <c r="A421" s="32" t="n">
        <v>36936</v>
      </c>
      <c r="B421" s="111"/>
      <c r="C421" s="112"/>
      <c r="D421" s="28"/>
      <c r="E421" s="28"/>
      <c r="F421" s="28"/>
      <c r="G421" s="113"/>
      <c r="H421" s="113"/>
      <c r="I421" s="113"/>
      <c r="J421" s="113"/>
      <c r="K421" s="28"/>
      <c r="L421" s="28"/>
      <c r="M421" s="70"/>
      <c r="N421" s="70"/>
      <c r="O421" s="70"/>
      <c r="P421" s="70"/>
      <c r="Q421" s="70"/>
      <c r="R421" s="70"/>
      <c r="S421" s="70"/>
      <c r="T421" s="70"/>
      <c r="U421" s="70"/>
      <c r="V421" s="70"/>
      <c r="W421" s="70"/>
    </row>
    <row r="422" customFormat="false" ht="12.75" hidden="false" customHeight="false" outlineLevel="0" collapsed="false">
      <c r="A422" s="32" t="n">
        <v>36937</v>
      </c>
      <c r="B422" s="111"/>
      <c r="C422" s="112"/>
      <c r="D422" s="28"/>
      <c r="E422" s="28"/>
      <c r="F422" s="28"/>
      <c r="G422" s="113"/>
      <c r="H422" s="113"/>
      <c r="I422" s="113"/>
      <c r="J422" s="113"/>
      <c r="K422" s="28"/>
      <c r="L422" s="28"/>
      <c r="M422" s="70"/>
      <c r="N422" s="70"/>
      <c r="O422" s="70"/>
      <c r="P422" s="70"/>
      <c r="Q422" s="70"/>
      <c r="R422" s="70"/>
      <c r="S422" s="70"/>
      <c r="T422" s="70"/>
      <c r="U422" s="70"/>
      <c r="V422" s="70"/>
      <c r="W422" s="70"/>
    </row>
    <row r="423" customFormat="false" ht="12.75" hidden="false" customHeight="false" outlineLevel="0" collapsed="false">
      <c r="A423" s="32" t="n">
        <v>36938</v>
      </c>
      <c r="B423" s="111"/>
      <c r="C423" s="112"/>
      <c r="D423" s="28"/>
      <c r="E423" s="28"/>
      <c r="F423" s="28"/>
      <c r="G423" s="113"/>
      <c r="H423" s="113"/>
      <c r="I423" s="113"/>
      <c r="J423" s="113"/>
      <c r="K423" s="28"/>
      <c r="L423" s="28"/>
      <c r="M423" s="70"/>
      <c r="N423" s="70"/>
      <c r="O423" s="70"/>
      <c r="P423" s="70"/>
      <c r="Q423" s="70"/>
      <c r="R423" s="70"/>
      <c r="S423" s="70"/>
      <c r="T423" s="70"/>
      <c r="U423" s="70"/>
      <c r="V423" s="70"/>
      <c r="W423" s="70"/>
    </row>
    <row r="424" customFormat="false" ht="12.75" hidden="false" customHeight="false" outlineLevel="0" collapsed="false">
      <c r="A424" s="32" t="n">
        <v>36939</v>
      </c>
      <c r="B424" s="111"/>
      <c r="C424" s="112"/>
      <c r="D424" s="28"/>
      <c r="E424" s="28"/>
      <c r="F424" s="28"/>
      <c r="G424" s="113"/>
      <c r="H424" s="113"/>
      <c r="I424" s="113"/>
      <c r="J424" s="113"/>
      <c r="K424" s="28"/>
      <c r="L424" s="28"/>
      <c r="M424" s="70"/>
      <c r="N424" s="70"/>
      <c r="O424" s="70"/>
      <c r="P424" s="70"/>
      <c r="Q424" s="70"/>
      <c r="R424" s="70"/>
      <c r="S424" s="70"/>
      <c r="T424" s="70"/>
      <c r="U424" s="70"/>
      <c r="V424" s="70"/>
      <c r="W424" s="70"/>
    </row>
    <row r="425" customFormat="false" ht="12.75" hidden="false" customHeight="false" outlineLevel="0" collapsed="false">
      <c r="A425" s="32" t="n">
        <v>36940</v>
      </c>
      <c r="B425" s="111"/>
      <c r="C425" s="112"/>
      <c r="D425" s="28"/>
      <c r="E425" s="28"/>
      <c r="F425" s="28"/>
      <c r="G425" s="113"/>
      <c r="H425" s="113"/>
      <c r="I425" s="113"/>
      <c r="J425" s="113"/>
      <c r="K425" s="28"/>
      <c r="L425" s="28"/>
      <c r="M425" s="70"/>
      <c r="N425" s="70"/>
      <c r="O425" s="70"/>
      <c r="P425" s="70"/>
      <c r="Q425" s="70"/>
      <c r="R425" s="70"/>
      <c r="S425" s="70"/>
      <c r="T425" s="70"/>
      <c r="U425" s="70"/>
      <c r="V425" s="70"/>
      <c r="W425" s="70"/>
    </row>
    <row r="426" customFormat="false" ht="12.75" hidden="false" customHeight="false" outlineLevel="0" collapsed="false">
      <c r="A426" s="32" t="n">
        <v>36941</v>
      </c>
      <c r="B426" s="111"/>
      <c r="C426" s="112"/>
      <c r="D426" s="28"/>
      <c r="E426" s="28"/>
      <c r="F426" s="28"/>
      <c r="G426" s="113"/>
      <c r="H426" s="113"/>
      <c r="I426" s="113"/>
      <c r="J426" s="113"/>
      <c r="K426" s="28"/>
      <c r="L426" s="28"/>
      <c r="M426" s="70"/>
      <c r="N426" s="70"/>
      <c r="O426" s="70"/>
      <c r="P426" s="70"/>
      <c r="Q426" s="70"/>
      <c r="R426" s="70"/>
      <c r="S426" s="70"/>
      <c r="T426" s="70"/>
      <c r="U426" s="70"/>
      <c r="V426" s="70"/>
      <c r="W426" s="70"/>
    </row>
    <row r="427" customFormat="false" ht="12.75" hidden="false" customHeight="false" outlineLevel="0" collapsed="false">
      <c r="A427" s="32" t="n">
        <v>36942</v>
      </c>
      <c r="B427" s="111"/>
      <c r="C427" s="112"/>
      <c r="D427" s="28"/>
      <c r="E427" s="28"/>
      <c r="F427" s="28"/>
      <c r="G427" s="113"/>
      <c r="H427" s="113"/>
      <c r="I427" s="113"/>
      <c r="J427" s="113"/>
      <c r="K427" s="28"/>
      <c r="L427" s="28"/>
      <c r="M427" s="70"/>
      <c r="N427" s="70"/>
      <c r="O427" s="70"/>
      <c r="P427" s="70"/>
      <c r="Q427" s="70"/>
      <c r="R427" s="70"/>
      <c r="S427" s="70"/>
      <c r="T427" s="70"/>
      <c r="U427" s="70"/>
      <c r="V427" s="70"/>
      <c r="W427" s="70"/>
    </row>
    <row r="428" customFormat="false" ht="12.75" hidden="false" customHeight="false" outlineLevel="0" collapsed="false">
      <c r="A428" s="32" t="n">
        <v>36943</v>
      </c>
      <c r="B428" s="111"/>
      <c r="C428" s="112"/>
      <c r="D428" s="28"/>
      <c r="E428" s="28"/>
      <c r="F428" s="28"/>
      <c r="G428" s="113"/>
      <c r="H428" s="113"/>
      <c r="I428" s="113"/>
      <c r="J428" s="113"/>
      <c r="K428" s="28"/>
      <c r="L428" s="28"/>
      <c r="M428" s="70"/>
      <c r="N428" s="70"/>
      <c r="O428" s="70"/>
      <c r="P428" s="70"/>
      <c r="Q428" s="70"/>
      <c r="R428" s="70"/>
      <c r="S428" s="70"/>
      <c r="T428" s="70"/>
      <c r="U428" s="70"/>
      <c r="V428" s="70"/>
      <c r="W428" s="70"/>
    </row>
    <row r="429" customFormat="false" ht="12.75" hidden="false" customHeight="false" outlineLevel="0" collapsed="false">
      <c r="A429" s="32" t="n">
        <v>36944</v>
      </c>
      <c r="B429" s="111"/>
      <c r="C429" s="112"/>
      <c r="D429" s="28"/>
      <c r="E429" s="28"/>
      <c r="F429" s="28"/>
      <c r="G429" s="113"/>
      <c r="H429" s="113"/>
      <c r="I429" s="113"/>
      <c r="J429" s="113"/>
      <c r="K429" s="28"/>
      <c r="L429" s="28"/>
      <c r="M429" s="70"/>
      <c r="N429" s="70"/>
      <c r="O429" s="70"/>
      <c r="P429" s="70"/>
      <c r="Q429" s="70"/>
      <c r="R429" s="70"/>
      <c r="S429" s="70"/>
      <c r="T429" s="70"/>
      <c r="U429" s="70"/>
      <c r="V429" s="70"/>
      <c r="W429" s="70"/>
    </row>
    <row r="430" customFormat="false" ht="12.75" hidden="false" customHeight="false" outlineLevel="0" collapsed="false">
      <c r="A430" s="32" t="n">
        <v>36945</v>
      </c>
      <c r="B430" s="111"/>
      <c r="C430" s="112"/>
      <c r="D430" s="28"/>
      <c r="E430" s="28"/>
      <c r="F430" s="28"/>
      <c r="G430" s="113"/>
      <c r="H430" s="113"/>
      <c r="I430" s="113"/>
      <c r="J430" s="113"/>
      <c r="K430" s="28"/>
      <c r="L430" s="28"/>
      <c r="M430" s="70"/>
      <c r="N430" s="70"/>
      <c r="O430" s="70"/>
      <c r="P430" s="70"/>
      <c r="Q430" s="70"/>
      <c r="R430" s="70"/>
      <c r="S430" s="70"/>
      <c r="T430" s="70"/>
      <c r="U430" s="70"/>
      <c r="V430" s="70"/>
      <c r="W430" s="70"/>
    </row>
    <row r="431" customFormat="false" ht="12.75" hidden="false" customHeight="false" outlineLevel="0" collapsed="false">
      <c r="A431" s="32" t="n">
        <v>36946</v>
      </c>
      <c r="B431" s="111"/>
      <c r="C431" s="112"/>
      <c r="D431" s="28"/>
      <c r="E431" s="28"/>
      <c r="F431" s="28"/>
      <c r="G431" s="113"/>
      <c r="H431" s="113"/>
      <c r="I431" s="113"/>
      <c r="J431" s="113"/>
      <c r="K431" s="28"/>
      <c r="L431" s="28"/>
      <c r="M431" s="70"/>
      <c r="N431" s="70"/>
      <c r="O431" s="70"/>
      <c r="P431" s="70"/>
      <c r="Q431" s="70"/>
      <c r="R431" s="70"/>
      <c r="S431" s="70"/>
      <c r="T431" s="70"/>
      <c r="U431" s="70"/>
      <c r="V431" s="70"/>
      <c r="W431" s="70"/>
    </row>
    <row r="432" customFormat="false" ht="12.75" hidden="false" customHeight="false" outlineLevel="0" collapsed="false">
      <c r="A432" s="32" t="n">
        <v>36947</v>
      </c>
      <c r="B432" s="111"/>
      <c r="C432" s="112"/>
      <c r="D432" s="28"/>
      <c r="E432" s="28"/>
      <c r="F432" s="28"/>
      <c r="G432" s="113"/>
      <c r="H432" s="113"/>
      <c r="I432" s="113"/>
      <c r="J432" s="113"/>
      <c r="K432" s="28"/>
      <c r="L432" s="28"/>
      <c r="M432" s="70"/>
      <c r="N432" s="70"/>
      <c r="O432" s="70"/>
      <c r="P432" s="70"/>
      <c r="Q432" s="70"/>
      <c r="R432" s="70"/>
      <c r="S432" s="70"/>
      <c r="T432" s="70"/>
      <c r="U432" s="70"/>
      <c r="V432" s="70"/>
      <c r="W432" s="70"/>
    </row>
    <row r="433" customFormat="false" ht="12.75" hidden="false" customHeight="false" outlineLevel="0" collapsed="false">
      <c r="A433" s="32" t="n">
        <v>36948</v>
      </c>
      <c r="B433" s="111"/>
      <c r="C433" s="112"/>
      <c r="D433" s="28"/>
      <c r="E433" s="28"/>
      <c r="F433" s="28"/>
      <c r="G433" s="113"/>
      <c r="H433" s="113"/>
      <c r="I433" s="113"/>
      <c r="J433" s="113"/>
      <c r="K433" s="28"/>
      <c r="L433" s="28"/>
      <c r="M433" s="70"/>
      <c r="N433" s="70"/>
      <c r="O433" s="70"/>
      <c r="P433" s="70"/>
      <c r="Q433" s="70"/>
      <c r="R433" s="70"/>
      <c r="S433" s="70"/>
      <c r="T433" s="70"/>
      <c r="U433" s="70"/>
      <c r="V433" s="70"/>
      <c r="W433" s="70"/>
    </row>
    <row r="434" customFormat="false" ht="12.75" hidden="false" customHeight="false" outlineLevel="0" collapsed="false">
      <c r="A434" s="32" t="n">
        <v>36949</v>
      </c>
      <c r="B434" s="111"/>
      <c r="C434" s="112"/>
      <c r="D434" s="28"/>
      <c r="E434" s="28"/>
      <c r="F434" s="28"/>
      <c r="G434" s="113"/>
      <c r="H434" s="113"/>
      <c r="I434" s="113"/>
      <c r="J434" s="113"/>
      <c r="K434" s="28"/>
      <c r="L434" s="28"/>
      <c r="M434" s="70"/>
      <c r="N434" s="70"/>
      <c r="O434" s="70"/>
      <c r="P434" s="70"/>
      <c r="Q434" s="70"/>
      <c r="R434" s="70"/>
      <c r="S434" s="70"/>
      <c r="T434" s="70"/>
      <c r="U434" s="70"/>
      <c r="V434" s="70"/>
      <c r="W434" s="70"/>
    </row>
    <row r="435" customFormat="false" ht="12.75" hidden="false" customHeight="false" outlineLevel="0" collapsed="false">
      <c r="A435" s="32" t="n">
        <v>36950</v>
      </c>
      <c r="B435" s="111"/>
      <c r="C435" s="112"/>
      <c r="D435" s="28"/>
      <c r="E435" s="28"/>
      <c r="F435" s="28"/>
      <c r="G435" s="113"/>
      <c r="H435" s="113"/>
      <c r="I435" s="113"/>
      <c r="J435" s="113"/>
      <c r="K435" s="28"/>
      <c r="L435" s="28"/>
      <c r="M435" s="70"/>
      <c r="N435" s="70"/>
      <c r="O435" s="70"/>
      <c r="P435" s="70"/>
      <c r="Q435" s="70"/>
      <c r="R435" s="70"/>
      <c r="S435" s="70"/>
      <c r="T435" s="70"/>
      <c r="U435" s="70"/>
      <c r="V435" s="70"/>
      <c r="W435" s="70"/>
    </row>
    <row r="436" customFormat="false" ht="12.75" hidden="false" customHeight="false" outlineLevel="0" collapsed="false">
      <c r="A436" s="32" t="n">
        <v>36951</v>
      </c>
      <c r="B436" s="111"/>
      <c r="C436" s="112"/>
      <c r="D436" s="28"/>
      <c r="E436" s="28"/>
      <c r="F436" s="28"/>
      <c r="G436" s="113"/>
      <c r="H436" s="113"/>
      <c r="I436" s="113"/>
      <c r="J436" s="113"/>
      <c r="K436" s="28"/>
      <c r="L436" s="28"/>
      <c r="M436" s="70"/>
      <c r="N436" s="70"/>
      <c r="O436" s="70"/>
      <c r="P436" s="70"/>
      <c r="Q436" s="70"/>
      <c r="R436" s="70"/>
      <c r="S436" s="70"/>
      <c r="T436" s="70"/>
      <c r="U436" s="70"/>
      <c r="V436" s="70"/>
      <c r="W436" s="70"/>
    </row>
    <row r="437" customFormat="false" ht="12.75" hidden="false" customHeight="false" outlineLevel="0" collapsed="false">
      <c r="A437" s="32" t="n">
        <v>36952</v>
      </c>
      <c r="B437" s="111"/>
      <c r="C437" s="112"/>
      <c r="D437" s="28"/>
      <c r="E437" s="28"/>
      <c r="F437" s="28"/>
      <c r="G437" s="113"/>
      <c r="H437" s="113"/>
      <c r="I437" s="113"/>
      <c r="J437" s="113"/>
      <c r="K437" s="28"/>
      <c r="L437" s="28"/>
      <c r="M437" s="70"/>
      <c r="N437" s="70"/>
      <c r="O437" s="70"/>
      <c r="P437" s="70"/>
      <c r="Q437" s="70"/>
      <c r="R437" s="70"/>
      <c r="S437" s="70"/>
      <c r="T437" s="70"/>
      <c r="U437" s="70"/>
      <c r="V437" s="70"/>
      <c r="W437" s="70"/>
    </row>
    <row r="438" customFormat="false" ht="12.75" hidden="false" customHeight="false" outlineLevel="0" collapsed="false">
      <c r="A438" s="32" t="n">
        <v>36953</v>
      </c>
      <c r="B438" s="111"/>
      <c r="C438" s="112"/>
      <c r="D438" s="28"/>
      <c r="E438" s="28"/>
      <c r="F438" s="28"/>
      <c r="G438" s="113"/>
      <c r="H438" s="113"/>
      <c r="I438" s="113"/>
      <c r="J438" s="113"/>
      <c r="K438" s="28"/>
      <c r="L438" s="28"/>
      <c r="M438" s="70"/>
      <c r="N438" s="70"/>
      <c r="O438" s="70"/>
      <c r="P438" s="70"/>
      <c r="Q438" s="70"/>
      <c r="R438" s="70"/>
      <c r="S438" s="70"/>
      <c r="T438" s="70"/>
      <c r="U438" s="70"/>
      <c r="V438" s="70"/>
      <c r="W438" s="70"/>
    </row>
    <row r="439" customFormat="false" ht="12.75" hidden="false" customHeight="false" outlineLevel="0" collapsed="false">
      <c r="A439" s="32" t="n">
        <v>36954</v>
      </c>
      <c r="B439" s="111"/>
      <c r="C439" s="112"/>
      <c r="D439" s="28"/>
      <c r="E439" s="28"/>
      <c r="F439" s="28"/>
      <c r="G439" s="113"/>
      <c r="H439" s="113"/>
      <c r="I439" s="113"/>
      <c r="J439" s="113"/>
      <c r="K439" s="28"/>
      <c r="L439" s="28"/>
      <c r="M439" s="70"/>
      <c r="N439" s="70"/>
      <c r="O439" s="70"/>
      <c r="P439" s="70"/>
      <c r="Q439" s="70"/>
      <c r="R439" s="70"/>
      <c r="S439" s="70"/>
      <c r="T439" s="70"/>
      <c r="U439" s="70"/>
      <c r="V439" s="70"/>
      <c r="W439" s="70"/>
    </row>
    <row r="440" customFormat="false" ht="12.75" hidden="false" customHeight="false" outlineLevel="0" collapsed="false">
      <c r="A440" s="32" t="n">
        <v>36955</v>
      </c>
      <c r="B440" s="111"/>
      <c r="C440" s="112"/>
      <c r="D440" s="28"/>
      <c r="E440" s="28"/>
      <c r="F440" s="28"/>
      <c r="G440" s="113"/>
      <c r="H440" s="113"/>
      <c r="I440" s="113"/>
      <c r="J440" s="113"/>
      <c r="K440" s="28"/>
      <c r="L440" s="28"/>
      <c r="M440" s="70"/>
      <c r="N440" s="70"/>
      <c r="O440" s="70"/>
      <c r="P440" s="70"/>
      <c r="Q440" s="70"/>
      <c r="R440" s="70"/>
      <c r="S440" s="70"/>
      <c r="T440" s="70"/>
      <c r="U440" s="70"/>
      <c r="V440" s="70"/>
      <c r="W440" s="70"/>
    </row>
    <row r="441" customFormat="false" ht="12.75" hidden="false" customHeight="false" outlineLevel="0" collapsed="false">
      <c r="A441" s="32" t="n">
        <v>36956</v>
      </c>
      <c r="B441" s="111"/>
      <c r="C441" s="112"/>
      <c r="D441" s="28"/>
      <c r="E441" s="28"/>
      <c r="F441" s="28"/>
      <c r="G441" s="113"/>
      <c r="H441" s="113"/>
      <c r="I441" s="113"/>
      <c r="J441" s="113"/>
      <c r="K441" s="28"/>
      <c r="L441" s="28"/>
      <c r="M441" s="70"/>
      <c r="N441" s="70"/>
      <c r="O441" s="70"/>
      <c r="P441" s="70"/>
      <c r="Q441" s="70"/>
      <c r="R441" s="70"/>
      <c r="S441" s="70"/>
      <c r="T441" s="70"/>
      <c r="U441" s="70"/>
      <c r="V441" s="70"/>
      <c r="W441" s="70"/>
    </row>
    <row r="442" customFormat="false" ht="12.75" hidden="false" customHeight="false" outlineLevel="0" collapsed="false">
      <c r="A442" s="32" t="n">
        <v>36957</v>
      </c>
      <c r="B442" s="111"/>
      <c r="C442" s="112"/>
      <c r="D442" s="28"/>
      <c r="E442" s="28"/>
      <c r="F442" s="28"/>
      <c r="G442" s="113"/>
      <c r="H442" s="113"/>
      <c r="I442" s="113"/>
      <c r="J442" s="113"/>
      <c r="K442" s="28"/>
      <c r="L442" s="28"/>
      <c r="M442" s="70"/>
      <c r="N442" s="70"/>
      <c r="O442" s="70"/>
      <c r="P442" s="70"/>
      <c r="Q442" s="70"/>
      <c r="R442" s="70"/>
      <c r="S442" s="70"/>
      <c r="T442" s="70"/>
      <c r="U442" s="70"/>
      <c r="V442" s="70"/>
      <c r="W442" s="70"/>
    </row>
    <row r="443" customFormat="false" ht="12.75" hidden="false" customHeight="false" outlineLevel="0" collapsed="false">
      <c r="A443" s="32" t="n">
        <v>36958</v>
      </c>
      <c r="B443" s="111"/>
      <c r="C443" s="112"/>
      <c r="D443" s="28"/>
      <c r="E443" s="28"/>
      <c r="F443" s="28"/>
      <c r="G443" s="113"/>
      <c r="H443" s="113"/>
      <c r="I443" s="113"/>
      <c r="J443" s="113"/>
      <c r="K443" s="28"/>
      <c r="L443" s="28"/>
      <c r="M443" s="70"/>
      <c r="N443" s="70"/>
      <c r="O443" s="70"/>
      <c r="P443" s="70"/>
      <c r="Q443" s="70"/>
      <c r="R443" s="70"/>
      <c r="S443" s="70"/>
      <c r="T443" s="70"/>
      <c r="U443" s="70"/>
      <c r="V443" s="70"/>
      <c r="W443" s="70"/>
    </row>
    <row r="444" customFormat="false" ht="12.75" hidden="false" customHeight="false" outlineLevel="0" collapsed="false">
      <c r="A444" s="32" t="n">
        <v>36959</v>
      </c>
      <c r="B444" s="111"/>
      <c r="C444" s="112"/>
      <c r="D444" s="28"/>
      <c r="E444" s="28"/>
      <c r="F444" s="28"/>
      <c r="G444" s="113"/>
      <c r="H444" s="113"/>
      <c r="I444" s="113"/>
      <c r="J444" s="113"/>
      <c r="K444" s="28"/>
      <c r="L444" s="28"/>
      <c r="M444" s="70"/>
      <c r="N444" s="70"/>
      <c r="O444" s="70"/>
      <c r="P444" s="70"/>
      <c r="Q444" s="70"/>
      <c r="R444" s="70"/>
      <c r="S444" s="70"/>
      <c r="T444" s="70"/>
      <c r="U444" s="70"/>
      <c r="V444" s="70"/>
      <c r="W444" s="70"/>
    </row>
    <row r="445" customFormat="false" ht="12.75" hidden="false" customHeight="false" outlineLevel="0" collapsed="false">
      <c r="A445" s="32" t="n">
        <v>36960</v>
      </c>
      <c r="B445" s="111"/>
      <c r="C445" s="112"/>
      <c r="D445" s="28"/>
      <c r="E445" s="28"/>
      <c r="F445" s="28"/>
      <c r="G445" s="113"/>
      <c r="H445" s="113"/>
      <c r="I445" s="113"/>
      <c r="J445" s="113"/>
      <c r="K445" s="28"/>
      <c r="L445" s="28"/>
      <c r="M445" s="70"/>
      <c r="N445" s="70"/>
      <c r="O445" s="70"/>
      <c r="P445" s="70"/>
      <c r="Q445" s="70"/>
      <c r="R445" s="70"/>
      <c r="S445" s="70"/>
      <c r="T445" s="70"/>
      <c r="U445" s="70"/>
      <c r="V445" s="70"/>
      <c r="W445" s="70"/>
    </row>
    <row r="446" customFormat="false" ht="12.75" hidden="false" customHeight="false" outlineLevel="0" collapsed="false">
      <c r="A446" s="32" t="n">
        <v>36961</v>
      </c>
      <c r="B446" s="111"/>
      <c r="C446" s="112"/>
      <c r="D446" s="28"/>
      <c r="E446" s="28"/>
      <c r="F446" s="28"/>
      <c r="G446" s="113"/>
      <c r="H446" s="113"/>
      <c r="I446" s="113"/>
      <c r="J446" s="113"/>
      <c r="K446" s="28"/>
      <c r="L446" s="28"/>
      <c r="M446" s="70"/>
      <c r="N446" s="70"/>
      <c r="O446" s="70"/>
      <c r="P446" s="70"/>
      <c r="Q446" s="70"/>
      <c r="R446" s="70"/>
      <c r="S446" s="70"/>
      <c r="T446" s="70"/>
      <c r="U446" s="70"/>
      <c r="V446" s="70"/>
      <c r="W446" s="70"/>
    </row>
    <row r="447" customFormat="false" ht="12.75" hidden="false" customHeight="false" outlineLevel="0" collapsed="false">
      <c r="A447" s="32" t="n">
        <v>36962</v>
      </c>
      <c r="B447" s="111"/>
      <c r="C447" s="112"/>
      <c r="D447" s="28"/>
      <c r="E447" s="28"/>
      <c r="F447" s="28"/>
      <c r="G447" s="113"/>
      <c r="H447" s="113"/>
      <c r="I447" s="113"/>
      <c r="J447" s="113"/>
      <c r="K447" s="28"/>
      <c r="L447" s="28"/>
      <c r="M447" s="70"/>
      <c r="N447" s="70"/>
      <c r="O447" s="70"/>
      <c r="P447" s="70"/>
      <c r="Q447" s="70"/>
      <c r="R447" s="70"/>
      <c r="S447" s="70"/>
      <c r="T447" s="70"/>
      <c r="U447" s="70"/>
      <c r="V447" s="70"/>
      <c r="W447" s="70"/>
    </row>
    <row r="448" customFormat="false" ht="12.75" hidden="false" customHeight="false" outlineLevel="0" collapsed="false">
      <c r="A448" s="32" t="n">
        <v>36963</v>
      </c>
      <c r="B448" s="111"/>
      <c r="C448" s="112"/>
      <c r="D448" s="28"/>
      <c r="E448" s="28"/>
      <c r="F448" s="28"/>
      <c r="G448" s="113"/>
      <c r="H448" s="113"/>
      <c r="I448" s="113"/>
      <c r="J448" s="113"/>
      <c r="K448" s="28"/>
      <c r="L448" s="28"/>
      <c r="M448" s="70"/>
      <c r="N448" s="70"/>
      <c r="O448" s="70"/>
      <c r="P448" s="70"/>
      <c r="Q448" s="70"/>
      <c r="R448" s="70"/>
      <c r="S448" s="70"/>
      <c r="T448" s="70"/>
      <c r="U448" s="70"/>
      <c r="V448" s="70"/>
      <c r="W448" s="70"/>
    </row>
    <row r="449" customFormat="false" ht="12.75" hidden="false" customHeight="false" outlineLevel="0" collapsed="false">
      <c r="A449" s="32" t="n">
        <v>36964</v>
      </c>
      <c r="B449" s="111"/>
      <c r="C449" s="112"/>
      <c r="D449" s="28"/>
      <c r="E449" s="28"/>
      <c r="F449" s="28"/>
      <c r="G449" s="113"/>
      <c r="H449" s="113"/>
      <c r="I449" s="113"/>
      <c r="J449" s="113"/>
      <c r="K449" s="28"/>
      <c r="L449" s="28"/>
      <c r="M449" s="70"/>
      <c r="N449" s="70"/>
      <c r="O449" s="70"/>
      <c r="P449" s="70"/>
      <c r="Q449" s="70"/>
      <c r="R449" s="70"/>
      <c r="S449" s="70"/>
      <c r="T449" s="70"/>
      <c r="U449" s="70"/>
      <c r="V449" s="70"/>
      <c r="W449" s="70"/>
    </row>
    <row r="450" customFormat="false" ht="12.75" hidden="false" customHeight="false" outlineLevel="0" collapsed="false">
      <c r="A450" s="32" t="n">
        <v>36965</v>
      </c>
      <c r="B450" s="111"/>
      <c r="C450" s="112"/>
      <c r="D450" s="28"/>
      <c r="E450" s="28"/>
      <c r="F450" s="28"/>
      <c r="G450" s="113"/>
      <c r="H450" s="113"/>
      <c r="I450" s="113"/>
      <c r="J450" s="113"/>
      <c r="K450" s="28"/>
      <c r="L450" s="28"/>
      <c r="M450" s="70"/>
      <c r="N450" s="70"/>
      <c r="O450" s="70"/>
      <c r="P450" s="70"/>
      <c r="Q450" s="70"/>
      <c r="R450" s="70"/>
      <c r="S450" s="70"/>
      <c r="T450" s="70"/>
      <c r="U450" s="70"/>
      <c r="V450" s="70"/>
      <c r="W450" s="70"/>
    </row>
    <row r="451" customFormat="false" ht="12.75" hidden="false" customHeight="false" outlineLevel="0" collapsed="false">
      <c r="A451" s="32" t="n">
        <v>36966</v>
      </c>
      <c r="B451" s="111"/>
      <c r="C451" s="112"/>
      <c r="D451" s="28"/>
      <c r="E451" s="28"/>
      <c r="F451" s="28"/>
      <c r="G451" s="113"/>
      <c r="H451" s="113"/>
      <c r="I451" s="113"/>
      <c r="J451" s="113"/>
      <c r="K451" s="28"/>
      <c r="L451" s="28"/>
      <c r="M451" s="70"/>
      <c r="N451" s="70"/>
      <c r="O451" s="70"/>
      <c r="P451" s="70"/>
      <c r="Q451" s="70"/>
      <c r="R451" s="70"/>
      <c r="S451" s="70"/>
      <c r="T451" s="70"/>
      <c r="U451" s="70"/>
      <c r="V451" s="70"/>
      <c r="W451" s="70"/>
    </row>
    <row r="452" customFormat="false" ht="12.75" hidden="false" customHeight="false" outlineLevel="0" collapsed="false">
      <c r="A452" s="32" t="n">
        <v>36967</v>
      </c>
      <c r="B452" s="111"/>
      <c r="C452" s="112"/>
      <c r="D452" s="28"/>
      <c r="E452" s="28"/>
      <c r="F452" s="28"/>
      <c r="G452" s="113"/>
      <c r="H452" s="113"/>
      <c r="I452" s="113"/>
      <c r="J452" s="113"/>
      <c r="K452" s="28"/>
      <c r="L452" s="28"/>
      <c r="M452" s="70"/>
      <c r="N452" s="70"/>
      <c r="O452" s="70"/>
      <c r="P452" s="70"/>
      <c r="Q452" s="70"/>
      <c r="R452" s="70"/>
      <c r="S452" s="70"/>
      <c r="T452" s="70"/>
      <c r="U452" s="70"/>
      <c r="V452" s="70"/>
      <c r="W452" s="70"/>
    </row>
    <row r="453" customFormat="false" ht="12.75" hidden="false" customHeight="false" outlineLevel="0" collapsed="false">
      <c r="A453" s="32" t="n">
        <v>36968</v>
      </c>
      <c r="B453" s="111"/>
      <c r="C453" s="112"/>
      <c r="D453" s="28"/>
      <c r="E453" s="28"/>
      <c r="F453" s="28"/>
      <c r="G453" s="113"/>
      <c r="H453" s="113"/>
      <c r="I453" s="113"/>
      <c r="J453" s="113"/>
      <c r="K453" s="28"/>
      <c r="L453" s="28"/>
      <c r="M453" s="70"/>
      <c r="N453" s="70"/>
      <c r="O453" s="70"/>
      <c r="P453" s="70"/>
      <c r="Q453" s="70"/>
      <c r="R453" s="70"/>
      <c r="S453" s="70"/>
      <c r="T453" s="70"/>
      <c r="U453" s="70"/>
      <c r="V453" s="70"/>
      <c r="W453" s="70"/>
    </row>
    <row r="454" customFormat="false" ht="12.75" hidden="false" customHeight="false" outlineLevel="0" collapsed="false">
      <c r="A454" s="32" t="n">
        <v>36969</v>
      </c>
      <c r="B454" s="111"/>
      <c r="C454" s="112"/>
      <c r="D454" s="28"/>
      <c r="E454" s="28"/>
      <c r="F454" s="28"/>
      <c r="G454" s="113"/>
      <c r="H454" s="113"/>
      <c r="I454" s="113"/>
      <c r="J454" s="113"/>
      <c r="K454" s="28"/>
      <c r="L454" s="28"/>
      <c r="M454" s="70"/>
      <c r="N454" s="70"/>
      <c r="O454" s="70"/>
      <c r="P454" s="70"/>
      <c r="Q454" s="70"/>
      <c r="R454" s="70"/>
      <c r="S454" s="70"/>
      <c r="T454" s="70"/>
      <c r="U454" s="70"/>
      <c r="V454" s="70"/>
      <c r="W454" s="70"/>
    </row>
    <row r="455" customFormat="false" ht="12.75" hidden="false" customHeight="false" outlineLevel="0" collapsed="false">
      <c r="A455" s="32" t="n">
        <v>36970</v>
      </c>
      <c r="B455" s="111"/>
      <c r="C455" s="112"/>
      <c r="D455" s="28"/>
      <c r="E455" s="28"/>
      <c r="F455" s="28"/>
      <c r="G455" s="113"/>
      <c r="H455" s="113"/>
      <c r="I455" s="113"/>
      <c r="J455" s="113"/>
      <c r="K455" s="28"/>
      <c r="L455" s="28"/>
      <c r="M455" s="70"/>
      <c r="N455" s="70"/>
      <c r="O455" s="70"/>
      <c r="P455" s="70"/>
      <c r="Q455" s="70"/>
      <c r="R455" s="70"/>
      <c r="S455" s="70"/>
      <c r="T455" s="70"/>
      <c r="U455" s="70"/>
      <c r="V455" s="70"/>
      <c r="W455" s="70"/>
    </row>
    <row r="456" customFormat="false" ht="12.75" hidden="false" customHeight="false" outlineLevel="0" collapsed="false">
      <c r="A456" s="32" t="n">
        <v>36971</v>
      </c>
      <c r="B456" s="111"/>
      <c r="C456" s="112"/>
      <c r="D456" s="28"/>
      <c r="E456" s="28"/>
      <c r="F456" s="28"/>
      <c r="G456" s="113"/>
      <c r="H456" s="113"/>
      <c r="I456" s="113"/>
      <c r="J456" s="113"/>
      <c r="K456" s="28"/>
      <c r="L456" s="28"/>
      <c r="M456" s="70"/>
      <c r="N456" s="70"/>
      <c r="O456" s="70"/>
      <c r="P456" s="70"/>
      <c r="Q456" s="70"/>
      <c r="R456" s="70"/>
      <c r="S456" s="70"/>
      <c r="T456" s="70"/>
      <c r="U456" s="70"/>
      <c r="V456" s="70"/>
      <c r="W456" s="70"/>
    </row>
    <row r="457" customFormat="false" ht="12.75" hidden="false" customHeight="false" outlineLevel="0" collapsed="false">
      <c r="A457" s="32" t="n">
        <v>36972</v>
      </c>
      <c r="B457" s="111"/>
      <c r="C457" s="112"/>
      <c r="D457" s="28"/>
      <c r="E457" s="28"/>
      <c r="F457" s="28"/>
      <c r="G457" s="113"/>
      <c r="H457" s="113"/>
      <c r="I457" s="113"/>
      <c r="J457" s="113"/>
      <c r="K457" s="28"/>
      <c r="L457" s="28"/>
      <c r="M457" s="70"/>
      <c r="N457" s="70"/>
      <c r="O457" s="70"/>
      <c r="P457" s="70"/>
      <c r="Q457" s="70"/>
      <c r="R457" s="70"/>
      <c r="S457" s="70"/>
      <c r="T457" s="70"/>
      <c r="U457" s="70"/>
      <c r="V457" s="70"/>
      <c r="W457" s="70"/>
    </row>
    <row r="458" customFormat="false" ht="12.75" hidden="false" customHeight="false" outlineLevel="0" collapsed="false">
      <c r="A458" s="32" t="n">
        <v>36973</v>
      </c>
      <c r="B458" s="111"/>
      <c r="C458" s="112"/>
      <c r="D458" s="28"/>
      <c r="E458" s="28"/>
      <c r="F458" s="28"/>
      <c r="G458" s="113"/>
      <c r="H458" s="113"/>
      <c r="I458" s="113"/>
      <c r="J458" s="113"/>
      <c r="K458" s="28"/>
      <c r="L458" s="28"/>
      <c r="M458" s="70"/>
      <c r="N458" s="70"/>
      <c r="O458" s="70"/>
      <c r="P458" s="70"/>
      <c r="Q458" s="70"/>
      <c r="R458" s="70"/>
      <c r="S458" s="70"/>
      <c r="T458" s="70"/>
      <c r="U458" s="70"/>
      <c r="V458" s="70"/>
      <c r="W458" s="70"/>
    </row>
    <row r="459" customFormat="false" ht="12.75" hidden="false" customHeight="false" outlineLevel="0" collapsed="false">
      <c r="A459" s="32" t="n">
        <v>36974</v>
      </c>
      <c r="B459" s="111"/>
      <c r="C459" s="112"/>
      <c r="D459" s="28"/>
      <c r="E459" s="28"/>
      <c r="F459" s="28"/>
      <c r="G459" s="113"/>
      <c r="H459" s="113"/>
      <c r="I459" s="113"/>
      <c r="J459" s="113"/>
      <c r="K459" s="28"/>
      <c r="L459" s="28"/>
      <c r="M459" s="70"/>
      <c r="N459" s="70"/>
      <c r="O459" s="70"/>
      <c r="P459" s="70"/>
      <c r="Q459" s="70"/>
      <c r="R459" s="70"/>
      <c r="S459" s="70"/>
      <c r="T459" s="70"/>
      <c r="U459" s="70"/>
      <c r="V459" s="70"/>
      <c r="W459" s="70"/>
    </row>
    <row r="460" customFormat="false" ht="12.75" hidden="false" customHeight="false" outlineLevel="0" collapsed="false">
      <c r="A460" s="32" t="n">
        <v>36975</v>
      </c>
      <c r="B460" s="111"/>
      <c r="C460" s="112"/>
      <c r="D460" s="28"/>
      <c r="E460" s="28"/>
      <c r="F460" s="28"/>
      <c r="G460" s="113"/>
      <c r="H460" s="113"/>
      <c r="I460" s="113"/>
      <c r="J460" s="113"/>
      <c r="K460" s="28"/>
      <c r="L460" s="28"/>
      <c r="M460" s="70"/>
      <c r="N460" s="70"/>
      <c r="O460" s="70"/>
      <c r="P460" s="70"/>
      <c r="Q460" s="70"/>
      <c r="R460" s="70"/>
      <c r="S460" s="70"/>
      <c r="T460" s="70"/>
      <c r="U460" s="70"/>
      <c r="V460" s="70"/>
      <c r="W460" s="70"/>
    </row>
    <row r="461" customFormat="false" ht="12.75" hidden="false" customHeight="false" outlineLevel="0" collapsed="false">
      <c r="A461" s="32" t="n">
        <v>36976</v>
      </c>
      <c r="B461" s="111"/>
      <c r="C461" s="112"/>
      <c r="D461" s="28"/>
      <c r="E461" s="28"/>
      <c r="F461" s="28"/>
      <c r="G461" s="113"/>
      <c r="H461" s="113"/>
      <c r="I461" s="113"/>
      <c r="J461" s="113"/>
      <c r="K461" s="28"/>
      <c r="L461" s="28"/>
      <c r="M461" s="70"/>
      <c r="N461" s="70"/>
      <c r="O461" s="70"/>
      <c r="P461" s="70"/>
      <c r="Q461" s="70"/>
      <c r="R461" s="70"/>
      <c r="S461" s="70"/>
      <c r="T461" s="70"/>
      <c r="U461" s="70"/>
      <c r="V461" s="70"/>
      <c r="W461" s="70"/>
    </row>
    <row r="462" customFormat="false" ht="12.75" hidden="false" customHeight="false" outlineLevel="0" collapsed="false">
      <c r="A462" s="32" t="n">
        <v>36977</v>
      </c>
      <c r="B462" s="111"/>
      <c r="C462" s="112"/>
      <c r="D462" s="28"/>
      <c r="E462" s="28"/>
      <c r="F462" s="28"/>
      <c r="G462" s="113"/>
      <c r="H462" s="113"/>
      <c r="I462" s="113"/>
      <c r="J462" s="113"/>
      <c r="K462" s="28"/>
      <c r="L462" s="28"/>
      <c r="M462" s="70"/>
      <c r="N462" s="70"/>
      <c r="O462" s="70"/>
      <c r="P462" s="70"/>
      <c r="Q462" s="70"/>
      <c r="R462" s="70"/>
      <c r="S462" s="70"/>
      <c r="T462" s="70"/>
      <c r="U462" s="70"/>
      <c r="V462" s="70"/>
      <c r="W462" s="70"/>
    </row>
    <row r="463" customFormat="false" ht="12.75" hidden="false" customHeight="false" outlineLevel="0" collapsed="false">
      <c r="A463" s="32" t="n">
        <v>36978</v>
      </c>
      <c r="B463" s="111"/>
      <c r="C463" s="112"/>
      <c r="D463" s="28"/>
      <c r="E463" s="28"/>
      <c r="F463" s="28"/>
      <c r="G463" s="113"/>
      <c r="H463" s="113"/>
      <c r="I463" s="113"/>
      <c r="J463" s="113"/>
      <c r="K463" s="28"/>
      <c r="L463" s="28"/>
      <c r="M463" s="70"/>
      <c r="N463" s="70"/>
      <c r="O463" s="70"/>
      <c r="P463" s="70"/>
      <c r="Q463" s="70"/>
      <c r="R463" s="70"/>
      <c r="S463" s="70"/>
      <c r="T463" s="70"/>
      <c r="U463" s="70"/>
      <c r="V463" s="70"/>
      <c r="W463" s="70"/>
    </row>
    <row r="464" customFormat="false" ht="12.75" hidden="false" customHeight="false" outlineLevel="0" collapsed="false">
      <c r="A464" s="32" t="n">
        <v>36979</v>
      </c>
      <c r="B464" s="111"/>
      <c r="C464" s="112"/>
      <c r="D464" s="28"/>
      <c r="E464" s="28"/>
      <c r="F464" s="28"/>
      <c r="G464" s="113"/>
      <c r="H464" s="113"/>
      <c r="I464" s="113"/>
      <c r="J464" s="113"/>
      <c r="K464" s="28"/>
      <c r="L464" s="28"/>
      <c r="M464" s="70"/>
      <c r="N464" s="70"/>
      <c r="O464" s="70"/>
      <c r="P464" s="70"/>
      <c r="Q464" s="70"/>
      <c r="R464" s="70"/>
      <c r="S464" s="70"/>
      <c r="T464" s="70"/>
      <c r="U464" s="70"/>
      <c r="V464" s="70"/>
      <c r="W464" s="70"/>
    </row>
    <row r="465" customFormat="false" ht="12.75" hidden="false" customHeight="false" outlineLevel="0" collapsed="false">
      <c r="A465" s="32" t="n">
        <v>36980</v>
      </c>
      <c r="B465" s="111"/>
      <c r="C465" s="112"/>
      <c r="D465" s="28"/>
      <c r="E465" s="28"/>
      <c r="F465" s="28"/>
      <c r="G465" s="113"/>
      <c r="H465" s="113"/>
      <c r="I465" s="113"/>
      <c r="J465" s="113"/>
      <c r="K465" s="28"/>
      <c r="L465" s="28"/>
      <c r="M465" s="70"/>
      <c r="N465" s="70"/>
      <c r="O465" s="70"/>
      <c r="P465" s="70"/>
      <c r="Q465" s="70"/>
      <c r="R465" s="70"/>
      <c r="S465" s="70"/>
      <c r="T465" s="70"/>
      <c r="U465" s="70"/>
      <c r="V465" s="70"/>
      <c r="W465" s="70"/>
    </row>
    <row r="466" customFormat="false" ht="12.75" hidden="false" customHeight="false" outlineLevel="0" collapsed="false">
      <c r="A466" s="32" t="n">
        <v>36981</v>
      </c>
      <c r="B466" s="111"/>
      <c r="C466" s="112"/>
      <c r="D466" s="28"/>
      <c r="E466" s="28"/>
      <c r="F466" s="28"/>
      <c r="G466" s="113"/>
      <c r="H466" s="113"/>
      <c r="I466" s="113"/>
      <c r="J466" s="113"/>
      <c r="K466" s="28"/>
      <c r="L466" s="28"/>
      <c r="M466" s="70"/>
      <c r="N466" s="70"/>
      <c r="O466" s="70"/>
      <c r="P466" s="70"/>
      <c r="Q466" s="70"/>
      <c r="R466" s="70"/>
      <c r="S466" s="70"/>
      <c r="T466" s="70"/>
      <c r="U466" s="70"/>
      <c r="V466" s="70"/>
      <c r="W466" s="70"/>
    </row>
    <row r="467" customFormat="false" ht="12.75" hidden="false" customHeight="false" outlineLevel="0" collapsed="false">
      <c r="A467" s="32" t="n">
        <v>36982</v>
      </c>
      <c r="B467" s="111"/>
      <c r="C467" s="112"/>
      <c r="D467" s="28"/>
      <c r="E467" s="28"/>
      <c r="F467" s="28"/>
      <c r="G467" s="113"/>
      <c r="H467" s="113"/>
      <c r="I467" s="113"/>
      <c r="J467" s="113"/>
      <c r="K467" s="28"/>
      <c r="L467" s="28"/>
      <c r="M467" s="70"/>
      <c r="N467" s="70"/>
      <c r="O467" s="70"/>
      <c r="P467" s="70"/>
      <c r="Q467" s="70"/>
      <c r="R467" s="70"/>
      <c r="S467" s="70"/>
      <c r="T467" s="70"/>
      <c r="U467" s="70"/>
      <c r="V467" s="70"/>
      <c r="W467" s="70"/>
    </row>
    <row r="468" customFormat="false" ht="12.75" hidden="false" customHeight="false" outlineLevel="0" collapsed="false">
      <c r="A468" s="32" t="n">
        <v>36983</v>
      </c>
      <c r="B468" s="111"/>
      <c r="C468" s="112"/>
      <c r="D468" s="28"/>
      <c r="E468" s="28"/>
      <c r="F468" s="28"/>
      <c r="G468" s="113"/>
      <c r="H468" s="113"/>
      <c r="I468" s="113"/>
      <c r="J468" s="113"/>
      <c r="K468" s="28"/>
      <c r="L468" s="28"/>
      <c r="M468" s="70"/>
      <c r="N468" s="70"/>
      <c r="O468" s="70"/>
      <c r="P468" s="70"/>
      <c r="Q468" s="70"/>
      <c r="R468" s="70"/>
      <c r="S468" s="70"/>
      <c r="T468" s="70"/>
      <c r="U468" s="70"/>
      <c r="V468" s="70"/>
      <c r="W468" s="70"/>
    </row>
    <row r="469" customFormat="false" ht="12.75" hidden="false" customHeight="false" outlineLevel="0" collapsed="false">
      <c r="A469" s="32" t="n">
        <v>36984</v>
      </c>
      <c r="B469" s="111"/>
      <c r="C469" s="112"/>
      <c r="D469" s="28"/>
      <c r="E469" s="28"/>
      <c r="F469" s="28"/>
      <c r="G469" s="113"/>
      <c r="H469" s="113"/>
      <c r="I469" s="113"/>
      <c r="J469" s="113"/>
      <c r="K469" s="28"/>
      <c r="L469" s="28"/>
      <c r="M469" s="70"/>
      <c r="N469" s="70"/>
      <c r="O469" s="70"/>
      <c r="P469" s="70"/>
      <c r="Q469" s="70"/>
      <c r="R469" s="70"/>
      <c r="S469" s="70"/>
      <c r="T469" s="70"/>
      <c r="U469" s="70"/>
      <c r="V469" s="70"/>
      <c r="W469" s="70"/>
    </row>
    <row r="470" customFormat="false" ht="12.75" hidden="false" customHeight="false" outlineLevel="0" collapsed="false">
      <c r="A470" s="32" t="n">
        <v>36985</v>
      </c>
      <c r="B470" s="111"/>
      <c r="C470" s="112"/>
      <c r="D470" s="28"/>
      <c r="E470" s="28"/>
      <c r="F470" s="28"/>
      <c r="G470" s="113"/>
      <c r="H470" s="113"/>
      <c r="I470" s="113"/>
      <c r="J470" s="113"/>
      <c r="K470" s="28"/>
      <c r="L470" s="28"/>
      <c r="M470" s="70"/>
      <c r="N470" s="70"/>
      <c r="O470" s="70"/>
      <c r="P470" s="70"/>
      <c r="Q470" s="70"/>
      <c r="R470" s="70"/>
      <c r="S470" s="70"/>
      <c r="T470" s="70"/>
      <c r="U470" s="70"/>
      <c r="V470" s="70"/>
      <c r="W470" s="70"/>
    </row>
    <row r="471" customFormat="false" ht="12.75" hidden="false" customHeight="false" outlineLevel="0" collapsed="false">
      <c r="A471" s="32" t="n">
        <v>36986</v>
      </c>
      <c r="B471" s="111"/>
      <c r="C471" s="112"/>
      <c r="D471" s="28"/>
      <c r="E471" s="28"/>
      <c r="F471" s="28"/>
      <c r="G471" s="113"/>
      <c r="H471" s="113"/>
      <c r="I471" s="113"/>
      <c r="J471" s="113"/>
      <c r="K471" s="28"/>
      <c r="L471" s="28"/>
      <c r="M471" s="70"/>
      <c r="N471" s="70"/>
      <c r="O471" s="70"/>
      <c r="P471" s="70"/>
      <c r="Q471" s="70"/>
      <c r="R471" s="70"/>
      <c r="S471" s="70"/>
      <c r="T471" s="70"/>
      <c r="U471" s="70"/>
      <c r="V471" s="70"/>
      <c r="W471" s="70"/>
    </row>
    <row r="472" customFormat="false" ht="12.75" hidden="false" customHeight="false" outlineLevel="0" collapsed="false">
      <c r="A472" s="32" t="n">
        <v>36987</v>
      </c>
      <c r="B472" s="111"/>
      <c r="C472" s="112"/>
      <c r="D472" s="28"/>
      <c r="E472" s="28"/>
      <c r="F472" s="28"/>
      <c r="G472" s="113"/>
      <c r="H472" s="113"/>
      <c r="I472" s="113"/>
      <c r="J472" s="113"/>
      <c r="K472" s="28"/>
      <c r="L472" s="28"/>
      <c r="M472" s="70"/>
      <c r="N472" s="70"/>
      <c r="O472" s="70"/>
      <c r="P472" s="70"/>
      <c r="Q472" s="70"/>
      <c r="R472" s="70"/>
      <c r="S472" s="70"/>
      <c r="T472" s="70"/>
      <c r="U472" s="70"/>
      <c r="V472" s="70"/>
      <c r="W472" s="70"/>
    </row>
    <row r="473" customFormat="false" ht="12.75" hidden="false" customHeight="false" outlineLevel="0" collapsed="false">
      <c r="A473" s="32" t="n">
        <v>36988</v>
      </c>
      <c r="B473" s="111"/>
      <c r="C473" s="112"/>
      <c r="D473" s="28"/>
      <c r="E473" s="28"/>
      <c r="F473" s="28"/>
      <c r="G473" s="113"/>
      <c r="H473" s="113"/>
      <c r="I473" s="113"/>
      <c r="J473" s="113"/>
      <c r="K473" s="28"/>
      <c r="L473" s="28"/>
      <c r="M473" s="70"/>
      <c r="N473" s="70"/>
      <c r="O473" s="70"/>
      <c r="P473" s="70"/>
      <c r="Q473" s="70"/>
      <c r="R473" s="70"/>
      <c r="S473" s="70"/>
      <c r="T473" s="70"/>
      <c r="U473" s="70"/>
      <c r="V473" s="70"/>
      <c r="W473" s="70"/>
    </row>
    <row r="474" customFormat="false" ht="12.75" hidden="false" customHeight="false" outlineLevel="0" collapsed="false">
      <c r="A474" s="32" t="n">
        <v>36989</v>
      </c>
      <c r="B474" s="111"/>
      <c r="C474" s="112"/>
      <c r="D474" s="28"/>
      <c r="E474" s="28"/>
      <c r="F474" s="28"/>
      <c r="G474" s="113"/>
      <c r="H474" s="113"/>
      <c r="I474" s="113"/>
      <c r="J474" s="113"/>
      <c r="K474" s="28"/>
      <c r="L474" s="28"/>
      <c r="M474" s="70"/>
      <c r="N474" s="70"/>
      <c r="O474" s="70"/>
      <c r="P474" s="70"/>
      <c r="Q474" s="70"/>
      <c r="R474" s="70"/>
      <c r="S474" s="70"/>
      <c r="T474" s="70"/>
      <c r="U474" s="70"/>
      <c r="V474" s="70"/>
      <c r="W474" s="70"/>
    </row>
    <row r="475" customFormat="false" ht="12.75" hidden="false" customHeight="false" outlineLevel="0" collapsed="false">
      <c r="A475" s="32" t="n">
        <v>36990</v>
      </c>
      <c r="B475" s="111"/>
      <c r="C475" s="112"/>
      <c r="D475" s="28"/>
      <c r="E475" s="28"/>
      <c r="F475" s="28"/>
      <c r="G475" s="113"/>
      <c r="H475" s="113"/>
      <c r="I475" s="113"/>
      <c r="J475" s="113"/>
      <c r="K475" s="28"/>
      <c r="L475" s="28"/>
      <c r="M475" s="70"/>
      <c r="N475" s="70"/>
      <c r="O475" s="70"/>
      <c r="P475" s="70"/>
      <c r="Q475" s="70"/>
      <c r="R475" s="70"/>
      <c r="S475" s="70"/>
      <c r="T475" s="70"/>
      <c r="U475" s="70"/>
      <c r="V475" s="70"/>
      <c r="W475" s="70"/>
    </row>
    <row r="476" customFormat="false" ht="12.75" hidden="false" customHeight="false" outlineLevel="0" collapsed="false">
      <c r="A476" s="32" t="n">
        <v>36991</v>
      </c>
      <c r="B476" s="111"/>
      <c r="C476" s="112"/>
      <c r="D476" s="28"/>
      <c r="E476" s="28"/>
      <c r="F476" s="28"/>
      <c r="G476" s="113"/>
      <c r="H476" s="113"/>
      <c r="I476" s="113"/>
      <c r="J476" s="113"/>
      <c r="K476" s="28"/>
      <c r="L476" s="28"/>
      <c r="M476" s="70"/>
      <c r="N476" s="70"/>
      <c r="O476" s="70"/>
      <c r="P476" s="70"/>
      <c r="Q476" s="70"/>
      <c r="R476" s="70"/>
      <c r="S476" s="70"/>
      <c r="T476" s="70"/>
      <c r="U476" s="70"/>
      <c r="V476" s="70"/>
      <c r="W476" s="70"/>
    </row>
    <row r="477" customFormat="false" ht="12.75" hidden="false" customHeight="false" outlineLevel="0" collapsed="false">
      <c r="A477" s="32" t="n">
        <v>36992</v>
      </c>
      <c r="B477" s="111"/>
      <c r="C477" s="112"/>
      <c r="D477" s="28"/>
      <c r="E477" s="28"/>
      <c r="F477" s="28"/>
      <c r="G477" s="113"/>
      <c r="H477" s="113"/>
      <c r="I477" s="113"/>
      <c r="J477" s="113"/>
      <c r="K477" s="28"/>
      <c r="L477" s="28"/>
      <c r="M477" s="70"/>
      <c r="N477" s="70"/>
      <c r="O477" s="70"/>
      <c r="P477" s="70"/>
      <c r="Q477" s="70"/>
      <c r="R477" s="70"/>
      <c r="S477" s="70"/>
      <c r="T477" s="70"/>
      <c r="U477" s="70"/>
      <c r="V477" s="70"/>
      <c r="W477" s="70"/>
    </row>
    <row r="478" customFormat="false" ht="12.75" hidden="false" customHeight="false" outlineLevel="0" collapsed="false">
      <c r="A478" s="32" t="n">
        <v>36993</v>
      </c>
      <c r="B478" s="111"/>
      <c r="C478" s="112"/>
      <c r="D478" s="28"/>
      <c r="E478" s="28"/>
      <c r="F478" s="28"/>
      <c r="G478" s="113"/>
      <c r="H478" s="113"/>
      <c r="I478" s="113"/>
      <c r="J478" s="113"/>
      <c r="K478" s="28"/>
      <c r="L478" s="28"/>
      <c r="M478" s="70"/>
      <c r="N478" s="70"/>
      <c r="O478" s="70"/>
      <c r="P478" s="70"/>
      <c r="Q478" s="70"/>
      <c r="R478" s="70"/>
      <c r="S478" s="70"/>
      <c r="T478" s="70"/>
      <c r="U478" s="70"/>
      <c r="V478" s="70"/>
      <c r="W478" s="70"/>
    </row>
    <row r="479" customFormat="false" ht="12.75" hidden="false" customHeight="false" outlineLevel="0" collapsed="false">
      <c r="A479" s="32" t="n">
        <v>36994</v>
      </c>
      <c r="B479" s="111"/>
      <c r="C479" s="112"/>
      <c r="D479" s="28"/>
      <c r="E479" s="28"/>
      <c r="F479" s="28"/>
      <c r="G479" s="113"/>
      <c r="H479" s="113"/>
      <c r="I479" s="113"/>
      <c r="J479" s="113"/>
      <c r="K479" s="28"/>
      <c r="L479" s="28"/>
      <c r="M479" s="70"/>
      <c r="N479" s="70"/>
      <c r="O479" s="70"/>
      <c r="P479" s="70"/>
      <c r="Q479" s="70"/>
      <c r="R479" s="70"/>
      <c r="S479" s="70"/>
      <c r="T479" s="70"/>
      <c r="U479" s="70"/>
      <c r="V479" s="70"/>
      <c r="W479" s="70"/>
    </row>
    <row r="480" customFormat="false" ht="12.75" hidden="false" customHeight="false" outlineLevel="0" collapsed="false">
      <c r="A480" s="32" t="n">
        <v>36995</v>
      </c>
      <c r="B480" s="111"/>
      <c r="C480" s="112"/>
      <c r="D480" s="28"/>
      <c r="E480" s="28"/>
      <c r="F480" s="28"/>
      <c r="G480" s="113"/>
      <c r="H480" s="113"/>
      <c r="I480" s="113"/>
      <c r="J480" s="113"/>
      <c r="K480" s="28"/>
      <c r="L480" s="28"/>
      <c r="M480" s="70"/>
      <c r="N480" s="70"/>
      <c r="O480" s="70"/>
      <c r="P480" s="70"/>
      <c r="Q480" s="70"/>
      <c r="R480" s="70"/>
      <c r="S480" s="70"/>
      <c r="T480" s="70"/>
      <c r="U480" s="70"/>
      <c r="V480" s="70"/>
      <c r="W480" s="70"/>
    </row>
    <row r="481" customFormat="false" ht="12.75" hidden="false" customHeight="false" outlineLevel="0" collapsed="false">
      <c r="A481" s="32" t="n">
        <v>36996</v>
      </c>
      <c r="B481" s="111"/>
      <c r="C481" s="112"/>
      <c r="D481" s="28"/>
      <c r="E481" s="28"/>
      <c r="F481" s="28"/>
      <c r="G481" s="113"/>
      <c r="H481" s="113"/>
      <c r="I481" s="113"/>
      <c r="J481" s="113"/>
      <c r="K481" s="28"/>
      <c r="L481" s="28"/>
      <c r="M481" s="70"/>
      <c r="N481" s="70"/>
      <c r="O481" s="70"/>
      <c r="P481" s="70"/>
      <c r="Q481" s="70"/>
      <c r="R481" s="70"/>
      <c r="S481" s="70"/>
      <c r="T481" s="70"/>
      <c r="U481" s="70"/>
      <c r="V481" s="70"/>
      <c r="W481" s="70"/>
    </row>
    <row r="482" customFormat="false" ht="12.75" hidden="false" customHeight="false" outlineLevel="0" collapsed="false">
      <c r="A482" s="32" t="n">
        <v>36997</v>
      </c>
      <c r="B482" s="111"/>
      <c r="C482" s="112"/>
      <c r="D482" s="28"/>
      <c r="E482" s="28"/>
      <c r="F482" s="28"/>
      <c r="G482" s="113"/>
      <c r="H482" s="113"/>
      <c r="I482" s="113"/>
      <c r="J482" s="113"/>
      <c r="K482" s="28"/>
      <c r="L482" s="28"/>
      <c r="M482" s="70"/>
      <c r="N482" s="70"/>
      <c r="O482" s="70"/>
      <c r="P482" s="70"/>
      <c r="Q482" s="70"/>
      <c r="R482" s="70"/>
      <c r="S482" s="70"/>
      <c r="T482" s="70"/>
      <c r="U482" s="70"/>
      <c r="V482" s="70"/>
      <c r="W482" s="70"/>
    </row>
    <row r="483" customFormat="false" ht="12.75" hidden="false" customHeight="false" outlineLevel="0" collapsed="false">
      <c r="A483" s="32" t="n">
        <v>36998</v>
      </c>
      <c r="B483" s="111"/>
      <c r="C483" s="112"/>
      <c r="D483" s="28"/>
      <c r="E483" s="28"/>
      <c r="F483" s="28"/>
      <c r="G483" s="113"/>
      <c r="H483" s="113"/>
      <c r="I483" s="113"/>
      <c r="J483" s="113"/>
      <c r="K483" s="28"/>
      <c r="L483" s="28"/>
      <c r="M483" s="70"/>
      <c r="N483" s="70"/>
      <c r="O483" s="70"/>
      <c r="P483" s="70"/>
      <c r="Q483" s="70"/>
      <c r="R483" s="70"/>
      <c r="S483" s="70"/>
      <c r="T483" s="70"/>
      <c r="U483" s="70"/>
      <c r="V483" s="70"/>
      <c r="W483" s="70"/>
    </row>
    <row r="484" customFormat="false" ht="12.75" hidden="false" customHeight="false" outlineLevel="0" collapsed="false">
      <c r="A484" s="32" t="n">
        <v>36999</v>
      </c>
      <c r="B484" s="111"/>
      <c r="C484" s="112"/>
      <c r="D484" s="28"/>
      <c r="E484" s="28"/>
      <c r="F484" s="28"/>
      <c r="G484" s="113"/>
      <c r="H484" s="113"/>
      <c r="I484" s="113"/>
      <c r="J484" s="113"/>
      <c r="K484" s="28"/>
      <c r="L484" s="28"/>
      <c r="M484" s="70"/>
      <c r="N484" s="70"/>
      <c r="O484" s="70"/>
      <c r="P484" s="70"/>
      <c r="Q484" s="70"/>
      <c r="R484" s="70"/>
      <c r="S484" s="70"/>
      <c r="T484" s="70"/>
      <c r="U484" s="70"/>
      <c r="V484" s="70"/>
      <c r="W484" s="70"/>
    </row>
    <row r="485" customFormat="false" ht="12.75" hidden="false" customHeight="false" outlineLevel="0" collapsed="false">
      <c r="A485" s="32" t="n">
        <v>37000</v>
      </c>
      <c r="B485" s="111"/>
      <c r="C485" s="112"/>
      <c r="D485" s="28"/>
      <c r="E485" s="28"/>
      <c r="F485" s="28"/>
      <c r="G485" s="113"/>
      <c r="H485" s="113"/>
      <c r="I485" s="113"/>
      <c r="J485" s="113"/>
      <c r="K485" s="28"/>
      <c r="L485" s="28"/>
      <c r="M485" s="70"/>
      <c r="N485" s="70"/>
      <c r="O485" s="70"/>
      <c r="P485" s="70"/>
      <c r="Q485" s="70"/>
      <c r="R485" s="70"/>
      <c r="S485" s="70"/>
      <c r="T485" s="70"/>
      <c r="U485" s="70"/>
      <c r="V485" s="70"/>
      <c r="W485" s="70"/>
    </row>
    <row r="486" customFormat="false" ht="12.75" hidden="false" customHeight="false" outlineLevel="0" collapsed="false">
      <c r="A486" s="32" t="n">
        <v>37001</v>
      </c>
      <c r="B486" s="111"/>
      <c r="C486" s="112"/>
      <c r="D486" s="28"/>
      <c r="E486" s="28"/>
      <c r="F486" s="28"/>
      <c r="G486" s="113"/>
      <c r="H486" s="113"/>
      <c r="I486" s="113"/>
      <c r="J486" s="113"/>
      <c r="K486" s="28"/>
      <c r="L486" s="28"/>
      <c r="M486" s="70"/>
      <c r="N486" s="70"/>
      <c r="O486" s="70"/>
      <c r="P486" s="70"/>
      <c r="Q486" s="70"/>
      <c r="R486" s="70"/>
      <c r="S486" s="70"/>
      <c r="T486" s="70"/>
      <c r="U486" s="70"/>
      <c r="V486" s="70"/>
      <c r="W486" s="70"/>
    </row>
    <row r="487" customFormat="false" ht="12.75" hidden="false" customHeight="false" outlineLevel="0" collapsed="false">
      <c r="A487" s="32" t="n">
        <v>37002</v>
      </c>
      <c r="B487" s="111"/>
      <c r="C487" s="112"/>
      <c r="D487" s="28"/>
      <c r="E487" s="28"/>
      <c r="F487" s="28"/>
      <c r="G487" s="113"/>
      <c r="H487" s="113"/>
      <c r="I487" s="113"/>
      <c r="J487" s="113"/>
      <c r="K487" s="28"/>
      <c r="L487" s="28"/>
      <c r="M487" s="70"/>
      <c r="N487" s="70"/>
      <c r="O487" s="70"/>
      <c r="P487" s="70"/>
      <c r="Q487" s="70"/>
      <c r="R487" s="70"/>
      <c r="S487" s="70"/>
      <c r="T487" s="70"/>
      <c r="U487" s="70"/>
      <c r="V487" s="70"/>
      <c r="W487" s="70"/>
    </row>
    <row r="488" customFormat="false" ht="12.75" hidden="false" customHeight="false" outlineLevel="0" collapsed="false">
      <c r="A488" s="32" t="n">
        <v>37003</v>
      </c>
      <c r="B488" s="111"/>
      <c r="C488" s="112"/>
      <c r="D488" s="28"/>
      <c r="E488" s="28"/>
      <c r="F488" s="28"/>
      <c r="G488" s="113"/>
      <c r="H488" s="113"/>
      <c r="I488" s="113"/>
      <c r="J488" s="113"/>
      <c r="K488" s="28"/>
      <c r="L488" s="28"/>
      <c r="M488" s="70"/>
      <c r="N488" s="70"/>
      <c r="O488" s="70"/>
      <c r="P488" s="70"/>
      <c r="Q488" s="70"/>
      <c r="R488" s="70"/>
      <c r="S488" s="70"/>
      <c r="T488" s="70"/>
      <c r="U488" s="70"/>
      <c r="V488" s="70"/>
      <c r="W488" s="70"/>
    </row>
    <row r="489" customFormat="false" ht="12.75" hidden="false" customHeight="false" outlineLevel="0" collapsed="false">
      <c r="A489" s="32" t="n">
        <v>37004</v>
      </c>
      <c r="B489" s="111"/>
      <c r="C489" s="112"/>
      <c r="D489" s="28"/>
      <c r="E489" s="28"/>
      <c r="F489" s="28"/>
      <c r="G489" s="113"/>
      <c r="H489" s="113"/>
      <c r="I489" s="113"/>
      <c r="J489" s="113"/>
      <c r="K489" s="28"/>
      <c r="L489" s="28"/>
      <c r="M489" s="70"/>
      <c r="N489" s="70"/>
      <c r="O489" s="70"/>
      <c r="P489" s="70"/>
      <c r="Q489" s="70"/>
      <c r="R489" s="70"/>
      <c r="S489" s="70"/>
      <c r="T489" s="70"/>
      <c r="U489" s="70"/>
      <c r="V489" s="70"/>
      <c r="W489" s="70"/>
    </row>
    <row r="490" customFormat="false" ht="12.75" hidden="false" customHeight="false" outlineLevel="0" collapsed="false">
      <c r="A490" s="32" t="n">
        <v>37005</v>
      </c>
      <c r="B490" s="111"/>
      <c r="C490" s="112"/>
      <c r="D490" s="28"/>
      <c r="E490" s="28"/>
      <c r="F490" s="28"/>
      <c r="G490" s="113"/>
      <c r="H490" s="113"/>
      <c r="I490" s="113"/>
      <c r="J490" s="113"/>
      <c r="K490" s="28"/>
      <c r="L490" s="28"/>
      <c r="M490" s="70"/>
      <c r="N490" s="70"/>
      <c r="O490" s="70"/>
      <c r="P490" s="70"/>
      <c r="Q490" s="70"/>
      <c r="R490" s="70"/>
      <c r="S490" s="70"/>
      <c r="T490" s="70"/>
      <c r="U490" s="70"/>
      <c r="V490" s="70"/>
      <c r="W490" s="70"/>
    </row>
    <row r="491" customFormat="false" ht="12.75" hidden="false" customHeight="false" outlineLevel="0" collapsed="false">
      <c r="A491" s="32" t="n">
        <v>37006</v>
      </c>
      <c r="B491" s="111"/>
      <c r="C491" s="112"/>
      <c r="D491" s="28"/>
      <c r="E491" s="28"/>
      <c r="F491" s="28"/>
      <c r="G491" s="113"/>
      <c r="H491" s="113"/>
      <c r="I491" s="113"/>
      <c r="J491" s="113"/>
      <c r="K491" s="28"/>
      <c r="L491" s="28"/>
      <c r="M491" s="70"/>
      <c r="N491" s="70"/>
      <c r="O491" s="70"/>
      <c r="P491" s="70"/>
      <c r="Q491" s="70"/>
      <c r="R491" s="70"/>
      <c r="S491" s="70"/>
      <c r="T491" s="70"/>
      <c r="U491" s="70"/>
      <c r="V491" s="70"/>
      <c r="W491" s="70"/>
    </row>
    <row r="492" customFormat="false" ht="12.75" hidden="false" customHeight="false" outlineLevel="0" collapsed="false">
      <c r="A492" s="32" t="n">
        <v>37007</v>
      </c>
      <c r="B492" s="111"/>
      <c r="C492" s="112"/>
      <c r="D492" s="28"/>
      <c r="E492" s="28"/>
      <c r="F492" s="28"/>
      <c r="G492" s="113"/>
      <c r="H492" s="113"/>
      <c r="I492" s="113"/>
      <c r="J492" s="113"/>
      <c r="K492" s="28"/>
      <c r="L492" s="28"/>
      <c r="M492" s="70"/>
      <c r="N492" s="70"/>
      <c r="O492" s="70"/>
      <c r="P492" s="70"/>
      <c r="Q492" s="70"/>
      <c r="R492" s="70"/>
      <c r="S492" s="70"/>
      <c r="T492" s="70"/>
      <c r="U492" s="70"/>
      <c r="V492" s="70"/>
      <c r="W492" s="70"/>
    </row>
    <row r="493" customFormat="false" ht="12.75" hidden="false" customHeight="false" outlineLevel="0" collapsed="false">
      <c r="A493" s="32" t="n">
        <v>37008</v>
      </c>
      <c r="B493" s="111"/>
      <c r="C493" s="112"/>
      <c r="D493" s="28"/>
      <c r="E493" s="28"/>
      <c r="F493" s="28"/>
      <c r="G493" s="113"/>
      <c r="H493" s="113"/>
      <c r="I493" s="113"/>
      <c r="J493" s="113"/>
      <c r="K493" s="28"/>
      <c r="L493" s="28"/>
      <c r="M493" s="70"/>
      <c r="N493" s="70"/>
      <c r="O493" s="70"/>
      <c r="P493" s="70"/>
      <c r="Q493" s="70"/>
      <c r="R493" s="70"/>
      <c r="S493" s="70"/>
      <c r="T493" s="70"/>
      <c r="U493" s="70"/>
      <c r="V493" s="70"/>
      <c r="W493" s="70"/>
    </row>
    <row r="494" customFormat="false" ht="12.75" hidden="false" customHeight="false" outlineLevel="0" collapsed="false">
      <c r="A494" s="32" t="n">
        <v>37009</v>
      </c>
      <c r="B494" s="111"/>
      <c r="C494" s="112"/>
      <c r="D494" s="28"/>
      <c r="E494" s="28"/>
      <c r="F494" s="28"/>
      <c r="G494" s="113"/>
      <c r="H494" s="113"/>
      <c r="I494" s="113"/>
      <c r="J494" s="113"/>
      <c r="K494" s="28"/>
      <c r="L494" s="28"/>
      <c r="M494" s="70"/>
      <c r="N494" s="70"/>
      <c r="O494" s="70"/>
      <c r="P494" s="70"/>
      <c r="Q494" s="70"/>
      <c r="R494" s="70"/>
      <c r="S494" s="70"/>
      <c r="T494" s="70"/>
      <c r="U494" s="70"/>
      <c r="V494" s="70"/>
      <c r="W494" s="70"/>
    </row>
    <row r="495" customFormat="false" ht="12.75" hidden="false" customHeight="false" outlineLevel="0" collapsed="false">
      <c r="A495" s="32" t="n">
        <v>37010</v>
      </c>
      <c r="B495" s="111"/>
      <c r="C495" s="112"/>
      <c r="D495" s="28"/>
      <c r="E495" s="28"/>
      <c r="F495" s="28"/>
      <c r="G495" s="113"/>
      <c r="H495" s="113"/>
      <c r="I495" s="113"/>
      <c r="J495" s="113"/>
      <c r="K495" s="28"/>
      <c r="L495" s="28"/>
      <c r="M495" s="70"/>
      <c r="N495" s="70"/>
      <c r="O495" s="70"/>
      <c r="P495" s="70"/>
      <c r="Q495" s="70"/>
      <c r="R495" s="70"/>
      <c r="S495" s="70"/>
      <c r="T495" s="70"/>
      <c r="U495" s="70"/>
      <c r="V495" s="70"/>
      <c r="W495" s="70"/>
    </row>
    <row r="496" customFormat="false" ht="12.75" hidden="false" customHeight="false" outlineLevel="0" collapsed="false">
      <c r="A496" s="32" t="n">
        <v>37011</v>
      </c>
      <c r="B496" s="111"/>
      <c r="C496" s="112"/>
      <c r="D496" s="28"/>
      <c r="E496" s="28"/>
      <c r="F496" s="28"/>
      <c r="G496" s="113"/>
      <c r="H496" s="113"/>
      <c r="I496" s="113"/>
      <c r="J496" s="113"/>
      <c r="K496" s="28"/>
      <c r="L496" s="28"/>
      <c r="M496" s="70"/>
      <c r="N496" s="70"/>
      <c r="O496" s="70"/>
      <c r="P496" s="70"/>
      <c r="Q496" s="70"/>
      <c r="R496" s="70"/>
      <c r="S496" s="70"/>
      <c r="T496" s="70"/>
      <c r="U496" s="70"/>
      <c r="V496" s="70"/>
      <c r="W496" s="70"/>
    </row>
    <row r="497" customFormat="false" ht="12.75" hidden="false" customHeight="false" outlineLevel="0" collapsed="false">
      <c r="A497" s="32" t="n">
        <v>37012</v>
      </c>
      <c r="B497" s="111"/>
      <c r="C497" s="112"/>
      <c r="D497" s="28"/>
      <c r="E497" s="28"/>
      <c r="F497" s="28"/>
      <c r="G497" s="113"/>
      <c r="H497" s="113"/>
      <c r="I497" s="113"/>
      <c r="J497" s="113"/>
      <c r="K497" s="28"/>
      <c r="L497" s="28"/>
      <c r="M497" s="70"/>
      <c r="N497" s="70"/>
      <c r="O497" s="70"/>
      <c r="P497" s="70"/>
      <c r="Q497" s="70"/>
      <c r="R497" s="70"/>
      <c r="S497" s="70"/>
      <c r="T497" s="70"/>
      <c r="U497" s="70"/>
      <c r="V497" s="70"/>
      <c r="W497" s="70"/>
    </row>
    <row r="498" customFormat="false" ht="12.75" hidden="false" customHeight="false" outlineLevel="0" collapsed="false">
      <c r="A498" s="32" t="n">
        <v>37013</v>
      </c>
      <c r="B498" s="111"/>
      <c r="C498" s="112"/>
      <c r="D498" s="28"/>
      <c r="E498" s="28"/>
      <c r="F498" s="28"/>
      <c r="G498" s="113"/>
      <c r="H498" s="113"/>
      <c r="I498" s="113"/>
      <c r="J498" s="113"/>
      <c r="K498" s="28"/>
      <c r="L498" s="28"/>
      <c r="M498" s="70"/>
      <c r="N498" s="70"/>
      <c r="O498" s="70"/>
      <c r="P498" s="70"/>
      <c r="Q498" s="70"/>
      <c r="R498" s="70"/>
      <c r="S498" s="70"/>
      <c r="T498" s="70"/>
      <c r="U498" s="70"/>
      <c r="V498" s="70"/>
      <c r="W498" s="70"/>
    </row>
    <row r="499" customFormat="false" ht="12.75" hidden="false" customHeight="false" outlineLevel="0" collapsed="false">
      <c r="A499" s="32" t="n">
        <v>37014</v>
      </c>
      <c r="B499" s="111"/>
      <c r="C499" s="112"/>
      <c r="D499" s="28"/>
      <c r="E499" s="28"/>
      <c r="F499" s="28"/>
      <c r="G499" s="113"/>
      <c r="H499" s="113"/>
      <c r="I499" s="113"/>
      <c r="J499" s="113"/>
      <c r="K499" s="28"/>
      <c r="L499" s="28"/>
      <c r="M499" s="70"/>
      <c r="N499" s="70"/>
      <c r="O499" s="70"/>
      <c r="P499" s="70"/>
      <c r="Q499" s="70"/>
      <c r="R499" s="70"/>
      <c r="S499" s="70"/>
      <c r="T499" s="70"/>
      <c r="U499" s="70"/>
      <c r="V499" s="70"/>
      <c r="W499" s="70"/>
    </row>
    <row r="500" customFormat="false" ht="12.75" hidden="false" customHeight="false" outlineLevel="0" collapsed="false">
      <c r="A500" s="32" t="n">
        <v>37015</v>
      </c>
      <c r="B500" s="111"/>
      <c r="C500" s="112"/>
      <c r="D500" s="28"/>
      <c r="E500" s="28"/>
      <c r="F500" s="28"/>
      <c r="G500" s="113"/>
      <c r="H500" s="113"/>
      <c r="I500" s="113"/>
      <c r="J500" s="113"/>
      <c r="K500" s="28"/>
      <c r="L500" s="28"/>
      <c r="M500" s="70"/>
      <c r="N500" s="70"/>
      <c r="O500" s="70"/>
      <c r="P500" s="70"/>
      <c r="Q500" s="70"/>
      <c r="R500" s="70"/>
      <c r="S500" s="70"/>
      <c r="T500" s="70"/>
      <c r="U500" s="70"/>
      <c r="V500" s="70"/>
      <c r="W500" s="70"/>
    </row>
    <row r="501" customFormat="false" ht="12.75" hidden="false" customHeight="false" outlineLevel="0" collapsed="false">
      <c r="A501" s="32" t="n">
        <v>37016</v>
      </c>
      <c r="B501" s="111"/>
      <c r="C501" s="112"/>
      <c r="D501" s="28"/>
      <c r="E501" s="28"/>
      <c r="F501" s="28"/>
      <c r="G501" s="113"/>
      <c r="H501" s="113"/>
      <c r="I501" s="113"/>
      <c r="J501" s="113"/>
      <c r="K501" s="28"/>
      <c r="L501" s="28"/>
      <c r="M501" s="70"/>
      <c r="N501" s="70"/>
      <c r="O501" s="70"/>
      <c r="P501" s="70"/>
      <c r="Q501" s="70"/>
      <c r="R501" s="70"/>
      <c r="S501" s="70"/>
      <c r="T501" s="70"/>
      <c r="U501" s="70"/>
      <c r="V501" s="70"/>
      <c r="W501" s="70"/>
    </row>
    <row r="502" customFormat="false" ht="12.75" hidden="false" customHeight="false" outlineLevel="0" collapsed="false">
      <c r="A502" s="32" t="n">
        <v>37017</v>
      </c>
      <c r="B502" s="111"/>
      <c r="C502" s="112"/>
      <c r="D502" s="28"/>
      <c r="E502" s="28"/>
      <c r="F502" s="28"/>
      <c r="G502" s="113"/>
      <c r="H502" s="113"/>
      <c r="I502" s="113"/>
      <c r="J502" s="113"/>
      <c r="K502" s="28"/>
      <c r="L502" s="28"/>
      <c r="M502" s="70"/>
      <c r="N502" s="70"/>
      <c r="O502" s="70"/>
      <c r="P502" s="70"/>
      <c r="Q502" s="70"/>
      <c r="R502" s="70"/>
      <c r="S502" s="70"/>
      <c r="T502" s="70"/>
      <c r="U502" s="70"/>
      <c r="V502" s="70"/>
      <c r="W502" s="70"/>
    </row>
    <row r="503" customFormat="false" ht="12.75" hidden="false" customHeight="false" outlineLevel="0" collapsed="false">
      <c r="A503" s="32" t="n">
        <v>37018</v>
      </c>
      <c r="B503" s="111"/>
      <c r="C503" s="112"/>
      <c r="D503" s="28"/>
      <c r="E503" s="28"/>
      <c r="F503" s="28"/>
      <c r="G503" s="113"/>
      <c r="H503" s="113"/>
      <c r="I503" s="113"/>
      <c r="J503" s="113"/>
      <c r="K503" s="28"/>
      <c r="L503" s="28"/>
      <c r="M503" s="70"/>
      <c r="N503" s="70"/>
      <c r="O503" s="70"/>
      <c r="P503" s="70"/>
      <c r="Q503" s="70"/>
      <c r="R503" s="70"/>
      <c r="S503" s="70"/>
      <c r="T503" s="70"/>
      <c r="U503" s="70"/>
      <c r="V503" s="70"/>
      <c r="W503" s="70"/>
    </row>
    <row r="504" customFormat="false" ht="12.75" hidden="false" customHeight="false" outlineLevel="0" collapsed="false">
      <c r="A504" s="32" t="n">
        <v>37019</v>
      </c>
      <c r="B504" s="111"/>
      <c r="C504" s="112"/>
      <c r="D504" s="28"/>
      <c r="E504" s="28"/>
      <c r="F504" s="28"/>
      <c r="G504" s="113"/>
      <c r="H504" s="113"/>
      <c r="I504" s="113"/>
      <c r="J504" s="113"/>
      <c r="K504" s="28"/>
      <c r="L504" s="28"/>
      <c r="M504" s="70"/>
      <c r="N504" s="70"/>
      <c r="O504" s="70"/>
      <c r="P504" s="70"/>
      <c r="Q504" s="70"/>
      <c r="R504" s="70"/>
      <c r="S504" s="70"/>
      <c r="T504" s="70"/>
      <c r="U504" s="70"/>
      <c r="V504" s="70"/>
      <c r="W504" s="70"/>
    </row>
    <row r="505" customFormat="false" ht="12.75" hidden="false" customHeight="false" outlineLevel="0" collapsed="false">
      <c r="A505" s="32" t="n">
        <v>37020</v>
      </c>
      <c r="B505" s="111"/>
      <c r="C505" s="112"/>
      <c r="D505" s="28"/>
      <c r="E505" s="28"/>
      <c r="F505" s="28"/>
      <c r="G505" s="113"/>
      <c r="H505" s="113"/>
      <c r="I505" s="113"/>
      <c r="J505" s="113"/>
      <c r="K505" s="28"/>
      <c r="L505" s="28"/>
      <c r="M505" s="70"/>
      <c r="N505" s="70"/>
      <c r="O505" s="70"/>
      <c r="P505" s="70"/>
      <c r="Q505" s="70"/>
      <c r="R505" s="70"/>
      <c r="S505" s="70"/>
      <c r="T505" s="70"/>
      <c r="U505" s="70"/>
      <c r="V505" s="70"/>
      <c r="W505" s="70"/>
    </row>
    <row r="506" customFormat="false" ht="12.75" hidden="false" customHeight="false" outlineLevel="0" collapsed="false">
      <c r="A506" s="32" t="n">
        <v>37021</v>
      </c>
      <c r="B506" s="111"/>
      <c r="C506" s="112"/>
      <c r="D506" s="28"/>
      <c r="E506" s="28"/>
      <c r="F506" s="28"/>
      <c r="G506" s="113"/>
      <c r="H506" s="113"/>
      <c r="I506" s="113"/>
      <c r="J506" s="113"/>
      <c r="K506" s="28"/>
      <c r="L506" s="28"/>
      <c r="M506" s="70"/>
      <c r="N506" s="70"/>
      <c r="O506" s="70"/>
      <c r="P506" s="70"/>
      <c r="Q506" s="70"/>
      <c r="R506" s="70"/>
      <c r="S506" s="70"/>
      <c r="T506" s="70"/>
      <c r="U506" s="70"/>
      <c r="V506" s="70"/>
      <c r="W506" s="70"/>
    </row>
    <row r="507" customFormat="false" ht="12.75" hidden="false" customHeight="false" outlineLevel="0" collapsed="false">
      <c r="A507" s="32" t="n">
        <v>37022</v>
      </c>
      <c r="B507" s="111"/>
      <c r="C507" s="112"/>
      <c r="D507" s="28"/>
      <c r="E507" s="28"/>
      <c r="F507" s="28"/>
      <c r="G507" s="113"/>
      <c r="H507" s="113"/>
      <c r="I507" s="113"/>
      <c r="J507" s="113"/>
      <c r="K507" s="28"/>
      <c r="L507" s="28"/>
      <c r="M507" s="70"/>
      <c r="N507" s="70"/>
      <c r="O507" s="70"/>
      <c r="P507" s="70"/>
      <c r="Q507" s="70"/>
      <c r="R507" s="70"/>
      <c r="S507" s="70"/>
      <c r="T507" s="70"/>
      <c r="U507" s="70"/>
      <c r="V507" s="70"/>
      <c r="W507" s="70"/>
    </row>
    <row r="508" customFormat="false" ht="12.75" hidden="false" customHeight="false" outlineLevel="0" collapsed="false">
      <c r="A508" s="32" t="n">
        <v>37023</v>
      </c>
      <c r="B508" s="111"/>
      <c r="C508" s="112"/>
      <c r="D508" s="28"/>
      <c r="E508" s="28"/>
      <c r="F508" s="28"/>
      <c r="G508" s="113"/>
      <c r="H508" s="113"/>
      <c r="I508" s="113"/>
      <c r="J508" s="113"/>
      <c r="K508" s="28"/>
      <c r="L508" s="28"/>
      <c r="M508" s="70"/>
      <c r="N508" s="70"/>
      <c r="O508" s="70"/>
      <c r="P508" s="70"/>
      <c r="Q508" s="70"/>
      <c r="R508" s="70"/>
      <c r="S508" s="70"/>
      <c r="T508" s="70"/>
      <c r="U508" s="70"/>
      <c r="V508" s="70"/>
      <c r="W508" s="70"/>
    </row>
    <row r="509" customFormat="false" ht="12.75" hidden="false" customHeight="false" outlineLevel="0" collapsed="false">
      <c r="A509" s="32" t="n">
        <v>37024</v>
      </c>
      <c r="B509" s="111"/>
      <c r="C509" s="112"/>
      <c r="D509" s="28"/>
      <c r="E509" s="28"/>
      <c r="F509" s="28"/>
      <c r="G509" s="113"/>
      <c r="H509" s="113"/>
      <c r="I509" s="113"/>
      <c r="J509" s="113"/>
      <c r="K509" s="28"/>
      <c r="L509" s="28"/>
      <c r="M509" s="70"/>
      <c r="N509" s="70"/>
      <c r="O509" s="70"/>
      <c r="P509" s="70"/>
      <c r="Q509" s="70"/>
      <c r="R509" s="70"/>
      <c r="S509" s="70"/>
      <c r="T509" s="70"/>
      <c r="U509" s="70"/>
      <c r="V509" s="70"/>
      <c r="W509" s="70"/>
    </row>
    <row r="510" customFormat="false" ht="12.75" hidden="false" customHeight="false" outlineLevel="0" collapsed="false">
      <c r="A510" s="32" t="n">
        <v>37025</v>
      </c>
      <c r="B510" s="111"/>
      <c r="C510" s="112"/>
      <c r="D510" s="28"/>
      <c r="E510" s="28"/>
      <c r="F510" s="28"/>
      <c r="G510" s="113"/>
      <c r="H510" s="113"/>
      <c r="I510" s="113"/>
      <c r="J510" s="113"/>
      <c r="K510" s="28"/>
      <c r="L510" s="28"/>
      <c r="M510" s="70"/>
      <c r="N510" s="70"/>
      <c r="O510" s="70"/>
      <c r="P510" s="70"/>
      <c r="Q510" s="70"/>
      <c r="R510" s="70"/>
      <c r="S510" s="70"/>
      <c r="T510" s="70"/>
      <c r="U510" s="70"/>
      <c r="V510" s="70"/>
      <c r="W510" s="70"/>
    </row>
    <row r="511" customFormat="false" ht="12.75" hidden="false" customHeight="false" outlineLevel="0" collapsed="false">
      <c r="A511" s="32" t="n">
        <v>37026</v>
      </c>
      <c r="B511" s="111"/>
      <c r="C511" s="112"/>
      <c r="D511" s="28"/>
      <c r="E511" s="28"/>
      <c r="F511" s="28"/>
      <c r="G511" s="113"/>
      <c r="H511" s="113"/>
      <c r="I511" s="113"/>
      <c r="J511" s="113"/>
      <c r="K511" s="28"/>
      <c r="L511" s="28"/>
      <c r="M511" s="70"/>
      <c r="N511" s="70"/>
      <c r="O511" s="70"/>
      <c r="P511" s="70"/>
      <c r="Q511" s="70"/>
      <c r="R511" s="70"/>
      <c r="S511" s="70"/>
      <c r="T511" s="70"/>
      <c r="U511" s="70"/>
      <c r="V511" s="70"/>
      <c r="W511" s="70"/>
    </row>
    <row r="512" customFormat="false" ht="12.75" hidden="false" customHeight="false" outlineLevel="0" collapsed="false">
      <c r="A512" s="32" t="n">
        <v>37027</v>
      </c>
      <c r="B512" s="111"/>
      <c r="C512" s="112"/>
      <c r="D512" s="28"/>
      <c r="E512" s="28"/>
      <c r="F512" s="28"/>
      <c r="G512" s="113"/>
      <c r="H512" s="113"/>
      <c r="I512" s="113"/>
      <c r="J512" s="113"/>
      <c r="K512" s="28"/>
      <c r="L512" s="28"/>
      <c r="M512" s="70"/>
      <c r="N512" s="70"/>
      <c r="O512" s="70"/>
      <c r="P512" s="70"/>
      <c r="Q512" s="70"/>
      <c r="R512" s="70"/>
      <c r="S512" s="70"/>
      <c r="T512" s="70"/>
      <c r="U512" s="70"/>
      <c r="V512" s="70"/>
      <c r="W512" s="70"/>
    </row>
    <row r="513" customFormat="false" ht="12.75" hidden="false" customHeight="false" outlineLevel="0" collapsed="false">
      <c r="A513" s="32" t="n">
        <v>37028</v>
      </c>
      <c r="B513" s="111"/>
      <c r="C513" s="112"/>
      <c r="D513" s="28"/>
      <c r="E513" s="28"/>
      <c r="F513" s="28"/>
      <c r="G513" s="113"/>
      <c r="H513" s="113"/>
      <c r="I513" s="113"/>
      <c r="J513" s="113"/>
      <c r="K513" s="28"/>
      <c r="L513" s="28"/>
      <c r="M513" s="70"/>
      <c r="N513" s="70"/>
      <c r="O513" s="70"/>
      <c r="P513" s="70"/>
      <c r="Q513" s="70"/>
      <c r="R513" s="70"/>
      <c r="S513" s="70"/>
      <c r="T513" s="70"/>
      <c r="U513" s="70"/>
      <c r="V513" s="70"/>
      <c r="W513" s="70"/>
    </row>
    <row r="514" customFormat="false" ht="12.75" hidden="false" customHeight="false" outlineLevel="0" collapsed="false">
      <c r="A514" s="32" t="n">
        <v>37029</v>
      </c>
      <c r="B514" s="111"/>
      <c r="C514" s="112"/>
      <c r="D514" s="28"/>
      <c r="E514" s="28"/>
      <c r="F514" s="28"/>
      <c r="G514" s="113"/>
      <c r="H514" s="113"/>
      <c r="I514" s="113"/>
      <c r="J514" s="113"/>
      <c r="K514" s="28"/>
      <c r="L514" s="28"/>
      <c r="M514" s="70"/>
      <c r="N514" s="70"/>
      <c r="O514" s="70"/>
      <c r="P514" s="70"/>
      <c r="Q514" s="70"/>
      <c r="R514" s="70"/>
      <c r="S514" s="70"/>
      <c r="T514" s="70"/>
      <c r="U514" s="70"/>
      <c r="V514" s="70"/>
      <c r="W514" s="70"/>
    </row>
    <row r="515" customFormat="false" ht="12.75" hidden="false" customHeight="false" outlineLevel="0" collapsed="false">
      <c r="A515" s="32" t="n">
        <v>37030</v>
      </c>
      <c r="B515" s="111"/>
      <c r="C515" s="112"/>
      <c r="D515" s="28"/>
      <c r="E515" s="28"/>
      <c r="F515" s="28"/>
      <c r="G515" s="113"/>
      <c r="H515" s="113"/>
      <c r="I515" s="113"/>
      <c r="J515" s="113"/>
      <c r="K515" s="28"/>
      <c r="L515" s="28"/>
      <c r="M515" s="70"/>
      <c r="N515" s="70"/>
      <c r="O515" s="70"/>
      <c r="P515" s="70"/>
      <c r="Q515" s="70"/>
      <c r="R515" s="70"/>
      <c r="S515" s="70"/>
      <c r="T515" s="70"/>
      <c r="U515" s="70"/>
      <c r="V515" s="70"/>
      <c r="W515" s="70"/>
    </row>
    <row r="516" customFormat="false" ht="12.75" hidden="false" customHeight="false" outlineLevel="0" collapsed="false">
      <c r="A516" s="32" t="n">
        <v>37031</v>
      </c>
      <c r="B516" s="111"/>
      <c r="C516" s="112"/>
      <c r="D516" s="28"/>
      <c r="E516" s="28"/>
      <c r="F516" s="28"/>
      <c r="G516" s="113"/>
      <c r="H516" s="113"/>
      <c r="I516" s="113"/>
      <c r="J516" s="113"/>
      <c r="K516" s="28"/>
      <c r="L516" s="28"/>
      <c r="M516" s="70"/>
      <c r="N516" s="70"/>
      <c r="O516" s="70"/>
      <c r="P516" s="70"/>
      <c r="Q516" s="70"/>
      <c r="R516" s="70"/>
      <c r="S516" s="70"/>
      <c r="T516" s="70"/>
      <c r="U516" s="70"/>
      <c r="V516" s="70"/>
      <c r="W516" s="70"/>
    </row>
    <row r="517" customFormat="false" ht="12.75" hidden="false" customHeight="false" outlineLevel="0" collapsed="false">
      <c r="A517" s="32" t="n">
        <v>37032</v>
      </c>
      <c r="B517" s="111"/>
      <c r="C517" s="112"/>
      <c r="D517" s="28"/>
      <c r="E517" s="28"/>
      <c r="F517" s="28"/>
      <c r="G517" s="113"/>
      <c r="H517" s="113"/>
      <c r="I517" s="113"/>
      <c r="J517" s="113"/>
      <c r="K517" s="28"/>
      <c r="L517" s="28"/>
      <c r="M517" s="70"/>
      <c r="N517" s="70"/>
      <c r="O517" s="70"/>
      <c r="P517" s="70"/>
      <c r="Q517" s="70"/>
      <c r="R517" s="70"/>
      <c r="S517" s="70"/>
      <c r="T517" s="70"/>
      <c r="U517" s="70"/>
      <c r="V517" s="70"/>
      <c r="W517" s="70"/>
    </row>
    <row r="518" customFormat="false" ht="12.75" hidden="false" customHeight="false" outlineLevel="0" collapsed="false">
      <c r="A518" s="32" t="n">
        <v>37033</v>
      </c>
      <c r="B518" s="111"/>
      <c r="C518" s="112"/>
      <c r="D518" s="28"/>
      <c r="E518" s="28"/>
      <c r="F518" s="28"/>
      <c r="G518" s="113"/>
      <c r="H518" s="113"/>
      <c r="I518" s="113"/>
      <c r="J518" s="113"/>
      <c r="K518" s="28"/>
      <c r="L518" s="28"/>
      <c r="M518" s="70"/>
      <c r="N518" s="70"/>
      <c r="O518" s="70"/>
      <c r="P518" s="70"/>
      <c r="Q518" s="70"/>
      <c r="R518" s="70"/>
      <c r="S518" s="70"/>
      <c r="T518" s="70"/>
      <c r="U518" s="70"/>
      <c r="V518" s="70"/>
      <c r="W518" s="70"/>
    </row>
    <row r="519" customFormat="false" ht="12.75" hidden="false" customHeight="false" outlineLevel="0" collapsed="false">
      <c r="A519" s="32" t="n">
        <v>37034</v>
      </c>
      <c r="B519" s="111"/>
      <c r="C519" s="112"/>
      <c r="D519" s="28"/>
      <c r="E519" s="28"/>
      <c r="F519" s="28"/>
      <c r="G519" s="113"/>
      <c r="H519" s="113"/>
      <c r="I519" s="113"/>
      <c r="J519" s="113"/>
      <c r="K519" s="28"/>
      <c r="L519" s="28"/>
      <c r="M519" s="70"/>
      <c r="N519" s="70"/>
      <c r="O519" s="70"/>
      <c r="P519" s="70"/>
      <c r="Q519" s="70"/>
      <c r="R519" s="70"/>
      <c r="S519" s="70"/>
      <c r="T519" s="70"/>
      <c r="U519" s="70"/>
      <c r="V519" s="70"/>
      <c r="W519" s="70"/>
    </row>
    <row r="520" customFormat="false" ht="12.75" hidden="false" customHeight="false" outlineLevel="0" collapsed="false">
      <c r="A520" s="32" t="n">
        <v>37035</v>
      </c>
      <c r="B520" s="111"/>
      <c r="C520" s="112"/>
      <c r="D520" s="28"/>
      <c r="E520" s="28"/>
      <c r="F520" s="28"/>
      <c r="G520" s="113"/>
      <c r="H520" s="113"/>
      <c r="I520" s="113"/>
      <c r="J520" s="113"/>
      <c r="K520" s="28"/>
      <c r="L520" s="28"/>
      <c r="M520" s="70"/>
      <c r="N520" s="70"/>
      <c r="O520" s="70"/>
      <c r="P520" s="70"/>
      <c r="Q520" s="70"/>
      <c r="R520" s="70"/>
      <c r="S520" s="70"/>
      <c r="T520" s="70"/>
      <c r="U520" s="70"/>
      <c r="V520" s="70"/>
      <c r="W520" s="70"/>
    </row>
    <row r="521" customFormat="false" ht="12.75" hidden="false" customHeight="false" outlineLevel="0" collapsed="false">
      <c r="A521" s="32" t="n">
        <v>37036</v>
      </c>
      <c r="B521" s="111"/>
      <c r="C521" s="112"/>
      <c r="D521" s="28"/>
      <c r="E521" s="28"/>
      <c r="F521" s="28"/>
      <c r="G521" s="113"/>
      <c r="H521" s="113"/>
      <c r="I521" s="113"/>
      <c r="J521" s="113"/>
      <c r="K521" s="28"/>
      <c r="L521" s="28"/>
      <c r="M521" s="70"/>
      <c r="N521" s="70"/>
      <c r="O521" s="70"/>
      <c r="P521" s="70"/>
      <c r="Q521" s="70"/>
      <c r="R521" s="70"/>
      <c r="S521" s="70"/>
      <c r="T521" s="70"/>
      <c r="U521" s="70"/>
      <c r="V521" s="70"/>
      <c r="W521" s="70"/>
    </row>
    <row r="522" customFormat="false" ht="12.75" hidden="false" customHeight="false" outlineLevel="0" collapsed="false">
      <c r="A522" s="32" t="n">
        <v>37037</v>
      </c>
      <c r="B522" s="111"/>
      <c r="C522" s="112"/>
      <c r="D522" s="28"/>
      <c r="E522" s="28"/>
      <c r="F522" s="28"/>
      <c r="G522" s="113"/>
      <c r="H522" s="113"/>
      <c r="I522" s="113"/>
      <c r="J522" s="113"/>
      <c r="K522" s="28"/>
      <c r="L522" s="28"/>
      <c r="M522" s="70"/>
      <c r="N522" s="70"/>
      <c r="O522" s="70"/>
      <c r="P522" s="70"/>
      <c r="Q522" s="70"/>
      <c r="R522" s="70"/>
      <c r="S522" s="70"/>
      <c r="T522" s="70"/>
      <c r="U522" s="70"/>
      <c r="V522" s="70"/>
      <c r="W522" s="70"/>
    </row>
    <row r="523" customFormat="false" ht="12.75" hidden="false" customHeight="false" outlineLevel="0" collapsed="false">
      <c r="A523" s="32" t="n">
        <v>37038</v>
      </c>
      <c r="B523" s="111"/>
      <c r="C523" s="112"/>
      <c r="D523" s="28"/>
      <c r="E523" s="28"/>
      <c r="F523" s="28"/>
      <c r="G523" s="113"/>
      <c r="H523" s="113"/>
      <c r="I523" s="113"/>
      <c r="J523" s="113"/>
      <c r="K523" s="28"/>
      <c r="L523" s="28"/>
      <c r="M523" s="70"/>
      <c r="N523" s="70"/>
      <c r="O523" s="70"/>
      <c r="P523" s="70"/>
      <c r="Q523" s="70"/>
      <c r="R523" s="70"/>
      <c r="S523" s="70"/>
      <c r="T523" s="70"/>
      <c r="U523" s="70"/>
      <c r="V523" s="70"/>
      <c r="W523" s="70"/>
    </row>
    <row r="524" customFormat="false" ht="12.75" hidden="false" customHeight="false" outlineLevel="0" collapsed="false">
      <c r="A524" s="32" t="n">
        <v>37039</v>
      </c>
      <c r="B524" s="111"/>
      <c r="C524" s="112"/>
      <c r="D524" s="28"/>
      <c r="E524" s="28"/>
      <c r="F524" s="28"/>
      <c r="G524" s="113"/>
      <c r="H524" s="113"/>
      <c r="I524" s="113"/>
      <c r="J524" s="113"/>
      <c r="K524" s="28"/>
      <c r="L524" s="28"/>
      <c r="M524" s="70"/>
      <c r="N524" s="70"/>
      <c r="O524" s="70"/>
      <c r="P524" s="70"/>
      <c r="Q524" s="70"/>
      <c r="R524" s="70"/>
      <c r="S524" s="70"/>
      <c r="T524" s="70"/>
      <c r="U524" s="70"/>
      <c r="V524" s="70"/>
      <c r="W524" s="70"/>
    </row>
    <row r="525" customFormat="false" ht="12.75" hidden="false" customHeight="false" outlineLevel="0" collapsed="false">
      <c r="A525" s="32" t="n">
        <v>37040</v>
      </c>
      <c r="B525" s="111"/>
      <c r="C525" s="112"/>
      <c r="D525" s="28"/>
      <c r="E525" s="28"/>
      <c r="F525" s="28"/>
      <c r="G525" s="113"/>
      <c r="H525" s="113"/>
      <c r="I525" s="113"/>
      <c r="J525" s="113"/>
      <c r="K525" s="28"/>
      <c r="L525" s="28"/>
      <c r="M525" s="70"/>
      <c r="N525" s="70"/>
      <c r="O525" s="70"/>
      <c r="P525" s="70"/>
      <c r="Q525" s="70"/>
      <c r="R525" s="70"/>
      <c r="S525" s="70"/>
      <c r="T525" s="70"/>
      <c r="U525" s="70"/>
      <c r="V525" s="70"/>
      <c r="W525" s="70"/>
    </row>
    <row r="526" customFormat="false" ht="12.75" hidden="false" customHeight="false" outlineLevel="0" collapsed="false">
      <c r="A526" s="32" t="n">
        <v>37041</v>
      </c>
      <c r="B526" s="111"/>
      <c r="C526" s="112"/>
      <c r="D526" s="28"/>
      <c r="E526" s="28"/>
      <c r="F526" s="28"/>
      <c r="G526" s="113"/>
      <c r="H526" s="113"/>
      <c r="I526" s="113"/>
      <c r="J526" s="113"/>
      <c r="K526" s="28"/>
      <c r="L526" s="28"/>
      <c r="M526" s="70"/>
      <c r="N526" s="70"/>
      <c r="O526" s="70"/>
      <c r="P526" s="70"/>
      <c r="Q526" s="70"/>
      <c r="R526" s="70"/>
      <c r="S526" s="70"/>
      <c r="T526" s="70"/>
      <c r="U526" s="70"/>
      <c r="V526" s="70"/>
      <c r="W526" s="70"/>
    </row>
    <row r="527" customFormat="false" ht="12.75" hidden="false" customHeight="false" outlineLevel="0" collapsed="false">
      <c r="A527" s="32" t="n">
        <v>37042</v>
      </c>
      <c r="B527" s="111"/>
      <c r="C527" s="112"/>
      <c r="D527" s="28"/>
      <c r="E527" s="28"/>
      <c r="F527" s="28"/>
      <c r="G527" s="113"/>
      <c r="H527" s="113"/>
      <c r="I527" s="113"/>
      <c r="J527" s="113"/>
      <c r="K527" s="28"/>
      <c r="L527" s="28"/>
      <c r="M527" s="70"/>
      <c r="N527" s="70"/>
      <c r="O527" s="70"/>
      <c r="P527" s="70"/>
      <c r="Q527" s="70"/>
      <c r="R527" s="70"/>
      <c r="S527" s="70"/>
      <c r="T527" s="70"/>
      <c r="U527" s="70"/>
      <c r="V527" s="70"/>
      <c r="W527" s="70"/>
    </row>
    <row r="528" customFormat="false" ht="12.75" hidden="false" customHeight="false" outlineLevel="0" collapsed="false">
      <c r="A528" s="32" t="n">
        <v>37043</v>
      </c>
      <c r="B528" s="111"/>
      <c r="C528" s="112"/>
      <c r="D528" s="28"/>
      <c r="E528" s="28"/>
      <c r="F528" s="28"/>
      <c r="G528" s="113"/>
      <c r="H528" s="113"/>
      <c r="I528" s="113"/>
      <c r="J528" s="113"/>
      <c r="K528" s="28"/>
      <c r="L528" s="28"/>
      <c r="M528" s="70"/>
      <c r="N528" s="70"/>
      <c r="O528" s="70"/>
      <c r="P528" s="70"/>
      <c r="Q528" s="70"/>
      <c r="R528" s="70"/>
      <c r="S528" s="70"/>
      <c r="T528" s="70"/>
      <c r="U528" s="70"/>
      <c r="V528" s="70"/>
      <c r="W528" s="70"/>
    </row>
    <row r="529" customFormat="false" ht="12.75" hidden="false" customHeight="false" outlineLevel="0" collapsed="false">
      <c r="A529" s="32" t="n">
        <v>37044</v>
      </c>
      <c r="B529" s="111"/>
      <c r="C529" s="112"/>
      <c r="D529" s="28"/>
      <c r="E529" s="28"/>
      <c r="F529" s="28"/>
      <c r="G529" s="113"/>
      <c r="H529" s="113"/>
      <c r="I529" s="113"/>
      <c r="J529" s="113"/>
      <c r="K529" s="28"/>
      <c r="L529" s="28"/>
      <c r="M529" s="70"/>
      <c r="N529" s="70"/>
      <c r="O529" s="70"/>
      <c r="P529" s="70"/>
      <c r="Q529" s="70"/>
      <c r="R529" s="70"/>
      <c r="S529" s="70"/>
      <c r="T529" s="70"/>
      <c r="U529" s="70"/>
      <c r="V529" s="70"/>
      <c r="W529" s="70"/>
    </row>
    <row r="530" customFormat="false" ht="12.75" hidden="false" customHeight="false" outlineLevel="0" collapsed="false">
      <c r="A530" s="32" t="n">
        <v>37045</v>
      </c>
      <c r="B530" s="111"/>
      <c r="C530" s="112"/>
      <c r="D530" s="28"/>
      <c r="E530" s="28"/>
      <c r="F530" s="28"/>
      <c r="G530" s="113"/>
      <c r="H530" s="113"/>
      <c r="I530" s="113"/>
      <c r="J530" s="113"/>
      <c r="K530" s="28"/>
      <c r="L530" s="28"/>
      <c r="M530" s="70"/>
      <c r="N530" s="70"/>
      <c r="O530" s="70"/>
      <c r="P530" s="70"/>
      <c r="Q530" s="70"/>
      <c r="R530" s="70"/>
      <c r="S530" s="70"/>
      <c r="T530" s="70"/>
      <c r="U530" s="70"/>
      <c r="V530" s="70"/>
      <c r="W530" s="70"/>
    </row>
    <row r="531" customFormat="false" ht="12.75" hidden="false" customHeight="false" outlineLevel="0" collapsed="false">
      <c r="A531" s="32" t="n">
        <v>37046</v>
      </c>
      <c r="B531" s="111"/>
      <c r="C531" s="112"/>
      <c r="D531" s="28"/>
      <c r="E531" s="28"/>
      <c r="F531" s="28"/>
      <c r="G531" s="113"/>
      <c r="H531" s="113"/>
      <c r="I531" s="113"/>
      <c r="J531" s="113"/>
      <c r="K531" s="28"/>
      <c r="L531" s="28"/>
      <c r="M531" s="70"/>
      <c r="N531" s="70"/>
      <c r="O531" s="70"/>
      <c r="P531" s="70"/>
      <c r="Q531" s="70"/>
      <c r="R531" s="70"/>
      <c r="S531" s="70"/>
      <c r="T531" s="70"/>
      <c r="U531" s="70"/>
      <c r="V531" s="70"/>
      <c r="W531" s="70"/>
    </row>
    <row r="532" customFormat="false" ht="12.75" hidden="false" customHeight="false" outlineLevel="0" collapsed="false">
      <c r="A532" s="32" t="n">
        <v>37047</v>
      </c>
      <c r="B532" s="111"/>
      <c r="C532" s="112"/>
      <c r="D532" s="28"/>
      <c r="E532" s="28"/>
      <c r="F532" s="28"/>
      <c r="G532" s="113"/>
      <c r="H532" s="113"/>
      <c r="I532" s="113"/>
      <c r="J532" s="113"/>
      <c r="K532" s="28"/>
      <c r="L532" s="28"/>
      <c r="M532" s="70"/>
      <c r="N532" s="70"/>
      <c r="O532" s="70"/>
      <c r="P532" s="70"/>
      <c r="Q532" s="70"/>
      <c r="R532" s="70"/>
      <c r="S532" s="70"/>
      <c r="T532" s="70"/>
      <c r="U532" s="70"/>
      <c r="V532" s="70"/>
      <c r="W532" s="70"/>
    </row>
    <row r="533" customFormat="false" ht="12.75" hidden="false" customHeight="false" outlineLevel="0" collapsed="false">
      <c r="A533" s="32" t="n">
        <v>37048</v>
      </c>
      <c r="B533" s="111"/>
      <c r="C533" s="112"/>
      <c r="D533" s="28"/>
      <c r="E533" s="28"/>
      <c r="F533" s="28"/>
      <c r="G533" s="113"/>
      <c r="H533" s="113"/>
      <c r="I533" s="113"/>
      <c r="J533" s="113"/>
      <c r="K533" s="28"/>
      <c r="L533" s="28"/>
      <c r="M533" s="70"/>
      <c r="N533" s="70"/>
      <c r="O533" s="70"/>
      <c r="P533" s="70"/>
      <c r="Q533" s="70"/>
      <c r="R533" s="70"/>
      <c r="S533" s="70"/>
      <c r="T533" s="70"/>
      <c r="U533" s="70"/>
      <c r="V533" s="70"/>
      <c r="W533" s="70"/>
    </row>
    <row r="534" customFormat="false" ht="12.75" hidden="false" customHeight="false" outlineLevel="0" collapsed="false">
      <c r="A534" s="32" t="n">
        <v>37049</v>
      </c>
      <c r="B534" s="111"/>
      <c r="C534" s="112"/>
      <c r="D534" s="28"/>
      <c r="E534" s="28"/>
      <c r="F534" s="28"/>
      <c r="G534" s="113"/>
      <c r="H534" s="113"/>
      <c r="I534" s="113"/>
      <c r="J534" s="113"/>
      <c r="K534" s="28"/>
      <c r="L534" s="28"/>
      <c r="M534" s="70"/>
      <c r="N534" s="70"/>
      <c r="O534" s="70"/>
      <c r="P534" s="70"/>
      <c r="Q534" s="70"/>
      <c r="R534" s="70"/>
      <c r="S534" s="70"/>
      <c r="T534" s="70"/>
      <c r="U534" s="70"/>
      <c r="V534" s="70"/>
      <c r="W534" s="70"/>
    </row>
    <row r="535" customFormat="false" ht="12.75" hidden="false" customHeight="false" outlineLevel="0" collapsed="false">
      <c r="A535" s="32" t="n">
        <v>37050</v>
      </c>
      <c r="B535" s="111"/>
      <c r="C535" s="112"/>
      <c r="D535" s="28"/>
      <c r="E535" s="28"/>
      <c r="F535" s="28"/>
      <c r="G535" s="113"/>
      <c r="H535" s="113"/>
      <c r="I535" s="113"/>
      <c r="J535" s="113"/>
      <c r="K535" s="28"/>
      <c r="L535" s="28"/>
      <c r="M535" s="70"/>
      <c r="N535" s="70"/>
      <c r="O535" s="70"/>
      <c r="P535" s="70"/>
      <c r="Q535" s="70"/>
      <c r="R535" s="70"/>
      <c r="S535" s="70"/>
      <c r="T535" s="70"/>
      <c r="U535" s="70"/>
      <c r="V535" s="70"/>
      <c r="W535" s="70"/>
    </row>
    <row r="536" customFormat="false" ht="12.75" hidden="false" customHeight="false" outlineLevel="0" collapsed="false">
      <c r="A536" s="32" t="n">
        <v>37051</v>
      </c>
      <c r="B536" s="111"/>
      <c r="C536" s="112"/>
      <c r="D536" s="28"/>
      <c r="E536" s="28"/>
      <c r="F536" s="28"/>
      <c r="G536" s="113"/>
      <c r="H536" s="113"/>
      <c r="I536" s="113"/>
      <c r="J536" s="113"/>
      <c r="K536" s="28"/>
      <c r="L536" s="28"/>
      <c r="M536" s="70"/>
      <c r="N536" s="70"/>
      <c r="O536" s="70"/>
      <c r="P536" s="70"/>
      <c r="Q536" s="70"/>
      <c r="R536" s="70"/>
      <c r="S536" s="70"/>
      <c r="T536" s="70"/>
      <c r="U536" s="70"/>
      <c r="V536" s="70"/>
      <c r="W536" s="70"/>
    </row>
    <row r="537" customFormat="false" ht="12.75" hidden="false" customHeight="false" outlineLevel="0" collapsed="false">
      <c r="A537" s="32" t="n">
        <v>37052</v>
      </c>
      <c r="B537" s="111"/>
      <c r="C537" s="112"/>
      <c r="D537" s="28"/>
      <c r="E537" s="28"/>
      <c r="F537" s="28"/>
      <c r="G537" s="113"/>
      <c r="H537" s="113"/>
      <c r="I537" s="113"/>
      <c r="J537" s="113"/>
      <c r="K537" s="28"/>
      <c r="L537" s="28"/>
      <c r="M537" s="70"/>
      <c r="N537" s="70"/>
      <c r="O537" s="70"/>
      <c r="P537" s="70"/>
      <c r="Q537" s="70"/>
      <c r="R537" s="70"/>
      <c r="S537" s="70"/>
      <c r="T537" s="70"/>
      <c r="U537" s="70"/>
      <c r="V537" s="70"/>
      <c r="W537" s="70"/>
    </row>
    <row r="538" customFormat="false" ht="12.75" hidden="false" customHeight="false" outlineLevel="0" collapsed="false">
      <c r="A538" s="32" t="n">
        <v>37053</v>
      </c>
      <c r="B538" s="111"/>
      <c r="C538" s="112"/>
      <c r="D538" s="28"/>
      <c r="E538" s="28"/>
      <c r="F538" s="28"/>
      <c r="G538" s="113"/>
      <c r="H538" s="113"/>
      <c r="I538" s="113"/>
      <c r="J538" s="113"/>
      <c r="K538" s="28"/>
      <c r="L538" s="28"/>
      <c r="M538" s="70"/>
      <c r="N538" s="70"/>
      <c r="O538" s="70"/>
      <c r="P538" s="70"/>
      <c r="Q538" s="70"/>
      <c r="R538" s="70"/>
      <c r="S538" s="70"/>
      <c r="T538" s="70"/>
      <c r="U538" s="70"/>
      <c r="V538" s="70"/>
      <c r="W538" s="70"/>
    </row>
    <row r="539" customFormat="false" ht="12.75" hidden="false" customHeight="false" outlineLevel="0" collapsed="false">
      <c r="A539" s="32" t="n">
        <v>37054</v>
      </c>
      <c r="B539" s="111"/>
      <c r="C539" s="112"/>
      <c r="D539" s="28"/>
      <c r="E539" s="28"/>
      <c r="F539" s="28"/>
      <c r="G539" s="113"/>
      <c r="H539" s="113"/>
      <c r="I539" s="113"/>
      <c r="J539" s="113"/>
      <c r="K539" s="28"/>
      <c r="L539" s="28"/>
      <c r="M539" s="70"/>
      <c r="N539" s="70"/>
      <c r="O539" s="70"/>
      <c r="P539" s="70"/>
      <c r="Q539" s="70"/>
      <c r="R539" s="70"/>
      <c r="S539" s="70"/>
      <c r="T539" s="70"/>
      <c r="U539" s="70"/>
      <c r="V539" s="70"/>
      <c r="W539" s="70"/>
    </row>
    <row r="540" customFormat="false" ht="12.75" hidden="false" customHeight="false" outlineLevel="0" collapsed="false">
      <c r="A540" s="32" t="n">
        <v>37055</v>
      </c>
      <c r="B540" s="111"/>
      <c r="C540" s="112"/>
      <c r="D540" s="28"/>
      <c r="E540" s="28"/>
      <c r="F540" s="28"/>
      <c r="G540" s="113"/>
      <c r="H540" s="113"/>
      <c r="I540" s="113"/>
      <c r="J540" s="113"/>
      <c r="K540" s="28"/>
      <c r="L540" s="28"/>
      <c r="M540" s="70"/>
      <c r="N540" s="70"/>
      <c r="O540" s="70"/>
      <c r="P540" s="70"/>
      <c r="Q540" s="70"/>
      <c r="R540" s="70"/>
      <c r="S540" s="70"/>
      <c r="T540" s="70"/>
      <c r="U540" s="70"/>
      <c r="V540" s="70"/>
      <c r="W540" s="70"/>
    </row>
    <row r="541" customFormat="false" ht="12.75" hidden="false" customHeight="false" outlineLevel="0" collapsed="false">
      <c r="A541" s="32" t="n">
        <v>37056</v>
      </c>
      <c r="B541" s="111"/>
      <c r="C541" s="112"/>
      <c r="D541" s="28"/>
      <c r="E541" s="28"/>
      <c r="F541" s="28"/>
      <c r="G541" s="113"/>
      <c r="H541" s="113"/>
      <c r="I541" s="113"/>
      <c r="J541" s="113"/>
      <c r="K541" s="28"/>
      <c r="L541" s="28"/>
      <c r="M541" s="70"/>
      <c r="N541" s="70"/>
      <c r="O541" s="70"/>
      <c r="P541" s="70"/>
      <c r="Q541" s="70"/>
      <c r="R541" s="70"/>
      <c r="S541" s="70"/>
      <c r="T541" s="70"/>
      <c r="U541" s="70"/>
      <c r="V541" s="70"/>
      <c r="W541" s="70"/>
    </row>
    <row r="542" customFormat="false" ht="12.75" hidden="false" customHeight="false" outlineLevel="0" collapsed="false">
      <c r="A542" s="32" t="n">
        <v>37057</v>
      </c>
      <c r="B542" s="111"/>
      <c r="C542" s="112"/>
      <c r="D542" s="28"/>
      <c r="E542" s="28"/>
      <c r="F542" s="28"/>
      <c r="G542" s="113"/>
      <c r="H542" s="113"/>
      <c r="I542" s="113"/>
      <c r="J542" s="113"/>
      <c r="K542" s="28"/>
      <c r="L542" s="28"/>
      <c r="M542" s="70"/>
      <c r="N542" s="70"/>
      <c r="O542" s="70"/>
      <c r="P542" s="70"/>
      <c r="Q542" s="70"/>
      <c r="R542" s="70"/>
      <c r="S542" s="70"/>
      <c r="T542" s="70"/>
      <c r="U542" s="70"/>
      <c r="V542" s="70"/>
      <c r="W542" s="70"/>
    </row>
    <row r="543" customFormat="false" ht="12.75" hidden="false" customHeight="false" outlineLevel="0" collapsed="false">
      <c r="A543" s="32" t="n">
        <v>37058</v>
      </c>
      <c r="B543" s="111"/>
      <c r="C543" s="112"/>
      <c r="D543" s="28"/>
      <c r="E543" s="28"/>
      <c r="F543" s="28"/>
      <c r="G543" s="113"/>
      <c r="H543" s="113"/>
      <c r="I543" s="113"/>
      <c r="J543" s="113"/>
      <c r="K543" s="28"/>
      <c r="L543" s="28"/>
      <c r="M543" s="70"/>
      <c r="N543" s="70"/>
      <c r="O543" s="70"/>
      <c r="P543" s="70"/>
      <c r="Q543" s="70"/>
      <c r="R543" s="70"/>
      <c r="S543" s="70"/>
      <c r="T543" s="70"/>
      <c r="U543" s="70"/>
      <c r="V543" s="70"/>
      <c r="W543" s="70"/>
    </row>
    <row r="544" customFormat="false" ht="12.75" hidden="false" customHeight="false" outlineLevel="0" collapsed="false">
      <c r="A544" s="32" t="n">
        <v>37059</v>
      </c>
      <c r="B544" s="111"/>
      <c r="C544" s="112"/>
      <c r="D544" s="28"/>
      <c r="E544" s="28"/>
      <c r="F544" s="28"/>
      <c r="G544" s="113"/>
      <c r="H544" s="113"/>
      <c r="I544" s="113"/>
      <c r="J544" s="113"/>
      <c r="K544" s="28"/>
      <c r="L544" s="28"/>
      <c r="M544" s="70"/>
      <c r="N544" s="70"/>
      <c r="O544" s="70"/>
      <c r="P544" s="70"/>
      <c r="Q544" s="70"/>
      <c r="R544" s="70"/>
      <c r="S544" s="70"/>
      <c r="T544" s="70"/>
      <c r="U544" s="70"/>
      <c r="V544" s="70"/>
      <c r="W544" s="70"/>
    </row>
    <row r="545" customFormat="false" ht="12.75" hidden="false" customHeight="false" outlineLevel="0" collapsed="false">
      <c r="A545" s="32" t="n">
        <v>37060</v>
      </c>
      <c r="B545" s="111"/>
      <c r="C545" s="112"/>
      <c r="D545" s="28"/>
      <c r="E545" s="28"/>
      <c r="F545" s="28"/>
      <c r="G545" s="113"/>
      <c r="H545" s="113"/>
      <c r="I545" s="113"/>
      <c r="J545" s="113"/>
      <c r="K545" s="28"/>
      <c r="L545" s="28"/>
      <c r="M545" s="70"/>
      <c r="N545" s="70"/>
      <c r="O545" s="70"/>
      <c r="P545" s="70"/>
      <c r="Q545" s="70"/>
      <c r="R545" s="70"/>
      <c r="S545" s="70"/>
      <c r="T545" s="70"/>
      <c r="U545" s="70"/>
      <c r="V545" s="70"/>
      <c r="W545" s="70"/>
    </row>
    <row r="546" customFormat="false" ht="12.75" hidden="false" customHeight="false" outlineLevel="0" collapsed="false">
      <c r="A546" s="32" t="n">
        <v>37061</v>
      </c>
      <c r="B546" s="111"/>
      <c r="C546" s="112"/>
      <c r="D546" s="28"/>
      <c r="E546" s="28"/>
      <c r="F546" s="28"/>
      <c r="G546" s="113"/>
      <c r="H546" s="113"/>
      <c r="I546" s="113"/>
      <c r="J546" s="113"/>
      <c r="K546" s="28"/>
      <c r="L546" s="28"/>
      <c r="M546" s="70"/>
      <c r="N546" s="70"/>
      <c r="O546" s="70"/>
      <c r="P546" s="70"/>
      <c r="Q546" s="70"/>
      <c r="R546" s="70"/>
      <c r="S546" s="70"/>
      <c r="T546" s="70"/>
      <c r="U546" s="70"/>
      <c r="V546" s="70"/>
      <c r="W546" s="70"/>
    </row>
    <row r="547" customFormat="false" ht="12.75" hidden="false" customHeight="false" outlineLevel="0" collapsed="false">
      <c r="A547" s="32" t="n">
        <v>37062</v>
      </c>
      <c r="B547" s="111"/>
      <c r="C547" s="112"/>
      <c r="D547" s="28"/>
      <c r="E547" s="28"/>
      <c r="F547" s="28"/>
      <c r="G547" s="113"/>
      <c r="H547" s="113"/>
      <c r="I547" s="113"/>
      <c r="J547" s="113"/>
      <c r="K547" s="28"/>
      <c r="L547" s="28"/>
      <c r="M547" s="70"/>
      <c r="N547" s="70"/>
      <c r="O547" s="70"/>
      <c r="P547" s="70"/>
      <c r="Q547" s="70"/>
      <c r="R547" s="70"/>
      <c r="S547" s="70"/>
      <c r="T547" s="70"/>
      <c r="U547" s="70"/>
      <c r="V547" s="70"/>
      <c r="W547" s="70"/>
    </row>
    <row r="548" customFormat="false" ht="12.75" hidden="false" customHeight="false" outlineLevel="0" collapsed="false">
      <c r="A548" s="32" t="n">
        <v>37063</v>
      </c>
      <c r="B548" s="111"/>
      <c r="C548" s="112"/>
      <c r="D548" s="28"/>
      <c r="E548" s="28"/>
      <c r="F548" s="28"/>
      <c r="G548" s="113"/>
      <c r="H548" s="113"/>
      <c r="I548" s="113"/>
      <c r="J548" s="113"/>
      <c r="K548" s="28"/>
      <c r="L548" s="28"/>
      <c r="M548" s="70"/>
      <c r="N548" s="70"/>
      <c r="O548" s="70"/>
      <c r="P548" s="70"/>
      <c r="Q548" s="70"/>
      <c r="R548" s="70"/>
      <c r="S548" s="70"/>
      <c r="T548" s="70"/>
      <c r="U548" s="70"/>
      <c r="V548" s="70"/>
      <c r="W548" s="70"/>
    </row>
    <row r="549" customFormat="false" ht="12.75" hidden="false" customHeight="false" outlineLevel="0" collapsed="false">
      <c r="A549" s="32" t="n">
        <v>37064</v>
      </c>
      <c r="B549" s="111"/>
      <c r="C549" s="112"/>
      <c r="D549" s="28"/>
      <c r="E549" s="28"/>
      <c r="F549" s="28"/>
      <c r="G549" s="113"/>
      <c r="H549" s="113"/>
      <c r="I549" s="113"/>
      <c r="J549" s="113"/>
      <c r="K549" s="28"/>
      <c r="L549" s="28"/>
      <c r="M549" s="70"/>
      <c r="N549" s="70"/>
      <c r="O549" s="70"/>
      <c r="P549" s="70"/>
      <c r="Q549" s="70"/>
      <c r="R549" s="70"/>
      <c r="S549" s="70"/>
      <c r="T549" s="70"/>
      <c r="U549" s="70"/>
      <c r="V549" s="70"/>
      <c r="W549" s="70"/>
    </row>
    <row r="550" customFormat="false" ht="12.75" hidden="false" customHeight="false" outlineLevel="0" collapsed="false">
      <c r="A550" s="32" t="n">
        <v>37065</v>
      </c>
      <c r="B550" s="111"/>
      <c r="C550" s="112"/>
      <c r="D550" s="28"/>
      <c r="E550" s="28"/>
      <c r="F550" s="28"/>
      <c r="G550" s="113"/>
      <c r="H550" s="113"/>
      <c r="I550" s="113"/>
      <c r="J550" s="113"/>
      <c r="K550" s="28"/>
      <c r="L550" s="28"/>
      <c r="M550" s="70"/>
      <c r="N550" s="70"/>
      <c r="O550" s="70"/>
      <c r="P550" s="70"/>
      <c r="Q550" s="70"/>
      <c r="R550" s="70"/>
      <c r="S550" s="70"/>
      <c r="T550" s="70"/>
      <c r="U550" s="70"/>
      <c r="V550" s="70"/>
      <c r="W550" s="70"/>
    </row>
    <row r="551" customFormat="false" ht="12.75" hidden="false" customHeight="false" outlineLevel="0" collapsed="false">
      <c r="A551" s="32" t="n">
        <v>37066</v>
      </c>
      <c r="B551" s="111"/>
      <c r="C551" s="112"/>
      <c r="D551" s="28"/>
      <c r="E551" s="28"/>
      <c r="F551" s="28"/>
      <c r="G551" s="113"/>
      <c r="H551" s="113"/>
      <c r="I551" s="113"/>
      <c r="J551" s="113"/>
      <c r="K551" s="28"/>
      <c r="L551" s="28"/>
      <c r="M551" s="70"/>
      <c r="N551" s="70"/>
      <c r="O551" s="70"/>
      <c r="P551" s="70"/>
      <c r="Q551" s="70"/>
      <c r="R551" s="70"/>
      <c r="S551" s="70"/>
      <c r="T551" s="70"/>
      <c r="U551" s="70"/>
      <c r="V551" s="70"/>
      <c r="W551" s="70"/>
    </row>
    <row r="552" customFormat="false" ht="12.75" hidden="false" customHeight="false" outlineLevel="0" collapsed="false">
      <c r="A552" s="32" t="n">
        <v>37067</v>
      </c>
      <c r="B552" s="111"/>
      <c r="C552" s="112"/>
      <c r="D552" s="28"/>
      <c r="E552" s="28"/>
      <c r="F552" s="28"/>
      <c r="G552" s="113"/>
      <c r="H552" s="113"/>
      <c r="I552" s="113"/>
      <c r="J552" s="113"/>
      <c r="K552" s="28"/>
      <c r="L552" s="28"/>
      <c r="M552" s="70"/>
      <c r="N552" s="70"/>
      <c r="O552" s="70"/>
      <c r="P552" s="70"/>
      <c r="Q552" s="70"/>
      <c r="R552" s="70"/>
      <c r="S552" s="70"/>
      <c r="T552" s="70"/>
      <c r="U552" s="70"/>
      <c r="V552" s="70"/>
      <c r="W552" s="70"/>
    </row>
    <row r="553" customFormat="false" ht="12.75" hidden="false" customHeight="false" outlineLevel="0" collapsed="false">
      <c r="A553" s="32" t="n">
        <v>37068</v>
      </c>
      <c r="B553" s="111"/>
      <c r="C553" s="112"/>
      <c r="D553" s="28"/>
      <c r="E553" s="28"/>
      <c r="F553" s="28"/>
      <c r="G553" s="113"/>
      <c r="H553" s="113"/>
      <c r="I553" s="113"/>
      <c r="J553" s="113"/>
      <c r="K553" s="28"/>
      <c r="L553" s="28"/>
      <c r="M553" s="70"/>
      <c r="N553" s="70"/>
      <c r="O553" s="70"/>
      <c r="P553" s="70"/>
      <c r="Q553" s="70"/>
      <c r="R553" s="70"/>
      <c r="S553" s="70"/>
      <c r="T553" s="70"/>
      <c r="U553" s="70"/>
      <c r="V553" s="70"/>
      <c r="W553" s="70"/>
    </row>
    <row r="554" customFormat="false" ht="12.75" hidden="false" customHeight="false" outlineLevel="0" collapsed="false">
      <c r="A554" s="32" t="n">
        <v>37069</v>
      </c>
      <c r="B554" s="111"/>
      <c r="C554" s="112"/>
      <c r="D554" s="28"/>
      <c r="E554" s="28"/>
      <c r="F554" s="28"/>
      <c r="G554" s="113"/>
      <c r="H554" s="113"/>
      <c r="I554" s="113"/>
      <c r="J554" s="113"/>
      <c r="K554" s="28"/>
      <c r="L554" s="28"/>
      <c r="M554" s="70"/>
      <c r="N554" s="70"/>
      <c r="O554" s="70"/>
      <c r="P554" s="70"/>
      <c r="Q554" s="70"/>
      <c r="R554" s="70"/>
      <c r="S554" s="70"/>
      <c r="T554" s="70"/>
      <c r="U554" s="70"/>
      <c r="V554" s="70"/>
      <c r="W554" s="70"/>
    </row>
    <row r="555" customFormat="false" ht="12.75" hidden="false" customHeight="false" outlineLevel="0" collapsed="false">
      <c r="A555" s="32" t="n">
        <v>37070</v>
      </c>
      <c r="B555" s="111"/>
      <c r="C555" s="112"/>
      <c r="D555" s="28"/>
      <c r="E555" s="28"/>
      <c r="F555" s="28"/>
      <c r="G555" s="113"/>
      <c r="H555" s="113"/>
      <c r="I555" s="113"/>
      <c r="J555" s="113"/>
      <c r="K555" s="28"/>
      <c r="L555" s="28"/>
      <c r="M555" s="70"/>
      <c r="N555" s="70"/>
      <c r="O555" s="70"/>
      <c r="P555" s="70"/>
      <c r="Q555" s="70"/>
      <c r="R555" s="70"/>
      <c r="S555" s="70"/>
      <c r="T555" s="70"/>
      <c r="U555" s="70"/>
      <c r="V555" s="70"/>
      <c r="W555" s="70"/>
    </row>
    <row r="556" customFormat="false" ht="12.75" hidden="false" customHeight="false" outlineLevel="0" collapsed="false">
      <c r="A556" s="32" t="n">
        <v>37071</v>
      </c>
      <c r="B556" s="111"/>
      <c r="C556" s="112"/>
      <c r="D556" s="28"/>
      <c r="E556" s="28"/>
      <c r="F556" s="28"/>
      <c r="G556" s="113"/>
      <c r="H556" s="113"/>
      <c r="I556" s="113"/>
      <c r="J556" s="113"/>
      <c r="K556" s="28"/>
      <c r="L556" s="28"/>
      <c r="M556" s="70"/>
      <c r="N556" s="70"/>
      <c r="O556" s="70"/>
      <c r="P556" s="70"/>
      <c r="Q556" s="70"/>
      <c r="R556" s="70"/>
      <c r="S556" s="70"/>
      <c r="T556" s="70"/>
      <c r="U556" s="70"/>
      <c r="V556" s="70"/>
      <c r="W556" s="70"/>
    </row>
    <row r="557" customFormat="false" ht="12.75" hidden="false" customHeight="false" outlineLevel="0" collapsed="false">
      <c r="A557" s="32" t="n">
        <v>37072</v>
      </c>
      <c r="B557" s="111"/>
      <c r="C557" s="112"/>
      <c r="D557" s="28"/>
      <c r="E557" s="28"/>
      <c r="F557" s="28"/>
      <c r="G557" s="113"/>
      <c r="H557" s="113"/>
      <c r="I557" s="113"/>
      <c r="J557" s="113"/>
      <c r="K557" s="28"/>
      <c r="L557" s="28"/>
      <c r="M557" s="70"/>
      <c r="N557" s="70"/>
      <c r="O557" s="70"/>
      <c r="P557" s="70"/>
      <c r="Q557" s="70"/>
      <c r="R557" s="70"/>
      <c r="S557" s="70"/>
      <c r="T557" s="70"/>
      <c r="U557" s="70"/>
      <c r="V557" s="70"/>
      <c r="W557" s="70"/>
    </row>
    <row r="558" customFormat="false" ht="12.75" hidden="false" customHeight="false" outlineLevel="0" collapsed="false">
      <c r="A558" s="32" t="n">
        <v>37073</v>
      </c>
      <c r="B558" s="111"/>
      <c r="C558" s="112"/>
      <c r="D558" s="28"/>
      <c r="E558" s="28"/>
      <c r="F558" s="28"/>
      <c r="G558" s="113"/>
      <c r="H558" s="113"/>
      <c r="I558" s="113"/>
      <c r="J558" s="113"/>
      <c r="K558" s="28"/>
      <c r="L558" s="28"/>
      <c r="M558" s="70"/>
      <c r="N558" s="70"/>
      <c r="O558" s="70"/>
      <c r="P558" s="70"/>
      <c r="Q558" s="70"/>
      <c r="R558" s="70"/>
      <c r="S558" s="70"/>
      <c r="T558" s="70"/>
      <c r="U558" s="70"/>
      <c r="V558" s="70"/>
      <c r="W558" s="70"/>
    </row>
    <row r="559" customFormat="false" ht="12.75" hidden="false" customHeight="false" outlineLevel="0" collapsed="false">
      <c r="A559" s="32" t="n">
        <v>37074</v>
      </c>
      <c r="B559" s="111"/>
      <c r="C559" s="112"/>
      <c r="D559" s="28"/>
      <c r="E559" s="28"/>
      <c r="F559" s="28"/>
      <c r="G559" s="113"/>
      <c r="H559" s="113"/>
      <c r="I559" s="113"/>
      <c r="J559" s="113"/>
      <c r="K559" s="28"/>
      <c r="L559" s="28"/>
      <c r="M559" s="70"/>
      <c r="N559" s="70"/>
      <c r="O559" s="70"/>
      <c r="P559" s="70"/>
      <c r="Q559" s="70"/>
      <c r="R559" s="70"/>
      <c r="S559" s="70"/>
      <c r="T559" s="70"/>
      <c r="U559" s="70"/>
      <c r="V559" s="70"/>
      <c r="W559" s="70"/>
    </row>
    <row r="560" customFormat="false" ht="12.75" hidden="false" customHeight="false" outlineLevel="0" collapsed="false">
      <c r="A560" s="32" t="n">
        <v>37075</v>
      </c>
      <c r="B560" s="111"/>
      <c r="C560" s="112"/>
      <c r="D560" s="28"/>
      <c r="E560" s="28"/>
      <c r="F560" s="28"/>
      <c r="G560" s="113"/>
      <c r="H560" s="113"/>
      <c r="I560" s="113"/>
      <c r="J560" s="113"/>
      <c r="K560" s="28"/>
      <c r="L560" s="28"/>
      <c r="M560" s="70"/>
      <c r="N560" s="70"/>
      <c r="O560" s="70"/>
      <c r="P560" s="70"/>
      <c r="Q560" s="70"/>
      <c r="R560" s="70"/>
      <c r="S560" s="70"/>
      <c r="T560" s="70"/>
      <c r="U560" s="70"/>
      <c r="V560" s="70"/>
      <c r="W560" s="70"/>
    </row>
    <row r="561" customFormat="false" ht="12.75" hidden="false" customHeight="false" outlineLevel="0" collapsed="false">
      <c r="A561" s="32" t="n">
        <v>37076</v>
      </c>
      <c r="B561" s="111"/>
      <c r="C561" s="112"/>
      <c r="D561" s="28"/>
      <c r="E561" s="28"/>
      <c r="F561" s="28"/>
      <c r="G561" s="113"/>
      <c r="H561" s="113"/>
      <c r="I561" s="113"/>
      <c r="J561" s="113"/>
      <c r="K561" s="28"/>
      <c r="L561" s="28"/>
      <c r="M561" s="70"/>
      <c r="N561" s="70"/>
      <c r="O561" s="70"/>
      <c r="P561" s="70"/>
      <c r="Q561" s="70"/>
      <c r="R561" s="70"/>
      <c r="S561" s="70"/>
      <c r="T561" s="70"/>
      <c r="U561" s="70"/>
      <c r="V561" s="70"/>
      <c r="W561" s="70"/>
    </row>
    <row r="562" customFormat="false" ht="12.75" hidden="false" customHeight="false" outlineLevel="0" collapsed="false">
      <c r="A562" s="32" t="n">
        <v>37077</v>
      </c>
      <c r="B562" s="111"/>
      <c r="C562" s="112"/>
      <c r="D562" s="28"/>
      <c r="E562" s="28"/>
      <c r="F562" s="28"/>
      <c r="G562" s="113"/>
      <c r="H562" s="113"/>
      <c r="I562" s="113"/>
      <c r="J562" s="113"/>
      <c r="K562" s="28"/>
      <c r="L562" s="28"/>
      <c r="M562" s="70"/>
      <c r="N562" s="70"/>
      <c r="O562" s="70"/>
      <c r="P562" s="70"/>
      <c r="Q562" s="70"/>
      <c r="R562" s="70"/>
      <c r="S562" s="70"/>
      <c r="T562" s="70"/>
      <c r="U562" s="70"/>
      <c r="V562" s="70"/>
      <c r="W562" s="70"/>
    </row>
    <row r="563" customFormat="false" ht="12.75" hidden="false" customHeight="false" outlineLevel="0" collapsed="false">
      <c r="A563" s="32" t="n">
        <v>37078</v>
      </c>
      <c r="B563" s="111"/>
      <c r="C563" s="112"/>
      <c r="D563" s="28"/>
      <c r="E563" s="28"/>
      <c r="F563" s="28"/>
      <c r="G563" s="113"/>
      <c r="H563" s="113"/>
      <c r="I563" s="113"/>
      <c r="J563" s="113"/>
      <c r="K563" s="28"/>
      <c r="L563" s="28"/>
      <c r="M563" s="70"/>
      <c r="N563" s="70"/>
      <c r="O563" s="70"/>
      <c r="P563" s="70"/>
      <c r="Q563" s="70"/>
      <c r="R563" s="70"/>
      <c r="S563" s="70"/>
      <c r="T563" s="70"/>
      <c r="U563" s="70"/>
      <c r="V563" s="70"/>
      <c r="W563" s="70"/>
    </row>
    <row r="564" customFormat="false" ht="12.75" hidden="false" customHeight="false" outlineLevel="0" collapsed="false">
      <c r="A564" s="32" t="n">
        <v>37079</v>
      </c>
      <c r="B564" s="111"/>
      <c r="C564" s="112"/>
      <c r="D564" s="28"/>
      <c r="E564" s="28"/>
      <c r="F564" s="28"/>
      <c r="G564" s="113"/>
      <c r="H564" s="113"/>
      <c r="I564" s="113"/>
      <c r="J564" s="113"/>
      <c r="K564" s="28"/>
      <c r="L564" s="28"/>
      <c r="M564" s="70"/>
      <c r="N564" s="70"/>
      <c r="O564" s="70"/>
      <c r="P564" s="70"/>
      <c r="Q564" s="70"/>
      <c r="R564" s="70"/>
      <c r="S564" s="70"/>
      <c r="T564" s="70"/>
      <c r="U564" s="70"/>
      <c r="V564" s="70"/>
      <c r="W564" s="70"/>
    </row>
    <row r="565" customFormat="false" ht="12.75" hidden="false" customHeight="false" outlineLevel="0" collapsed="false">
      <c r="A565" s="32" t="n">
        <v>37080</v>
      </c>
      <c r="B565" s="111"/>
      <c r="C565" s="112"/>
      <c r="D565" s="28"/>
      <c r="E565" s="28"/>
      <c r="F565" s="28"/>
      <c r="G565" s="113"/>
      <c r="H565" s="113"/>
      <c r="I565" s="113"/>
      <c r="J565" s="113"/>
      <c r="K565" s="28"/>
      <c r="L565" s="28"/>
      <c r="M565" s="70"/>
      <c r="N565" s="70"/>
      <c r="O565" s="70"/>
      <c r="P565" s="70"/>
      <c r="Q565" s="70"/>
      <c r="R565" s="70"/>
      <c r="S565" s="70"/>
      <c r="T565" s="70"/>
      <c r="U565" s="70"/>
      <c r="V565" s="70"/>
      <c r="W565" s="70"/>
    </row>
    <row r="566" customFormat="false" ht="12.75" hidden="false" customHeight="false" outlineLevel="0" collapsed="false">
      <c r="A566" s="32" t="n">
        <v>37081</v>
      </c>
      <c r="B566" s="111"/>
      <c r="C566" s="112"/>
      <c r="D566" s="28"/>
      <c r="E566" s="28"/>
      <c r="F566" s="28"/>
      <c r="G566" s="113"/>
      <c r="H566" s="113"/>
      <c r="I566" s="113"/>
      <c r="J566" s="113"/>
      <c r="K566" s="28"/>
      <c r="L566" s="28"/>
      <c r="M566" s="70"/>
      <c r="N566" s="70"/>
      <c r="O566" s="70"/>
      <c r="P566" s="70"/>
      <c r="Q566" s="70"/>
      <c r="R566" s="70"/>
      <c r="S566" s="70"/>
      <c r="T566" s="70"/>
      <c r="U566" s="70"/>
      <c r="V566" s="70"/>
      <c r="W566" s="70"/>
    </row>
    <row r="567" customFormat="false" ht="12.75" hidden="false" customHeight="false" outlineLevel="0" collapsed="false">
      <c r="A567" s="32" t="n">
        <v>37082</v>
      </c>
      <c r="B567" s="111"/>
      <c r="C567" s="112"/>
      <c r="D567" s="28"/>
      <c r="E567" s="28"/>
      <c r="F567" s="28"/>
      <c r="G567" s="113"/>
      <c r="H567" s="113"/>
      <c r="I567" s="113"/>
      <c r="J567" s="113"/>
      <c r="K567" s="28"/>
      <c r="L567" s="28"/>
      <c r="M567" s="70"/>
      <c r="N567" s="70"/>
      <c r="O567" s="70"/>
      <c r="P567" s="70"/>
      <c r="Q567" s="70"/>
      <c r="R567" s="70"/>
      <c r="S567" s="70"/>
      <c r="T567" s="70"/>
      <c r="U567" s="70"/>
      <c r="V567" s="70"/>
      <c r="W567" s="70"/>
    </row>
    <row r="568" customFormat="false" ht="12.75" hidden="false" customHeight="false" outlineLevel="0" collapsed="false">
      <c r="A568" s="32" t="n">
        <v>37083</v>
      </c>
      <c r="B568" s="111"/>
      <c r="C568" s="112"/>
      <c r="D568" s="28"/>
      <c r="E568" s="28"/>
      <c r="F568" s="28"/>
      <c r="G568" s="113"/>
      <c r="H568" s="113"/>
      <c r="I568" s="113"/>
      <c r="J568" s="113"/>
      <c r="K568" s="28"/>
      <c r="L568" s="28"/>
      <c r="M568" s="70"/>
      <c r="N568" s="70"/>
      <c r="O568" s="70"/>
      <c r="P568" s="70"/>
      <c r="Q568" s="70"/>
      <c r="R568" s="70"/>
      <c r="S568" s="70"/>
      <c r="T568" s="70"/>
      <c r="U568" s="70"/>
      <c r="V568" s="70"/>
      <c r="W568" s="70"/>
    </row>
    <row r="569" customFormat="false" ht="12.75" hidden="false" customHeight="false" outlineLevel="0" collapsed="false">
      <c r="A569" s="32" t="n">
        <v>37084</v>
      </c>
      <c r="B569" s="111"/>
      <c r="C569" s="112"/>
      <c r="D569" s="28"/>
      <c r="E569" s="28"/>
      <c r="F569" s="28"/>
      <c r="G569" s="113"/>
      <c r="H569" s="113"/>
      <c r="I569" s="113"/>
      <c r="J569" s="113"/>
      <c r="K569" s="28"/>
      <c r="L569" s="28"/>
      <c r="M569" s="70"/>
      <c r="N569" s="70"/>
      <c r="O569" s="70"/>
      <c r="P569" s="70"/>
      <c r="Q569" s="70"/>
      <c r="R569" s="70"/>
      <c r="S569" s="70"/>
      <c r="T569" s="70"/>
      <c r="U569" s="70"/>
      <c r="V569" s="70"/>
      <c r="W569" s="70"/>
    </row>
    <row r="570" customFormat="false" ht="12.75" hidden="false" customHeight="false" outlineLevel="0" collapsed="false">
      <c r="A570" s="32" t="n">
        <v>37085</v>
      </c>
      <c r="B570" s="111"/>
      <c r="C570" s="112"/>
      <c r="D570" s="28"/>
      <c r="E570" s="28"/>
      <c r="F570" s="28"/>
      <c r="G570" s="113"/>
      <c r="H570" s="113"/>
      <c r="I570" s="113"/>
      <c r="J570" s="113"/>
      <c r="K570" s="28"/>
      <c r="L570" s="28"/>
      <c r="M570" s="70"/>
      <c r="N570" s="70"/>
      <c r="O570" s="70"/>
      <c r="P570" s="70"/>
      <c r="Q570" s="70"/>
      <c r="R570" s="70"/>
      <c r="S570" s="70"/>
      <c r="T570" s="70"/>
      <c r="U570" s="70"/>
      <c r="V570" s="70"/>
      <c r="W570" s="70"/>
    </row>
    <row r="571" customFormat="false" ht="12.75" hidden="false" customHeight="false" outlineLevel="0" collapsed="false">
      <c r="A571" s="32" t="n">
        <v>37086</v>
      </c>
      <c r="B571" s="111"/>
      <c r="C571" s="112"/>
      <c r="D571" s="28"/>
      <c r="E571" s="28"/>
      <c r="F571" s="28"/>
      <c r="G571" s="113"/>
      <c r="H571" s="113"/>
      <c r="I571" s="113"/>
      <c r="J571" s="113"/>
      <c r="K571" s="28"/>
      <c r="L571" s="28"/>
      <c r="M571" s="70"/>
      <c r="N571" s="70"/>
      <c r="O571" s="70"/>
      <c r="P571" s="70"/>
      <c r="Q571" s="70"/>
      <c r="R571" s="70"/>
      <c r="S571" s="70"/>
      <c r="T571" s="70"/>
      <c r="U571" s="70"/>
      <c r="V571" s="70"/>
      <c r="W571" s="70"/>
    </row>
    <row r="572" customFormat="false" ht="12.75" hidden="false" customHeight="false" outlineLevel="0" collapsed="false">
      <c r="A572" s="32" t="n">
        <v>37087</v>
      </c>
      <c r="B572" s="111"/>
      <c r="C572" s="112"/>
      <c r="D572" s="28"/>
      <c r="E572" s="28"/>
      <c r="F572" s="28"/>
      <c r="G572" s="113"/>
      <c r="H572" s="113"/>
      <c r="I572" s="113"/>
      <c r="J572" s="113"/>
      <c r="K572" s="28"/>
      <c r="L572" s="28"/>
      <c r="M572" s="70"/>
      <c r="N572" s="70"/>
      <c r="O572" s="70"/>
      <c r="P572" s="70"/>
      <c r="Q572" s="70"/>
      <c r="R572" s="70"/>
      <c r="S572" s="70"/>
      <c r="T572" s="70"/>
      <c r="U572" s="70"/>
      <c r="V572" s="70"/>
      <c r="W572" s="70"/>
    </row>
    <row r="573" customFormat="false" ht="12.75" hidden="false" customHeight="false" outlineLevel="0" collapsed="false">
      <c r="A573" s="32" t="n">
        <v>37088</v>
      </c>
      <c r="B573" s="111"/>
      <c r="C573" s="112"/>
      <c r="D573" s="28"/>
      <c r="E573" s="28"/>
      <c r="F573" s="28"/>
      <c r="G573" s="113"/>
      <c r="H573" s="113"/>
      <c r="I573" s="113"/>
      <c r="J573" s="113"/>
      <c r="K573" s="28"/>
      <c r="L573" s="28"/>
      <c r="M573" s="70"/>
      <c r="N573" s="70"/>
      <c r="O573" s="70"/>
      <c r="P573" s="70"/>
      <c r="Q573" s="70"/>
      <c r="R573" s="70"/>
      <c r="S573" s="70"/>
      <c r="T573" s="70"/>
      <c r="U573" s="70"/>
      <c r="V573" s="70"/>
      <c r="W573" s="70"/>
    </row>
    <row r="574" customFormat="false" ht="12.75" hidden="false" customHeight="false" outlineLevel="0" collapsed="false">
      <c r="A574" s="32" t="n">
        <v>37089</v>
      </c>
      <c r="B574" s="111"/>
      <c r="C574" s="112"/>
      <c r="D574" s="28"/>
      <c r="E574" s="28"/>
      <c r="F574" s="28"/>
      <c r="G574" s="113"/>
      <c r="H574" s="113"/>
      <c r="I574" s="113"/>
      <c r="J574" s="113"/>
      <c r="K574" s="28"/>
      <c r="L574" s="28"/>
      <c r="M574" s="70"/>
      <c r="N574" s="70"/>
      <c r="O574" s="70"/>
      <c r="P574" s="70"/>
      <c r="Q574" s="70"/>
      <c r="R574" s="70"/>
      <c r="S574" s="70"/>
      <c r="T574" s="70"/>
      <c r="U574" s="70"/>
      <c r="V574" s="70"/>
      <c r="W574" s="70"/>
    </row>
    <row r="575" customFormat="false" ht="12.75" hidden="false" customHeight="false" outlineLevel="0" collapsed="false">
      <c r="A575" s="32" t="n">
        <v>37090</v>
      </c>
      <c r="B575" s="111"/>
      <c r="C575" s="112"/>
      <c r="D575" s="28"/>
      <c r="E575" s="28"/>
      <c r="F575" s="28"/>
      <c r="G575" s="113"/>
      <c r="H575" s="113"/>
      <c r="I575" s="113"/>
      <c r="J575" s="113"/>
      <c r="K575" s="28"/>
      <c r="L575" s="28"/>
      <c r="M575" s="70"/>
      <c r="N575" s="70"/>
      <c r="O575" s="70"/>
      <c r="P575" s="70"/>
      <c r="Q575" s="70"/>
      <c r="R575" s="70"/>
      <c r="S575" s="70"/>
      <c r="T575" s="70"/>
      <c r="U575" s="70"/>
      <c r="V575" s="70"/>
      <c r="W575" s="70"/>
    </row>
    <row r="576" customFormat="false" ht="12.75" hidden="false" customHeight="false" outlineLevel="0" collapsed="false">
      <c r="A576" s="32" t="n">
        <v>37091</v>
      </c>
      <c r="B576" s="111"/>
      <c r="C576" s="112"/>
      <c r="D576" s="28"/>
      <c r="E576" s="28"/>
      <c r="F576" s="28"/>
      <c r="G576" s="113"/>
      <c r="H576" s="113"/>
      <c r="I576" s="113"/>
      <c r="J576" s="113"/>
      <c r="K576" s="28"/>
      <c r="L576" s="28"/>
      <c r="M576" s="70"/>
      <c r="N576" s="70"/>
      <c r="O576" s="70"/>
      <c r="P576" s="70"/>
      <c r="Q576" s="70"/>
      <c r="R576" s="70"/>
      <c r="S576" s="70"/>
      <c r="T576" s="70"/>
      <c r="U576" s="70"/>
      <c r="V576" s="70"/>
      <c r="W576" s="70"/>
    </row>
    <row r="577" customFormat="false" ht="12.75" hidden="false" customHeight="false" outlineLevel="0" collapsed="false">
      <c r="A577" s="32" t="n">
        <v>37092</v>
      </c>
      <c r="B577" s="111"/>
      <c r="C577" s="112"/>
      <c r="D577" s="28"/>
      <c r="E577" s="28"/>
      <c r="F577" s="28"/>
      <c r="G577" s="113"/>
      <c r="H577" s="113"/>
      <c r="I577" s="113"/>
      <c r="J577" s="113"/>
      <c r="K577" s="28"/>
      <c r="L577" s="28"/>
      <c r="M577" s="70"/>
      <c r="N577" s="70"/>
      <c r="O577" s="70"/>
      <c r="P577" s="70"/>
      <c r="Q577" s="70"/>
      <c r="R577" s="70"/>
      <c r="S577" s="70"/>
      <c r="T577" s="70"/>
      <c r="U577" s="70"/>
      <c r="V577" s="70"/>
      <c r="W577" s="70"/>
    </row>
    <row r="578" customFormat="false" ht="12.75" hidden="false" customHeight="false" outlineLevel="0" collapsed="false">
      <c r="A578" s="32" t="n">
        <v>37093</v>
      </c>
      <c r="B578" s="111"/>
      <c r="C578" s="112"/>
      <c r="D578" s="28"/>
      <c r="E578" s="28"/>
      <c r="F578" s="28"/>
      <c r="G578" s="113"/>
      <c r="H578" s="113"/>
      <c r="I578" s="113"/>
      <c r="J578" s="113"/>
      <c r="K578" s="28"/>
      <c r="L578" s="28"/>
      <c r="M578" s="70"/>
      <c r="N578" s="70"/>
      <c r="O578" s="70"/>
      <c r="P578" s="70"/>
      <c r="Q578" s="70"/>
      <c r="R578" s="70"/>
      <c r="S578" s="70"/>
      <c r="T578" s="70"/>
      <c r="U578" s="70"/>
      <c r="V578" s="70"/>
      <c r="W578" s="70"/>
    </row>
    <row r="579" customFormat="false" ht="12.75" hidden="false" customHeight="false" outlineLevel="0" collapsed="false">
      <c r="A579" s="32" t="n">
        <v>37094</v>
      </c>
      <c r="B579" s="111"/>
      <c r="C579" s="112"/>
      <c r="D579" s="28"/>
      <c r="E579" s="28"/>
      <c r="F579" s="28"/>
      <c r="G579" s="113"/>
      <c r="H579" s="113"/>
      <c r="I579" s="113"/>
      <c r="J579" s="113"/>
      <c r="K579" s="28"/>
      <c r="L579" s="28"/>
      <c r="M579" s="70"/>
      <c r="N579" s="70"/>
      <c r="O579" s="70"/>
      <c r="P579" s="70"/>
      <c r="Q579" s="70"/>
      <c r="R579" s="70"/>
      <c r="S579" s="70"/>
      <c r="T579" s="70"/>
      <c r="U579" s="70"/>
      <c r="V579" s="70"/>
      <c r="W579" s="70"/>
    </row>
    <row r="580" customFormat="false" ht="12.75" hidden="false" customHeight="false" outlineLevel="0" collapsed="false">
      <c r="A580" s="32" t="n">
        <v>37095</v>
      </c>
      <c r="B580" s="111"/>
      <c r="C580" s="112"/>
      <c r="D580" s="28"/>
      <c r="E580" s="28"/>
      <c r="F580" s="28"/>
      <c r="G580" s="113"/>
      <c r="H580" s="113"/>
      <c r="I580" s="113"/>
      <c r="J580" s="113"/>
      <c r="K580" s="28"/>
      <c r="L580" s="28"/>
      <c r="M580" s="70"/>
      <c r="N580" s="70"/>
      <c r="O580" s="70"/>
      <c r="P580" s="70"/>
      <c r="Q580" s="70"/>
      <c r="R580" s="70"/>
      <c r="S580" s="70"/>
      <c r="T580" s="70"/>
      <c r="U580" s="70"/>
      <c r="V580" s="70"/>
      <c r="W580" s="70"/>
    </row>
    <row r="581" customFormat="false" ht="12.75" hidden="false" customHeight="false" outlineLevel="0" collapsed="false">
      <c r="A581" s="32" t="n">
        <v>37096</v>
      </c>
      <c r="B581" s="111"/>
      <c r="C581" s="112"/>
      <c r="D581" s="28"/>
      <c r="E581" s="28"/>
      <c r="F581" s="28"/>
      <c r="G581" s="113"/>
      <c r="H581" s="113"/>
      <c r="I581" s="113"/>
      <c r="J581" s="113"/>
      <c r="K581" s="28"/>
      <c r="L581" s="28"/>
      <c r="M581" s="70"/>
      <c r="N581" s="70"/>
      <c r="O581" s="70"/>
      <c r="P581" s="70"/>
      <c r="Q581" s="70"/>
      <c r="R581" s="70"/>
      <c r="S581" s="70"/>
      <c r="T581" s="70"/>
      <c r="U581" s="70"/>
      <c r="V581" s="70"/>
      <c r="W581" s="70"/>
    </row>
    <row r="582" customFormat="false" ht="12.75" hidden="false" customHeight="false" outlineLevel="0" collapsed="false">
      <c r="A582" s="32" t="n">
        <v>37097</v>
      </c>
      <c r="B582" s="111"/>
      <c r="C582" s="112"/>
      <c r="D582" s="28"/>
      <c r="E582" s="28"/>
      <c r="F582" s="28"/>
      <c r="G582" s="113"/>
      <c r="H582" s="113"/>
      <c r="I582" s="113"/>
      <c r="J582" s="113"/>
      <c r="K582" s="28"/>
      <c r="L582" s="28"/>
      <c r="M582" s="70"/>
      <c r="N582" s="70"/>
      <c r="O582" s="70"/>
      <c r="P582" s="70"/>
      <c r="Q582" s="70"/>
      <c r="R582" s="70"/>
      <c r="S582" s="70"/>
      <c r="T582" s="70"/>
      <c r="U582" s="70"/>
      <c r="V582" s="70"/>
      <c r="W582" s="70"/>
    </row>
    <row r="583" customFormat="false" ht="12.75" hidden="false" customHeight="false" outlineLevel="0" collapsed="false">
      <c r="A583" s="32" t="n">
        <v>37098</v>
      </c>
      <c r="B583" s="111"/>
      <c r="C583" s="112"/>
      <c r="D583" s="28"/>
      <c r="E583" s="28"/>
      <c r="F583" s="28"/>
      <c r="G583" s="113"/>
      <c r="H583" s="113"/>
      <c r="I583" s="113"/>
      <c r="J583" s="113"/>
      <c r="K583" s="28"/>
      <c r="L583" s="28"/>
      <c r="M583" s="70"/>
      <c r="N583" s="70"/>
      <c r="O583" s="70"/>
      <c r="P583" s="70"/>
      <c r="Q583" s="70"/>
      <c r="R583" s="70"/>
      <c r="S583" s="70"/>
      <c r="T583" s="70"/>
      <c r="U583" s="70"/>
      <c r="V583" s="70"/>
      <c r="W583" s="70"/>
    </row>
    <row r="584" customFormat="false" ht="12.75" hidden="false" customHeight="false" outlineLevel="0" collapsed="false">
      <c r="A584" s="32" t="n">
        <v>37099</v>
      </c>
      <c r="B584" s="111"/>
      <c r="C584" s="112"/>
      <c r="D584" s="28"/>
      <c r="E584" s="28"/>
      <c r="F584" s="28"/>
      <c r="G584" s="113"/>
      <c r="H584" s="113"/>
      <c r="I584" s="113"/>
      <c r="J584" s="113"/>
      <c r="K584" s="28"/>
      <c r="L584" s="28"/>
      <c r="M584" s="70"/>
      <c r="N584" s="70"/>
      <c r="O584" s="70"/>
      <c r="P584" s="70"/>
      <c r="Q584" s="70"/>
      <c r="R584" s="70"/>
      <c r="S584" s="70"/>
      <c r="T584" s="70"/>
      <c r="U584" s="70"/>
      <c r="V584" s="70"/>
      <c r="W584" s="70"/>
    </row>
    <row r="585" customFormat="false" ht="12.75" hidden="false" customHeight="false" outlineLevel="0" collapsed="false">
      <c r="A585" s="32" t="n">
        <v>37100</v>
      </c>
      <c r="B585" s="111"/>
      <c r="C585" s="112"/>
      <c r="D585" s="28"/>
      <c r="E585" s="28"/>
      <c r="F585" s="28"/>
      <c r="G585" s="113"/>
      <c r="H585" s="113"/>
      <c r="I585" s="113"/>
      <c r="J585" s="113"/>
      <c r="K585" s="28"/>
      <c r="L585" s="28"/>
      <c r="M585" s="70"/>
      <c r="N585" s="70"/>
      <c r="O585" s="70"/>
      <c r="P585" s="70"/>
      <c r="Q585" s="70"/>
      <c r="R585" s="70"/>
      <c r="S585" s="70"/>
      <c r="T585" s="70"/>
      <c r="U585" s="70"/>
      <c r="V585" s="70"/>
      <c r="W585" s="70"/>
    </row>
    <row r="586" customFormat="false" ht="12.75" hidden="false" customHeight="false" outlineLevel="0" collapsed="false">
      <c r="A586" s="32" t="n">
        <v>37101</v>
      </c>
      <c r="B586" s="111"/>
      <c r="C586" s="112"/>
      <c r="D586" s="28"/>
      <c r="E586" s="28"/>
      <c r="F586" s="28"/>
      <c r="G586" s="113"/>
      <c r="H586" s="113"/>
      <c r="I586" s="113"/>
      <c r="J586" s="113"/>
      <c r="K586" s="28"/>
      <c r="L586" s="28"/>
      <c r="M586" s="70"/>
      <c r="N586" s="70"/>
      <c r="O586" s="70"/>
      <c r="P586" s="70"/>
      <c r="Q586" s="70"/>
      <c r="R586" s="70"/>
      <c r="S586" s="70"/>
      <c r="T586" s="70"/>
      <c r="U586" s="70"/>
      <c r="V586" s="70"/>
      <c r="W586" s="70"/>
    </row>
    <row r="587" customFormat="false" ht="12.75" hidden="false" customHeight="false" outlineLevel="0" collapsed="false">
      <c r="A587" s="32" t="n">
        <v>37102</v>
      </c>
      <c r="B587" s="111"/>
      <c r="C587" s="112"/>
      <c r="D587" s="28"/>
      <c r="E587" s="28"/>
      <c r="F587" s="28"/>
      <c r="G587" s="113"/>
      <c r="H587" s="113"/>
      <c r="I587" s="113"/>
      <c r="J587" s="113"/>
      <c r="K587" s="28"/>
      <c r="L587" s="28"/>
      <c r="M587" s="70"/>
      <c r="N587" s="70"/>
      <c r="O587" s="70"/>
      <c r="P587" s="70"/>
      <c r="Q587" s="70"/>
      <c r="R587" s="70"/>
      <c r="S587" s="70"/>
      <c r="T587" s="70"/>
      <c r="U587" s="70"/>
      <c r="V587" s="70"/>
      <c r="W587" s="70"/>
    </row>
    <row r="588" customFormat="false" ht="12.75" hidden="false" customHeight="false" outlineLevel="0" collapsed="false">
      <c r="A588" s="32" t="n">
        <v>37103</v>
      </c>
      <c r="B588" s="111"/>
      <c r="C588" s="112"/>
      <c r="D588" s="28"/>
      <c r="E588" s="28"/>
      <c r="F588" s="28"/>
      <c r="G588" s="113"/>
      <c r="H588" s="113"/>
      <c r="I588" s="113"/>
      <c r="J588" s="113"/>
      <c r="K588" s="28"/>
      <c r="L588" s="28"/>
      <c r="M588" s="70"/>
      <c r="N588" s="70"/>
      <c r="O588" s="70"/>
      <c r="P588" s="70"/>
      <c r="Q588" s="70"/>
      <c r="R588" s="70"/>
      <c r="S588" s="70"/>
      <c r="T588" s="70"/>
      <c r="U588" s="70"/>
      <c r="V588" s="70"/>
      <c r="W588" s="70"/>
    </row>
    <row r="589" customFormat="false" ht="12.75" hidden="false" customHeight="false" outlineLevel="0" collapsed="false">
      <c r="A589" s="32" t="n">
        <v>37104</v>
      </c>
      <c r="B589" s="111"/>
      <c r="C589" s="112"/>
      <c r="D589" s="28"/>
      <c r="E589" s="28"/>
      <c r="F589" s="28"/>
      <c r="G589" s="113"/>
      <c r="H589" s="113"/>
      <c r="I589" s="113"/>
      <c r="J589" s="113"/>
      <c r="K589" s="28"/>
      <c r="L589" s="28"/>
      <c r="M589" s="70"/>
      <c r="N589" s="70"/>
      <c r="O589" s="70"/>
      <c r="P589" s="70"/>
      <c r="Q589" s="70"/>
      <c r="R589" s="70"/>
      <c r="S589" s="70"/>
      <c r="T589" s="70"/>
      <c r="U589" s="70"/>
      <c r="V589" s="70"/>
      <c r="W589" s="70"/>
    </row>
    <row r="590" customFormat="false" ht="12.75" hidden="false" customHeight="false" outlineLevel="0" collapsed="false">
      <c r="A590" s="32" t="n">
        <v>37105</v>
      </c>
      <c r="B590" s="111"/>
      <c r="C590" s="112"/>
      <c r="D590" s="28"/>
      <c r="E590" s="28"/>
      <c r="F590" s="28"/>
      <c r="G590" s="113"/>
      <c r="H590" s="113"/>
      <c r="I590" s="113"/>
      <c r="J590" s="113"/>
      <c r="K590" s="28"/>
      <c r="L590" s="28"/>
      <c r="M590" s="70"/>
      <c r="N590" s="70"/>
      <c r="O590" s="70"/>
      <c r="P590" s="70"/>
      <c r="Q590" s="70"/>
      <c r="R590" s="70"/>
      <c r="S590" s="70"/>
      <c r="T590" s="70"/>
      <c r="U590" s="70"/>
      <c r="V590" s="70"/>
      <c r="W590" s="70"/>
    </row>
    <row r="591" customFormat="false" ht="12.75" hidden="false" customHeight="false" outlineLevel="0" collapsed="false">
      <c r="A591" s="32" t="n">
        <v>37106</v>
      </c>
      <c r="B591" s="111"/>
      <c r="C591" s="112"/>
      <c r="D591" s="28"/>
      <c r="E591" s="28"/>
      <c r="F591" s="28"/>
      <c r="G591" s="113"/>
      <c r="H591" s="113"/>
      <c r="I591" s="113"/>
      <c r="J591" s="113"/>
      <c r="K591" s="28"/>
      <c r="L591" s="28"/>
      <c r="M591" s="70"/>
      <c r="N591" s="70"/>
      <c r="O591" s="70"/>
      <c r="P591" s="70"/>
      <c r="Q591" s="70"/>
      <c r="R591" s="70"/>
      <c r="S591" s="70"/>
      <c r="T591" s="70"/>
      <c r="U591" s="70"/>
      <c r="V591" s="70"/>
      <c r="W591" s="70"/>
    </row>
    <row r="592" customFormat="false" ht="12.75" hidden="false" customHeight="false" outlineLevel="0" collapsed="false">
      <c r="A592" s="32" t="n">
        <v>37107</v>
      </c>
      <c r="B592" s="111"/>
      <c r="C592" s="112"/>
      <c r="D592" s="28"/>
      <c r="E592" s="28"/>
      <c r="F592" s="28"/>
      <c r="G592" s="113"/>
      <c r="H592" s="113"/>
      <c r="I592" s="113"/>
      <c r="J592" s="113"/>
      <c r="K592" s="28"/>
      <c r="L592" s="28"/>
      <c r="M592" s="70"/>
      <c r="N592" s="70"/>
      <c r="O592" s="70"/>
      <c r="P592" s="70"/>
      <c r="Q592" s="70"/>
      <c r="R592" s="70"/>
      <c r="S592" s="70"/>
      <c r="T592" s="70"/>
      <c r="U592" s="70"/>
      <c r="V592" s="70"/>
      <c r="W592" s="70"/>
    </row>
    <row r="593" customFormat="false" ht="12.75" hidden="false" customHeight="false" outlineLevel="0" collapsed="false">
      <c r="A593" s="32" t="n">
        <v>37108</v>
      </c>
      <c r="B593" s="111"/>
      <c r="C593" s="112"/>
      <c r="D593" s="28"/>
      <c r="E593" s="28"/>
      <c r="F593" s="28"/>
      <c r="G593" s="113"/>
      <c r="H593" s="113"/>
      <c r="I593" s="113"/>
      <c r="J593" s="113"/>
      <c r="K593" s="28"/>
      <c r="L593" s="28"/>
      <c r="M593" s="70"/>
      <c r="N593" s="70"/>
      <c r="O593" s="70"/>
      <c r="P593" s="70"/>
      <c r="Q593" s="70"/>
      <c r="R593" s="70"/>
      <c r="S593" s="70"/>
      <c r="T593" s="70"/>
      <c r="U593" s="70"/>
      <c r="V593" s="70"/>
      <c r="W593" s="70"/>
    </row>
    <row r="594" customFormat="false" ht="12.75" hidden="false" customHeight="false" outlineLevel="0" collapsed="false">
      <c r="A594" s="32" t="n">
        <v>37109</v>
      </c>
      <c r="B594" s="111"/>
      <c r="C594" s="112"/>
      <c r="D594" s="28"/>
      <c r="E594" s="28"/>
      <c r="F594" s="28"/>
      <c r="G594" s="113"/>
      <c r="H594" s="113"/>
      <c r="I594" s="113"/>
      <c r="J594" s="113"/>
      <c r="K594" s="28"/>
      <c r="L594" s="28"/>
      <c r="M594" s="70"/>
      <c r="N594" s="70"/>
      <c r="O594" s="70"/>
      <c r="P594" s="70"/>
      <c r="Q594" s="70"/>
      <c r="R594" s="70"/>
      <c r="S594" s="70"/>
      <c r="T594" s="70"/>
      <c r="U594" s="70"/>
      <c r="V594" s="70"/>
      <c r="W594" s="70"/>
    </row>
    <row r="595" customFormat="false" ht="12.75" hidden="false" customHeight="false" outlineLevel="0" collapsed="false">
      <c r="A595" s="32" t="n">
        <v>37110</v>
      </c>
      <c r="B595" s="111"/>
      <c r="C595" s="112"/>
      <c r="D595" s="28"/>
      <c r="E595" s="28"/>
      <c r="F595" s="28"/>
      <c r="G595" s="113"/>
      <c r="H595" s="113"/>
      <c r="I595" s="113"/>
      <c r="J595" s="113"/>
      <c r="K595" s="28"/>
      <c r="L595" s="28"/>
      <c r="M595" s="70"/>
      <c r="N595" s="70"/>
      <c r="O595" s="70"/>
      <c r="P595" s="70"/>
      <c r="Q595" s="70"/>
      <c r="R595" s="70"/>
      <c r="S595" s="70"/>
      <c r="T595" s="70"/>
      <c r="U595" s="70"/>
      <c r="V595" s="70"/>
      <c r="W595" s="70"/>
    </row>
    <row r="596" customFormat="false" ht="12.75" hidden="false" customHeight="false" outlineLevel="0" collapsed="false">
      <c r="A596" s="32" t="n">
        <v>37111</v>
      </c>
      <c r="B596" s="111"/>
      <c r="C596" s="112"/>
      <c r="D596" s="28"/>
      <c r="E596" s="28"/>
      <c r="F596" s="28"/>
      <c r="G596" s="113"/>
      <c r="H596" s="113"/>
      <c r="I596" s="113"/>
      <c r="J596" s="113"/>
      <c r="K596" s="28"/>
      <c r="L596" s="28"/>
      <c r="M596" s="70"/>
      <c r="N596" s="70"/>
      <c r="O596" s="70"/>
      <c r="P596" s="70"/>
      <c r="Q596" s="70"/>
      <c r="R596" s="70"/>
      <c r="S596" s="70"/>
      <c r="T596" s="70"/>
      <c r="U596" s="70"/>
      <c r="V596" s="70"/>
      <c r="W596" s="70"/>
    </row>
    <row r="597" customFormat="false" ht="12.75" hidden="false" customHeight="false" outlineLevel="0" collapsed="false">
      <c r="A597" s="32" t="n">
        <v>37112</v>
      </c>
      <c r="B597" s="111"/>
      <c r="C597" s="112"/>
      <c r="D597" s="28"/>
      <c r="E597" s="28"/>
      <c r="F597" s="28"/>
      <c r="G597" s="113"/>
      <c r="H597" s="113"/>
      <c r="I597" s="113"/>
      <c r="J597" s="113"/>
      <c r="K597" s="28"/>
      <c r="L597" s="28"/>
      <c r="M597" s="70"/>
      <c r="N597" s="70"/>
      <c r="O597" s="70"/>
      <c r="P597" s="70"/>
      <c r="Q597" s="70"/>
      <c r="R597" s="70"/>
      <c r="S597" s="70"/>
      <c r="T597" s="70"/>
      <c r="U597" s="70"/>
      <c r="V597" s="70"/>
      <c r="W597" s="70"/>
    </row>
    <row r="598" customFormat="false" ht="12.75" hidden="false" customHeight="false" outlineLevel="0" collapsed="false">
      <c r="A598" s="32" t="n">
        <v>37113</v>
      </c>
      <c r="B598" s="111"/>
      <c r="C598" s="112"/>
      <c r="D598" s="28"/>
      <c r="E598" s="28"/>
      <c r="F598" s="28"/>
      <c r="G598" s="113"/>
      <c r="H598" s="113"/>
      <c r="I598" s="113"/>
      <c r="J598" s="113"/>
      <c r="K598" s="28"/>
      <c r="L598" s="28"/>
      <c r="M598" s="70"/>
      <c r="N598" s="70"/>
      <c r="O598" s="70"/>
      <c r="P598" s="70"/>
      <c r="Q598" s="70"/>
      <c r="R598" s="70"/>
      <c r="S598" s="70"/>
      <c r="T598" s="70"/>
      <c r="U598" s="70"/>
      <c r="V598" s="70"/>
      <c r="W598" s="70"/>
    </row>
    <row r="599" customFormat="false" ht="12.75" hidden="false" customHeight="false" outlineLevel="0" collapsed="false">
      <c r="A599" s="32" t="n">
        <v>37114</v>
      </c>
      <c r="B599" s="111"/>
      <c r="C599" s="112"/>
      <c r="D599" s="28"/>
      <c r="E599" s="28"/>
      <c r="F599" s="28"/>
      <c r="G599" s="113"/>
      <c r="H599" s="113"/>
      <c r="I599" s="113"/>
      <c r="J599" s="113"/>
      <c r="K599" s="28"/>
      <c r="L599" s="28"/>
      <c r="M599" s="70"/>
      <c r="N599" s="70"/>
      <c r="O599" s="70"/>
      <c r="P599" s="70"/>
      <c r="Q599" s="70"/>
      <c r="R599" s="70"/>
      <c r="S599" s="70"/>
      <c r="T599" s="70"/>
      <c r="U599" s="70"/>
      <c r="V599" s="70"/>
      <c r="W599" s="70"/>
    </row>
    <row r="600" customFormat="false" ht="12.75" hidden="false" customHeight="false" outlineLevel="0" collapsed="false">
      <c r="A600" s="32" t="n">
        <v>37115</v>
      </c>
      <c r="B600" s="111"/>
      <c r="C600" s="112"/>
      <c r="D600" s="28"/>
      <c r="E600" s="28"/>
      <c r="F600" s="28"/>
      <c r="G600" s="113"/>
      <c r="H600" s="113"/>
      <c r="I600" s="113"/>
      <c r="J600" s="113"/>
      <c r="K600" s="28"/>
      <c r="L600" s="28"/>
      <c r="M600" s="70"/>
      <c r="N600" s="70"/>
      <c r="O600" s="70"/>
      <c r="P600" s="70"/>
      <c r="Q600" s="70"/>
      <c r="R600" s="70"/>
      <c r="S600" s="70"/>
      <c r="T600" s="70"/>
      <c r="U600" s="70"/>
      <c r="V600" s="70"/>
      <c r="W600" s="70"/>
    </row>
    <row r="601" customFormat="false" ht="12.75" hidden="false" customHeight="false" outlineLevel="0" collapsed="false">
      <c r="A601" s="32" t="n">
        <v>37116</v>
      </c>
      <c r="B601" s="111"/>
      <c r="C601" s="112"/>
      <c r="D601" s="28"/>
      <c r="E601" s="28"/>
      <c r="F601" s="28"/>
      <c r="G601" s="113"/>
      <c r="H601" s="113"/>
      <c r="I601" s="113"/>
      <c r="J601" s="113"/>
      <c r="K601" s="28"/>
      <c r="L601" s="28"/>
      <c r="M601" s="70"/>
      <c r="N601" s="70"/>
      <c r="O601" s="70"/>
      <c r="P601" s="70"/>
      <c r="Q601" s="70"/>
      <c r="R601" s="70"/>
      <c r="S601" s="70"/>
      <c r="T601" s="70"/>
      <c r="U601" s="70"/>
      <c r="V601" s="70"/>
      <c r="W601" s="70"/>
    </row>
    <row r="602" customFormat="false" ht="12.75" hidden="false" customHeight="false" outlineLevel="0" collapsed="false">
      <c r="A602" s="32" t="n">
        <v>37117</v>
      </c>
      <c r="B602" s="111"/>
      <c r="C602" s="112"/>
      <c r="D602" s="28"/>
      <c r="E602" s="28"/>
      <c r="F602" s="28"/>
      <c r="G602" s="113"/>
      <c r="H602" s="113"/>
      <c r="I602" s="113"/>
      <c r="J602" s="113"/>
      <c r="K602" s="28"/>
      <c r="L602" s="28"/>
      <c r="M602" s="70"/>
      <c r="N602" s="70"/>
      <c r="O602" s="70"/>
      <c r="P602" s="70"/>
      <c r="Q602" s="70"/>
      <c r="R602" s="70"/>
      <c r="S602" s="70"/>
      <c r="T602" s="70"/>
      <c r="U602" s="70"/>
      <c r="V602" s="70"/>
      <c r="W602" s="70"/>
    </row>
    <row r="603" customFormat="false" ht="12.75" hidden="false" customHeight="false" outlineLevel="0" collapsed="false">
      <c r="A603" s="32" t="n">
        <v>37118</v>
      </c>
      <c r="B603" s="111"/>
      <c r="C603" s="112"/>
      <c r="D603" s="28"/>
      <c r="E603" s="28"/>
      <c r="F603" s="28"/>
      <c r="G603" s="113"/>
      <c r="H603" s="113"/>
      <c r="I603" s="113"/>
      <c r="J603" s="113"/>
      <c r="K603" s="28"/>
      <c r="L603" s="28"/>
      <c r="M603" s="70"/>
      <c r="N603" s="70"/>
      <c r="O603" s="70"/>
      <c r="P603" s="70"/>
      <c r="Q603" s="70"/>
      <c r="R603" s="70"/>
      <c r="S603" s="70"/>
      <c r="T603" s="70"/>
      <c r="U603" s="70"/>
      <c r="V603" s="70"/>
      <c r="W603" s="70"/>
    </row>
    <row r="604" customFormat="false" ht="12.75" hidden="false" customHeight="false" outlineLevel="0" collapsed="false">
      <c r="A604" s="32" t="n">
        <v>37119</v>
      </c>
      <c r="B604" s="111"/>
      <c r="C604" s="112"/>
      <c r="D604" s="28"/>
      <c r="E604" s="28"/>
      <c r="F604" s="28"/>
      <c r="G604" s="113"/>
      <c r="H604" s="113"/>
      <c r="I604" s="113"/>
      <c r="J604" s="113"/>
      <c r="K604" s="28"/>
      <c r="L604" s="28"/>
      <c r="M604" s="70"/>
      <c r="N604" s="70"/>
      <c r="O604" s="70"/>
      <c r="P604" s="70"/>
      <c r="Q604" s="70"/>
      <c r="R604" s="70"/>
      <c r="S604" s="70"/>
      <c r="T604" s="70"/>
      <c r="U604" s="70"/>
      <c r="V604" s="70"/>
      <c r="W604" s="70"/>
    </row>
    <row r="605" customFormat="false" ht="12.75" hidden="false" customHeight="false" outlineLevel="0" collapsed="false">
      <c r="A605" s="32" t="n">
        <v>37120</v>
      </c>
      <c r="B605" s="111"/>
      <c r="C605" s="112"/>
      <c r="D605" s="28"/>
      <c r="E605" s="28"/>
      <c r="F605" s="28"/>
      <c r="G605" s="113"/>
      <c r="H605" s="113"/>
      <c r="I605" s="113"/>
      <c r="J605" s="113"/>
      <c r="K605" s="28"/>
      <c r="L605" s="28"/>
      <c r="M605" s="70"/>
      <c r="N605" s="70"/>
      <c r="O605" s="70"/>
      <c r="P605" s="70"/>
      <c r="Q605" s="70"/>
      <c r="R605" s="70"/>
      <c r="S605" s="70"/>
      <c r="T605" s="70"/>
      <c r="U605" s="70"/>
      <c r="V605" s="70"/>
      <c r="W605" s="70"/>
    </row>
    <row r="606" customFormat="false" ht="12.75" hidden="false" customHeight="false" outlineLevel="0" collapsed="false">
      <c r="A606" s="32" t="n">
        <v>37121</v>
      </c>
      <c r="B606" s="111"/>
      <c r="C606" s="112"/>
      <c r="D606" s="28"/>
      <c r="E606" s="28"/>
      <c r="F606" s="28"/>
      <c r="G606" s="113"/>
      <c r="H606" s="113"/>
      <c r="I606" s="113"/>
      <c r="J606" s="113"/>
      <c r="K606" s="28"/>
      <c r="L606" s="28"/>
      <c r="M606" s="70"/>
      <c r="N606" s="70"/>
      <c r="O606" s="70"/>
      <c r="P606" s="70"/>
      <c r="Q606" s="70"/>
      <c r="R606" s="70"/>
      <c r="S606" s="70"/>
      <c r="T606" s="70"/>
      <c r="U606" s="70"/>
      <c r="V606" s="70"/>
      <c r="W606" s="70"/>
    </row>
    <row r="607" customFormat="false" ht="12.75" hidden="false" customHeight="false" outlineLevel="0" collapsed="false">
      <c r="A607" s="32" t="n">
        <v>37122</v>
      </c>
      <c r="B607" s="111"/>
      <c r="C607" s="112"/>
      <c r="D607" s="28"/>
      <c r="E607" s="28"/>
      <c r="F607" s="28"/>
      <c r="G607" s="113"/>
      <c r="H607" s="113"/>
      <c r="I607" s="113"/>
      <c r="J607" s="113"/>
      <c r="K607" s="28"/>
      <c r="L607" s="28"/>
      <c r="M607" s="70"/>
      <c r="N607" s="70"/>
      <c r="O607" s="70"/>
      <c r="P607" s="70"/>
      <c r="Q607" s="70"/>
      <c r="R607" s="70"/>
      <c r="S607" s="70"/>
      <c r="T607" s="70"/>
      <c r="U607" s="70"/>
      <c r="V607" s="70"/>
      <c r="W607" s="70"/>
    </row>
    <row r="608" customFormat="false" ht="12.75" hidden="false" customHeight="false" outlineLevel="0" collapsed="false">
      <c r="A608" s="32" t="n">
        <v>37123</v>
      </c>
      <c r="B608" s="111"/>
      <c r="C608" s="112"/>
      <c r="D608" s="28"/>
      <c r="E608" s="28"/>
      <c r="F608" s="28"/>
      <c r="G608" s="113"/>
      <c r="H608" s="113"/>
      <c r="I608" s="113"/>
      <c r="J608" s="113"/>
      <c r="K608" s="28"/>
      <c r="L608" s="28"/>
      <c r="M608" s="70"/>
      <c r="N608" s="70"/>
      <c r="O608" s="70"/>
      <c r="P608" s="70"/>
      <c r="Q608" s="70"/>
      <c r="R608" s="70"/>
      <c r="S608" s="70"/>
      <c r="T608" s="70"/>
      <c r="U608" s="70"/>
      <c r="V608" s="70"/>
      <c r="W608" s="70"/>
    </row>
    <row r="609" customFormat="false" ht="12.75" hidden="false" customHeight="false" outlineLevel="0" collapsed="false">
      <c r="A609" s="32" t="n">
        <v>37124</v>
      </c>
      <c r="B609" s="111"/>
      <c r="C609" s="112"/>
      <c r="D609" s="28"/>
      <c r="E609" s="28"/>
      <c r="F609" s="28"/>
      <c r="G609" s="113"/>
      <c r="H609" s="113"/>
      <c r="I609" s="113"/>
      <c r="J609" s="113"/>
      <c r="K609" s="28"/>
      <c r="L609" s="28"/>
      <c r="M609" s="70"/>
      <c r="N609" s="70"/>
      <c r="O609" s="70"/>
      <c r="P609" s="70"/>
      <c r="Q609" s="70"/>
      <c r="R609" s="70"/>
      <c r="S609" s="70"/>
      <c r="T609" s="70"/>
      <c r="U609" s="70"/>
      <c r="V609" s="70"/>
      <c r="W609" s="70"/>
    </row>
    <row r="610" customFormat="false" ht="12.75" hidden="false" customHeight="false" outlineLevel="0" collapsed="false">
      <c r="A610" s="32" t="n">
        <v>37125</v>
      </c>
      <c r="B610" s="111"/>
      <c r="C610" s="112"/>
      <c r="D610" s="28"/>
      <c r="E610" s="28"/>
      <c r="F610" s="28"/>
      <c r="G610" s="113"/>
      <c r="H610" s="113"/>
      <c r="I610" s="113"/>
      <c r="J610" s="113"/>
      <c r="K610" s="28"/>
      <c r="L610" s="28"/>
      <c r="M610" s="70"/>
      <c r="N610" s="70"/>
      <c r="O610" s="70"/>
      <c r="P610" s="70"/>
      <c r="Q610" s="70"/>
      <c r="R610" s="70"/>
      <c r="S610" s="70"/>
      <c r="T610" s="70"/>
      <c r="U610" s="70"/>
      <c r="V610" s="70"/>
      <c r="W610" s="70"/>
    </row>
    <row r="611" customFormat="false" ht="12.75" hidden="false" customHeight="false" outlineLevel="0" collapsed="false">
      <c r="A611" s="32" t="n">
        <v>37126</v>
      </c>
      <c r="B611" s="111"/>
      <c r="C611" s="112"/>
      <c r="D611" s="28"/>
      <c r="E611" s="28"/>
      <c r="F611" s="28"/>
      <c r="G611" s="113"/>
      <c r="H611" s="113"/>
      <c r="I611" s="113"/>
      <c r="J611" s="113"/>
      <c r="K611" s="28"/>
      <c r="L611" s="28"/>
      <c r="M611" s="70"/>
      <c r="N611" s="70"/>
      <c r="O611" s="70"/>
      <c r="P611" s="70"/>
      <c r="Q611" s="70"/>
      <c r="R611" s="70"/>
      <c r="S611" s="70"/>
      <c r="T611" s="70"/>
      <c r="U611" s="70"/>
      <c r="V611" s="70"/>
      <c r="W611" s="70"/>
    </row>
    <row r="612" customFormat="false" ht="12.75" hidden="false" customHeight="false" outlineLevel="0" collapsed="false">
      <c r="A612" s="32" t="n">
        <v>37127</v>
      </c>
      <c r="B612" s="111"/>
      <c r="C612" s="112"/>
      <c r="D612" s="28"/>
      <c r="E612" s="28"/>
      <c r="F612" s="28"/>
      <c r="G612" s="113"/>
      <c r="H612" s="113"/>
      <c r="I612" s="113"/>
      <c r="J612" s="113"/>
      <c r="K612" s="28"/>
      <c r="L612" s="28"/>
      <c r="M612" s="70"/>
      <c r="N612" s="70"/>
      <c r="O612" s="70"/>
      <c r="P612" s="70"/>
      <c r="Q612" s="70"/>
      <c r="R612" s="70"/>
      <c r="S612" s="70"/>
      <c r="T612" s="70"/>
      <c r="U612" s="70"/>
      <c r="V612" s="70"/>
      <c r="W612" s="70"/>
    </row>
    <row r="613" customFormat="false" ht="12.75" hidden="false" customHeight="false" outlineLevel="0" collapsed="false">
      <c r="A613" s="32" t="n">
        <v>37128</v>
      </c>
      <c r="B613" s="111"/>
      <c r="C613" s="112"/>
      <c r="D613" s="28"/>
      <c r="E613" s="28"/>
      <c r="F613" s="28"/>
      <c r="G613" s="113"/>
      <c r="H613" s="113"/>
      <c r="I613" s="113"/>
      <c r="J613" s="113"/>
      <c r="K613" s="28"/>
      <c r="L613" s="28"/>
      <c r="M613" s="70"/>
      <c r="N613" s="70"/>
      <c r="O613" s="70"/>
      <c r="P613" s="70"/>
      <c r="Q613" s="70"/>
      <c r="R613" s="70"/>
      <c r="S613" s="70"/>
      <c r="T613" s="70"/>
      <c r="U613" s="70"/>
      <c r="V613" s="70"/>
      <c r="W613" s="70"/>
    </row>
    <row r="614" customFormat="false" ht="12.75" hidden="false" customHeight="false" outlineLevel="0" collapsed="false">
      <c r="A614" s="32" t="n">
        <v>37129</v>
      </c>
      <c r="B614" s="111"/>
      <c r="C614" s="112"/>
      <c r="D614" s="28"/>
      <c r="E614" s="28"/>
      <c r="F614" s="28"/>
      <c r="G614" s="113"/>
      <c r="H614" s="113"/>
      <c r="I614" s="113"/>
      <c r="J614" s="113"/>
      <c r="K614" s="28"/>
      <c r="L614" s="28"/>
      <c r="M614" s="70"/>
      <c r="N614" s="70"/>
      <c r="O614" s="70"/>
      <c r="P614" s="70"/>
      <c r="Q614" s="70"/>
      <c r="R614" s="70"/>
      <c r="S614" s="70"/>
      <c r="T614" s="70"/>
      <c r="U614" s="70"/>
      <c r="V614" s="70"/>
      <c r="W614" s="70"/>
    </row>
    <row r="615" customFormat="false" ht="12.75" hidden="false" customHeight="false" outlineLevel="0" collapsed="false">
      <c r="A615" s="32" t="n">
        <v>37130</v>
      </c>
      <c r="B615" s="111"/>
      <c r="C615" s="112"/>
      <c r="D615" s="28"/>
      <c r="E615" s="28"/>
      <c r="F615" s="28"/>
      <c r="G615" s="113"/>
      <c r="H615" s="113"/>
      <c r="I615" s="113"/>
      <c r="J615" s="113"/>
      <c r="K615" s="28"/>
      <c r="L615" s="28"/>
      <c r="M615" s="70"/>
      <c r="N615" s="70"/>
      <c r="O615" s="70"/>
      <c r="P615" s="70"/>
      <c r="Q615" s="70"/>
      <c r="R615" s="70"/>
      <c r="S615" s="70"/>
      <c r="T615" s="70"/>
      <c r="U615" s="70"/>
      <c r="V615" s="70"/>
      <c r="W615" s="70"/>
    </row>
    <row r="616" customFormat="false" ht="12.75" hidden="false" customHeight="false" outlineLevel="0" collapsed="false">
      <c r="A616" s="32" t="n">
        <v>37131</v>
      </c>
      <c r="B616" s="111"/>
      <c r="C616" s="112"/>
      <c r="D616" s="28"/>
      <c r="E616" s="28"/>
      <c r="F616" s="28"/>
      <c r="G616" s="113"/>
      <c r="H616" s="113"/>
      <c r="I616" s="113"/>
      <c r="J616" s="113"/>
      <c r="K616" s="28"/>
      <c r="L616" s="28"/>
      <c r="M616" s="70"/>
      <c r="N616" s="70"/>
      <c r="O616" s="70"/>
      <c r="P616" s="70"/>
      <c r="Q616" s="70"/>
      <c r="R616" s="70"/>
      <c r="S616" s="70"/>
      <c r="T616" s="70"/>
      <c r="U616" s="70"/>
      <c r="V616" s="70"/>
      <c r="W616" s="70"/>
    </row>
    <row r="617" customFormat="false" ht="12.75" hidden="false" customHeight="false" outlineLevel="0" collapsed="false">
      <c r="A617" s="32" t="n">
        <v>37132</v>
      </c>
      <c r="B617" s="111"/>
      <c r="C617" s="112"/>
      <c r="D617" s="28"/>
      <c r="E617" s="28"/>
      <c r="F617" s="28"/>
      <c r="G617" s="113"/>
      <c r="H617" s="113"/>
      <c r="I617" s="113"/>
      <c r="J617" s="113"/>
      <c r="K617" s="28"/>
      <c r="L617" s="28"/>
      <c r="M617" s="70"/>
      <c r="N617" s="70"/>
      <c r="O617" s="70"/>
      <c r="P617" s="70"/>
      <c r="Q617" s="70"/>
      <c r="R617" s="70"/>
      <c r="S617" s="70"/>
      <c r="T617" s="70"/>
      <c r="U617" s="70"/>
      <c r="V617" s="70"/>
      <c r="W617" s="70"/>
    </row>
    <row r="618" customFormat="false" ht="12.75" hidden="false" customHeight="false" outlineLevel="0" collapsed="false">
      <c r="A618" s="32" t="n">
        <v>37133</v>
      </c>
      <c r="B618" s="111"/>
      <c r="C618" s="112"/>
      <c r="D618" s="28"/>
      <c r="E618" s="28"/>
      <c r="F618" s="28"/>
      <c r="G618" s="113"/>
      <c r="H618" s="113"/>
      <c r="I618" s="113"/>
      <c r="J618" s="113"/>
      <c r="K618" s="28"/>
      <c r="L618" s="28"/>
      <c r="M618" s="70"/>
      <c r="N618" s="70"/>
      <c r="O618" s="70"/>
      <c r="P618" s="70"/>
      <c r="Q618" s="70"/>
      <c r="R618" s="70"/>
      <c r="S618" s="70"/>
      <c r="T618" s="70"/>
      <c r="U618" s="70"/>
      <c r="V618" s="70"/>
      <c r="W618" s="70"/>
    </row>
    <row r="619" customFormat="false" ht="12.75" hidden="false" customHeight="false" outlineLevel="0" collapsed="false">
      <c r="A619" s="32" t="n">
        <v>37134</v>
      </c>
      <c r="B619" s="111"/>
      <c r="C619" s="112"/>
      <c r="D619" s="28"/>
      <c r="E619" s="28"/>
      <c r="F619" s="28"/>
      <c r="G619" s="113"/>
      <c r="H619" s="113"/>
      <c r="I619" s="113"/>
      <c r="J619" s="113"/>
      <c r="K619" s="28"/>
      <c r="L619" s="28"/>
      <c r="M619" s="70"/>
      <c r="N619" s="70"/>
      <c r="O619" s="70"/>
      <c r="P619" s="70"/>
      <c r="Q619" s="70"/>
      <c r="R619" s="70"/>
      <c r="S619" s="70"/>
      <c r="T619" s="70"/>
      <c r="U619" s="70"/>
      <c r="V619" s="70"/>
      <c r="W619" s="70"/>
    </row>
    <row r="620" customFormat="false" ht="12.75" hidden="false" customHeight="false" outlineLevel="0" collapsed="false">
      <c r="A620" s="32" t="n">
        <v>37135</v>
      </c>
      <c r="B620" s="111"/>
      <c r="C620" s="112"/>
      <c r="D620" s="28"/>
      <c r="E620" s="28"/>
      <c r="F620" s="28"/>
      <c r="G620" s="113"/>
      <c r="H620" s="113"/>
      <c r="I620" s="113"/>
      <c r="J620" s="113"/>
      <c r="K620" s="28"/>
      <c r="L620" s="28"/>
      <c r="M620" s="70"/>
      <c r="N620" s="70"/>
      <c r="O620" s="70"/>
      <c r="P620" s="70"/>
      <c r="Q620" s="70"/>
      <c r="R620" s="70"/>
      <c r="S620" s="70"/>
      <c r="T620" s="70"/>
      <c r="U620" s="70"/>
      <c r="V620" s="70"/>
      <c r="W620" s="70"/>
    </row>
    <row r="621" customFormat="false" ht="12.75" hidden="false" customHeight="false" outlineLevel="0" collapsed="false">
      <c r="A621" s="32" t="n">
        <v>37136</v>
      </c>
      <c r="B621" s="111"/>
      <c r="C621" s="112"/>
      <c r="D621" s="28"/>
      <c r="E621" s="28"/>
      <c r="F621" s="28"/>
      <c r="G621" s="113"/>
      <c r="H621" s="113"/>
      <c r="I621" s="113"/>
      <c r="J621" s="113"/>
      <c r="K621" s="28"/>
      <c r="L621" s="28"/>
      <c r="M621" s="70"/>
      <c r="N621" s="70"/>
      <c r="O621" s="70"/>
      <c r="P621" s="70"/>
      <c r="Q621" s="70"/>
      <c r="R621" s="70"/>
      <c r="S621" s="70"/>
      <c r="T621" s="70"/>
      <c r="U621" s="70"/>
      <c r="V621" s="70"/>
      <c r="W621" s="70"/>
    </row>
    <row r="622" customFormat="false" ht="12.75" hidden="false" customHeight="false" outlineLevel="0" collapsed="false">
      <c r="A622" s="32" t="n">
        <v>37137</v>
      </c>
      <c r="B622" s="111"/>
      <c r="C622" s="112"/>
      <c r="D622" s="28"/>
      <c r="E622" s="28"/>
      <c r="F622" s="28"/>
      <c r="G622" s="113"/>
      <c r="H622" s="113"/>
      <c r="I622" s="113"/>
      <c r="J622" s="113"/>
      <c r="K622" s="28"/>
      <c r="L622" s="28"/>
      <c r="M622" s="70"/>
      <c r="N622" s="70"/>
      <c r="O622" s="70"/>
      <c r="P622" s="70"/>
      <c r="Q622" s="70"/>
      <c r="R622" s="70"/>
      <c r="S622" s="70"/>
      <c r="T622" s="70"/>
      <c r="U622" s="70"/>
      <c r="V622" s="70"/>
      <c r="W622" s="70"/>
    </row>
    <row r="623" customFormat="false" ht="12.75" hidden="false" customHeight="false" outlineLevel="0" collapsed="false">
      <c r="A623" s="32" t="n">
        <v>37138</v>
      </c>
      <c r="B623" s="111"/>
      <c r="C623" s="112"/>
      <c r="D623" s="28"/>
      <c r="E623" s="28"/>
      <c r="F623" s="28"/>
      <c r="G623" s="113"/>
      <c r="H623" s="113"/>
      <c r="I623" s="113"/>
      <c r="J623" s="113"/>
      <c r="K623" s="28"/>
      <c r="L623" s="28"/>
      <c r="M623" s="70"/>
      <c r="N623" s="70"/>
      <c r="O623" s="70"/>
      <c r="P623" s="70"/>
      <c r="Q623" s="70"/>
      <c r="R623" s="70"/>
      <c r="S623" s="70"/>
      <c r="T623" s="70"/>
      <c r="U623" s="70"/>
      <c r="V623" s="70"/>
      <c r="W623" s="70"/>
    </row>
    <row r="624" customFormat="false" ht="12.75" hidden="false" customHeight="false" outlineLevel="0" collapsed="false">
      <c r="A624" s="32" t="n">
        <v>37139</v>
      </c>
      <c r="B624" s="111"/>
      <c r="C624" s="112"/>
      <c r="D624" s="28"/>
      <c r="E624" s="28"/>
      <c r="F624" s="28"/>
      <c r="G624" s="113"/>
      <c r="H624" s="113"/>
      <c r="I624" s="113"/>
      <c r="J624" s="113"/>
      <c r="K624" s="28"/>
      <c r="L624" s="28"/>
      <c r="M624" s="70"/>
      <c r="N624" s="70"/>
      <c r="O624" s="70"/>
      <c r="P624" s="70"/>
      <c r="Q624" s="70"/>
      <c r="R624" s="70"/>
      <c r="S624" s="70"/>
      <c r="T624" s="70"/>
      <c r="U624" s="70"/>
      <c r="V624" s="70"/>
      <c r="W624" s="70"/>
    </row>
    <row r="625" customFormat="false" ht="12.75" hidden="false" customHeight="false" outlineLevel="0" collapsed="false">
      <c r="A625" s="32" t="n">
        <v>37140</v>
      </c>
      <c r="B625" s="111"/>
      <c r="C625" s="112"/>
      <c r="D625" s="28"/>
      <c r="E625" s="28"/>
      <c r="F625" s="28"/>
      <c r="G625" s="113"/>
      <c r="H625" s="113"/>
      <c r="I625" s="113"/>
      <c r="J625" s="113"/>
      <c r="K625" s="28"/>
      <c r="L625" s="28"/>
      <c r="M625" s="70"/>
      <c r="N625" s="70"/>
      <c r="O625" s="70"/>
      <c r="P625" s="70"/>
      <c r="Q625" s="70"/>
      <c r="R625" s="70"/>
      <c r="S625" s="70"/>
      <c r="T625" s="70"/>
      <c r="U625" s="70"/>
      <c r="V625" s="70"/>
      <c r="W625" s="70"/>
    </row>
    <row r="626" customFormat="false" ht="12.75" hidden="false" customHeight="false" outlineLevel="0" collapsed="false">
      <c r="A626" s="32" t="n">
        <v>37141</v>
      </c>
      <c r="B626" s="111"/>
      <c r="C626" s="112"/>
      <c r="D626" s="28"/>
      <c r="E626" s="28"/>
      <c r="F626" s="28"/>
      <c r="G626" s="113"/>
      <c r="H626" s="113"/>
      <c r="I626" s="113"/>
      <c r="J626" s="113"/>
      <c r="K626" s="28"/>
      <c r="L626" s="28"/>
      <c r="M626" s="70"/>
      <c r="N626" s="70"/>
      <c r="O626" s="70"/>
      <c r="P626" s="70"/>
      <c r="Q626" s="70"/>
      <c r="R626" s="70"/>
      <c r="S626" s="70"/>
      <c r="T626" s="70"/>
      <c r="U626" s="70"/>
      <c r="V626" s="70"/>
      <c r="W626" s="70"/>
    </row>
    <row r="627" customFormat="false" ht="12.75" hidden="false" customHeight="false" outlineLevel="0" collapsed="false">
      <c r="A627" s="32" t="n">
        <v>37142</v>
      </c>
      <c r="B627" s="111"/>
      <c r="C627" s="112"/>
      <c r="D627" s="28"/>
      <c r="E627" s="28"/>
      <c r="F627" s="28"/>
      <c r="G627" s="113"/>
      <c r="H627" s="113"/>
      <c r="I627" s="113"/>
      <c r="J627" s="113"/>
      <c r="K627" s="28"/>
      <c r="L627" s="28"/>
      <c r="M627" s="70"/>
      <c r="N627" s="70"/>
      <c r="O627" s="70"/>
      <c r="P627" s="70"/>
      <c r="Q627" s="70"/>
      <c r="R627" s="70"/>
      <c r="S627" s="70"/>
      <c r="T627" s="70"/>
      <c r="U627" s="70"/>
      <c r="V627" s="70"/>
      <c r="W627" s="70"/>
    </row>
    <row r="628" customFormat="false" ht="12.75" hidden="false" customHeight="false" outlineLevel="0" collapsed="false">
      <c r="A628" s="32" t="n">
        <v>37143</v>
      </c>
      <c r="B628" s="111"/>
      <c r="C628" s="112"/>
      <c r="D628" s="28"/>
      <c r="E628" s="28"/>
      <c r="F628" s="28"/>
      <c r="G628" s="113"/>
      <c r="H628" s="113"/>
      <c r="I628" s="113"/>
      <c r="J628" s="113"/>
      <c r="K628" s="28"/>
      <c r="L628" s="28"/>
      <c r="M628" s="70"/>
      <c r="N628" s="70"/>
      <c r="O628" s="70"/>
      <c r="P628" s="70"/>
      <c r="Q628" s="70"/>
      <c r="R628" s="70"/>
      <c r="S628" s="70"/>
      <c r="T628" s="70"/>
      <c r="U628" s="70"/>
      <c r="V628" s="70"/>
      <c r="W628" s="70"/>
    </row>
    <row r="629" customFormat="false" ht="12.75" hidden="false" customHeight="false" outlineLevel="0" collapsed="false">
      <c r="A629" s="32" t="n">
        <v>37144</v>
      </c>
      <c r="B629" s="111"/>
      <c r="C629" s="112"/>
      <c r="D629" s="28"/>
      <c r="E629" s="28"/>
      <c r="F629" s="28"/>
      <c r="G629" s="113"/>
      <c r="H629" s="113"/>
      <c r="I629" s="113"/>
      <c r="J629" s="113"/>
      <c r="K629" s="28"/>
      <c r="L629" s="28"/>
      <c r="M629" s="70"/>
      <c r="N629" s="70"/>
      <c r="O629" s="70"/>
      <c r="P629" s="70"/>
      <c r="Q629" s="70"/>
      <c r="R629" s="70"/>
      <c r="S629" s="70"/>
      <c r="T629" s="70"/>
      <c r="U629" s="70"/>
      <c r="V629" s="70"/>
      <c r="W629" s="70"/>
    </row>
    <row r="630" customFormat="false" ht="12.75" hidden="false" customHeight="false" outlineLevel="0" collapsed="false">
      <c r="A630" s="32" t="n">
        <v>37145</v>
      </c>
      <c r="B630" s="111"/>
      <c r="C630" s="112"/>
      <c r="D630" s="28"/>
      <c r="E630" s="28"/>
      <c r="F630" s="28"/>
      <c r="G630" s="113"/>
      <c r="H630" s="113"/>
      <c r="I630" s="113"/>
      <c r="J630" s="113"/>
      <c r="K630" s="28"/>
      <c r="L630" s="28"/>
      <c r="M630" s="70"/>
      <c r="N630" s="70"/>
      <c r="O630" s="70"/>
      <c r="P630" s="70"/>
      <c r="Q630" s="70"/>
      <c r="R630" s="70"/>
      <c r="S630" s="70"/>
      <c r="T630" s="70"/>
      <c r="U630" s="70"/>
      <c r="V630" s="70"/>
      <c r="W630" s="70"/>
    </row>
    <row r="631" customFormat="false" ht="12.75" hidden="false" customHeight="false" outlineLevel="0" collapsed="false">
      <c r="A631" s="32" t="n">
        <v>37146</v>
      </c>
      <c r="B631" s="111"/>
      <c r="C631" s="112"/>
      <c r="D631" s="28"/>
      <c r="E631" s="28"/>
      <c r="F631" s="28"/>
      <c r="G631" s="113"/>
      <c r="H631" s="113"/>
      <c r="I631" s="113"/>
      <c r="J631" s="113"/>
      <c r="K631" s="28"/>
      <c r="L631" s="28"/>
      <c r="M631" s="70"/>
      <c r="N631" s="70"/>
      <c r="O631" s="70"/>
      <c r="P631" s="70"/>
      <c r="Q631" s="70"/>
      <c r="R631" s="70"/>
      <c r="S631" s="70"/>
      <c r="T631" s="70"/>
      <c r="U631" s="70"/>
      <c r="V631" s="70"/>
      <c r="W631" s="70"/>
    </row>
    <row r="632" customFormat="false" ht="12.75" hidden="false" customHeight="false" outlineLevel="0" collapsed="false">
      <c r="A632" s="32" t="n">
        <v>37147</v>
      </c>
      <c r="B632" s="111"/>
      <c r="C632" s="112"/>
      <c r="D632" s="28"/>
      <c r="E632" s="28"/>
      <c r="F632" s="28"/>
      <c r="G632" s="113"/>
      <c r="H632" s="113"/>
      <c r="I632" s="113"/>
      <c r="J632" s="113"/>
      <c r="K632" s="28"/>
      <c r="L632" s="28"/>
      <c r="M632" s="70"/>
      <c r="N632" s="70"/>
      <c r="O632" s="70"/>
      <c r="P632" s="70"/>
      <c r="Q632" s="70"/>
      <c r="R632" s="70"/>
      <c r="S632" s="70"/>
      <c r="T632" s="70"/>
      <c r="U632" s="70"/>
      <c r="V632" s="70"/>
      <c r="W632" s="70"/>
    </row>
    <row r="633" customFormat="false" ht="12.75" hidden="false" customHeight="false" outlineLevel="0" collapsed="false">
      <c r="A633" s="32" t="n">
        <v>37148</v>
      </c>
      <c r="B633" s="111"/>
      <c r="C633" s="112"/>
      <c r="D633" s="28"/>
      <c r="E633" s="28"/>
      <c r="F633" s="28"/>
      <c r="G633" s="113"/>
      <c r="H633" s="113"/>
      <c r="I633" s="113"/>
      <c r="J633" s="113"/>
      <c r="K633" s="28"/>
      <c r="L633" s="28"/>
      <c r="M633" s="70"/>
      <c r="N633" s="70"/>
      <c r="O633" s="70"/>
      <c r="P633" s="70"/>
      <c r="Q633" s="70"/>
      <c r="R633" s="70"/>
      <c r="S633" s="70"/>
      <c r="T633" s="70"/>
      <c r="U633" s="70"/>
      <c r="V633" s="70"/>
      <c r="W633" s="70"/>
    </row>
    <row r="634" customFormat="false" ht="12.75" hidden="false" customHeight="false" outlineLevel="0" collapsed="false">
      <c r="A634" s="32" t="n">
        <v>37149</v>
      </c>
      <c r="B634" s="111"/>
      <c r="C634" s="112"/>
      <c r="D634" s="28"/>
      <c r="E634" s="28"/>
      <c r="F634" s="28"/>
      <c r="G634" s="113"/>
      <c r="H634" s="113"/>
      <c r="I634" s="113"/>
      <c r="J634" s="113"/>
      <c r="K634" s="28"/>
      <c r="L634" s="28"/>
      <c r="M634" s="70"/>
      <c r="N634" s="70"/>
      <c r="O634" s="70"/>
      <c r="P634" s="70"/>
      <c r="Q634" s="70"/>
      <c r="R634" s="70"/>
      <c r="S634" s="70"/>
      <c r="T634" s="70"/>
      <c r="U634" s="70"/>
      <c r="V634" s="70"/>
      <c r="W634" s="70"/>
    </row>
    <row r="635" customFormat="false" ht="12.75" hidden="false" customHeight="false" outlineLevel="0" collapsed="false">
      <c r="A635" s="32" t="n">
        <v>37150</v>
      </c>
      <c r="B635" s="111"/>
      <c r="C635" s="112"/>
      <c r="D635" s="28"/>
      <c r="E635" s="28"/>
      <c r="F635" s="28"/>
      <c r="G635" s="113"/>
      <c r="H635" s="113"/>
      <c r="I635" s="113"/>
      <c r="J635" s="113"/>
      <c r="K635" s="28"/>
      <c r="L635" s="28"/>
      <c r="M635" s="70"/>
      <c r="N635" s="70"/>
      <c r="O635" s="70"/>
      <c r="P635" s="70"/>
      <c r="Q635" s="70"/>
      <c r="R635" s="70"/>
      <c r="S635" s="70"/>
      <c r="T635" s="70"/>
      <c r="U635" s="70"/>
      <c r="V635" s="70"/>
      <c r="W635" s="70"/>
    </row>
    <row r="636" customFormat="false" ht="12.75" hidden="false" customHeight="false" outlineLevel="0" collapsed="false">
      <c r="A636" s="32" t="n">
        <v>37151</v>
      </c>
      <c r="B636" s="111"/>
      <c r="C636" s="112"/>
      <c r="D636" s="28"/>
      <c r="E636" s="28"/>
      <c r="F636" s="28"/>
      <c r="G636" s="113"/>
      <c r="H636" s="113"/>
      <c r="I636" s="113"/>
      <c r="J636" s="113"/>
      <c r="K636" s="28"/>
      <c r="L636" s="28"/>
      <c r="M636" s="70"/>
      <c r="N636" s="70"/>
      <c r="O636" s="70"/>
      <c r="P636" s="70"/>
      <c r="Q636" s="70"/>
      <c r="R636" s="70"/>
      <c r="S636" s="70"/>
      <c r="T636" s="70"/>
      <c r="U636" s="70"/>
      <c r="V636" s="70"/>
      <c r="W636" s="70"/>
    </row>
    <row r="637" customFormat="false" ht="12.75" hidden="false" customHeight="false" outlineLevel="0" collapsed="false">
      <c r="A637" s="32" t="n">
        <v>37152</v>
      </c>
      <c r="B637" s="111"/>
      <c r="C637" s="112"/>
      <c r="D637" s="28"/>
      <c r="E637" s="28"/>
      <c r="F637" s="28"/>
      <c r="G637" s="113"/>
      <c r="H637" s="113"/>
      <c r="I637" s="113"/>
      <c r="J637" s="113"/>
      <c r="K637" s="28"/>
      <c r="L637" s="28"/>
      <c r="M637" s="70"/>
      <c r="N637" s="70"/>
      <c r="O637" s="70"/>
      <c r="P637" s="70"/>
      <c r="Q637" s="70"/>
      <c r="R637" s="70"/>
      <c r="S637" s="70"/>
      <c r="T637" s="70"/>
      <c r="U637" s="70"/>
      <c r="V637" s="70"/>
      <c r="W637" s="70"/>
    </row>
    <row r="638" customFormat="false" ht="12.75" hidden="false" customHeight="false" outlineLevel="0" collapsed="false">
      <c r="A638" s="32" t="n">
        <v>37153</v>
      </c>
      <c r="B638" s="111"/>
      <c r="C638" s="112"/>
      <c r="D638" s="28"/>
      <c r="E638" s="28"/>
      <c r="F638" s="28"/>
      <c r="G638" s="113"/>
      <c r="H638" s="113"/>
      <c r="I638" s="113"/>
      <c r="J638" s="113"/>
      <c r="K638" s="28"/>
      <c r="L638" s="28"/>
      <c r="M638" s="70"/>
      <c r="N638" s="70"/>
      <c r="O638" s="70"/>
      <c r="P638" s="70"/>
      <c r="Q638" s="70"/>
      <c r="R638" s="70"/>
      <c r="S638" s="70"/>
      <c r="T638" s="70"/>
      <c r="U638" s="70"/>
      <c r="V638" s="70"/>
      <c r="W638" s="70"/>
    </row>
    <row r="639" customFormat="false" ht="12.75" hidden="false" customHeight="false" outlineLevel="0" collapsed="false">
      <c r="A639" s="32" t="n">
        <v>37154</v>
      </c>
      <c r="B639" s="111"/>
      <c r="C639" s="112"/>
      <c r="D639" s="28"/>
      <c r="E639" s="28"/>
      <c r="F639" s="28"/>
      <c r="G639" s="113"/>
      <c r="H639" s="113"/>
      <c r="I639" s="113"/>
      <c r="J639" s="113"/>
      <c r="K639" s="28"/>
      <c r="L639" s="28"/>
      <c r="M639" s="70"/>
      <c r="N639" s="70"/>
      <c r="O639" s="70"/>
      <c r="P639" s="70"/>
      <c r="Q639" s="70"/>
      <c r="R639" s="70"/>
      <c r="S639" s="70"/>
      <c r="T639" s="70"/>
      <c r="U639" s="70"/>
      <c r="V639" s="70"/>
      <c r="W639" s="70"/>
    </row>
    <row r="640" customFormat="false" ht="12.75" hidden="false" customHeight="false" outlineLevel="0" collapsed="false">
      <c r="A640" s="32" t="n">
        <v>37155</v>
      </c>
      <c r="B640" s="111"/>
      <c r="C640" s="112"/>
      <c r="D640" s="28"/>
      <c r="E640" s="28"/>
      <c r="F640" s="28"/>
      <c r="G640" s="113"/>
      <c r="H640" s="113"/>
      <c r="I640" s="113"/>
      <c r="J640" s="113"/>
      <c r="K640" s="28"/>
      <c r="L640" s="28"/>
      <c r="M640" s="70"/>
      <c r="N640" s="70"/>
      <c r="O640" s="70"/>
      <c r="P640" s="70"/>
      <c r="Q640" s="70"/>
      <c r="R640" s="70"/>
      <c r="S640" s="70"/>
      <c r="T640" s="70"/>
      <c r="U640" s="70"/>
      <c r="V640" s="70"/>
      <c r="W640" s="70"/>
    </row>
    <row r="641" customFormat="false" ht="12.75" hidden="false" customHeight="false" outlineLevel="0" collapsed="false">
      <c r="A641" s="32" t="n">
        <v>37156</v>
      </c>
      <c r="B641" s="111"/>
      <c r="C641" s="112"/>
      <c r="D641" s="28"/>
      <c r="E641" s="28"/>
      <c r="F641" s="28"/>
      <c r="G641" s="113"/>
      <c r="H641" s="113"/>
      <c r="I641" s="113"/>
      <c r="J641" s="113"/>
      <c r="K641" s="28"/>
      <c r="L641" s="28"/>
      <c r="M641" s="70"/>
      <c r="N641" s="70"/>
      <c r="O641" s="70"/>
      <c r="P641" s="70"/>
      <c r="Q641" s="70"/>
      <c r="R641" s="70"/>
      <c r="S641" s="70"/>
      <c r="T641" s="70"/>
      <c r="U641" s="70"/>
      <c r="V641" s="70"/>
      <c r="W641" s="70"/>
    </row>
    <row r="642" customFormat="false" ht="12.75" hidden="false" customHeight="false" outlineLevel="0" collapsed="false">
      <c r="A642" s="32" t="n">
        <v>37157</v>
      </c>
      <c r="B642" s="111"/>
      <c r="C642" s="112"/>
      <c r="D642" s="28"/>
      <c r="E642" s="28"/>
      <c r="F642" s="28"/>
      <c r="G642" s="113"/>
      <c r="H642" s="113"/>
      <c r="I642" s="113"/>
      <c r="J642" s="113"/>
      <c r="K642" s="28"/>
      <c r="L642" s="28"/>
      <c r="M642" s="70"/>
      <c r="N642" s="70"/>
      <c r="O642" s="70"/>
      <c r="P642" s="70"/>
      <c r="Q642" s="70"/>
      <c r="R642" s="70"/>
      <c r="S642" s="70"/>
      <c r="T642" s="70"/>
      <c r="U642" s="70"/>
      <c r="V642" s="70"/>
      <c r="W642" s="70"/>
    </row>
    <row r="643" customFormat="false" ht="12.75" hidden="false" customHeight="false" outlineLevel="0" collapsed="false">
      <c r="A643" s="32" t="n">
        <v>37158</v>
      </c>
      <c r="B643" s="111"/>
      <c r="C643" s="112"/>
      <c r="D643" s="28"/>
      <c r="E643" s="28"/>
      <c r="F643" s="28"/>
      <c r="G643" s="113"/>
      <c r="H643" s="113"/>
      <c r="I643" s="113"/>
      <c r="J643" s="113"/>
      <c r="K643" s="28"/>
      <c r="L643" s="28"/>
      <c r="M643" s="70"/>
      <c r="N643" s="70"/>
      <c r="O643" s="70"/>
      <c r="P643" s="70"/>
      <c r="Q643" s="70"/>
      <c r="R643" s="70"/>
      <c r="S643" s="70"/>
      <c r="T643" s="70"/>
      <c r="U643" s="70"/>
      <c r="V643" s="70"/>
      <c r="W643" s="70"/>
    </row>
    <row r="644" customFormat="false" ht="12.75" hidden="false" customHeight="false" outlineLevel="0" collapsed="false">
      <c r="A644" s="32" t="n">
        <v>37159</v>
      </c>
      <c r="B644" s="111"/>
      <c r="C644" s="112"/>
      <c r="D644" s="28"/>
      <c r="E644" s="28"/>
      <c r="F644" s="28"/>
      <c r="G644" s="113"/>
      <c r="H644" s="113"/>
      <c r="I644" s="113"/>
      <c r="J644" s="113"/>
      <c r="K644" s="28"/>
      <c r="L644" s="28"/>
      <c r="M644" s="70"/>
      <c r="N644" s="70"/>
      <c r="O644" s="70"/>
      <c r="P644" s="70"/>
      <c r="Q644" s="70"/>
      <c r="R644" s="70"/>
      <c r="S644" s="70"/>
      <c r="T644" s="70"/>
      <c r="U644" s="70"/>
      <c r="V644" s="70"/>
      <c r="W644" s="70"/>
    </row>
    <row r="645" customFormat="false" ht="12.75" hidden="false" customHeight="false" outlineLevel="0" collapsed="false">
      <c r="A645" s="32" t="n">
        <v>37160</v>
      </c>
      <c r="B645" s="111"/>
      <c r="C645" s="112"/>
      <c r="D645" s="28"/>
      <c r="E645" s="28"/>
      <c r="F645" s="28"/>
      <c r="G645" s="113"/>
      <c r="H645" s="113"/>
      <c r="I645" s="113"/>
      <c r="J645" s="113"/>
      <c r="K645" s="28"/>
      <c r="L645" s="28"/>
      <c r="M645" s="70"/>
      <c r="N645" s="70"/>
      <c r="O645" s="70"/>
      <c r="P645" s="70"/>
      <c r="Q645" s="70"/>
      <c r="R645" s="70"/>
      <c r="S645" s="70"/>
      <c r="T645" s="70"/>
      <c r="U645" s="70"/>
      <c r="V645" s="70"/>
      <c r="W645" s="70"/>
    </row>
    <row r="646" customFormat="false" ht="12.75" hidden="false" customHeight="false" outlineLevel="0" collapsed="false">
      <c r="A646" s="32" t="n">
        <v>37161</v>
      </c>
      <c r="B646" s="111"/>
      <c r="C646" s="112"/>
      <c r="D646" s="28"/>
      <c r="E646" s="28"/>
      <c r="F646" s="28"/>
      <c r="G646" s="113"/>
      <c r="H646" s="113"/>
      <c r="I646" s="113"/>
      <c r="J646" s="113"/>
      <c r="K646" s="28"/>
      <c r="L646" s="28"/>
      <c r="M646" s="70"/>
      <c r="N646" s="70"/>
      <c r="O646" s="70"/>
      <c r="P646" s="70"/>
      <c r="Q646" s="70"/>
      <c r="R646" s="70"/>
      <c r="S646" s="70"/>
      <c r="T646" s="70"/>
      <c r="U646" s="70"/>
      <c r="V646" s="70"/>
      <c r="W646" s="70"/>
    </row>
    <row r="647" customFormat="false" ht="12.75" hidden="false" customHeight="false" outlineLevel="0" collapsed="false">
      <c r="A647" s="32" t="n">
        <v>37162</v>
      </c>
      <c r="B647" s="111"/>
      <c r="C647" s="112"/>
      <c r="D647" s="28"/>
      <c r="E647" s="28"/>
      <c r="F647" s="28"/>
      <c r="G647" s="113"/>
      <c r="H647" s="113"/>
      <c r="I647" s="113"/>
      <c r="J647" s="113"/>
      <c r="K647" s="28"/>
      <c r="L647" s="28"/>
      <c r="M647" s="70"/>
      <c r="N647" s="70"/>
      <c r="O647" s="70"/>
      <c r="P647" s="70"/>
      <c r="Q647" s="70"/>
      <c r="R647" s="70"/>
      <c r="S647" s="70"/>
      <c r="T647" s="70"/>
      <c r="U647" s="70"/>
      <c r="V647" s="70"/>
      <c r="W647" s="70"/>
    </row>
    <row r="648" customFormat="false" ht="12.75" hidden="false" customHeight="false" outlineLevel="0" collapsed="false">
      <c r="A648" s="32" t="n">
        <v>37163</v>
      </c>
      <c r="B648" s="111"/>
      <c r="C648" s="112"/>
      <c r="D648" s="28"/>
      <c r="E648" s="28"/>
      <c r="F648" s="28"/>
      <c r="G648" s="113"/>
      <c r="H648" s="113"/>
      <c r="I648" s="113"/>
      <c r="J648" s="113"/>
      <c r="K648" s="28"/>
      <c r="L648" s="28"/>
      <c r="M648" s="70"/>
      <c r="N648" s="70"/>
      <c r="O648" s="70"/>
      <c r="P648" s="70"/>
      <c r="Q648" s="70"/>
      <c r="R648" s="70"/>
      <c r="S648" s="70"/>
      <c r="T648" s="70"/>
      <c r="U648" s="70"/>
      <c r="V648" s="70"/>
      <c r="W648" s="70"/>
    </row>
    <row r="649" customFormat="false" ht="12.75" hidden="false" customHeight="false" outlineLevel="0" collapsed="false">
      <c r="A649" s="32" t="n">
        <v>37164</v>
      </c>
      <c r="B649" s="111"/>
      <c r="C649" s="112"/>
      <c r="D649" s="28"/>
      <c r="E649" s="28"/>
      <c r="F649" s="28"/>
      <c r="G649" s="113"/>
      <c r="H649" s="113"/>
      <c r="I649" s="113"/>
      <c r="J649" s="113"/>
      <c r="K649" s="28"/>
      <c r="L649" s="28"/>
      <c r="M649" s="70"/>
      <c r="N649" s="70"/>
      <c r="O649" s="70"/>
      <c r="P649" s="70"/>
      <c r="Q649" s="70"/>
      <c r="R649" s="70"/>
      <c r="S649" s="70"/>
      <c r="T649" s="70"/>
      <c r="U649" s="70"/>
      <c r="V649" s="70"/>
      <c r="W649" s="70"/>
    </row>
    <row r="650" customFormat="false" ht="12.75" hidden="false" customHeight="false" outlineLevel="0" collapsed="false">
      <c r="A650" s="32" t="n">
        <v>37165</v>
      </c>
      <c r="B650" s="111"/>
      <c r="C650" s="112"/>
      <c r="D650" s="28"/>
      <c r="E650" s="28"/>
      <c r="F650" s="28"/>
      <c r="G650" s="113"/>
      <c r="H650" s="113"/>
      <c r="I650" s="113"/>
      <c r="J650" s="113"/>
      <c r="K650" s="28"/>
      <c r="L650" s="28"/>
      <c r="M650" s="70"/>
      <c r="N650" s="70"/>
      <c r="O650" s="70"/>
      <c r="P650" s="70"/>
      <c r="Q650" s="70"/>
      <c r="R650" s="70"/>
      <c r="S650" s="70"/>
      <c r="T650" s="70"/>
      <c r="U650" s="70"/>
      <c r="V650" s="70"/>
      <c r="W650" s="70"/>
    </row>
    <row r="651" customFormat="false" ht="12.75" hidden="false" customHeight="false" outlineLevel="0" collapsed="false">
      <c r="A651" s="32" t="n">
        <v>37166</v>
      </c>
      <c r="B651" s="111"/>
      <c r="C651" s="112"/>
      <c r="D651" s="28"/>
      <c r="E651" s="28"/>
      <c r="F651" s="28"/>
      <c r="G651" s="113"/>
      <c r="H651" s="113"/>
      <c r="I651" s="113"/>
      <c r="J651" s="113"/>
      <c r="K651" s="28"/>
      <c r="L651" s="28"/>
      <c r="M651" s="70"/>
      <c r="N651" s="70"/>
      <c r="O651" s="70"/>
      <c r="P651" s="70"/>
      <c r="Q651" s="70"/>
      <c r="R651" s="70"/>
      <c r="S651" s="70"/>
      <c r="T651" s="70"/>
      <c r="U651" s="70"/>
      <c r="V651" s="70"/>
      <c r="W651" s="70"/>
    </row>
    <row r="652" customFormat="false" ht="12.75" hidden="false" customHeight="false" outlineLevel="0" collapsed="false">
      <c r="A652" s="32" t="n">
        <v>37167</v>
      </c>
      <c r="B652" s="111"/>
      <c r="C652" s="112"/>
      <c r="D652" s="28"/>
      <c r="E652" s="28"/>
      <c r="F652" s="28"/>
      <c r="G652" s="113"/>
      <c r="H652" s="113"/>
      <c r="I652" s="113"/>
      <c r="J652" s="113"/>
      <c r="K652" s="28"/>
      <c r="L652" s="28"/>
      <c r="M652" s="70"/>
      <c r="N652" s="70"/>
      <c r="O652" s="70"/>
      <c r="P652" s="70"/>
      <c r="Q652" s="70"/>
      <c r="R652" s="70"/>
      <c r="S652" s="70"/>
      <c r="T652" s="70"/>
      <c r="U652" s="70"/>
      <c r="V652" s="70"/>
      <c r="W652" s="70"/>
    </row>
    <row r="653" customFormat="false" ht="12.75" hidden="false" customHeight="false" outlineLevel="0" collapsed="false">
      <c r="A653" s="32" t="n">
        <v>37168</v>
      </c>
      <c r="B653" s="111"/>
      <c r="C653" s="112"/>
      <c r="D653" s="28"/>
      <c r="E653" s="28"/>
      <c r="F653" s="28"/>
      <c r="G653" s="113"/>
      <c r="H653" s="113"/>
      <c r="I653" s="113"/>
      <c r="J653" s="113"/>
      <c r="K653" s="28"/>
      <c r="L653" s="28"/>
      <c r="M653" s="70"/>
      <c r="N653" s="70"/>
      <c r="O653" s="70"/>
      <c r="P653" s="70"/>
      <c r="Q653" s="70"/>
      <c r="R653" s="70"/>
      <c r="S653" s="70"/>
      <c r="T653" s="70"/>
      <c r="U653" s="70"/>
      <c r="V653" s="70"/>
      <c r="W653" s="70"/>
    </row>
    <row r="654" customFormat="false" ht="12.75" hidden="false" customHeight="false" outlineLevel="0" collapsed="false">
      <c r="A654" s="32" t="n">
        <v>37169</v>
      </c>
      <c r="B654" s="111"/>
      <c r="C654" s="112"/>
      <c r="D654" s="28"/>
      <c r="E654" s="28"/>
      <c r="F654" s="28"/>
      <c r="G654" s="113"/>
      <c r="H654" s="113"/>
      <c r="I654" s="113"/>
      <c r="J654" s="113"/>
      <c r="K654" s="28"/>
      <c r="L654" s="28"/>
      <c r="M654" s="70"/>
      <c r="N654" s="70"/>
      <c r="O654" s="70"/>
      <c r="P654" s="70"/>
      <c r="Q654" s="70"/>
      <c r="R654" s="70"/>
      <c r="S654" s="70"/>
      <c r="T654" s="70"/>
      <c r="U654" s="70"/>
      <c r="V654" s="70"/>
      <c r="W654" s="70"/>
    </row>
    <row r="655" customFormat="false" ht="12.75" hidden="false" customHeight="false" outlineLevel="0" collapsed="false">
      <c r="A655" s="32" t="n">
        <v>37170</v>
      </c>
      <c r="B655" s="114"/>
      <c r="C655" s="115"/>
      <c r="D655" s="28"/>
      <c r="E655" s="28"/>
      <c r="F655" s="28"/>
      <c r="G655" s="113"/>
      <c r="H655" s="113"/>
      <c r="I655" s="113"/>
      <c r="J655" s="113"/>
      <c r="K655" s="28"/>
      <c r="L655" s="28"/>
      <c r="M655" s="70"/>
      <c r="N655" s="70"/>
      <c r="O655" s="70"/>
      <c r="P655" s="70"/>
      <c r="Q655" s="70"/>
      <c r="R655" s="70"/>
      <c r="S655" s="70"/>
      <c r="T655" s="70"/>
      <c r="U655" s="70"/>
      <c r="V655" s="70"/>
      <c r="W655" s="70"/>
    </row>
    <row r="656" customFormat="false" ht="12.75" hidden="false" customHeight="false" outlineLevel="0" collapsed="false">
      <c r="A656" s="32" t="n">
        <v>37171</v>
      </c>
      <c r="B656" s="114"/>
      <c r="C656" s="115"/>
      <c r="D656" s="28"/>
      <c r="E656" s="28"/>
      <c r="F656" s="28"/>
      <c r="G656" s="113"/>
      <c r="H656" s="113"/>
      <c r="I656" s="113"/>
      <c r="J656" s="113"/>
      <c r="K656" s="28"/>
      <c r="L656" s="28"/>
      <c r="M656" s="70"/>
      <c r="N656" s="70"/>
      <c r="O656" s="70"/>
      <c r="P656" s="70"/>
      <c r="Q656" s="70"/>
      <c r="R656" s="70"/>
      <c r="S656" s="70"/>
      <c r="T656" s="70"/>
      <c r="U656" s="70"/>
      <c r="V656" s="70"/>
      <c r="W656" s="70"/>
    </row>
    <row r="657" customFormat="false" ht="12.75" hidden="false" customHeight="false" outlineLevel="0" collapsed="false">
      <c r="A657" s="32" t="n">
        <v>37172</v>
      </c>
      <c r="B657" s="114"/>
      <c r="C657" s="115"/>
      <c r="D657" s="28"/>
      <c r="E657" s="28"/>
      <c r="F657" s="28"/>
      <c r="G657" s="113"/>
      <c r="H657" s="113"/>
      <c r="I657" s="113"/>
      <c r="J657" s="113"/>
      <c r="K657" s="28"/>
      <c r="L657" s="28"/>
      <c r="M657" s="70"/>
      <c r="N657" s="70"/>
      <c r="O657" s="70"/>
      <c r="P657" s="70"/>
      <c r="Q657" s="70"/>
      <c r="R657" s="70"/>
      <c r="S657" s="70"/>
      <c r="T657" s="70"/>
      <c r="U657" s="70"/>
      <c r="V657" s="70"/>
      <c r="W657" s="70"/>
    </row>
    <row r="658" customFormat="false" ht="12.75" hidden="false" customHeight="false" outlineLevel="0" collapsed="false">
      <c r="A658" s="32" t="n">
        <v>37173</v>
      </c>
      <c r="B658" s="114"/>
      <c r="C658" s="115"/>
      <c r="D658" s="28"/>
      <c r="E658" s="28"/>
      <c r="F658" s="28"/>
      <c r="G658" s="113"/>
      <c r="H658" s="113"/>
      <c r="I658" s="113"/>
      <c r="J658" s="113"/>
      <c r="K658" s="28"/>
      <c r="L658" s="28"/>
      <c r="M658" s="70"/>
      <c r="N658" s="70"/>
      <c r="O658" s="70"/>
      <c r="P658" s="70"/>
      <c r="Q658" s="70"/>
      <c r="R658" s="70"/>
      <c r="S658" s="70"/>
      <c r="T658" s="70"/>
      <c r="U658" s="70"/>
      <c r="V658" s="70"/>
      <c r="W658" s="70"/>
    </row>
    <row r="659" customFormat="false" ht="12.75" hidden="false" customHeight="false" outlineLevel="0" collapsed="false">
      <c r="A659" s="32" t="n">
        <v>37174</v>
      </c>
      <c r="B659" s="114"/>
      <c r="C659" s="115"/>
      <c r="D659" s="28"/>
      <c r="E659" s="28"/>
      <c r="F659" s="28"/>
      <c r="G659" s="113"/>
      <c r="H659" s="113"/>
      <c r="I659" s="113"/>
      <c r="J659" s="113"/>
      <c r="K659" s="28"/>
      <c r="L659" s="28"/>
      <c r="M659" s="70"/>
      <c r="N659" s="70"/>
      <c r="O659" s="70"/>
      <c r="P659" s="70"/>
      <c r="Q659" s="70"/>
      <c r="R659" s="70"/>
      <c r="S659" s="70"/>
      <c r="T659" s="70"/>
      <c r="U659" s="70"/>
      <c r="V659" s="70"/>
      <c r="W659" s="70"/>
    </row>
    <row r="660" customFormat="false" ht="12.75" hidden="false" customHeight="false" outlineLevel="0" collapsed="false">
      <c r="A660" s="32" t="n">
        <v>37175</v>
      </c>
      <c r="B660" s="114"/>
      <c r="C660" s="115"/>
      <c r="D660" s="28"/>
      <c r="E660" s="28"/>
      <c r="F660" s="28"/>
      <c r="G660" s="113"/>
      <c r="H660" s="113"/>
      <c r="I660" s="113"/>
      <c r="J660" s="113"/>
      <c r="K660" s="28"/>
      <c r="L660" s="28"/>
      <c r="M660" s="70"/>
      <c r="N660" s="70"/>
      <c r="O660" s="70"/>
      <c r="P660" s="70"/>
      <c r="Q660" s="70"/>
      <c r="R660" s="70"/>
      <c r="S660" s="70"/>
      <c r="T660" s="70"/>
      <c r="U660" s="70"/>
      <c r="V660" s="70"/>
      <c r="W660" s="70"/>
    </row>
    <row r="661" customFormat="false" ht="12.75" hidden="false" customHeight="false" outlineLevel="0" collapsed="false">
      <c r="A661" s="32" t="n">
        <v>37176</v>
      </c>
      <c r="B661" s="114"/>
      <c r="C661" s="115"/>
      <c r="D661" s="28"/>
      <c r="E661" s="28"/>
      <c r="F661" s="28"/>
      <c r="G661" s="113"/>
      <c r="H661" s="113"/>
      <c r="I661" s="113"/>
      <c r="J661" s="113"/>
      <c r="K661" s="28"/>
      <c r="L661" s="28"/>
      <c r="M661" s="70"/>
      <c r="N661" s="70"/>
      <c r="O661" s="70"/>
      <c r="P661" s="70"/>
      <c r="Q661" s="70"/>
      <c r="R661" s="70"/>
      <c r="S661" s="70"/>
      <c r="T661" s="70"/>
      <c r="U661" s="70"/>
      <c r="V661" s="70"/>
      <c r="W661" s="70"/>
    </row>
    <row r="662" customFormat="false" ht="12.75" hidden="false" customHeight="false" outlineLevel="0" collapsed="false">
      <c r="A662" s="32" t="n">
        <v>37177</v>
      </c>
      <c r="B662" s="114"/>
      <c r="C662" s="115"/>
      <c r="D662" s="28"/>
      <c r="E662" s="28"/>
      <c r="F662" s="28"/>
      <c r="G662" s="113"/>
      <c r="H662" s="113"/>
      <c r="I662" s="113"/>
      <c r="J662" s="113"/>
      <c r="K662" s="28"/>
      <c r="L662" s="28"/>
      <c r="M662" s="70"/>
      <c r="N662" s="70"/>
      <c r="O662" s="70"/>
      <c r="P662" s="70"/>
      <c r="Q662" s="70"/>
      <c r="R662" s="70"/>
      <c r="S662" s="70"/>
      <c r="T662" s="70"/>
      <c r="U662" s="70"/>
      <c r="V662" s="70"/>
      <c r="W662" s="70"/>
    </row>
    <row r="663" customFormat="false" ht="12.75" hidden="false" customHeight="false" outlineLevel="0" collapsed="false">
      <c r="A663" s="32" t="n">
        <v>37178</v>
      </c>
      <c r="B663" s="114"/>
      <c r="C663" s="115"/>
      <c r="D663" s="28"/>
      <c r="E663" s="28"/>
      <c r="F663" s="28"/>
      <c r="G663" s="113"/>
      <c r="H663" s="113"/>
      <c r="I663" s="113"/>
      <c r="J663" s="113"/>
      <c r="K663" s="28"/>
      <c r="L663" s="28"/>
      <c r="M663" s="70"/>
      <c r="N663" s="70"/>
      <c r="O663" s="70"/>
      <c r="P663" s="70"/>
      <c r="Q663" s="70"/>
      <c r="R663" s="70"/>
      <c r="S663" s="70"/>
      <c r="T663" s="70"/>
      <c r="U663" s="70"/>
      <c r="V663" s="70"/>
      <c r="W663" s="70"/>
    </row>
    <row r="664" customFormat="false" ht="12.75" hidden="false" customHeight="false" outlineLevel="0" collapsed="false">
      <c r="A664" s="32" t="n">
        <v>37179</v>
      </c>
      <c r="B664" s="114"/>
      <c r="C664" s="115"/>
      <c r="D664" s="28"/>
      <c r="E664" s="28"/>
      <c r="F664" s="28"/>
      <c r="G664" s="113"/>
      <c r="H664" s="113"/>
      <c r="I664" s="113"/>
      <c r="J664" s="113"/>
      <c r="K664" s="28"/>
      <c r="L664" s="28"/>
      <c r="M664" s="70"/>
      <c r="N664" s="70"/>
      <c r="O664" s="70"/>
      <c r="P664" s="70"/>
      <c r="Q664" s="70"/>
      <c r="R664" s="70"/>
      <c r="S664" s="70"/>
      <c r="T664" s="70"/>
      <c r="U664" s="70"/>
      <c r="V664" s="70"/>
      <c r="W664" s="70"/>
    </row>
    <row r="665" customFormat="false" ht="12.75" hidden="false" customHeight="false" outlineLevel="0" collapsed="false">
      <c r="A665" s="32" t="n">
        <v>37180</v>
      </c>
      <c r="B665" s="114"/>
      <c r="C665" s="115"/>
      <c r="D665" s="28"/>
      <c r="E665" s="28"/>
      <c r="F665" s="28"/>
      <c r="G665" s="113"/>
      <c r="H665" s="113"/>
      <c r="I665" s="113"/>
      <c r="J665" s="113"/>
      <c r="K665" s="28"/>
      <c r="L665" s="28"/>
      <c r="M665" s="70"/>
      <c r="N665" s="70"/>
      <c r="O665" s="70"/>
      <c r="P665" s="70"/>
      <c r="Q665" s="70"/>
      <c r="R665" s="70"/>
      <c r="S665" s="70"/>
      <c r="T665" s="70"/>
      <c r="U665" s="70"/>
      <c r="V665" s="70"/>
      <c r="W665" s="70"/>
    </row>
    <row r="666" customFormat="false" ht="12.75" hidden="false" customHeight="false" outlineLevel="0" collapsed="false">
      <c r="A666" s="32" t="n">
        <v>37181</v>
      </c>
      <c r="B666" s="114"/>
      <c r="C666" s="115"/>
      <c r="D666" s="28"/>
      <c r="E666" s="28"/>
      <c r="F666" s="28"/>
      <c r="G666" s="113"/>
      <c r="H666" s="113"/>
      <c r="I666" s="113"/>
      <c r="J666" s="113"/>
      <c r="K666" s="28"/>
      <c r="L666" s="28"/>
      <c r="M666" s="70"/>
      <c r="N666" s="70"/>
      <c r="O666" s="70"/>
      <c r="P666" s="70"/>
      <c r="Q666" s="70"/>
      <c r="R666" s="70"/>
      <c r="S666" s="70"/>
      <c r="T666" s="70"/>
      <c r="U666" s="70"/>
      <c r="V666" s="70"/>
      <c r="W666" s="70"/>
    </row>
    <row r="667" customFormat="false" ht="12.75" hidden="false" customHeight="false" outlineLevel="0" collapsed="false">
      <c r="A667" s="32" t="n">
        <v>37182</v>
      </c>
      <c r="B667" s="114"/>
      <c r="C667" s="115"/>
      <c r="D667" s="28"/>
      <c r="E667" s="28"/>
      <c r="F667" s="28"/>
      <c r="G667" s="113"/>
      <c r="H667" s="113"/>
      <c r="I667" s="113"/>
      <c r="J667" s="113"/>
      <c r="K667" s="28"/>
      <c r="L667" s="28"/>
      <c r="M667" s="70"/>
      <c r="N667" s="70"/>
      <c r="O667" s="70"/>
      <c r="P667" s="70"/>
      <c r="Q667" s="70"/>
      <c r="R667" s="70"/>
      <c r="S667" s="70"/>
      <c r="T667" s="70"/>
      <c r="U667" s="70"/>
      <c r="V667" s="70"/>
      <c r="W667" s="70"/>
    </row>
    <row r="668" customFormat="false" ht="12.75" hidden="false" customHeight="false" outlineLevel="0" collapsed="false">
      <c r="A668" s="32" t="n">
        <v>37183</v>
      </c>
      <c r="B668" s="114"/>
      <c r="C668" s="115"/>
      <c r="D668" s="28"/>
      <c r="E668" s="28"/>
      <c r="F668" s="28"/>
      <c r="G668" s="113"/>
      <c r="H668" s="113"/>
      <c r="I668" s="113"/>
      <c r="J668" s="113"/>
      <c r="K668" s="28"/>
      <c r="L668" s="28"/>
      <c r="M668" s="70"/>
      <c r="N668" s="70"/>
      <c r="O668" s="70"/>
      <c r="P668" s="70"/>
      <c r="Q668" s="70"/>
      <c r="R668" s="70"/>
      <c r="S668" s="70"/>
      <c r="T668" s="70"/>
      <c r="U668" s="70"/>
      <c r="V668" s="70"/>
      <c r="W668" s="70"/>
    </row>
    <row r="669" customFormat="false" ht="12.75" hidden="false" customHeight="false" outlineLevel="0" collapsed="false">
      <c r="A669" s="32" t="n">
        <v>37184</v>
      </c>
      <c r="B669" s="114"/>
      <c r="C669" s="115"/>
      <c r="D669" s="28"/>
      <c r="E669" s="28"/>
      <c r="F669" s="28"/>
      <c r="G669" s="113"/>
      <c r="H669" s="113"/>
      <c r="I669" s="113"/>
      <c r="J669" s="113"/>
      <c r="K669" s="28"/>
      <c r="L669" s="28"/>
      <c r="M669" s="70"/>
      <c r="N669" s="70"/>
      <c r="O669" s="70"/>
      <c r="P669" s="70"/>
      <c r="Q669" s="70"/>
      <c r="R669" s="70"/>
      <c r="S669" s="70"/>
      <c r="T669" s="70"/>
      <c r="U669" s="70"/>
      <c r="V669" s="70"/>
      <c r="W669" s="70"/>
    </row>
    <row r="670" customFormat="false" ht="12.75" hidden="false" customHeight="false" outlineLevel="0" collapsed="false">
      <c r="A670" s="32" t="n">
        <v>37185</v>
      </c>
      <c r="B670" s="114"/>
      <c r="C670" s="115"/>
      <c r="D670" s="28"/>
      <c r="E670" s="28"/>
      <c r="F670" s="28"/>
      <c r="G670" s="113"/>
      <c r="H670" s="113"/>
      <c r="I670" s="113"/>
      <c r="J670" s="113"/>
      <c r="K670" s="28"/>
      <c r="L670" s="28"/>
      <c r="M670" s="70"/>
      <c r="N670" s="70"/>
      <c r="O670" s="70"/>
      <c r="P670" s="70"/>
      <c r="Q670" s="70"/>
      <c r="R670" s="70"/>
      <c r="S670" s="70"/>
      <c r="T670" s="70"/>
      <c r="U670" s="70"/>
      <c r="V670" s="70"/>
      <c r="W670" s="70"/>
    </row>
    <row r="671" customFormat="false" ht="12.75" hidden="false" customHeight="false" outlineLevel="0" collapsed="false">
      <c r="A671" s="32" t="n">
        <v>37186</v>
      </c>
      <c r="B671" s="114"/>
      <c r="C671" s="115"/>
      <c r="D671" s="28"/>
      <c r="E671" s="28"/>
      <c r="F671" s="28"/>
      <c r="G671" s="113"/>
      <c r="H671" s="113"/>
      <c r="I671" s="113"/>
      <c r="J671" s="113"/>
      <c r="K671" s="28"/>
      <c r="L671" s="28"/>
      <c r="M671" s="70"/>
      <c r="N671" s="70"/>
      <c r="O671" s="70"/>
      <c r="P671" s="70"/>
      <c r="Q671" s="70"/>
      <c r="R671" s="70"/>
      <c r="S671" s="70"/>
      <c r="T671" s="70"/>
      <c r="U671" s="70"/>
      <c r="V671" s="70"/>
      <c r="W671" s="70"/>
    </row>
    <row r="672" customFormat="false" ht="12.75" hidden="false" customHeight="false" outlineLevel="0" collapsed="false">
      <c r="A672" s="32" t="n">
        <v>37187</v>
      </c>
      <c r="B672" s="114"/>
      <c r="C672" s="115"/>
      <c r="D672" s="28"/>
      <c r="E672" s="28"/>
      <c r="F672" s="28"/>
      <c r="G672" s="113"/>
      <c r="H672" s="113"/>
      <c r="I672" s="113"/>
      <c r="J672" s="113"/>
      <c r="K672" s="28"/>
      <c r="L672" s="28"/>
      <c r="M672" s="70"/>
      <c r="N672" s="70"/>
      <c r="O672" s="70"/>
      <c r="P672" s="70"/>
      <c r="Q672" s="70"/>
      <c r="R672" s="70"/>
      <c r="S672" s="70"/>
      <c r="T672" s="70"/>
      <c r="U672" s="70"/>
      <c r="V672" s="70"/>
      <c r="W672" s="70"/>
    </row>
    <row r="673" customFormat="false" ht="12.75" hidden="false" customHeight="false" outlineLevel="0" collapsed="false">
      <c r="A673" s="32" t="n">
        <v>37188</v>
      </c>
      <c r="B673" s="114"/>
      <c r="C673" s="115"/>
      <c r="D673" s="28"/>
      <c r="E673" s="28"/>
      <c r="F673" s="28"/>
      <c r="G673" s="113"/>
      <c r="H673" s="113"/>
      <c r="I673" s="113"/>
      <c r="J673" s="113"/>
      <c r="K673" s="28"/>
      <c r="L673" s="28"/>
      <c r="M673" s="70"/>
      <c r="N673" s="70"/>
      <c r="O673" s="70"/>
      <c r="P673" s="70"/>
      <c r="Q673" s="70"/>
      <c r="R673" s="70"/>
      <c r="S673" s="70"/>
      <c r="T673" s="70"/>
      <c r="U673" s="70"/>
      <c r="V673" s="70"/>
      <c r="W673" s="70"/>
    </row>
    <row r="674" customFormat="false" ht="12.75" hidden="false" customHeight="false" outlineLevel="0" collapsed="false">
      <c r="A674" s="32" t="n">
        <v>37189</v>
      </c>
      <c r="B674" s="114"/>
      <c r="C674" s="115"/>
      <c r="D674" s="28"/>
      <c r="E674" s="28"/>
      <c r="F674" s="28"/>
      <c r="G674" s="113"/>
      <c r="H674" s="113"/>
      <c r="I674" s="113"/>
      <c r="J674" s="113"/>
      <c r="K674" s="28"/>
      <c r="L674" s="28"/>
      <c r="M674" s="70"/>
      <c r="N674" s="70"/>
      <c r="O674" s="70"/>
      <c r="P674" s="70"/>
      <c r="Q674" s="70"/>
      <c r="R674" s="70"/>
      <c r="S674" s="70"/>
      <c r="T674" s="70"/>
      <c r="U674" s="70"/>
      <c r="V674" s="70"/>
      <c r="W674" s="70"/>
    </row>
    <row r="675" customFormat="false" ht="12.75" hidden="false" customHeight="false" outlineLevel="0" collapsed="false">
      <c r="A675" s="32" t="n">
        <v>37190</v>
      </c>
      <c r="B675" s="114"/>
      <c r="C675" s="115"/>
      <c r="D675" s="28"/>
      <c r="E675" s="28"/>
      <c r="F675" s="28"/>
      <c r="G675" s="113"/>
      <c r="H675" s="113"/>
      <c r="I675" s="113"/>
      <c r="J675" s="113"/>
      <c r="K675" s="28"/>
      <c r="L675" s="28"/>
      <c r="M675" s="70"/>
      <c r="N675" s="70"/>
      <c r="O675" s="70"/>
      <c r="P675" s="70"/>
      <c r="Q675" s="70"/>
      <c r="R675" s="70"/>
      <c r="S675" s="70"/>
      <c r="T675" s="70"/>
      <c r="U675" s="70"/>
      <c r="V675" s="70"/>
      <c r="W675" s="70"/>
    </row>
    <row r="676" customFormat="false" ht="12.75" hidden="false" customHeight="false" outlineLevel="0" collapsed="false">
      <c r="A676" s="32" t="n">
        <v>37191</v>
      </c>
      <c r="B676" s="114"/>
      <c r="C676" s="115"/>
      <c r="D676" s="28"/>
      <c r="E676" s="28"/>
      <c r="F676" s="28"/>
      <c r="G676" s="113"/>
      <c r="H676" s="113"/>
      <c r="I676" s="113"/>
      <c r="J676" s="113"/>
      <c r="K676" s="28"/>
      <c r="L676" s="28"/>
      <c r="M676" s="70"/>
      <c r="N676" s="70"/>
      <c r="O676" s="70"/>
      <c r="P676" s="70"/>
      <c r="Q676" s="70"/>
      <c r="R676" s="70"/>
      <c r="S676" s="70"/>
      <c r="T676" s="70"/>
      <c r="U676" s="70"/>
      <c r="V676" s="70"/>
      <c r="W676" s="70"/>
    </row>
    <row r="677" customFormat="false" ht="12.75" hidden="false" customHeight="false" outlineLevel="0" collapsed="false">
      <c r="A677" s="32" t="n">
        <v>37192</v>
      </c>
      <c r="B677" s="114"/>
      <c r="C677" s="115"/>
      <c r="D677" s="28"/>
      <c r="E677" s="28"/>
      <c r="F677" s="28"/>
      <c r="G677" s="113"/>
      <c r="H677" s="113"/>
      <c r="I677" s="113"/>
      <c r="J677" s="113"/>
      <c r="K677" s="28"/>
      <c r="L677" s="28"/>
      <c r="M677" s="70"/>
      <c r="N677" s="70"/>
      <c r="O677" s="70"/>
      <c r="P677" s="70"/>
      <c r="Q677" s="70"/>
      <c r="R677" s="70"/>
      <c r="S677" s="70"/>
      <c r="T677" s="70"/>
      <c r="U677" s="70"/>
      <c r="V677" s="70"/>
      <c r="W677" s="70"/>
    </row>
    <row r="678" customFormat="false" ht="12.75" hidden="false" customHeight="false" outlineLevel="0" collapsed="false">
      <c r="A678" s="32" t="n">
        <v>37193</v>
      </c>
      <c r="B678" s="114"/>
      <c r="C678" s="115"/>
      <c r="D678" s="28"/>
      <c r="E678" s="28"/>
      <c r="F678" s="28"/>
      <c r="G678" s="113"/>
      <c r="H678" s="113"/>
      <c r="I678" s="113"/>
      <c r="J678" s="113"/>
      <c r="K678" s="28"/>
      <c r="L678" s="28"/>
      <c r="M678" s="70"/>
      <c r="N678" s="70"/>
      <c r="O678" s="70"/>
      <c r="P678" s="70"/>
      <c r="Q678" s="70"/>
      <c r="R678" s="70"/>
      <c r="S678" s="70"/>
      <c r="T678" s="70"/>
      <c r="U678" s="70"/>
      <c r="V678" s="70"/>
      <c r="W678" s="70"/>
    </row>
    <row r="679" customFormat="false" ht="12.75" hidden="false" customHeight="false" outlineLevel="0" collapsed="false">
      <c r="A679" s="32" t="n">
        <v>37194</v>
      </c>
      <c r="B679" s="114"/>
      <c r="C679" s="115"/>
      <c r="D679" s="28"/>
      <c r="E679" s="28"/>
      <c r="F679" s="28"/>
      <c r="G679" s="113"/>
      <c r="H679" s="113"/>
      <c r="I679" s="113"/>
      <c r="J679" s="113"/>
      <c r="K679" s="28"/>
      <c r="L679" s="28"/>
      <c r="M679" s="70"/>
      <c r="N679" s="70"/>
      <c r="O679" s="70"/>
      <c r="P679" s="70"/>
      <c r="Q679" s="70"/>
      <c r="R679" s="70"/>
      <c r="S679" s="70"/>
      <c r="T679" s="70"/>
      <c r="U679" s="70"/>
      <c r="V679" s="70"/>
      <c r="W679" s="70"/>
    </row>
    <row r="680" customFormat="false" ht="12.75" hidden="false" customHeight="false" outlineLevel="0" collapsed="false">
      <c r="A680" s="32" t="n">
        <v>37195</v>
      </c>
      <c r="B680" s="114"/>
      <c r="C680" s="115"/>
      <c r="D680" s="28"/>
      <c r="E680" s="28"/>
      <c r="F680" s="28"/>
      <c r="G680" s="113"/>
      <c r="H680" s="113"/>
      <c r="I680" s="113"/>
      <c r="J680" s="113"/>
      <c r="K680" s="28"/>
      <c r="L680" s="28"/>
      <c r="M680" s="70"/>
      <c r="N680" s="70"/>
      <c r="O680" s="70"/>
      <c r="P680" s="70"/>
      <c r="Q680" s="70"/>
      <c r="R680" s="70"/>
      <c r="S680" s="70"/>
      <c r="T680" s="70"/>
      <c r="U680" s="70"/>
      <c r="V680" s="70"/>
      <c r="W680" s="70"/>
    </row>
    <row r="681" customFormat="false" ht="12.75" hidden="false" customHeight="false" outlineLevel="0" collapsed="false">
      <c r="A681" s="32" t="n">
        <v>37196</v>
      </c>
      <c r="B681" s="114"/>
      <c r="C681" s="115"/>
      <c r="D681" s="28"/>
      <c r="E681" s="28"/>
      <c r="F681" s="28"/>
      <c r="G681" s="113"/>
      <c r="H681" s="113"/>
      <c r="I681" s="113"/>
      <c r="J681" s="113"/>
      <c r="K681" s="28"/>
      <c r="L681" s="28"/>
      <c r="M681" s="70"/>
      <c r="N681" s="70"/>
      <c r="O681" s="70"/>
      <c r="P681" s="70"/>
      <c r="Q681" s="70"/>
      <c r="R681" s="70"/>
      <c r="S681" s="70"/>
      <c r="T681" s="70"/>
      <c r="U681" s="70"/>
      <c r="V681" s="70"/>
      <c r="W681" s="70"/>
    </row>
    <row r="682" customFormat="false" ht="12.75" hidden="false" customHeight="false" outlineLevel="0" collapsed="false">
      <c r="A682" s="32" t="n">
        <v>37197</v>
      </c>
      <c r="B682" s="114"/>
      <c r="C682" s="115"/>
      <c r="D682" s="28"/>
      <c r="E682" s="28"/>
      <c r="F682" s="28"/>
      <c r="G682" s="113"/>
      <c r="H682" s="113"/>
      <c r="I682" s="113"/>
      <c r="J682" s="113"/>
      <c r="K682" s="28"/>
      <c r="L682" s="28"/>
      <c r="M682" s="70"/>
      <c r="N682" s="70"/>
      <c r="O682" s="70"/>
      <c r="P682" s="70"/>
      <c r="Q682" s="70"/>
      <c r="R682" s="70"/>
      <c r="S682" s="70"/>
      <c r="T682" s="70"/>
      <c r="U682" s="70"/>
      <c r="V682" s="70"/>
      <c r="W682" s="70"/>
    </row>
    <row r="683" customFormat="false" ht="12.75" hidden="false" customHeight="false" outlineLevel="0" collapsed="false">
      <c r="A683" s="32" t="n">
        <v>37198</v>
      </c>
      <c r="B683" s="114"/>
      <c r="C683" s="115"/>
      <c r="D683" s="28"/>
      <c r="E683" s="28"/>
      <c r="F683" s="28"/>
      <c r="G683" s="113"/>
      <c r="H683" s="113"/>
      <c r="I683" s="113"/>
      <c r="J683" s="113"/>
      <c r="K683" s="28"/>
      <c r="L683" s="28"/>
      <c r="M683" s="70"/>
      <c r="N683" s="70"/>
      <c r="O683" s="70"/>
      <c r="P683" s="70"/>
      <c r="Q683" s="70"/>
      <c r="R683" s="70"/>
      <c r="S683" s="70"/>
      <c r="T683" s="70"/>
      <c r="U683" s="70"/>
      <c r="V683" s="70"/>
      <c r="W683" s="70"/>
    </row>
    <row r="684" customFormat="false" ht="12.75" hidden="false" customHeight="false" outlineLevel="0" collapsed="false">
      <c r="A684" s="32" t="n">
        <v>37199</v>
      </c>
      <c r="B684" s="114"/>
      <c r="C684" s="115"/>
      <c r="D684" s="28"/>
      <c r="E684" s="28"/>
      <c r="F684" s="28"/>
      <c r="G684" s="113"/>
      <c r="H684" s="113"/>
      <c r="I684" s="113"/>
      <c r="J684" s="113"/>
      <c r="K684" s="28"/>
      <c r="L684" s="28"/>
      <c r="M684" s="70"/>
      <c r="N684" s="70"/>
      <c r="O684" s="70"/>
      <c r="P684" s="70"/>
      <c r="Q684" s="70"/>
      <c r="R684" s="70"/>
      <c r="S684" s="70"/>
      <c r="T684" s="70"/>
      <c r="U684" s="70"/>
      <c r="V684" s="70"/>
      <c r="W684" s="70"/>
    </row>
    <row r="685" customFormat="false" ht="12.75" hidden="false" customHeight="false" outlineLevel="0" collapsed="false">
      <c r="A685" s="32" t="n">
        <v>37200</v>
      </c>
      <c r="B685" s="114"/>
      <c r="C685" s="115"/>
      <c r="D685" s="28"/>
      <c r="E685" s="28"/>
      <c r="F685" s="28"/>
      <c r="G685" s="113"/>
      <c r="H685" s="113"/>
      <c r="I685" s="113"/>
      <c r="J685" s="113"/>
      <c r="K685" s="28"/>
      <c r="L685" s="28"/>
      <c r="M685" s="70"/>
      <c r="N685" s="70"/>
      <c r="O685" s="70"/>
      <c r="P685" s="70"/>
      <c r="Q685" s="70"/>
      <c r="R685" s="70"/>
      <c r="S685" s="70"/>
      <c r="T685" s="70"/>
      <c r="U685" s="70"/>
      <c r="V685" s="70"/>
      <c r="W685" s="70"/>
    </row>
    <row r="686" customFormat="false" ht="12.75" hidden="false" customHeight="false" outlineLevel="0" collapsed="false">
      <c r="A686" s="32" t="n">
        <v>37201</v>
      </c>
      <c r="B686" s="114"/>
      <c r="C686" s="115"/>
      <c r="D686" s="28"/>
      <c r="E686" s="28"/>
      <c r="F686" s="28"/>
      <c r="G686" s="113"/>
      <c r="H686" s="113"/>
      <c r="I686" s="113"/>
      <c r="J686" s="113"/>
      <c r="K686" s="28"/>
      <c r="L686" s="28"/>
      <c r="M686" s="70"/>
      <c r="N686" s="70"/>
      <c r="O686" s="70"/>
      <c r="P686" s="70"/>
      <c r="Q686" s="70"/>
      <c r="R686" s="70"/>
      <c r="S686" s="70"/>
      <c r="T686" s="70"/>
      <c r="U686" s="70"/>
      <c r="V686" s="70"/>
      <c r="W686" s="70"/>
    </row>
    <row r="687" customFormat="false" ht="12.75" hidden="false" customHeight="false" outlineLevel="0" collapsed="false">
      <c r="A687" s="32" t="n">
        <v>37202</v>
      </c>
      <c r="B687" s="114"/>
      <c r="C687" s="115"/>
      <c r="D687" s="28"/>
      <c r="E687" s="28"/>
      <c r="F687" s="28"/>
      <c r="G687" s="113"/>
      <c r="H687" s="113"/>
      <c r="I687" s="113"/>
      <c r="J687" s="113"/>
      <c r="K687" s="28"/>
      <c r="L687" s="28"/>
      <c r="M687" s="70"/>
      <c r="N687" s="70"/>
      <c r="O687" s="70"/>
      <c r="P687" s="70"/>
      <c r="Q687" s="70"/>
      <c r="R687" s="70"/>
      <c r="S687" s="70"/>
      <c r="T687" s="70"/>
      <c r="U687" s="70"/>
      <c r="V687" s="70"/>
      <c r="W687" s="70"/>
    </row>
    <row r="688" customFormat="false" ht="12.75" hidden="false" customHeight="false" outlineLevel="0" collapsed="false">
      <c r="A688" s="32" t="n">
        <v>37203</v>
      </c>
      <c r="B688" s="114"/>
      <c r="C688" s="115"/>
      <c r="D688" s="28"/>
      <c r="E688" s="28"/>
      <c r="F688" s="28"/>
      <c r="G688" s="113"/>
      <c r="H688" s="113"/>
      <c r="I688" s="113"/>
      <c r="J688" s="113"/>
      <c r="K688" s="28"/>
      <c r="L688" s="28"/>
      <c r="M688" s="70"/>
      <c r="N688" s="70"/>
      <c r="O688" s="70"/>
      <c r="P688" s="70"/>
      <c r="Q688" s="70"/>
      <c r="R688" s="70"/>
      <c r="S688" s="70"/>
      <c r="T688" s="70"/>
      <c r="U688" s="70"/>
      <c r="V688" s="70"/>
      <c r="W688" s="70"/>
    </row>
    <row r="689" customFormat="false" ht="12.75" hidden="false" customHeight="false" outlineLevel="0" collapsed="false">
      <c r="A689" s="32" t="n">
        <v>37204</v>
      </c>
      <c r="B689" s="114"/>
      <c r="C689" s="115"/>
      <c r="D689" s="28"/>
      <c r="E689" s="28"/>
      <c r="F689" s="28"/>
      <c r="G689" s="113"/>
      <c r="H689" s="113"/>
      <c r="I689" s="113"/>
      <c r="J689" s="113"/>
      <c r="K689" s="28"/>
      <c r="L689" s="28"/>
      <c r="M689" s="70"/>
      <c r="N689" s="70"/>
      <c r="O689" s="70"/>
      <c r="P689" s="70"/>
      <c r="Q689" s="70"/>
      <c r="R689" s="70"/>
      <c r="S689" s="70"/>
      <c r="T689" s="70"/>
      <c r="U689" s="70"/>
      <c r="V689" s="70"/>
      <c r="W689" s="70"/>
    </row>
    <row r="690" customFormat="false" ht="12.75" hidden="false" customHeight="false" outlineLevel="0" collapsed="false">
      <c r="A690" s="32" t="n">
        <v>37205</v>
      </c>
      <c r="B690" s="114"/>
      <c r="C690" s="115"/>
      <c r="D690" s="28"/>
      <c r="E690" s="28"/>
      <c r="F690" s="28"/>
      <c r="G690" s="113"/>
      <c r="H690" s="113"/>
      <c r="I690" s="113"/>
      <c r="J690" s="113"/>
      <c r="K690" s="28"/>
      <c r="L690" s="28"/>
      <c r="M690" s="70"/>
      <c r="N690" s="70"/>
      <c r="O690" s="70"/>
      <c r="P690" s="70"/>
      <c r="Q690" s="70"/>
      <c r="R690" s="70"/>
      <c r="S690" s="70"/>
      <c r="T690" s="70"/>
      <c r="U690" s="70"/>
      <c r="V690" s="70"/>
      <c r="W690" s="70"/>
    </row>
    <row r="691" customFormat="false" ht="12.75" hidden="false" customHeight="false" outlineLevel="0" collapsed="false">
      <c r="A691" s="32" t="n">
        <v>37206</v>
      </c>
      <c r="B691" s="114"/>
      <c r="C691" s="115"/>
      <c r="D691" s="28"/>
      <c r="E691" s="28"/>
      <c r="F691" s="28"/>
      <c r="G691" s="113"/>
      <c r="H691" s="113"/>
      <c r="I691" s="113"/>
      <c r="J691" s="113"/>
      <c r="K691" s="28"/>
      <c r="L691" s="28"/>
      <c r="M691" s="70"/>
      <c r="N691" s="70"/>
      <c r="O691" s="70"/>
      <c r="P691" s="70"/>
      <c r="Q691" s="70"/>
      <c r="R691" s="70"/>
      <c r="S691" s="70"/>
      <c r="T691" s="70"/>
      <c r="U691" s="70"/>
      <c r="V691" s="70"/>
      <c r="W691" s="70"/>
    </row>
    <row r="692" customFormat="false" ht="12.75" hidden="false" customHeight="false" outlineLevel="0" collapsed="false">
      <c r="A692" s="32" t="n">
        <v>37207</v>
      </c>
      <c r="B692" s="114"/>
      <c r="C692" s="115"/>
      <c r="D692" s="28"/>
      <c r="E692" s="28"/>
      <c r="F692" s="28"/>
      <c r="G692" s="113"/>
      <c r="H692" s="113"/>
      <c r="I692" s="113"/>
      <c r="J692" s="113"/>
      <c r="K692" s="28"/>
      <c r="L692" s="28"/>
      <c r="M692" s="70"/>
      <c r="N692" s="70"/>
      <c r="O692" s="70"/>
      <c r="P692" s="70"/>
      <c r="Q692" s="70"/>
      <c r="R692" s="70"/>
      <c r="S692" s="70"/>
      <c r="T692" s="70"/>
      <c r="U692" s="70"/>
      <c r="V692" s="70"/>
      <c r="W692" s="70"/>
    </row>
    <row r="693" customFormat="false" ht="12.75" hidden="false" customHeight="false" outlineLevel="0" collapsed="false">
      <c r="A693" s="32" t="n">
        <v>37208</v>
      </c>
      <c r="B693" s="114"/>
      <c r="C693" s="115"/>
      <c r="D693" s="28"/>
      <c r="E693" s="28"/>
      <c r="F693" s="28"/>
      <c r="G693" s="113"/>
      <c r="H693" s="113"/>
      <c r="I693" s="113"/>
      <c r="J693" s="113"/>
      <c r="K693" s="28"/>
      <c r="L693" s="28"/>
      <c r="M693" s="70"/>
      <c r="N693" s="70"/>
      <c r="O693" s="70"/>
      <c r="P693" s="70"/>
      <c r="Q693" s="70"/>
      <c r="R693" s="70"/>
      <c r="S693" s="70"/>
      <c r="T693" s="70"/>
      <c r="U693" s="70"/>
      <c r="V693" s="70"/>
      <c r="W693" s="70"/>
    </row>
    <row r="694" customFormat="false" ht="12.75" hidden="false" customHeight="false" outlineLevel="0" collapsed="false">
      <c r="A694" s="32" t="n">
        <v>37209</v>
      </c>
      <c r="B694" s="114"/>
      <c r="C694" s="115"/>
      <c r="D694" s="28"/>
      <c r="E694" s="28"/>
      <c r="F694" s="28"/>
      <c r="G694" s="113"/>
      <c r="H694" s="113"/>
      <c r="I694" s="113"/>
      <c r="J694" s="113"/>
      <c r="K694" s="28"/>
      <c r="L694" s="28"/>
      <c r="M694" s="70"/>
      <c r="N694" s="70"/>
      <c r="O694" s="70"/>
      <c r="P694" s="70"/>
      <c r="Q694" s="70"/>
      <c r="R694" s="70"/>
      <c r="S694" s="70"/>
      <c r="T694" s="70"/>
      <c r="U694" s="70"/>
      <c r="V694" s="70"/>
      <c r="W694" s="70"/>
    </row>
    <row r="695" customFormat="false" ht="12.75" hidden="false" customHeight="false" outlineLevel="0" collapsed="false">
      <c r="A695" s="32" t="n">
        <v>37210</v>
      </c>
      <c r="B695" s="114"/>
      <c r="C695" s="115"/>
      <c r="D695" s="28"/>
      <c r="E695" s="28"/>
      <c r="F695" s="28"/>
      <c r="G695" s="113"/>
      <c r="H695" s="113"/>
      <c r="I695" s="113"/>
      <c r="J695" s="113"/>
      <c r="K695" s="28"/>
      <c r="L695" s="28"/>
      <c r="M695" s="70"/>
      <c r="N695" s="70"/>
      <c r="O695" s="70"/>
      <c r="P695" s="70"/>
      <c r="Q695" s="70"/>
      <c r="R695" s="70"/>
      <c r="S695" s="70"/>
      <c r="T695" s="70"/>
      <c r="U695" s="70"/>
      <c r="V695" s="70"/>
      <c r="W695" s="70"/>
    </row>
    <row r="696" customFormat="false" ht="12.75" hidden="false" customHeight="false" outlineLevel="0" collapsed="false">
      <c r="A696" s="32" t="n">
        <v>37211</v>
      </c>
      <c r="B696" s="114"/>
      <c r="C696" s="115"/>
      <c r="D696" s="28"/>
      <c r="E696" s="28"/>
      <c r="F696" s="28"/>
      <c r="G696" s="113"/>
      <c r="H696" s="113"/>
      <c r="I696" s="113"/>
      <c r="J696" s="113"/>
      <c r="K696" s="28"/>
      <c r="L696" s="28"/>
      <c r="M696" s="70"/>
      <c r="N696" s="70"/>
      <c r="O696" s="70"/>
      <c r="P696" s="70"/>
      <c r="Q696" s="70"/>
      <c r="R696" s="70"/>
      <c r="S696" s="70"/>
      <c r="T696" s="70"/>
      <c r="U696" s="70"/>
      <c r="V696" s="70"/>
      <c r="W696" s="70"/>
    </row>
    <row r="697" customFormat="false" ht="12.75" hidden="false" customHeight="false" outlineLevel="0" collapsed="false">
      <c r="A697" s="32" t="n">
        <v>37212</v>
      </c>
      <c r="B697" s="114"/>
      <c r="C697" s="115"/>
      <c r="D697" s="28"/>
      <c r="E697" s="28"/>
      <c r="F697" s="28"/>
      <c r="G697" s="113"/>
      <c r="H697" s="113"/>
      <c r="I697" s="113"/>
      <c r="J697" s="113"/>
      <c r="K697" s="28"/>
      <c r="L697" s="28"/>
      <c r="M697" s="70"/>
      <c r="N697" s="70"/>
      <c r="O697" s="70"/>
      <c r="P697" s="70"/>
      <c r="Q697" s="70"/>
      <c r="R697" s="70"/>
      <c r="S697" s="70"/>
      <c r="T697" s="70"/>
      <c r="U697" s="70"/>
      <c r="V697" s="70"/>
      <c r="W697" s="70"/>
    </row>
    <row r="698" customFormat="false" ht="12.75" hidden="false" customHeight="false" outlineLevel="0" collapsed="false">
      <c r="A698" s="32" t="n">
        <v>37213</v>
      </c>
      <c r="B698" s="114"/>
      <c r="C698" s="115"/>
      <c r="D698" s="28"/>
      <c r="E698" s="28"/>
      <c r="F698" s="28"/>
      <c r="G698" s="113"/>
      <c r="H698" s="113"/>
      <c r="I698" s="113"/>
      <c r="J698" s="113"/>
      <c r="K698" s="28"/>
      <c r="L698" s="28"/>
      <c r="M698" s="70"/>
      <c r="N698" s="70"/>
      <c r="O698" s="70"/>
      <c r="P698" s="70"/>
      <c r="Q698" s="70"/>
      <c r="R698" s="70"/>
      <c r="S698" s="70"/>
      <c r="T698" s="70"/>
      <c r="U698" s="70"/>
      <c r="V698" s="70"/>
      <c r="W698" s="70"/>
    </row>
    <row r="699" customFormat="false" ht="12.75" hidden="false" customHeight="false" outlineLevel="0" collapsed="false">
      <c r="A699" s="32" t="n">
        <v>37214</v>
      </c>
      <c r="B699" s="114"/>
      <c r="C699" s="115"/>
      <c r="D699" s="28"/>
      <c r="E699" s="28"/>
      <c r="F699" s="28"/>
      <c r="G699" s="113"/>
      <c r="H699" s="113"/>
      <c r="I699" s="113"/>
      <c r="J699" s="113"/>
      <c r="K699" s="28"/>
      <c r="L699" s="28"/>
      <c r="M699" s="70"/>
      <c r="N699" s="70"/>
      <c r="O699" s="70"/>
      <c r="P699" s="70"/>
      <c r="Q699" s="70"/>
      <c r="R699" s="70"/>
      <c r="S699" s="70"/>
      <c r="T699" s="70"/>
      <c r="U699" s="70"/>
      <c r="V699" s="70"/>
      <c r="W699" s="70"/>
    </row>
    <row r="700" customFormat="false" ht="12.75" hidden="false" customHeight="false" outlineLevel="0" collapsed="false">
      <c r="A700" s="32" t="n">
        <v>37215</v>
      </c>
      <c r="B700" s="114"/>
      <c r="C700" s="115"/>
      <c r="D700" s="28"/>
      <c r="E700" s="28"/>
      <c r="F700" s="28"/>
      <c r="G700" s="113"/>
      <c r="H700" s="113"/>
      <c r="I700" s="113"/>
      <c r="J700" s="113"/>
      <c r="K700" s="28"/>
      <c r="L700" s="28"/>
      <c r="M700" s="70"/>
      <c r="N700" s="70"/>
      <c r="O700" s="70"/>
      <c r="P700" s="70"/>
      <c r="Q700" s="70"/>
      <c r="R700" s="70"/>
      <c r="S700" s="70"/>
      <c r="T700" s="70"/>
      <c r="U700" s="70"/>
      <c r="V700" s="70"/>
      <c r="W700" s="70"/>
    </row>
    <row r="701" customFormat="false" ht="12.75" hidden="false" customHeight="false" outlineLevel="0" collapsed="false">
      <c r="A701" s="32" t="n">
        <v>37216</v>
      </c>
      <c r="B701" s="114"/>
      <c r="C701" s="115"/>
      <c r="D701" s="28"/>
      <c r="E701" s="28"/>
      <c r="F701" s="28"/>
      <c r="G701" s="113"/>
      <c r="H701" s="113"/>
      <c r="I701" s="113"/>
      <c r="J701" s="113"/>
      <c r="K701" s="28"/>
      <c r="L701" s="28"/>
      <c r="M701" s="70"/>
      <c r="N701" s="70"/>
      <c r="O701" s="70"/>
      <c r="P701" s="70"/>
      <c r="Q701" s="70"/>
      <c r="R701" s="70"/>
      <c r="S701" s="70"/>
      <c r="T701" s="70"/>
      <c r="U701" s="70"/>
      <c r="V701" s="70"/>
      <c r="W701" s="70"/>
    </row>
    <row r="702" customFormat="false" ht="12.75" hidden="false" customHeight="false" outlineLevel="0" collapsed="false">
      <c r="A702" s="32" t="n">
        <v>37217</v>
      </c>
      <c r="B702" s="114"/>
      <c r="C702" s="115"/>
      <c r="D702" s="28"/>
      <c r="E702" s="28"/>
      <c r="F702" s="28"/>
      <c r="G702" s="113"/>
      <c r="H702" s="113"/>
      <c r="I702" s="113"/>
      <c r="J702" s="113"/>
      <c r="K702" s="28"/>
      <c r="L702" s="28"/>
      <c r="M702" s="70"/>
      <c r="N702" s="70"/>
      <c r="O702" s="70"/>
      <c r="P702" s="70"/>
      <c r="Q702" s="70"/>
      <c r="R702" s="70"/>
      <c r="S702" s="70"/>
      <c r="T702" s="70"/>
      <c r="U702" s="70"/>
      <c r="V702" s="70"/>
      <c r="W702" s="70"/>
    </row>
    <row r="703" customFormat="false" ht="12.75" hidden="false" customHeight="false" outlineLevel="0" collapsed="false">
      <c r="A703" s="32" t="n">
        <v>37218</v>
      </c>
      <c r="B703" s="114"/>
      <c r="C703" s="115"/>
      <c r="D703" s="28"/>
      <c r="E703" s="28"/>
      <c r="F703" s="28"/>
      <c r="G703" s="113"/>
      <c r="H703" s="113"/>
      <c r="I703" s="113"/>
      <c r="J703" s="113"/>
      <c r="K703" s="28"/>
      <c r="L703" s="28"/>
      <c r="M703" s="70"/>
      <c r="N703" s="70"/>
      <c r="O703" s="70"/>
      <c r="P703" s="70"/>
      <c r="Q703" s="70"/>
      <c r="R703" s="70"/>
      <c r="S703" s="70"/>
      <c r="T703" s="70"/>
      <c r="U703" s="70"/>
      <c r="V703" s="70"/>
      <c r="W703" s="70"/>
    </row>
    <row r="704" customFormat="false" ht="12.75" hidden="false" customHeight="false" outlineLevel="0" collapsed="false">
      <c r="A704" s="32" t="n">
        <v>37219</v>
      </c>
      <c r="B704" s="114"/>
      <c r="C704" s="115"/>
      <c r="D704" s="28"/>
      <c r="E704" s="28"/>
      <c r="F704" s="28"/>
      <c r="G704" s="113"/>
      <c r="H704" s="113"/>
      <c r="I704" s="113"/>
      <c r="J704" s="113"/>
      <c r="K704" s="28"/>
      <c r="L704" s="28"/>
      <c r="M704" s="70"/>
      <c r="N704" s="70"/>
      <c r="O704" s="70"/>
      <c r="P704" s="70"/>
      <c r="Q704" s="70"/>
      <c r="R704" s="70"/>
      <c r="S704" s="70"/>
      <c r="T704" s="70"/>
      <c r="U704" s="70"/>
      <c r="V704" s="70"/>
      <c r="W704" s="70"/>
    </row>
    <row r="705" customFormat="false" ht="12.75" hidden="false" customHeight="false" outlineLevel="0" collapsed="false">
      <c r="A705" s="32" t="n">
        <v>37220</v>
      </c>
      <c r="B705" s="114"/>
      <c r="C705" s="115"/>
      <c r="D705" s="28"/>
      <c r="E705" s="28"/>
      <c r="F705" s="28"/>
      <c r="G705" s="113"/>
      <c r="H705" s="113"/>
      <c r="I705" s="113"/>
      <c r="J705" s="113"/>
      <c r="K705" s="28"/>
      <c r="L705" s="28"/>
      <c r="M705" s="70"/>
      <c r="N705" s="70"/>
      <c r="O705" s="70"/>
      <c r="P705" s="70"/>
      <c r="Q705" s="70"/>
      <c r="R705" s="70"/>
      <c r="S705" s="70"/>
      <c r="T705" s="70"/>
      <c r="U705" s="70"/>
      <c r="V705" s="70"/>
      <c r="W705" s="70"/>
    </row>
    <row r="706" customFormat="false" ht="12.75" hidden="false" customHeight="false" outlineLevel="0" collapsed="false">
      <c r="A706" s="32" t="n">
        <v>37221</v>
      </c>
      <c r="B706" s="114"/>
      <c r="C706" s="115"/>
      <c r="D706" s="28"/>
      <c r="E706" s="28"/>
      <c r="F706" s="28"/>
      <c r="G706" s="113"/>
      <c r="H706" s="113"/>
      <c r="I706" s="113"/>
      <c r="J706" s="113"/>
      <c r="K706" s="28"/>
      <c r="L706" s="28"/>
      <c r="M706" s="70"/>
      <c r="N706" s="70"/>
      <c r="O706" s="70"/>
      <c r="P706" s="70"/>
      <c r="Q706" s="70"/>
      <c r="R706" s="70"/>
      <c r="S706" s="70"/>
      <c r="T706" s="70"/>
      <c r="U706" s="70"/>
      <c r="V706" s="70"/>
      <c r="W706" s="70"/>
    </row>
    <row r="707" customFormat="false" ht="12.75" hidden="false" customHeight="false" outlineLevel="0" collapsed="false">
      <c r="A707" s="32" t="n">
        <v>37222</v>
      </c>
      <c r="B707" s="114"/>
      <c r="C707" s="115"/>
      <c r="D707" s="28"/>
      <c r="E707" s="28"/>
      <c r="F707" s="28"/>
      <c r="G707" s="113"/>
      <c r="H707" s="113"/>
      <c r="I707" s="113"/>
      <c r="J707" s="113"/>
      <c r="K707" s="28"/>
      <c r="L707" s="28"/>
      <c r="M707" s="70"/>
      <c r="N707" s="70"/>
      <c r="O707" s="70"/>
      <c r="P707" s="70"/>
      <c r="Q707" s="70"/>
      <c r="R707" s="70"/>
      <c r="S707" s="70"/>
      <c r="T707" s="70"/>
      <c r="U707" s="70"/>
      <c r="V707" s="70"/>
      <c r="W707" s="70"/>
    </row>
    <row r="708" customFormat="false" ht="12.75" hidden="false" customHeight="false" outlineLevel="0" collapsed="false">
      <c r="A708" s="32" t="n">
        <v>37223</v>
      </c>
      <c r="B708" s="114"/>
      <c r="C708" s="115"/>
      <c r="D708" s="28"/>
      <c r="E708" s="28"/>
      <c r="F708" s="28"/>
      <c r="G708" s="113"/>
      <c r="H708" s="113"/>
      <c r="I708" s="113"/>
      <c r="J708" s="113"/>
      <c r="K708" s="28"/>
      <c r="L708" s="28"/>
      <c r="M708" s="70"/>
      <c r="N708" s="70"/>
      <c r="O708" s="70"/>
      <c r="P708" s="70"/>
      <c r="Q708" s="70"/>
      <c r="R708" s="70"/>
      <c r="S708" s="70"/>
      <c r="T708" s="70"/>
      <c r="U708" s="70"/>
      <c r="V708" s="70"/>
      <c r="W708" s="70"/>
    </row>
    <row r="709" customFormat="false" ht="12.75" hidden="false" customHeight="false" outlineLevel="0" collapsed="false">
      <c r="A709" s="32" t="n">
        <v>37224</v>
      </c>
      <c r="B709" s="114"/>
      <c r="C709" s="115"/>
      <c r="D709" s="28"/>
      <c r="E709" s="28"/>
      <c r="F709" s="28"/>
      <c r="G709" s="113"/>
      <c r="H709" s="113"/>
      <c r="I709" s="113"/>
      <c r="J709" s="113"/>
      <c r="K709" s="28"/>
      <c r="L709" s="28"/>
      <c r="M709" s="70"/>
      <c r="N709" s="70"/>
      <c r="O709" s="70"/>
      <c r="P709" s="70"/>
      <c r="Q709" s="70"/>
      <c r="R709" s="70"/>
      <c r="S709" s="70"/>
      <c r="T709" s="70"/>
      <c r="U709" s="70"/>
      <c r="V709" s="70"/>
      <c r="W709" s="70"/>
    </row>
    <row r="710" customFormat="false" ht="12.75" hidden="false" customHeight="false" outlineLevel="0" collapsed="false">
      <c r="A710" s="32" t="n">
        <v>37225</v>
      </c>
      <c r="B710" s="114"/>
      <c r="C710" s="115"/>
      <c r="D710" s="28"/>
      <c r="E710" s="28"/>
      <c r="F710" s="28"/>
      <c r="G710" s="113"/>
      <c r="H710" s="113"/>
      <c r="I710" s="113"/>
      <c r="J710" s="113"/>
      <c r="K710" s="28"/>
      <c r="L710" s="28"/>
      <c r="M710" s="70"/>
      <c r="N710" s="70"/>
      <c r="O710" s="70"/>
      <c r="P710" s="70"/>
      <c r="Q710" s="70"/>
      <c r="R710" s="70"/>
      <c r="S710" s="70"/>
      <c r="T710" s="70"/>
      <c r="U710" s="70"/>
      <c r="V710" s="70"/>
      <c r="W710" s="70"/>
    </row>
    <row r="711" customFormat="false" ht="12.75" hidden="false" customHeight="false" outlineLevel="0" collapsed="false">
      <c r="A711" s="32" t="n">
        <v>37226</v>
      </c>
      <c r="B711" s="114"/>
      <c r="C711" s="115"/>
      <c r="D711" s="28"/>
      <c r="E711" s="28"/>
      <c r="F711" s="28"/>
      <c r="G711" s="113"/>
      <c r="H711" s="113"/>
      <c r="I711" s="113"/>
      <c r="J711" s="113"/>
      <c r="K711" s="28"/>
      <c r="L711" s="28"/>
      <c r="M711" s="70"/>
      <c r="N711" s="70"/>
      <c r="O711" s="70"/>
      <c r="P711" s="70"/>
      <c r="Q711" s="70"/>
      <c r="R711" s="70"/>
      <c r="S711" s="70"/>
      <c r="T711" s="70"/>
      <c r="U711" s="70"/>
      <c r="V711" s="70"/>
      <c r="W711" s="70"/>
    </row>
    <row r="712" customFormat="false" ht="12.75" hidden="false" customHeight="false" outlineLevel="0" collapsed="false">
      <c r="A712" s="32" t="n">
        <v>37227</v>
      </c>
      <c r="B712" s="114"/>
      <c r="C712" s="115"/>
      <c r="D712" s="28"/>
      <c r="E712" s="28"/>
      <c r="F712" s="28"/>
      <c r="G712" s="113"/>
      <c r="H712" s="113"/>
      <c r="I712" s="113"/>
      <c r="J712" s="113"/>
      <c r="K712" s="28"/>
      <c r="L712" s="28"/>
      <c r="M712" s="70"/>
      <c r="N712" s="70"/>
      <c r="O712" s="70"/>
      <c r="P712" s="70"/>
      <c r="Q712" s="70"/>
      <c r="R712" s="70"/>
      <c r="S712" s="70"/>
      <c r="T712" s="70"/>
      <c r="U712" s="70"/>
      <c r="V712" s="70"/>
      <c r="W712" s="70"/>
    </row>
    <row r="713" customFormat="false" ht="12.75" hidden="false" customHeight="false" outlineLevel="0" collapsed="false">
      <c r="A713" s="32" t="n">
        <v>37228</v>
      </c>
      <c r="B713" s="114"/>
      <c r="C713" s="115"/>
      <c r="D713" s="28"/>
      <c r="E713" s="28"/>
      <c r="F713" s="28"/>
      <c r="G713" s="113"/>
      <c r="H713" s="113"/>
      <c r="I713" s="113"/>
      <c r="J713" s="113"/>
      <c r="K713" s="28"/>
      <c r="L713" s="28"/>
      <c r="M713" s="70"/>
      <c r="N713" s="70"/>
      <c r="O713" s="70"/>
      <c r="P713" s="70"/>
      <c r="Q713" s="70"/>
      <c r="R713" s="70"/>
      <c r="S713" s="70"/>
      <c r="T713" s="70"/>
      <c r="U713" s="70"/>
      <c r="V713" s="70"/>
      <c r="W713" s="70"/>
    </row>
    <row r="714" customFormat="false" ht="12.75" hidden="false" customHeight="false" outlineLevel="0" collapsed="false">
      <c r="A714" s="32" t="n">
        <v>37229</v>
      </c>
      <c r="B714" s="114"/>
      <c r="C714" s="115"/>
      <c r="D714" s="28"/>
      <c r="E714" s="28"/>
      <c r="F714" s="28"/>
      <c r="G714" s="113"/>
      <c r="H714" s="113"/>
      <c r="I714" s="113"/>
      <c r="J714" s="113"/>
      <c r="K714" s="28"/>
      <c r="L714" s="28"/>
      <c r="M714" s="70"/>
      <c r="N714" s="70"/>
      <c r="O714" s="70"/>
      <c r="P714" s="70"/>
      <c r="Q714" s="70"/>
      <c r="R714" s="70"/>
      <c r="S714" s="70"/>
      <c r="T714" s="70"/>
      <c r="U714" s="70"/>
      <c r="V714" s="70"/>
      <c r="W714" s="70"/>
    </row>
    <row r="715" customFormat="false" ht="12.75" hidden="false" customHeight="false" outlineLevel="0" collapsed="false">
      <c r="A715" s="32" t="n">
        <v>37230</v>
      </c>
      <c r="B715" s="114"/>
      <c r="C715" s="115"/>
      <c r="D715" s="28"/>
      <c r="E715" s="28"/>
      <c r="F715" s="28"/>
      <c r="G715" s="113"/>
      <c r="H715" s="113"/>
      <c r="I715" s="113"/>
      <c r="J715" s="113"/>
      <c r="K715" s="28"/>
      <c r="L715" s="28"/>
      <c r="M715" s="70"/>
      <c r="N715" s="70"/>
      <c r="O715" s="70"/>
      <c r="P715" s="70"/>
      <c r="Q715" s="70"/>
      <c r="R715" s="70"/>
      <c r="S715" s="70"/>
      <c r="T715" s="70"/>
      <c r="U715" s="70"/>
      <c r="V715" s="70"/>
      <c r="W715" s="70"/>
    </row>
    <row r="716" customFormat="false" ht="12.75" hidden="false" customHeight="false" outlineLevel="0" collapsed="false">
      <c r="A716" s="32" t="n">
        <v>37231</v>
      </c>
      <c r="B716" s="114"/>
      <c r="C716" s="115"/>
      <c r="D716" s="28"/>
      <c r="E716" s="28"/>
      <c r="F716" s="28"/>
      <c r="G716" s="113"/>
      <c r="H716" s="113"/>
      <c r="I716" s="113"/>
      <c r="J716" s="113"/>
      <c r="K716" s="28"/>
      <c r="L716" s="28"/>
      <c r="M716" s="70"/>
      <c r="N716" s="70"/>
      <c r="O716" s="70"/>
      <c r="P716" s="70"/>
      <c r="Q716" s="70"/>
      <c r="R716" s="70"/>
      <c r="S716" s="70"/>
      <c r="T716" s="70"/>
      <c r="U716" s="70"/>
      <c r="V716" s="70"/>
      <c r="W716" s="70"/>
    </row>
    <row r="717" customFormat="false" ht="12.75" hidden="false" customHeight="false" outlineLevel="0" collapsed="false">
      <c r="A717" s="32" t="n">
        <v>37232</v>
      </c>
      <c r="B717" s="114"/>
      <c r="C717" s="115"/>
      <c r="D717" s="28"/>
      <c r="E717" s="28"/>
      <c r="F717" s="28"/>
      <c r="G717" s="113"/>
      <c r="H717" s="113"/>
      <c r="I717" s="113"/>
      <c r="J717" s="113"/>
      <c r="K717" s="28"/>
      <c r="L717" s="28"/>
      <c r="M717" s="70"/>
      <c r="N717" s="70"/>
      <c r="O717" s="70"/>
      <c r="P717" s="70"/>
      <c r="Q717" s="70"/>
      <c r="R717" s="70"/>
      <c r="S717" s="70"/>
      <c r="T717" s="70"/>
      <c r="U717" s="70"/>
      <c r="V717" s="70"/>
      <c r="W717" s="70"/>
    </row>
    <row r="718" customFormat="false" ht="12.75" hidden="false" customHeight="false" outlineLevel="0" collapsed="false">
      <c r="A718" s="32" t="n">
        <v>37233</v>
      </c>
      <c r="B718" s="114"/>
      <c r="C718" s="115"/>
      <c r="D718" s="28"/>
      <c r="E718" s="28"/>
      <c r="F718" s="28"/>
      <c r="G718" s="113"/>
      <c r="H718" s="113"/>
      <c r="I718" s="113"/>
      <c r="J718" s="113"/>
      <c r="K718" s="28"/>
      <c r="L718" s="28"/>
      <c r="M718" s="70"/>
      <c r="N718" s="70"/>
      <c r="O718" s="70"/>
      <c r="P718" s="70"/>
      <c r="Q718" s="70"/>
      <c r="R718" s="70"/>
      <c r="S718" s="70"/>
      <c r="T718" s="70"/>
      <c r="U718" s="70"/>
      <c r="V718" s="70"/>
      <c r="W718" s="70"/>
    </row>
    <row r="719" customFormat="false" ht="12.75" hidden="false" customHeight="false" outlineLevel="0" collapsed="false">
      <c r="A719" s="32" t="n">
        <v>37234</v>
      </c>
      <c r="B719" s="114"/>
      <c r="C719" s="115"/>
      <c r="D719" s="28"/>
      <c r="E719" s="28"/>
      <c r="F719" s="28"/>
      <c r="G719" s="113"/>
      <c r="H719" s="113"/>
      <c r="I719" s="113"/>
      <c r="J719" s="113"/>
      <c r="K719" s="28"/>
      <c r="L719" s="28"/>
      <c r="M719" s="70"/>
      <c r="N719" s="70"/>
      <c r="O719" s="70"/>
      <c r="P719" s="70"/>
      <c r="Q719" s="70"/>
      <c r="R719" s="70"/>
      <c r="S719" s="70"/>
      <c r="T719" s="70"/>
      <c r="U719" s="70"/>
      <c r="V719" s="70"/>
      <c r="W719" s="70"/>
    </row>
    <row r="720" customFormat="false" ht="12.75" hidden="false" customHeight="false" outlineLevel="0" collapsed="false">
      <c r="A720" s="32" t="n">
        <v>37235</v>
      </c>
      <c r="B720" s="114"/>
      <c r="C720" s="115"/>
      <c r="D720" s="28"/>
      <c r="E720" s="28"/>
      <c r="F720" s="28"/>
      <c r="G720" s="113"/>
      <c r="H720" s="113"/>
      <c r="I720" s="113"/>
      <c r="J720" s="113"/>
      <c r="K720" s="28"/>
      <c r="L720" s="28"/>
      <c r="M720" s="70"/>
      <c r="N720" s="70"/>
      <c r="O720" s="70"/>
      <c r="P720" s="70"/>
      <c r="Q720" s="70"/>
      <c r="R720" s="70"/>
      <c r="S720" s="70"/>
      <c r="T720" s="70"/>
      <c r="U720" s="70"/>
      <c r="V720" s="70"/>
      <c r="W720" s="70"/>
    </row>
    <row r="721" customFormat="false" ht="12.75" hidden="false" customHeight="false" outlineLevel="0" collapsed="false">
      <c r="A721" s="32" t="n">
        <v>37236</v>
      </c>
      <c r="B721" s="114"/>
      <c r="C721" s="115"/>
      <c r="D721" s="28"/>
      <c r="E721" s="28"/>
      <c r="F721" s="28"/>
      <c r="G721" s="113"/>
      <c r="H721" s="113"/>
      <c r="I721" s="113"/>
      <c r="J721" s="113"/>
      <c r="K721" s="28"/>
      <c r="L721" s="28"/>
      <c r="M721" s="70"/>
      <c r="N721" s="70"/>
      <c r="O721" s="70"/>
      <c r="P721" s="70"/>
      <c r="Q721" s="70"/>
      <c r="R721" s="70"/>
      <c r="S721" s="70"/>
      <c r="T721" s="70"/>
      <c r="U721" s="70"/>
      <c r="V721" s="70"/>
      <c r="W721" s="70"/>
    </row>
    <row r="722" customFormat="false" ht="12.75" hidden="false" customHeight="false" outlineLevel="0" collapsed="false">
      <c r="A722" s="32" t="n">
        <v>37237</v>
      </c>
      <c r="B722" s="114"/>
      <c r="C722" s="115"/>
      <c r="D722" s="28"/>
      <c r="E722" s="28"/>
      <c r="F722" s="28"/>
      <c r="G722" s="113"/>
      <c r="H722" s="113"/>
      <c r="I722" s="113"/>
      <c r="J722" s="113"/>
      <c r="K722" s="28"/>
      <c r="L722" s="28"/>
      <c r="M722" s="70"/>
      <c r="N722" s="70"/>
      <c r="O722" s="70"/>
      <c r="P722" s="70"/>
      <c r="Q722" s="70"/>
      <c r="R722" s="70"/>
      <c r="S722" s="70"/>
      <c r="T722" s="70"/>
      <c r="U722" s="70"/>
      <c r="V722" s="70"/>
      <c r="W722" s="70"/>
    </row>
    <row r="723" customFormat="false" ht="12.75" hidden="false" customHeight="false" outlineLevel="0" collapsed="false">
      <c r="A723" s="32" t="n">
        <v>37238</v>
      </c>
      <c r="B723" s="114"/>
      <c r="C723" s="115"/>
      <c r="D723" s="28"/>
      <c r="E723" s="28"/>
      <c r="F723" s="28"/>
      <c r="G723" s="113"/>
      <c r="H723" s="113"/>
      <c r="I723" s="113"/>
      <c r="J723" s="113"/>
      <c r="K723" s="28"/>
      <c r="L723" s="28"/>
      <c r="M723" s="70"/>
      <c r="N723" s="70"/>
      <c r="O723" s="70"/>
      <c r="P723" s="70"/>
      <c r="Q723" s="70"/>
      <c r="R723" s="70"/>
      <c r="S723" s="70"/>
      <c r="T723" s="70"/>
      <c r="U723" s="70"/>
      <c r="V723" s="70"/>
      <c r="W723" s="70"/>
    </row>
    <row r="724" customFormat="false" ht="12.75" hidden="false" customHeight="false" outlineLevel="0" collapsed="false">
      <c r="A724" s="32" t="n">
        <v>37239</v>
      </c>
      <c r="B724" s="114"/>
      <c r="C724" s="115"/>
      <c r="D724" s="28"/>
      <c r="E724" s="28"/>
      <c r="F724" s="28"/>
      <c r="G724" s="113"/>
      <c r="H724" s="113"/>
      <c r="I724" s="113"/>
      <c r="J724" s="113"/>
      <c r="K724" s="28"/>
      <c r="L724" s="28"/>
      <c r="M724" s="70"/>
      <c r="N724" s="70"/>
      <c r="O724" s="70"/>
      <c r="P724" s="70"/>
      <c r="Q724" s="70"/>
      <c r="R724" s="70"/>
      <c r="S724" s="70"/>
      <c r="T724" s="70"/>
      <c r="U724" s="70"/>
      <c r="V724" s="70"/>
      <c r="W724" s="70"/>
    </row>
    <row r="725" customFormat="false" ht="12.75" hidden="false" customHeight="false" outlineLevel="0" collapsed="false">
      <c r="A725" s="32" t="n">
        <v>37240</v>
      </c>
      <c r="B725" s="114"/>
      <c r="C725" s="115"/>
      <c r="D725" s="28"/>
      <c r="E725" s="28"/>
      <c r="F725" s="28"/>
      <c r="G725" s="113"/>
      <c r="H725" s="113"/>
      <c r="I725" s="113"/>
      <c r="J725" s="113"/>
      <c r="K725" s="28"/>
      <c r="L725" s="28"/>
      <c r="M725" s="70"/>
      <c r="N725" s="70"/>
      <c r="O725" s="70"/>
      <c r="P725" s="70"/>
      <c r="Q725" s="70"/>
      <c r="R725" s="70"/>
      <c r="S725" s="70"/>
      <c r="T725" s="70"/>
      <c r="U725" s="70"/>
      <c r="V725" s="70"/>
      <c r="W725" s="70"/>
    </row>
    <row r="726" customFormat="false" ht="12.75" hidden="false" customHeight="false" outlineLevel="0" collapsed="false">
      <c r="A726" s="32" t="n">
        <v>37241</v>
      </c>
      <c r="B726" s="114"/>
      <c r="C726" s="115"/>
      <c r="D726" s="28"/>
      <c r="E726" s="28"/>
      <c r="F726" s="28"/>
      <c r="G726" s="113"/>
      <c r="H726" s="113"/>
      <c r="I726" s="113"/>
      <c r="J726" s="113"/>
      <c r="K726" s="28"/>
      <c r="L726" s="28"/>
      <c r="M726" s="70"/>
      <c r="N726" s="70"/>
      <c r="O726" s="70"/>
      <c r="P726" s="70"/>
      <c r="Q726" s="70"/>
      <c r="R726" s="70"/>
      <c r="S726" s="70"/>
      <c r="T726" s="70"/>
      <c r="U726" s="70"/>
      <c r="V726" s="70"/>
      <c r="W726" s="70"/>
    </row>
    <row r="727" customFormat="false" ht="12.75" hidden="false" customHeight="false" outlineLevel="0" collapsed="false">
      <c r="A727" s="32" t="n">
        <v>37242</v>
      </c>
      <c r="B727" s="114"/>
      <c r="C727" s="115"/>
      <c r="D727" s="28"/>
      <c r="E727" s="28"/>
      <c r="F727" s="28"/>
      <c r="G727" s="113"/>
      <c r="H727" s="113"/>
      <c r="I727" s="113"/>
      <c r="J727" s="113"/>
      <c r="K727" s="28"/>
      <c r="L727" s="28"/>
      <c r="M727" s="70"/>
      <c r="N727" s="70"/>
      <c r="O727" s="70"/>
      <c r="P727" s="70"/>
      <c r="Q727" s="70"/>
      <c r="R727" s="70"/>
      <c r="S727" s="70"/>
      <c r="T727" s="70"/>
      <c r="U727" s="70"/>
      <c r="V727" s="70"/>
      <c r="W727" s="70"/>
    </row>
    <row r="728" customFormat="false" ht="12.75" hidden="false" customHeight="false" outlineLevel="0" collapsed="false">
      <c r="A728" s="32" t="n">
        <v>37243</v>
      </c>
      <c r="B728" s="114"/>
      <c r="C728" s="115"/>
      <c r="D728" s="28"/>
      <c r="E728" s="28"/>
      <c r="F728" s="28"/>
      <c r="G728" s="113"/>
      <c r="H728" s="113"/>
      <c r="I728" s="113"/>
      <c r="J728" s="113"/>
      <c r="K728" s="28"/>
      <c r="L728" s="28"/>
      <c r="M728" s="70"/>
      <c r="N728" s="70"/>
      <c r="O728" s="70"/>
      <c r="P728" s="70"/>
      <c r="Q728" s="70"/>
      <c r="R728" s="70"/>
      <c r="S728" s="70"/>
      <c r="T728" s="70"/>
      <c r="U728" s="70"/>
      <c r="V728" s="70"/>
      <c r="W728" s="70"/>
    </row>
    <row r="729" customFormat="false" ht="12.75" hidden="false" customHeight="false" outlineLevel="0" collapsed="false">
      <c r="A729" s="32" t="n">
        <v>37244</v>
      </c>
      <c r="B729" s="114"/>
      <c r="C729" s="115"/>
      <c r="D729" s="28"/>
      <c r="E729" s="28"/>
      <c r="F729" s="28"/>
      <c r="G729" s="113"/>
      <c r="H729" s="113"/>
      <c r="I729" s="113"/>
      <c r="J729" s="113"/>
      <c r="K729" s="28"/>
      <c r="L729" s="28"/>
      <c r="M729" s="70"/>
      <c r="N729" s="70"/>
      <c r="O729" s="70"/>
      <c r="P729" s="70"/>
      <c r="Q729" s="70"/>
      <c r="R729" s="70"/>
      <c r="S729" s="70"/>
      <c r="T729" s="70"/>
      <c r="U729" s="70"/>
      <c r="V729" s="70"/>
      <c r="W729" s="70"/>
    </row>
    <row r="730" customFormat="false" ht="12.75" hidden="false" customHeight="false" outlineLevel="0" collapsed="false">
      <c r="A730" s="32" t="n">
        <v>37245</v>
      </c>
      <c r="B730" s="114"/>
      <c r="C730" s="115"/>
      <c r="D730" s="28"/>
      <c r="E730" s="28"/>
      <c r="F730" s="28"/>
      <c r="G730" s="113"/>
      <c r="H730" s="113"/>
      <c r="I730" s="113"/>
      <c r="J730" s="113"/>
      <c r="K730" s="28"/>
      <c r="L730" s="28"/>
      <c r="M730" s="70"/>
      <c r="N730" s="70"/>
      <c r="O730" s="70"/>
      <c r="P730" s="70"/>
      <c r="Q730" s="70"/>
      <c r="R730" s="70"/>
      <c r="S730" s="70"/>
      <c r="T730" s="70"/>
      <c r="U730" s="70"/>
      <c r="V730" s="70"/>
      <c r="W730" s="70"/>
    </row>
    <row r="731" customFormat="false" ht="12.75" hidden="false" customHeight="false" outlineLevel="0" collapsed="false">
      <c r="A731" s="32" t="n">
        <v>37246</v>
      </c>
      <c r="B731" s="114"/>
      <c r="C731" s="115"/>
      <c r="D731" s="28"/>
      <c r="E731" s="28"/>
      <c r="F731" s="28"/>
      <c r="G731" s="113"/>
      <c r="H731" s="113"/>
      <c r="I731" s="113"/>
      <c r="J731" s="113"/>
      <c r="K731" s="28"/>
      <c r="L731" s="28"/>
      <c r="M731" s="70"/>
      <c r="N731" s="70"/>
      <c r="O731" s="70"/>
      <c r="P731" s="70"/>
      <c r="Q731" s="70"/>
      <c r="R731" s="70"/>
      <c r="S731" s="70"/>
      <c r="T731" s="70"/>
      <c r="U731" s="70"/>
      <c r="V731" s="70"/>
      <c r="W731" s="70"/>
    </row>
    <row r="732" customFormat="false" ht="12.75" hidden="false" customHeight="false" outlineLevel="0" collapsed="false">
      <c r="A732" s="32" t="n">
        <v>37247</v>
      </c>
      <c r="B732" s="114"/>
      <c r="C732" s="115"/>
      <c r="D732" s="28"/>
      <c r="E732" s="28"/>
      <c r="F732" s="28"/>
      <c r="G732" s="113"/>
      <c r="H732" s="113"/>
      <c r="I732" s="113"/>
      <c r="J732" s="113"/>
      <c r="K732" s="28"/>
      <c r="L732" s="28"/>
      <c r="M732" s="70"/>
      <c r="N732" s="70"/>
      <c r="O732" s="70"/>
      <c r="P732" s="70"/>
      <c r="Q732" s="70"/>
      <c r="R732" s="70"/>
      <c r="S732" s="70"/>
      <c r="T732" s="70"/>
      <c r="U732" s="70"/>
      <c r="V732" s="70"/>
      <c r="W732" s="70"/>
    </row>
    <row r="733" customFormat="false" ht="12.75" hidden="false" customHeight="false" outlineLevel="0" collapsed="false">
      <c r="A733" s="32" t="n">
        <v>37248</v>
      </c>
      <c r="B733" s="114"/>
      <c r="C733" s="115"/>
      <c r="D733" s="28"/>
      <c r="E733" s="28"/>
      <c r="F733" s="28"/>
      <c r="G733" s="113"/>
      <c r="H733" s="113"/>
      <c r="I733" s="113"/>
      <c r="J733" s="113"/>
      <c r="K733" s="28"/>
      <c r="L733" s="28"/>
      <c r="M733" s="70"/>
      <c r="N733" s="70"/>
      <c r="O733" s="70"/>
      <c r="P733" s="70"/>
      <c r="Q733" s="70"/>
      <c r="R733" s="70"/>
      <c r="S733" s="70"/>
      <c r="T733" s="70"/>
      <c r="U733" s="70"/>
      <c r="V733" s="70"/>
      <c r="W733" s="70"/>
    </row>
    <row r="734" customFormat="false" ht="12.75" hidden="false" customHeight="false" outlineLevel="0" collapsed="false">
      <c r="A734" s="32" t="n">
        <v>37249</v>
      </c>
      <c r="B734" s="114"/>
      <c r="C734" s="115"/>
      <c r="D734" s="28"/>
      <c r="E734" s="28"/>
      <c r="F734" s="28"/>
      <c r="G734" s="113"/>
      <c r="H734" s="113"/>
      <c r="I734" s="113"/>
      <c r="J734" s="113"/>
      <c r="K734" s="28"/>
      <c r="L734" s="28"/>
      <c r="M734" s="70"/>
      <c r="N734" s="70"/>
      <c r="O734" s="70"/>
      <c r="P734" s="70"/>
      <c r="Q734" s="70"/>
      <c r="R734" s="70"/>
      <c r="S734" s="70"/>
      <c r="T734" s="70"/>
      <c r="U734" s="70"/>
      <c r="V734" s="70"/>
      <c r="W734" s="70"/>
    </row>
    <row r="735" customFormat="false" ht="12.75" hidden="false" customHeight="false" outlineLevel="0" collapsed="false">
      <c r="A735" s="32" t="n">
        <v>37250</v>
      </c>
      <c r="B735" s="114"/>
      <c r="C735" s="115"/>
      <c r="D735" s="28"/>
      <c r="E735" s="28"/>
      <c r="F735" s="28"/>
      <c r="G735" s="113"/>
      <c r="H735" s="113"/>
      <c r="I735" s="113"/>
      <c r="J735" s="113"/>
      <c r="K735" s="28"/>
      <c r="L735" s="28"/>
      <c r="M735" s="70"/>
      <c r="N735" s="70"/>
      <c r="O735" s="70"/>
      <c r="P735" s="70"/>
      <c r="Q735" s="70"/>
      <c r="R735" s="70"/>
      <c r="S735" s="70"/>
      <c r="T735" s="70"/>
      <c r="U735" s="70"/>
      <c r="V735" s="70"/>
      <c r="W735" s="70"/>
    </row>
    <row r="736" customFormat="false" ht="12.75" hidden="false" customHeight="false" outlineLevel="0" collapsed="false">
      <c r="A736" s="32" t="n">
        <v>37251</v>
      </c>
      <c r="B736" s="114"/>
      <c r="C736" s="115"/>
      <c r="D736" s="28"/>
      <c r="E736" s="28"/>
      <c r="F736" s="28"/>
      <c r="G736" s="113"/>
      <c r="H736" s="113"/>
      <c r="I736" s="113"/>
      <c r="J736" s="113"/>
      <c r="K736" s="28"/>
      <c r="L736" s="28"/>
      <c r="M736" s="70"/>
      <c r="N736" s="70"/>
      <c r="O736" s="70"/>
      <c r="P736" s="70"/>
      <c r="Q736" s="70"/>
      <c r="R736" s="70"/>
      <c r="S736" s="70"/>
      <c r="T736" s="70"/>
      <c r="U736" s="70"/>
      <c r="V736" s="70"/>
      <c r="W736" s="70"/>
    </row>
    <row r="737" customFormat="false" ht="12.75" hidden="false" customHeight="false" outlineLevel="0" collapsed="false">
      <c r="A737" s="32" t="n">
        <v>37252</v>
      </c>
      <c r="B737" s="114"/>
      <c r="C737" s="115"/>
      <c r="D737" s="28"/>
      <c r="E737" s="28"/>
      <c r="F737" s="28"/>
      <c r="G737" s="113"/>
      <c r="H737" s="113"/>
      <c r="I737" s="113"/>
      <c r="J737" s="113"/>
      <c r="K737" s="28"/>
      <c r="L737" s="28"/>
      <c r="M737" s="70"/>
      <c r="N737" s="70"/>
      <c r="O737" s="70"/>
      <c r="P737" s="70"/>
      <c r="Q737" s="70"/>
      <c r="R737" s="70"/>
      <c r="S737" s="70"/>
      <c r="T737" s="70"/>
      <c r="U737" s="70"/>
      <c r="V737" s="70"/>
      <c r="W737" s="70"/>
    </row>
    <row r="738" customFormat="false" ht="12.75" hidden="false" customHeight="false" outlineLevel="0" collapsed="false">
      <c r="A738" s="32" t="n">
        <v>37253</v>
      </c>
      <c r="B738" s="114"/>
      <c r="C738" s="115"/>
      <c r="D738" s="28"/>
      <c r="E738" s="28"/>
      <c r="F738" s="28"/>
      <c r="G738" s="113"/>
      <c r="H738" s="113"/>
      <c r="I738" s="113"/>
      <c r="J738" s="113"/>
      <c r="K738" s="28"/>
      <c r="L738" s="28"/>
      <c r="M738" s="70"/>
      <c r="N738" s="70"/>
      <c r="O738" s="70"/>
      <c r="P738" s="70"/>
      <c r="Q738" s="70"/>
      <c r="R738" s="70"/>
      <c r="S738" s="70"/>
      <c r="T738" s="70"/>
      <c r="U738" s="70"/>
      <c r="V738" s="70"/>
      <c r="W738" s="70"/>
    </row>
    <row r="739" customFormat="false" ht="12.75" hidden="false" customHeight="false" outlineLevel="0" collapsed="false">
      <c r="A739" s="32" t="n">
        <v>37254</v>
      </c>
      <c r="B739" s="114"/>
      <c r="C739" s="115"/>
      <c r="D739" s="28"/>
      <c r="E739" s="28"/>
      <c r="F739" s="28"/>
      <c r="G739" s="113"/>
      <c r="H739" s="113"/>
      <c r="I739" s="113"/>
      <c r="J739" s="113"/>
      <c r="K739" s="28"/>
      <c r="L739" s="28"/>
      <c r="M739" s="70"/>
      <c r="N739" s="70"/>
      <c r="O739" s="70"/>
      <c r="P739" s="70"/>
      <c r="Q739" s="70"/>
      <c r="R739" s="70"/>
      <c r="S739" s="70"/>
      <c r="T739" s="70"/>
      <c r="U739" s="70"/>
      <c r="V739" s="70"/>
      <c r="W739" s="70"/>
    </row>
    <row r="740" customFormat="false" ht="12.75" hidden="false" customHeight="false" outlineLevel="0" collapsed="false">
      <c r="A740" s="32" t="n">
        <v>37255</v>
      </c>
      <c r="B740" s="114"/>
      <c r="C740" s="115"/>
      <c r="D740" s="28"/>
      <c r="E740" s="28"/>
      <c r="F740" s="28"/>
      <c r="G740" s="113"/>
      <c r="H740" s="113"/>
      <c r="I740" s="113"/>
      <c r="J740" s="113"/>
      <c r="K740" s="28"/>
      <c r="L740" s="28"/>
      <c r="M740" s="70"/>
      <c r="N740" s="70"/>
      <c r="O740" s="70"/>
      <c r="P740" s="70"/>
      <c r="Q740" s="70"/>
      <c r="R740" s="70"/>
      <c r="S740" s="70"/>
      <c r="T740" s="70"/>
      <c r="U740" s="70"/>
      <c r="V740" s="70"/>
      <c r="W740" s="70"/>
    </row>
    <row r="741" customFormat="false" ht="12.75" hidden="false" customHeight="false" outlineLevel="0" collapsed="false">
      <c r="A741" s="32" t="n">
        <v>37256</v>
      </c>
      <c r="B741" s="114"/>
      <c r="C741" s="115"/>
      <c r="D741" s="28"/>
      <c r="E741" s="28"/>
      <c r="F741" s="28"/>
      <c r="G741" s="113"/>
      <c r="H741" s="113"/>
      <c r="I741" s="113"/>
      <c r="J741" s="113"/>
      <c r="K741" s="28"/>
      <c r="L741" s="28"/>
      <c r="M741" s="70"/>
      <c r="N741" s="70"/>
      <c r="O741" s="70"/>
      <c r="P741" s="70"/>
      <c r="Q741" s="70"/>
      <c r="R741" s="70"/>
      <c r="S741" s="70"/>
      <c r="T741" s="70"/>
      <c r="U741" s="70"/>
      <c r="V741" s="70"/>
      <c r="W741" s="70"/>
    </row>
    <row r="742" customFormat="false" ht="12.75" hidden="false" customHeight="false" outlineLevel="0" collapsed="false">
      <c r="A742" s="32" t="n">
        <v>37257</v>
      </c>
      <c r="B742" s="114"/>
      <c r="C742" s="115"/>
      <c r="D742" s="28"/>
      <c r="E742" s="28"/>
      <c r="F742" s="28"/>
      <c r="G742" s="113"/>
      <c r="H742" s="113"/>
      <c r="I742" s="113"/>
      <c r="J742" s="113"/>
      <c r="K742" s="28"/>
      <c r="L742" s="28"/>
      <c r="M742" s="70"/>
      <c r="N742" s="70"/>
      <c r="O742" s="70"/>
      <c r="P742" s="70"/>
      <c r="Q742" s="70"/>
      <c r="R742" s="70"/>
      <c r="S742" s="70"/>
      <c r="T742" s="70"/>
      <c r="U742" s="70"/>
      <c r="V742" s="70"/>
      <c r="W742" s="70"/>
    </row>
    <row r="743" customFormat="false" ht="12.75" hidden="false" customHeight="false" outlineLevel="0" collapsed="false">
      <c r="A743" s="32" t="n">
        <v>37258</v>
      </c>
      <c r="B743" s="114"/>
      <c r="C743" s="115"/>
      <c r="D743" s="28"/>
      <c r="E743" s="28"/>
      <c r="F743" s="28"/>
      <c r="G743" s="113"/>
      <c r="H743" s="113"/>
      <c r="I743" s="113"/>
      <c r="J743" s="113"/>
      <c r="K743" s="28"/>
      <c r="L743" s="28"/>
      <c r="M743" s="70"/>
      <c r="N743" s="70"/>
      <c r="O743" s="70"/>
      <c r="P743" s="70"/>
      <c r="Q743" s="70"/>
      <c r="R743" s="70"/>
      <c r="S743" s="70"/>
      <c r="T743" s="70"/>
      <c r="U743" s="70"/>
      <c r="V743" s="70"/>
      <c r="W743" s="70"/>
    </row>
    <row r="744" customFormat="false" ht="12.75" hidden="false" customHeight="false" outlineLevel="0" collapsed="false">
      <c r="A744" s="32" t="n">
        <v>37259</v>
      </c>
      <c r="B744" s="114"/>
      <c r="C744" s="115"/>
      <c r="D744" s="28"/>
      <c r="E744" s="28"/>
      <c r="F744" s="28"/>
      <c r="G744" s="113"/>
      <c r="H744" s="113"/>
      <c r="I744" s="113"/>
      <c r="J744" s="113"/>
      <c r="K744" s="28"/>
      <c r="L744" s="28"/>
      <c r="M744" s="70"/>
      <c r="N744" s="70"/>
      <c r="O744" s="70"/>
      <c r="P744" s="70"/>
      <c r="Q744" s="70"/>
      <c r="R744" s="70"/>
      <c r="S744" s="70"/>
      <c r="T744" s="70"/>
      <c r="U744" s="70"/>
      <c r="V744" s="70"/>
      <c r="W744" s="70"/>
    </row>
    <row r="745" customFormat="false" ht="12.75" hidden="false" customHeight="false" outlineLevel="0" collapsed="false">
      <c r="A745" s="32" t="n">
        <v>37260</v>
      </c>
      <c r="B745" s="114"/>
      <c r="C745" s="115"/>
      <c r="D745" s="28"/>
      <c r="E745" s="28"/>
      <c r="F745" s="28"/>
      <c r="G745" s="113"/>
      <c r="H745" s="113"/>
      <c r="I745" s="113"/>
      <c r="J745" s="113"/>
      <c r="K745" s="28"/>
      <c r="L745" s="28"/>
      <c r="M745" s="70"/>
      <c r="N745" s="70"/>
      <c r="O745" s="70"/>
      <c r="P745" s="70"/>
      <c r="Q745" s="70"/>
      <c r="R745" s="70"/>
      <c r="S745" s="70"/>
      <c r="T745" s="70"/>
      <c r="U745" s="70"/>
      <c r="V745" s="70"/>
      <c r="W745" s="70"/>
    </row>
    <row r="746" customFormat="false" ht="12.75" hidden="false" customHeight="false" outlineLevel="0" collapsed="false">
      <c r="A746" s="32" t="n">
        <v>37261</v>
      </c>
      <c r="B746" s="114"/>
      <c r="C746" s="115"/>
      <c r="D746" s="28"/>
      <c r="E746" s="28"/>
      <c r="F746" s="28"/>
      <c r="G746" s="113"/>
      <c r="H746" s="113"/>
      <c r="I746" s="113"/>
      <c r="J746" s="113"/>
      <c r="K746" s="28"/>
      <c r="L746" s="28"/>
      <c r="M746" s="70"/>
      <c r="N746" s="70"/>
      <c r="O746" s="70"/>
      <c r="P746" s="70"/>
      <c r="Q746" s="70"/>
      <c r="R746" s="70"/>
      <c r="S746" s="70"/>
      <c r="T746" s="70"/>
      <c r="U746" s="70"/>
      <c r="V746" s="70"/>
      <c r="W746" s="70"/>
    </row>
    <row r="747" customFormat="false" ht="12.75" hidden="false" customHeight="false" outlineLevel="0" collapsed="false">
      <c r="A747" s="32" t="n">
        <v>37262</v>
      </c>
      <c r="B747" s="114"/>
      <c r="C747" s="115"/>
      <c r="D747" s="28"/>
      <c r="E747" s="28"/>
      <c r="F747" s="28"/>
      <c r="G747" s="113"/>
      <c r="H747" s="113"/>
      <c r="I747" s="113"/>
      <c r="J747" s="113"/>
      <c r="K747" s="28"/>
      <c r="L747" s="28"/>
      <c r="M747" s="70"/>
      <c r="N747" s="70"/>
      <c r="O747" s="70"/>
      <c r="P747" s="70"/>
      <c r="Q747" s="70"/>
      <c r="R747" s="70"/>
      <c r="S747" s="70"/>
      <c r="T747" s="70"/>
      <c r="U747" s="70"/>
      <c r="V747" s="70"/>
      <c r="W747" s="70"/>
    </row>
    <row r="748" customFormat="false" ht="12.75" hidden="false" customHeight="false" outlineLevel="0" collapsed="false">
      <c r="A748" s="32" t="n">
        <v>37263</v>
      </c>
      <c r="B748" s="114"/>
      <c r="C748" s="115"/>
      <c r="D748" s="28"/>
      <c r="E748" s="28"/>
      <c r="F748" s="28"/>
      <c r="G748" s="113"/>
      <c r="H748" s="113"/>
      <c r="I748" s="113"/>
      <c r="J748" s="113"/>
      <c r="K748" s="28"/>
      <c r="L748" s="28"/>
      <c r="M748" s="70"/>
      <c r="N748" s="70"/>
      <c r="O748" s="70"/>
      <c r="P748" s="70"/>
      <c r="Q748" s="70"/>
      <c r="R748" s="70"/>
      <c r="S748" s="70"/>
      <c r="T748" s="70"/>
      <c r="U748" s="70"/>
      <c r="V748" s="70"/>
      <c r="W748" s="70"/>
    </row>
    <row r="749" customFormat="false" ht="12.75" hidden="false" customHeight="false" outlineLevel="0" collapsed="false">
      <c r="A749" s="32" t="n">
        <v>37264</v>
      </c>
      <c r="B749" s="114"/>
      <c r="C749" s="115"/>
      <c r="D749" s="28"/>
      <c r="E749" s="28"/>
      <c r="F749" s="28"/>
      <c r="G749" s="113"/>
      <c r="H749" s="113"/>
      <c r="I749" s="113"/>
      <c r="J749" s="113"/>
      <c r="K749" s="28"/>
      <c r="L749" s="28"/>
      <c r="M749" s="70"/>
      <c r="N749" s="70"/>
      <c r="O749" s="70"/>
      <c r="P749" s="70"/>
      <c r="Q749" s="70"/>
      <c r="R749" s="70"/>
      <c r="S749" s="70"/>
      <c r="T749" s="70"/>
      <c r="U749" s="70"/>
      <c r="V749" s="70"/>
      <c r="W749" s="70"/>
    </row>
    <row r="750" customFormat="false" ht="12.75" hidden="false" customHeight="false" outlineLevel="0" collapsed="false">
      <c r="A750" s="32" t="n">
        <v>37265</v>
      </c>
      <c r="B750" s="114"/>
      <c r="C750" s="115"/>
      <c r="D750" s="28"/>
      <c r="E750" s="28"/>
      <c r="F750" s="28"/>
      <c r="G750" s="113"/>
      <c r="H750" s="113"/>
      <c r="I750" s="113"/>
      <c r="J750" s="113"/>
      <c r="K750" s="28"/>
      <c r="L750" s="28"/>
      <c r="M750" s="70"/>
      <c r="N750" s="70"/>
      <c r="O750" s="70"/>
      <c r="P750" s="70"/>
      <c r="Q750" s="70"/>
      <c r="R750" s="70"/>
      <c r="S750" s="70"/>
      <c r="T750" s="70"/>
      <c r="U750" s="70"/>
      <c r="V750" s="70"/>
      <c r="W750" s="70"/>
    </row>
    <row r="751" customFormat="false" ht="12.75" hidden="false" customHeight="false" outlineLevel="0" collapsed="false">
      <c r="A751" s="32" t="n">
        <v>37266</v>
      </c>
      <c r="B751" s="114"/>
      <c r="C751" s="115"/>
      <c r="D751" s="28"/>
      <c r="E751" s="28"/>
      <c r="F751" s="28"/>
      <c r="G751" s="113"/>
      <c r="H751" s="113"/>
      <c r="I751" s="113"/>
      <c r="J751" s="113"/>
      <c r="K751" s="28"/>
      <c r="L751" s="28"/>
      <c r="M751" s="70"/>
      <c r="N751" s="70"/>
      <c r="O751" s="70"/>
      <c r="P751" s="70"/>
      <c r="Q751" s="70"/>
      <c r="R751" s="70"/>
      <c r="S751" s="70"/>
      <c r="T751" s="70"/>
      <c r="U751" s="70"/>
      <c r="V751" s="70"/>
      <c r="W751" s="70"/>
    </row>
    <row r="752" customFormat="false" ht="12.75" hidden="false" customHeight="false" outlineLevel="0" collapsed="false">
      <c r="A752" s="32" t="n">
        <v>37267</v>
      </c>
      <c r="B752" s="114"/>
      <c r="C752" s="115"/>
      <c r="D752" s="28"/>
      <c r="E752" s="28"/>
      <c r="F752" s="28"/>
      <c r="G752" s="113"/>
      <c r="H752" s="113"/>
      <c r="I752" s="113"/>
      <c r="J752" s="113"/>
      <c r="K752" s="28"/>
      <c r="L752" s="28"/>
      <c r="M752" s="70"/>
      <c r="N752" s="70"/>
      <c r="O752" s="70"/>
      <c r="P752" s="70"/>
      <c r="Q752" s="70"/>
      <c r="R752" s="70"/>
      <c r="S752" s="70"/>
      <c r="T752" s="70"/>
      <c r="U752" s="70"/>
      <c r="V752" s="70"/>
      <c r="W752" s="70"/>
    </row>
    <row r="753" customFormat="false" ht="12.75" hidden="false" customHeight="false" outlineLevel="0" collapsed="false">
      <c r="A753" s="32" t="n">
        <v>37268</v>
      </c>
      <c r="B753" s="114"/>
      <c r="C753" s="115"/>
      <c r="D753" s="28"/>
      <c r="E753" s="28"/>
      <c r="F753" s="28"/>
      <c r="G753" s="113"/>
      <c r="H753" s="113"/>
      <c r="I753" s="113"/>
      <c r="J753" s="113"/>
      <c r="K753" s="28"/>
      <c r="L753" s="28"/>
      <c r="M753" s="70"/>
      <c r="N753" s="70"/>
      <c r="O753" s="70"/>
      <c r="P753" s="70"/>
      <c r="Q753" s="70"/>
      <c r="R753" s="70"/>
      <c r="S753" s="70"/>
      <c r="T753" s="70"/>
      <c r="U753" s="70"/>
      <c r="V753" s="70"/>
      <c r="W753" s="70"/>
    </row>
    <row r="754" customFormat="false" ht="12.75" hidden="false" customHeight="false" outlineLevel="0" collapsed="false">
      <c r="A754" s="32" t="n">
        <v>37269</v>
      </c>
      <c r="B754" s="114"/>
      <c r="C754" s="115"/>
      <c r="D754" s="28"/>
      <c r="E754" s="28"/>
      <c r="F754" s="28"/>
      <c r="G754" s="113"/>
      <c r="H754" s="113"/>
      <c r="I754" s="113"/>
      <c r="J754" s="113"/>
      <c r="K754" s="28"/>
      <c r="L754" s="28"/>
      <c r="M754" s="70"/>
      <c r="N754" s="70"/>
      <c r="O754" s="70"/>
      <c r="P754" s="70"/>
      <c r="Q754" s="70"/>
      <c r="R754" s="70"/>
      <c r="S754" s="70"/>
      <c r="T754" s="70"/>
      <c r="U754" s="70"/>
      <c r="V754" s="70"/>
      <c r="W754" s="70"/>
    </row>
    <row r="755" customFormat="false" ht="12.75" hidden="false" customHeight="false" outlineLevel="0" collapsed="false">
      <c r="A755" s="32" t="n">
        <v>37270</v>
      </c>
      <c r="B755" s="114"/>
      <c r="C755" s="115"/>
      <c r="D755" s="28"/>
      <c r="E755" s="28"/>
      <c r="F755" s="28"/>
      <c r="G755" s="113"/>
      <c r="H755" s="113"/>
      <c r="I755" s="113"/>
      <c r="J755" s="113"/>
      <c r="K755" s="28"/>
      <c r="L755" s="28"/>
      <c r="M755" s="70"/>
      <c r="N755" s="70"/>
      <c r="O755" s="70"/>
      <c r="P755" s="70"/>
      <c r="Q755" s="70"/>
      <c r="R755" s="70"/>
      <c r="S755" s="70"/>
      <c r="T755" s="70"/>
      <c r="U755" s="70"/>
      <c r="V755" s="70"/>
      <c r="W755" s="70"/>
    </row>
    <row r="756" customFormat="false" ht="12.75" hidden="false" customHeight="false" outlineLevel="0" collapsed="false">
      <c r="A756" s="32" t="n">
        <v>37271</v>
      </c>
      <c r="B756" s="114"/>
      <c r="C756" s="115"/>
      <c r="D756" s="28"/>
      <c r="E756" s="28"/>
      <c r="F756" s="28"/>
      <c r="G756" s="113"/>
      <c r="H756" s="113"/>
      <c r="I756" s="113"/>
      <c r="J756" s="113"/>
      <c r="K756" s="28"/>
      <c r="L756" s="28"/>
      <c r="M756" s="70"/>
      <c r="N756" s="70"/>
      <c r="O756" s="70"/>
      <c r="P756" s="70"/>
      <c r="Q756" s="70"/>
      <c r="R756" s="70"/>
      <c r="S756" s="70"/>
      <c r="T756" s="70"/>
      <c r="U756" s="70"/>
      <c r="V756" s="70"/>
      <c r="W756" s="70"/>
    </row>
    <row r="757" customFormat="false" ht="12.75" hidden="false" customHeight="false" outlineLevel="0" collapsed="false">
      <c r="A757" s="32" t="n">
        <v>37272</v>
      </c>
      <c r="B757" s="114"/>
      <c r="C757" s="115"/>
      <c r="D757" s="28"/>
      <c r="E757" s="28"/>
      <c r="F757" s="28"/>
      <c r="G757" s="113"/>
      <c r="H757" s="113"/>
      <c r="I757" s="113"/>
      <c r="J757" s="113"/>
      <c r="K757" s="28"/>
      <c r="L757" s="28"/>
      <c r="M757" s="70"/>
      <c r="N757" s="70"/>
      <c r="O757" s="70"/>
      <c r="P757" s="70"/>
      <c r="Q757" s="70"/>
      <c r="R757" s="70"/>
      <c r="S757" s="70"/>
      <c r="T757" s="70"/>
      <c r="U757" s="70"/>
      <c r="V757" s="70"/>
      <c r="W757" s="70"/>
    </row>
    <row r="758" customFormat="false" ht="12.75" hidden="false" customHeight="false" outlineLevel="0" collapsed="false">
      <c r="A758" s="32" t="n">
        <v>37273</v>
      </c>
      <c r="B758" s="114"/>
      <c r="C758" s="115"/>
      <c r="D758" s="28"/>
      <c r="E758" s="28"/>
      <c r="F758" s="28"/>
      <c r="G758" s="113"/>
      <c r="H758" s="113"/>
      <c r="I758" s="113"/>
      <c r="J758" s="113"/>
      <c r="K758" s="28"/>
      <c r="L758" s="28"/>
      <c r="M758" s="70"/>
      <c r="N758" s="70"/>
      <c r="O758" s="70"/>
      <c r="P758" s="70"/>
      <c r="Q758" s="70"/>
      <c r="R758" s="70"/>
      <c r="S758" s="70"/>
      <c r="T758" s="70"/>
      <c r="U758" s="70"/>
      <c r="V758" s="70"/>
      <c r="W758" s="70"/>
    </row>
    <row r="759" customFormat="false" ht="12.75" hidden="false" customHeight="false" outlineLevel="0" collapsed="false">
      <c r="A759" s="32" t="n">
        <v>37274</v>
      </c>
      <c r="B759" s="114"/>
      <c r="C759" s="115"/>
      <c r="D759" s="28"/>
      <c r="E759" s="28"/>
      <c r="F759" s="28"/>
      <c r="G759" s="113"/>
      <c r="H759" s="113"/>
      <c r="I759" s="113"/>
      <c r="J759" s="113"/>
      <c r="K759" s="28"/>
      <c r="L759" s="28"/>
      <c r="M759" s="70"/>
      <c r="N759" s="70"/>
      <c r="O759" s="70"/>
      <c r="P759" s="70"/>
      <c r="Q759" s="70"/>
      <c r="R759" s="70"/>
      <c r="S759" s="70"/>
      <c r="T759" s="70"/>
      <c r="U759" s="70"/>
      <c r="V759" s="70"/>
      <c r="W759" s="70"/>
    </row>
    <row r="760" customFormat="false" ht="12.75" hidden="false" customHeight="false" outlineLevel="0" collapsed="false">
      <c r="A760" s="32" t="n">
        <v>37275</v>
      </c>
      <c r="B760" s="114"/>
      <c r="C760" s="115"/>
      <c r="D760" s="28"/>
      <c r="E760" s="28"/>
      <c r="F760" s="28"/>
      <c r="G760" s="113"/>
      <c r="H760" s="113"/>
      <c r="I760" s="113"/>
      <c r="J760" s="113"/>
      <c r="K760" s="28"/>
      <c r="L760" s="28"/>
      <c r="M760" s="70"/>
      <c r="N760" s="70"/>
      <c r="O760" s="70"/>
      <c r="P760" s="70"/>
      <c r="Q760" s="70"/>
      <c r="R760" s="70"/>
      <c r="S760" s="70"/>
      <c r="T760" s="70"/>
      <c r="U760" s="70"/>
      <c r="V760" s="70"/>
      <c r="W760" s="70"/>
    </row>
    <row r="761" customFormat="false" ht="12.75" hidden="false" customHeight="false" outlineLevel="0" collapsed="false">
      <c r="A761" s="32" t="n">
        <v>37276</v>
      </c>
      <c r="B761" s="114"/>
      <c r="C761" s="115"/>
      <c r="D761" s="28"/>
      <c r="E761" s="28"/>
      <c r="F761" s="28"/>
      <c r="G761" s="113"/>
      <c r="H761" s="113"/>
      <c r="I761" s="113"/>
      <c r="J761" s="113"/>
      <c r="K761" s="28"/>
      <c r="L761" s="28"/>
      <c r="M761" s="70"/>
      <c r="N761" s="70"/>
      <c r="O761" s="70"/>
      <c r="P761" s="70"/>
      <c r="Q761" s="70"/>
      <c r="R761" s="70"/>
      <c r="S761" s="70"/>
      <c r="T761" s="70"/>
      <c r="U761" s="70"/>
      <c r="V761" s="70"/>
      <c r="W761" s="70"/>
    </row>
    <row r="762" customFormat="false" ht="12.75" hidden="false" customHeight="false" outlineLevel="0" collapsed="false">
      <c r="A762" s="32" t="n">
        <v>37277</v>
      </c>
      <c r="B762" s="114"/>
      <c r="C762" s="115"/>
      <c r="D762" s="28"/>
      <c r="E762" s="28"/>
      <c r="F762" s="28"/>
      <c r="G762" s="113"/>
      <c r="H762" s="113"/>
      <c r="I762" s="113"/>
      <c r="J762" s="113"/>
      <c r="K762" s="28"/>
      <c r="L762" s="28"/>
      <c r="M762" s="70"/>
      <c r="N762" s="70"/>
      <c r="O762" s="70"/>
      <c r="P762" s="70"/>
      <c r="Q762" s="70"/>
      <c r="R762" s="70"/>
      <c r="S762" s="70"/>
      <c r="T762" s="70"/>
      <c r="U762" s="70"/>
      <c r="V762" s="70"/>
      <c r="W762" s="70"/>
    </row>
    <row r="763" customFormat="false" ht="12.75" hidden="false" customHeight="false" outlineLevel="0" collapsed="false">
      <c r="A763" s="32" t="n">
        <v>37278</v>
      </c>
      <c r="B763" s="114"/>
      <c r="C763" s="115"/>
      <c r="D763" s="28"/>
      <c r="E763" s="28"/>
      <c r="F763" s="28"/>
      <c r="G763" s="113"/>
      <c r="H763" s="113"/>
      <c r="I763" s="113"/>
      <c r="J763" s="113"/>
      <c r="K763" s="28"/>
      <c r="L763" s="28"/>
      <c r="M763" s="70"/>
      <c r="N763" s="70"/>
      <c r="O763" s="70"/>
      <c r="P763" s="70"/>
      <c r="Q763" s="70"/>
      <c r="R763" s="70"/>
      <c r="S763" s="70"/>
      <c r="T763" s="70"/>
      <c r="U763" s="70"/>
      <c r="V763" s="70"/>
      <c r="W763" s="70"/>
    </row>
    <row r="764" customFormat="false" ht="12.75" hidden="false" customHeight="false" outlineLevel="0" collapsed="false">
      <c r="A764" s="32" t="n">
        <v>37279</v>
      </c>
      <c r="B764" s="114"/>
      <c r="C764" s="115"/>
      <c r="D764" s="28"/>
      <c r="E764" s="28"/>
      <c r="F764" s="28"/>
      <c r="G764" s="113"/>
      <c r="H764" s="113"/>
      <c r="I764" s="113"/>
      <c r="J764" s="113"/>
      <c r="K764" s="28"/>
      <c r="L764" s="28"/>
      <c r="M764" s="70"/>
      <c r="N764" s="70"/>
      <c r="O764" s="70"/>
      <c r="P764" s="70"/>
      <c r="Q764" s="70"/>
      <c r="R764" s="70"/>
      <c r="S764" s="70"/>
      <c r="T764" s="70"/>
      <c r="U764" s="70"/>
      <c r="V764" s="70"/>
      <c r="W764" s="70"/>
    </row>
    <row r="765" customFormat="false" ht="12.75" hidden="false" customHeight="false" outlineLevel="0" collapsed="false">
      <c r="A765" s="32" t="n">
        <v>37280</v>
      </c>
      <c r="B765" s="114"/>
      <c r="C765" s="115"/>
      <c r="D765" s="28"/>
      <c r="E765" s="28"/>
      <c r="F765" s="28"/>
      <c r="G765" s="113"/>
      <c r="H765" s="113"/>
      <c r="I765" s="113"/>
      <c r="J765" s="113"/>
      <c r="K765" s="28"/>
      <c r="L765" s="28"/>
      <c r="M765" s="70"/>
      <c r="N765" s="70"/>
      <c r="O765" s="70"/>
      <c r="P765" s="70"/>
      <c r="Q765" s="70"/>
      <c r="R765" s="70"/>
      <c r="S765" s="70"/>
      <c r="T765" s="70"/>
      <c r="U765" s="70"/>
      <c r="V765" s="70"/>
      <c r="W765" s="70"/>
    </row>
    <row r="766" customFormat="false" ht="12.75" hidden="false" customHeight="false" outlineLevel="0" collapsed="false">
      <c r="A766" s="32" t="n">
        <v>37281</v>
      </c>
      <c r="B766" s="114"/>
      <c r="C766" s="115"/>
      <c r="D766" s="28"/>
      <c r="E766" s="28"/>
      <c r="F766" s="28"/>
      <c r="G766" s="113"/>
      <c r="H766" s="113"/>
      <c r="I766" s="113"/>
      <c r="J766" s="113"/>
      <c r="K766" s="28"/>
      <c r="L766" s="28"/>
      <c r="M766" s="70"/>
      <c r="N766" s="70"/>
      <c r="O766" s="70"/>
      <c r="P766" s="70"/>
      <c r="Q766" s="70"/>
      <c r="R766" s="70"/>
      <c r="S766" s="70"/>
      <c r="T766" s="70"/>
      <c r="U766" s="70"/>
      <c r="V766" s="70"/>
      <c r="W766" s="70"/>
    </row>
    <row r="767" customFormat="false" ht="12.75" hidden="false" customHeight="false" outlineLevel="0" collapsed="false">
      <c r="A767" s="32" t="n">
        <v>37282</v>
      </c>
      <c r="B767" s="114"/>
      <c r="C767" s="115"/>
      <c r="D767" s="28"/>
      <c r="E767" s="28"/>
      <c r="F767" s="28"/>
      <c r="G767" s="113"/>
      <c r="H767" s="113"/>
      <c r="I767" s="113"/>
      <c r="J767" s="113"/>
      <c r="K767" s="28"/>
      <c r="L767" s="28"/>
      <c r="M767" s="70"/>
      <c r="N767" s="70"/>
      <c r="O767" s="70"/>
      <c r="P767" s="70"/>
      <c r="Q767" s="70"/>
      <c r="R767" s="70"/>
      <c r="S767" s="70"/>
      <c r="T767" s="70"/>
      <c r="U767" s="70"/>
      <c r="V767" s="70"/>
      <c r="W767" s="70"/>
    </row>
    <row r="768" customFormat="false" ht="12.75" hidden="false" customHeight="false" outlineLevel="0" collapsed="false">
      <c r="A768" s="32" t="n">
        <v>37283</v>
      </c>
      <c r="B768" s="114"/>
      <c r="C768" s="115"/>
      <c r="D768" s="28"/>
      <c r="E768" s="28"/>
      <c r="F768" s="28"/>
      <c r="G768" s="113"/>
      <c r="H768" s="113"/>
      <c r="I768" s="113"/>
      <c r="J768" s="113"/>
      <c r="K768" s="28"/>
      <c r="L768" s="28"/>
      <c r="M768" s="70"/>
      <c r="N768" s="70"/>
      <c r="O768" s="70"/>
      <c r="P768" s="70"/>
      <c r="Q768" s="70"/>
      <c r="R768" s="70"/>
      <c r="S768" s="70"/>
      <c r="T768" s="70"/>
      <c r="U768" s="70"/>
      <c r="V768" s="70"/>
      <c r="W768" s="70"/>
    </row>
    <row r="769" customFormat="false" ht="12.75" hidden="false" customHeight="false" outlineLevel="0" collapsed="false">
      <c r="A769" s="32" t="n">
        <v>37284</v>
      </c>
      <c r="B769" s="114"/>
      <c r="C769" s="115"/>
      <c r="D769" s="28"/>
      <c r="E769" s="28"/>
      <c r="F769" s="28"/>
      <c r="G769" s="113"/>
      <c r="H769" s="113"/>
      <c r="I769" s="113"/>
      <c r="J769" s="113"/>
      <c r="K769" s="28"/>
      <c r="L769" s="28"/>
      <c r="M769" s="70"/>
      <c r="N769" s="70"/>
      <c r="O769" s="70"/>
      <c r="P769" s="70"/>
      <c r="Q769" s="70"/>
      <c r="R769" s="70"/>
      <c r="S769" s="70"/>
      <c r="T769" s="70"/>
      <c r="U769" s="70"/>
      <c r="V769" s="70"/>
      <c r="W769" s="70"/>
    </row>
    <row r="770" customFormat="false" ht="12.75" hidden="false" customHeight="false" outlineLevel="0" collapsed="false">
      <c r="A770" s="32" t="n">
        <v>37285</v>
      </c>
      <c r="B770" s="114"/>
      <c r="C770" s="115"/>
      <c r="D770" s="28"/>
      <c r="E770" s="28"/>
      <c r="F770" s="28"/>
      <c r="G770" s="113"/>
      <c r="H770" s="113"/>
      <c r="I770" s="113"/>
      <c r="J770" s="113"/>
      <c r="K770" s="28"/>
      <c r="L770" s="28"/>
      <c r="M770" s="70"/>
      <c r="N770" s="70"/>
      <c r="O770" s="70"/>
      <c r="P770" s="70"/>
      <c r="Q770" s="70"/>
      <c r="R770" s="70"/>
      <c r="S770" s="70"/>
      <c r="T770" s="70"/>
      <c r="U770" s="70"/>
      <c r="V770" s="70"/>
      <c r="W770" s="70"/>
    </row>
    <row r="771" customFormat="false" ht="12.75" hidden="false" customHeight="false" outlineLevel="0" collapsed="false">
      <c r="A771" s="32" t="n">
        <v>37286</v>
      </c>
      <c r="B771" s="114"/>
      <c r="C771" s="115"/>
      <c r="D771" s="28"/>
      <c r="E771" s="28"/>
      <c r="F771" s="28"/>
      <c r="G771" s="113"/>
      <c r="H771" s="113"/>
      <c r="I771" s="113"/>
      <c r="J771" s="113"/>
      <c r="K771" s="28"/>
      <c r="L771" s="28"/>
      <c r="M771" s="70"/>
      <c r="N771" s="70"/>
      <c r="O771" s="70"/>
      <c r="P771" s="70"/>
      <c r="Q771" s="70"/>
      <c r="R771" s="70"/>
      <c r="S771" s="70"/>
      <c r="T771" s="70"/>
      <c r="U771" s="70"/>
      <c r="V771" s="70"/>
      <c r="W771" s="70"/>
    </row>
    <row r="772" customFormat="false" ht="12.75" hidden="false" customHeight="false" outlineLevel="0" collapsed="false">
      <c r="A772" s="32" t="n">
        <v>37287</v>
      </c>
      <c r="B772" s="114"/>
      <c r="C772" s="115"/>
      <c r="D772" s="28"/>
      <c r="E772" s="28"/>
      <c r="F772" s="28"/>
      <c r="G772" s="113"/>
      <c r="H772" s="113"/>
      <c r="I772" s="113"/>
      <c r="J772" s="113"/>
      <c r="K772" s="28"/>
      <c r="L772" s="28"/>
      <c r="M772" s="70"/>
      <c r="N772" s="70"/>
      <c r="O772" s="70"/>
      <c r="P772" s="70"/>
      <c r="Q772" s="70"/>
      <c r="R772" s="70"/>
      <c r="S772" s="70"/>
      <c r="T772" s="70"/>
      <c r="U772" s="70"/>
      <c r="V772" s="70"/>
      <c r="W772" s="70"/>
    </row>
    <row r="773" customFormat="false" ht="12.75" hidden="false" customHeight="false" outlineLevel="0" collapsed="false">
      <c r="A773" s="32" t="n">
        <v>37288</v>
      </c>
      <c r="B773" s="114"/>
      <c r="C773" s="115"/>
      <c r="D773" s="28"/>
      <c r="E773" s="28"/>
      <c r="F773" s="28"/>
      <c r="G773" s="113"/>
      <c r="H773" s="113"/>
      <c r="I773" s="113"/>
      <c r="J773" s="113"/>
      <c r="K773" s="28"/>
      <c r="L773" s="28"/>
      <c r="M773" s="70"/>
      <c r="N773" s="70"/>
      <c r="O773" s="70"/>
      <c r="P773" s="70"/>
      <c r="Q773" s="70"/>
      <c r="R773" s="70"/>
      <c r="S773" s="70"/>
      <c r="T773" s="70"/>
      <c r="U773" s="70"/>
      <c r="V773" s="70"/>
      <c r="W773" s="70"/>
    </row>
    <row r="774" customFormat="false" ht="12.75" hidden="false" customHeight="false" outlineLevel="0" collapsed="false">
      <c r="A774" s="32" t="n">
        <v>37289</v>
      </c>
      <c r="B774" s="114"/>
      <c r="C774" s="115"/>
      <c r="D774" s="28"/>
      <c r="E774" s="28"/>
      <c r="F774" s="28"/>
      <c r="G774" s="113"/>
      <c r="H774" s="113"/>
      <c r="I774" s="113"/>
      <c r="J774" s="113"/>
      <c r="K774" s="28"/>
      <c r="L774" s="28"/>
      <c r="M774" s="70"/>
      <c r="N774" s="70"/>
      <c r="O774" s="70"/>
      <c r="P774" s="70"/>
      <c r="Q774" s="70"/>
      <c r="R774" s="70"/>
      <c r="S774" s="70"/>
      <c r="T774" s="70"/>
      <c r="U774" s="70"/>
      <c r="V774" s="70"/>
      <c r="W774" s="70"/>
    </row>
    <row r="775" customFormat="false" ht="12.75" hidden="false" customHeight="false" outlineLevel="0" collapsed="false">
      <c r="A775" s="32" t="n">
        <v>37290</v>
      </c>
      <c r="B775" s="114"/>
      <c r="C775" s="115"/>
      <c r="D775" s="28"/>
      <c r="E775" s="28"/>
      <c r="F775" s="28"/>
      <c r="G775" s="113"/>
      <c r="H775" s="113"/>
      <c r="I775" s="113"/>
      <c r="J775" s="113"/>
      <c r="K775" s="28"/>
      <c r="L775" s="28"/>
      <c r="M775" s="70"/>
      <c r="N775" s="70"/>
      <c r="O775" s="70"/>
      <c r="P775" s="70"/>
      <c r="Q775" s="70"/>
      <c r="R775" s="70"/>
      <c r="S775" s="70"/>
      <c r="T775" s="70"/>
      <c r="U775" s="70"/>
      <c r="V775" s="70"/>
      <c r="W775" s="70"/>
    </row>
    <row r="776" customFormat="false" ht="12.75" hidden="false" customHeight="false" outlineLevel="0" collapsed="false">
      <c r="A776" s="32" t="n">
        <v>37291</v>
      </c>
      <c r="B776" s="114"/>
      <c r="C776" s="115"/>
      <c r="D776" s="28"/>
      <c r="E776" s="28"/>
      <c r="F776" s="28"/>
      <c r="G776" s="113"/>
      <c r="H776" s="113"/>
      <c r="I776" s="113"/>
      <c r="J776" s="113"/>
      <c r="K776" s="28"/>
      <c r="L776" s="28"/>
      <c r="M776" s="70"/>
      <c r="N776" s="70"/>
      <c r="O776" s="70"/>
      <c r="P776" s="70"/>
      <c r="Q776" s="70"/>
      <c r="R776" s="70"/>
      <c r="S776" s="70"/>
      <c r="T776" s="70"/>
      <c r="U776" s="70"/>
      <c r="V776" s="70"/>
      <c r="W776" s="70"/>
    </row>
    <row r="777" customFormat="false" ht="12.75" hidden="false" customHeight="false" outlineLevel="0" collapsed="false">
      <c r="A777" s="32" t="n">
        <v>37292</v>
      </c>
      <c r="B777" s="114"/>
      <c r="C777" s="115"/>
      <c r="D777" s="28"/>
      <c r="E777" s="28"/>
      <c r="F777" s="28"/>
      <c r="G777" s="113"/>
      <c r="H777" s="113"/>
      <c r="I777" s="113"/>
      <c r="J777" s="113"/>
      <c r="K777" s="28"/>
      <c r="L777" s="28"/>
      <c r="M777" s="70"/>
      <c r="N777" s="70"/>
      <c r="O777" s="70"/>
      <c r="P777" s="70"/>
      <c r="Q777" s="70"/>
      <c r="R777" s="70"/>
      <c r="S777" s="70"/>
      <c r="T777" s="70"/>
      <c r="U777" s="70"/>
      <c r="V777" s="70"/>
      <c r="W777" s="70"/>
    </row>
    <row r="778" customFormat="false" ht="12.75" hidden="false" customHeight="false" outlineLevel="0" collapsed="false">
      <c r="A778" s="32" t="n">
        <v>37293</v>
      </c>
      <c r="B778" s="114"/>
      <c r="C778" s="115"/>
      <c r="D778" s="28"/>
      <c r="E778" s="28"/>
      <c r="F778" s="28"/>
      <c r="G778" s="113"/>
      <c r="H778" s="113"/>
      <c r="I778" s="113"/>
      <c r="J778" s="113"/>
      <c r="K778" s="28"/>
      <c r="L778" s="28"/>
      <c r="M778" s="70"/>
      <c r="N778" s="70"/>
      <c r="O778" s="70"/>
      <c r="P778" s="70"/>
      <c r="Q778" s="70"/>
      <c r="R778" s="70"/>
      <c r="S778" s="70"/>
      <c r="T778" s="70"/>
      <c r="U778" s="70"/>
      <c r="V778" s="70"/>
      <c r="W778" s="70"/>
    </row>
    <row r="779" customFormat="false" ht="12.75" hidden="false" customHeight="false" outlineLevel="0" collapsed="false">
      <c r="A779" s="32" t="n">
        <v>37294</v>
      </c>
      <c r="B779" s="114"/>
      <c r="C779" s="115"/>
      <c r="D779" s="28"/>
      <c r="E779" s="28"/>
      <c r="F779" s="28"/>
      <c r="G779" s="113"/>
      <c r="H779" s="113"/>
      <c r="I779" s="113"/>
      <c r="J779" s="113"/>
      <c r="K779" s="28"/>
      <c r="L779" s="28"/>
      <c r="M779" s="70"/>
      <c r="N779" s="70"/>
      <c r="O779" s="70"/>
      <c r="P779" s="70"/>
      <c r="Q779" s="70"/>
      <c r="R779" s="70"/>
      <c r="S779" s="70"/>
      <c r="T779" s="70"/>
      <c r="U779" s="70"/>
      <c r="V779" s="70"/>
      <c r="W779" s="70"/>
    </row>
    <row r="780" customFormat="false" ht="12.75" hidden="false" customHeight="false" outlineLevel="0" collapsed="false">
      <c r="A780" s="32" t="n">
        <v>37295</v>
      </c>
      <c r="B780" s="114"/>
      <c r="C780" s="115"/>
      <c r="D780" s="28"/>
      <c r="E780" s="28"/>
      <c r="F780" s="28"/>
      <c r="G780" s="113"/>
      <c r="H780" s="113"/>
      <c r="I780" s="113"/>
      <c r="J780" s="113"/>
      <c r="K780" s="28"/>
      <c r="L780" s="28"/>
      <c r="M780" s="70"/>
      <c r="N780" s="70"/>
      <c r="O780" s="70"/>
      <c r="P780" s="70"/>
      <c r="Q780" s="70"/>
      <c r="R780" s="70"/>
      <c r="S780" s="70"/>
      <c r="T780" s="70"/>
      <c r="U780" s="70"/>
      <c r="V780" s="70"/>
      <c r="W780" s="70"/>
    </row>
    <row r="781" customFormat="false" ht="12.75" hidden="false" customHeight="false" outlineLevel="0" collapsed="false">
      <c r="A781" s="32" t="n">
        <v>37296</v>
      </c>
      <c r="B781" s="114"/>
      <c r="C781" s="115"/>
      <c r="D781" s="28"/>
      <c r="E781" s="28"/>
      <c r="F781" s="28"/>
      <c r="G781" s="113"/>
      <c r="H781" s="113"/>
      <c r="I781" s="113"/>
      <c r="J781" s="113"/>
      <c r="K781" s="28"/>
      <c r="L781" s="28"/>
      <c r="M781" s="70"/>
      <c r="N781" s="70"/>
      <c r="O781" s="70"/>
      <c r="P781" s="70"/>
      <c r="Q781" s="70"/>
      <c r="R781" s="70"/>
      <c r="S781" s="70"/>
      <c r="T781" s="70"/>
      <c r="U781" s="70"/>
      <c r="V781" s="70"/>
      <c r="W781" s="70"/>
    </row>
    <row r="782" customFormat="false" ht="12.75" hidden="false" customHeight="false" outlineLevel="0" collapsed="false">
      <c r="A782" s="32" t="n">
        <v>37297</v>
      </c>
      <c r="B782" s="114"/>
      <c r="C782" s="115"/>
      <c r="D782" s="28"/>
      <c r="E782" s="28"/>
      <c r="F782" s="28"/>
      <c r="G782" s="113"/>
      <c r="H782" s="113"/>
      <c r="I782" s="113"/>
      <c r="J782" s="113"/>
      <c r="K782" s="28"/>
      <c r="L782" s="28"/>
      <c r="M782" s="70"/>
      <c r="N782" s="70"/>
      <c r="O782" s="70"/>
      <c r="P782" s="70"/>
      <c r="Q782" s="70"/>
      <c r="R782" s="70"/>
      <c r="S782" s="70"/>
      <c r="T782" s="70"/>
      <c r="U782" s="70"/>
      <c r="V782" s="70"/>
      <c r="W782" s="70"/>
    </row>
    <row r="783" customFormat="false" ht="12.75" hidden="false" customHeight="false" outlineLevel="0" collapsed="false">
      <c r="A783" s="32" t="n">
        <v>37298</v>
      </c>
      <c r="B783" s="114"/>
      <c r="C783" s="115"/>
      <c r="D783" s="28"/>
      <c r="E783" s="28"/>
      <c r="F783" s="28"/>
      <c r="G783" s="113"/>
      <c r="H783" s="113"/>
      <c r="I783" s="113"/>
      <c r="J783" s="113"/>
      <c r="K783" s="28"/>
      <c r="L783" s="28"/>
      <c r="M783" s="70"/>
      <c r="N783" s="70"/>
      <c r="O783" s="70"/>
      <c r="P783" s="70"/>
      <c r="Q783" s="70"/>
      <c r="R783" s="70"/>
      <c r="S783" s="70"/>
      <c r="T783" s="70"/>
      <c r="U783" s="70"/>
      <c r="V783" s="70"/>
      <c r="W783" s="70"/>
    </row>
    <row r="784" customFormat="false" ht="12.75" hidden="false" customHeight="false" outlineLevel="0" collapsed="false">
      <c r="A784" s="32" t="n">
        <v>37299</v>
      </c>
      <c r="B784" s="114"/>
      <c r="C784" s="115"/>
      <c r="D784" s="28"/>
      <c r="E784" s="28"/>
      <c r="F784" s="28"/>
      <c r="G784" s="113"/>
      <c r="H784" s="113"/>
      <c r="I784" s="113"/>
      <c r="J784" s="113"/>
      <c r="K784" s="28"/>
      <c r="L784" s="28"/>
      <c r="M784" s="70"/>
      <c r="N784" s="70"/>
      <c r="O784" s="70"/>
      <c r="P784" s="70"/>
      <c r="Q784" s="70"/>
      <c r="R784" s="70"/>
      <c r="S784" s="70"/>
      <c r="T784" s="70"/>
      <c r="U784" s="70"/>
      <c r="V784" s="70"/>
      <c r="W784" s="70"/>
    </row>
    <row r="785" customFormat="false" ht="12.75" hidden="false" customHeight="false" outlineLevel="0" collapsed="false">
      <c r="A785" s="32" t="n">
        <v>37300</v>
      </c>
      <c r="B785" s="114"/>
      <c r="C785" s="115"/>
      <c r="D785" s="28"/>
      <c r="E785" s="28"/>
      <c r="F785" s="28"/>
      <c r="G785" s="113"/>
      <c r="H785" s="113"/>
      <c r="I785" s="113"/>
      <c r="J785" s="113"/>
      <c r="K785" s="28"/>
      <c r="L785" s="28"/>
      <c r="M785" s="70"/>
      <c r="N785" s="70"/>
      <c r="O785" s="70"/>
      <c r="P785" s="70"/>
      <c r="Q785" s="70"/>
      <c r="R785" s="70"/>
      <c r="S785" s="70"/>
      <c r="T785" s="70"/>
      <c r="U785" s="70"/>
      <c r="V785" s="70"/>
      <c r="W785" s="70"/>
    </row>
    <row r="786" customFormat="false" ht="12.75" hidden="false" customHeight="false" outlineLevel="0" collapsed="false">
      <c r="A786" s="32" t="n">
        <v>37301</v>
      </c>
      <c r="B786" s="114"/>
      <c r="C786" s="115"/>
      <c r="D786" s="28"/>
      <c r="E786" s="28"/>
      <c r="F786" s="28"/>
      <c r="G786" s="113"/>
      <c r="H786" s="113"/>
      <c r="I786" s="113"/>
      <c r="J786" s="113"/>
      <c r="K786" s="28"/>
      <c r="L786" s="28"/>
      <c r="M786" s="70"/>
      <c r="N786" s="70"/>
      <c r="O786" s="70"/>
      <c r="P786" s="70"/>
      <c r="Q786" s="70"/>
      <c r="R786" s="70"/>
      <c r="S786" s="70"/>
      <c r="T786" s="70"/>
      <c r="U786" s="70"/>
      <c r="V786" s="70"/>
      <c r="W786" s="70"/>
    </row>
    <row r="787" customFormat="false" ht="12.75" hidden="false" customHeight="false" outlineLevel="0" collapsed="false">
      <c r="A787" s="32" t="n">
        <v>37302</v>
      </c>
      <c r="B787" s="114"/>
      <c r="C787" s="115"/>
      <c r="D787" s="28"/>
      <c r="E787" s="28"/>
      <c r="F787" s="28"/>
      <c r="G787" s="113"/>
      <c r="H787" s="113"/>
      <c r="I787" s="113"/>
      <c r="J787" s="113"/>
      <c r="K787" s="28"/>
      <c r="L787" s="28"/>
      <c r="M787" s="70"/>
      <c r="N787" s="70"/>
      <c r="O787" s="70"/>
      <c r="P787" s="70"/>
      <c r="Q787" s="70"/>
      <c r="R787" s="70"/>
      <c r="S787" s="70"/>
      <c r="T787" s="70"/>
      <c r="U787" s="70"/>
      <c r="V787" s="70"/>
      <c r="W787" s="70"/>
    </row>
    <row r="788" customFormat="false" ht="12.75" hidden="false" customHeight="false" outlineLevel="0" collapsed="false">
      <c r="A788" s="32" t="n">
        <v>37303</v>
      </c>
      <c r="B788" s="114"/>
      <c r="C788" s="115"/>
      <c r="D788" s="28"/>
      <c r="E788" s="28"/>
      <c r="F788" s="28"/>
      <c r="G788" s="113"/>
      <c r="H788" s="113"/>
      <c r="I788" s="113"/>
      <c r="J788" s="113"/>
      <c r="K788" s="28"/>
      <c r="L788" s="28"/>
      <c r="M788" s="70"/>
      <c r="N788" s="70"/>
      <c r="O788" s="70"/>
      <c r="P788" s="70"/>
      <c r="Q788" s="70"/>
      <c r="R788" s="70"/>
      <c r="S788" s="70"/>
      <c r="T788" s="70"/>
      <c r="U788" s="70"/>
      <c r="V788" s="70"/>
      <c r="W788" s="70"/>
    </row>
    <row r="789" customFormat="false" ht="12.75" hidden="false" customHeight="false" outlineLevel="0" collapsed="false">
      <c r="A789" s="32" t="n">
        <v>37304</v>
      </c>
      <c r="B789" s="114"/>
      <c r="C789" s="115"/>
      <c r="D789" s="28"/>
      <c r="E789" s="28"/>
      <c r="F789" s="28"/>
      <c r="G789" s="113"/>
      <c r="H789" s="113"/>
      <c r="I789" s="113"/>
      <c r="J789" s="113"/>
      <c r="K789" s="28"/>
      <c r="L789" s="28"/>
      <c r="M789" s="70"/>
      <c r="N789" s="70"/>
      <c r="O789" s="70"/>
      <c r="P789" s="70"/>
      <c r="Q789" s="70"/>
      <c r="R789" s="70"/>
      <c r="S789" s="70"/>
      <c r="T789" s="70"/>
      <c r="U789" s="70"/>
      <c r="V789" s="70"/>
      <c r="W789" s="70"/>
    </row>
    <row r="790" customFormat="false" ht="12.75" hidden="false" customHeight="false" outlineLevel="0" collapsed="false">
      <c r="A790" s="32" t="n">
        <v>37305</v>
      </c>
      <c r="B790" s="114"/>
      <c r="C790" s="115"/>
      <c r="D790" s="28"/>
      <c r="E790" s="28"/>
      <c r="F790" s="28"/>
      <c r="G790" s="113"/>
      <c r="H790" s="113"/>
      <c r="I790" s="113"/>
      <c r="J790" s="113"/>
      <c r="K790" s="28"/>
      <c r="L790" s="28"/>
      <c r="M790" s="70"/>
      <c r="N790" s="70"/>
      <c r="O790" s="70"/>
      <c r="P790" s="70"/>
      <c r="Q790" s="70"/>
      <c r="R790" s="70"/>
      <c r="S790" s="70"/>
      <c r="T790" s="70"/>
      <c r="U790" s="70"/>
      <c r="V790" s="70"/>
      <c r="W790" s="70"/>
    </row>
    <row r="791" customFormat="false" ht="12.75" hidden="false" customHeight="false" outlineLevel="0" collapsed="false">
      <c r="A791" s="32" t="n">
        <v>37306</v>
      </c>
      <c r="B791" s="114"/>
      <c r="C791" s="115"/>
      <c r="D791" s="28"/>
      <c r="E791" s="28"/>
      <c r="F791" s="28"/>
      <c r="G791" s="113"/>
      <c r="H791" s="113"/>
      <c r="I791" s="113"/>
      <c r="J791" s="113"/>
      <c r="K791" s="28"/>
      <c r="L791" s="28"/>
      <c r="M791" s="70"/>
      <c r="N791" s="70"/>
      <c r="O791" s="70"/>
      <c r="P791" s="70"/>
      <c r="Q791" s="70"/>
      <c r="R791" s="70"/>
      <c r="S791" s="70"/>
      <c r="T791" s="70"/>
      <c r="U791" s="70"/>
      <c r="V791" s="70"/>
      <c r="W791" s="70"/>
    </row>
    <row r="792" customFormat="false" ht="12.75" hidden="false" customHeight="false" outlineLevel="0" collapsed="false">
      <c r="A792" s="32" t="n">
        <v>37307</v>
      </c>
      <c r="B792" s="114"/>
      <c r="C792" s="115"/>
      <c r="D792" s="28"/>
      <c r="E792" s="28"/>
      <c r="F792" s="28"/>
      <c r="G792" s="113"/>
      <c r="H792" s="113"/>
      <c r="I792" s="113"/>
      <c r="J792" s="113"/>
      <c r="K792" s="28"/>
      <c r="L792" s="28"/>
      <c r="M792" s="70"/>
      <c r="N792" s="70"/>
      <c r="O792" s="70"/>
      <c r="P792" s="70"/>
      <c r="Q792" s="70"/>
      <c r="R792" s="70"/>
      <c r="S792" s="70"/>
      <c r="T792" s="70"/>
      <c r="U792" s="70"/>
      <c r="V792" s="70"/>
      <c r="W792" s="70"/>
    </row>
    <row r="793" customFormat="false" ht="12.75" hidden="false" customHeight="false" outlineLevel="0" collapsed="false">
      <c r="A793" s="32" t="n">
        <v>37308</v>
      </c>
      <c r="B793" s="114"/>
      <c r="C793" s="115"/>
      <c r="D793" s="28"/>
      <c r="E793" s="28"/>
      <c r="F793" s="28"/>
      <c r="G793" s="113"/>
      <c r="H793" s="113"/>
      <c r="I793" s="113"/>
      <c r="J793" s="113"/>
      <c r="K793" s="28"/>
      <c r="L793" s="28"/>
      <c r="M793" s="70"/>
      <c r="N793" s="70"/>
      <c r="O793" s="70"/>
      <c r="P793" s="70"/>
      <c r="Q793" s="70"/>
      <c r="R793" s="70"/>
      <c r="S793" s="70"/>
      <c r="T793" s="70"/>
      <c r="U793" s="70"/>
      <c r="V793" s="70"/>
      <c r="W793" s="70"/>
    </row>
    <row r="794" customFormat="false" ht="12.75" hidden="false" customHeight="false" outlineLevel="0" collapsed="false">
      <c r="A794" s="32" t="n">
        <v>37309</v>
      </c>
      <c r="B794" s="114"/>
      <c r="C794" s="115"/>
      <c r="D794" s="28"/>
      <c r="E794" s="28"/>
      <c r="F794" s="28"/>
      <c r="G794" s="113"/>
      <c r="H794" s="113"/>
      <c r="I794" s="113"/>
      <c r="J794" s="113"/>
      <c r="K794" s="28"/>
      <c r="L794" s="28"/>
      <c r="M794" s="70"/>
      <c r="N794" s="70"/>
      <c r="O794" s="70"/>
      <c r="P794" s="70"/>
      <c r="Q794" s="70"/>
      <c r="R794" s="70"/>
      <c r="S794" s="70"/>
      <c r="T794" s="70"/>
      <c r="U794" s="70"/>
      <c r="V794" s="70"/>
      <c r="W794" s="70"/>
    </row>
    <row r="795" customFormat="false" ht="12.75" hidden="false" customHeight="false" outlineLevel="0" collapsed="false">
      <c r="A795" s="32" t="n">
        <v>37310</v>
      </c>
      <c r="B795" s="114"/>
      <c r="C795" s="115"/>
      <c r="D795" s="28"/>
      <c r="E795" s="28"/>
      <c r="F795" s="28"/>
      <c r="G795" s="113"/>
      <c r="H795" s="113"/>
      <c r="I795" s="113"/>
      <c r="J795" s="113"/>
      <c r="K795" s="28"/>
      <c r="L795" s="28"/>
      <c r="M795" s="70"/>
      <c r="N795" s="70"/>
      <c r="O795" s="70"/>
      <c r="P795" s="70"/>
      <c r="Q795" s="70"/>
      <c r="R795" s="70"/>
      <c r="S795" s="70"/>
      <c r="T795" s="70"/>
      <c r="U795" s="70"/>
      <c r="V795" s="70"/>
      <c r="W795" s="70"/>
    </row>
    <row r="796" customFormat="false" ht="12.75" hidden="false" customHeight="false" outlineLevel="0" collapsed="false">
      <c r="A796" s="32" t="n">
        <v>37311</v>
      </c>
      <c r="B796" s="114"/>
      <c r="C796" s="115"/>
      <c r="D796" s="28"/>
      <c r="E796" s="28"/>
      <c r="F796" s="28"/>
      <c r="G796" s="113"/>
      <c r="H796" s="113"/>
      <c r="I796" s="113"/>
      <c r="J796" s="113"/>
      <c r="K796" s="28"/>
      <c r="L796" s="28"/>
      <c r="M796" s="70"/>
      <c r="N796" s="70"/>
      <c r="O796" s="70"/>
      <c r="P796" s="70"/>
      <c r="Q796" s="70"/>
      <c r="R796" s="70"/>
      <c r="S796" s="70"/>
      <c r="T796" s="70"/>
      <c r="U796" s="70"/>
      <c r="V796" s="70"/>
      <c r="W796" s="70"/>
    </row>
    <row r="797" customFormat="false" ht="12.75" hidden="false" customHeight="false" outlineLevel="0" collapsed="false">
      <c r="A797" s="32" t="n">
        <v>37312</v>
      </c>
      <c r="B797" s="114"/>
      <c r="C797" s="115"/>
      <c r="D797" s="28"/>
      <c r="E797" s="28"/>
      <c r="F797" s="28"/>
      <c r="G797" s="113"/>
      <c r="H797" s="113"/>
      <c r="I797" s="113"/>
      <c r="J797" s="113"/>
      <c r="K797" s="28"/>
      <c r="L797" s="28"/>
      <c r="M797" s="70"/>
      <c r="N797" s="70"/>
      <c r="O797" s="70"/>
      <c r="P797" s="70"/>
      <c r="Q797" s="70"/>
      <c r="R797" s="70"/>
      <c r="S797" s="70"/>
      <c r="T797" s="70"/>
      <c r="U797" s="70"/>
      <c r="V797" s="70"/>
      <c r="W797" s="70"/>
    </row>
    <row r="798" customFormat="false" ht="12.75" hidden="false" customHeight="false" outlineLevel="0" collapsed="false">
      <c r="A798" s="32" t="n">
        <v>37313</v>
      </c>
      <c r="B798" s="114"/>
      <c r="C798" s="115"/>
      <c r="D798" s="28"/>
      <c r="E798" s="28"/>
      <c r="F798" s="28"/>
      <c r="G798" s="113"/>
      <c r="H798" s="113"/>
      <c r="I798" s="113"/>
      <c r="J798" s="113"/>
      <c r="K798" s="28"/>
      <c r="L798" s="28"/>
      <c r="M798" s="70"/>
      <c r="N798" s="70"/>
      <c r="O798" s="70"/>
      <c r="P798" s="70"/>
      <c r="Q798" s="70"/>
      <c r="R798" s="70"/>
      <c r="S798" s="70"/>
      <c r="T798" s="70"/>
      <c r="U798" s="70"/>
      <c r="V798" s="70"/>
      <c r="W798" s="70"/>
    </row>
    <row r="799" customFormat="false" ht="12.75" hidden="false" customHeight="false" outlineLevel="0" collapsed="false">
      <c r="A799" s="32" t="n">
        <v>37314</v>
      </c>
      <c r="B799" s="114"/>
      <c r="C799" s="115"/>
      <c r="D799" s="28"/>
      <c r="E799" s="28"/>
      <c r="F799" s="28"/>
      <c r="G799" s="113"/>
      <c r="H799" s="113"/>
      <c r="I799" s="113"/>
      <c r="J799" s="113"/>
      <c r="K799" s="28"/>
      <c r="L799" s="28"/>
      <c r="M799" s="70"/>
      <c r="N799" s="70"/>
      <c r="O799" s="70"/>
      <c r="P799" s="70"/>
      <c r="Q799" s="70"/>
      <c r="R799" s="70"/>
      <c r="S799" s="70"/>
      <c r="T799" s="70"/>
      <c r="U799" s="70"/>
      <c r="V799" s="70"/>
      <c r="W799" s="70"/>
    </row>
    <row r="800" customFormat="false" ht="12.75" hidden="false" customHeight="false" outlineLevel="0" collapsed="false">
      <c r="A800" s="32" t="n">
        <v>37315</v>
      </c>
      <c r="B800" s="114"/>
      <c r="C800" s="115"/>
      <c r="D800" s="28"/>
      <c r="E800" s="28"/>
      <c r="F800" s="28"/>
      <c r="G800" s="113"/>
      <c r="H800" s="113"/>
      <c r="I800" s="113"/>
      <c r="J800" s="113"/>
      <c r="K800" s="28"/>
      <c r="L800" s="28"/>
      <c r="M800" s="70"/>
      <c r="N800" s="70"/>
      <c r="O800" s="70"/>
      <c r="P800" s="70"/>
      <c r="Q800" s="70"/>
      <c r="R800" s="70"/>
      <c r="S800" s="70"/>
      <c r="T800" s="70"/>
      <c r="U800" s="70"/>
      <c r="V800" s="70"/>
      <c r="W800" s="70"/>
    </row>
    <row r="801" customFormat="false" ht="12.75" hidden="false" customHeight="false" outlineLevel="0" collapsed="false">
      <c r="A801" s="32" t="n">
        <v>37316</v>
      </c>
      <c r="B801" s="114"/>
      <c r="C801" s="115"/>
      <c r="D801" s="28"/>
      <c r="E801" s="28"/>
      <c r="F801" s="28"/>
      <c r="G801" s="113"/>
      <c r="H801" s="113"/>
      <c r="I801" s="113"/>
      <c r="J801" s="113"/>
      <c r="K801" s="28"/>
      <c r="L801" s="28"/>
      <c r="M801" s="70"/>
      <c r="N801" s="70"/>
      <c r="O801" s="70"/>
      <c r="P801" s="70"/>
      <c r="Q801" s="70"/>
      <c r="R801" s="70"/>
      <c r="S801" s="70"/>
      <c r="T801" s="70"/>
      <c r="U801" s="70"/>
      <c r="V801" s="70"/>
      <c r="W801" s="70"/>
    </row>
    <row r="802" customFormat="false" ht="12.75" hidden="false" customHeight="false" outlineLevel="0" collapsed="false">
      <c r="A802" s="32" t="n">
        <v>37317</v>
      </c>
      <c r="B802" s="114"/>
      <c r="C802" s="115"/>
      <c r="D802" s="28"/>
      <c r="E802" s="28"/>
      <c r="F802" s="28"/>
      <c r="G802" s="113"/>
      <c r="H802" s="113"/>
      <c r="I802" s="113"/>
      <c r="J802" s="113"/>
      <c r="K802" s="28"/>
      <c r="L802" s="28"/>
      <c r="M802" s="70"/>
      <c r="N802" s="70"/>
      <c r="O802" s="70"/>
      <c r="P802" s="70"/>
      <c r="Q802" s="70"/>
      <c r="R802" s="70"/>
      <c r="S802" s="70"/>
      <c r="T802" s="70"/>
      <c r="U802" s="70"/>
      <c r="V802" s="70"/>
      <c r="W802" s="70"/>
    </row>
    <row r="803" customFormat="false" ht="12.75" hidden="false" customHeight="false" outlineLevel="0" collapsed="false">
      <c r="A803" s="32" t="n">
        <v>37318</v>
      </c>
      <c r="B803" s="114"/>
      <c r="C803" s="115"/>
      <c r="D803" s="28"/>
      <c r="E803" s="28"/>
      <c r="F803" s="28"/>
      <c r="G803" s="113"/>
      <c r="H803" s="113"/>
      <c r="I803" s="113"/>
      <c r="J803" s="113"/>
      <c r="K803" s="28"/>
      <c r="L803" s="28"/>
      <c r="M803" s="70"/>
      <c r="N803" s="70"/>
      <c r="O803" s="70"/>
      <c r="P803" s="70"/>
      <c r="Q803" s="70"/>
      <c r="R803" s="70"/>
      <c r="S803" s="70"/>
      <c r="T803" s="70"/>
      <c r="U803" s="70"/>
      <c r="V803" s="70"/>
      <c r="W803" s="70"/>
    </row>
    <row r="804" customFormat="false" ht="12.75" hidden="false" customHeight="false" outlineLevel="0" collapsed="false">
      <c r="A804" s="32" t="n">
        <v>37319</v>
      </c>
      <c r="B804" s="114"/>
      <c r="C804" s="115"/>
      <c r="D804" s="28"/>
      <c r="E804" s="28"/>
      <c r="F804" s="28"/>
      <c r="G804" s="113"/>
      <c r="H804" s="113"/>
      <c r="I804" s="113"/>
      <c r="J804" s="113"/>
      <c r="K804" s="28"/>
      <c r="L804" s="28"/>
      <c r="M804" s="70"/>
      <c r="N804" s="70"/>
      <c r="O804" s="70"/>
      <c r="P804" s="70"/>
      <c r="Q804" s="70"/>
      <c r="R804" s="70"/>
      <c r="S804" s="70"/>
      <c r="T804" s="70"/>
      <c r="U804" s="70"/>
      <c r="V804" s="70"/>
      <c r="W804" s="70"/>
    </row>
    <row r="805" customFormat="false" ht="12.75" hidden="false" customHeight="false" outlineLevel="0" collapsed="false">
      <c r="A805" s="32" t="n">
        <v>37320</v>
      </c>
      <c r="B805" s="114"/>
      <c r="C805" s="115"/>
      <c r="D805" s="28"/>
      <c r="E805" s="28"/>
      <c r="F805" s="28"/>
      <c r="G805" s="113"/>
      <c r="H805" s="113"/>
      <c r="I805" s="113"/>
      <c r="J805" s="113"/>
      <c r="K805" s="28"/>
      <c r="L805" s="28"/>
      <c r="M805" s="70"/>
      <c r="N805" s="70"/>
      <c r="O805" s="70"/>
      <c r="P805" s="70"/>
      <c r="Q805" s="70"/>
      <c r="R805" s="70"/>
      <c r="S805" s="70"/>
      <c r="T805" s="70"/>
      <c r="U805" s="70"/>
      <c r="V805" s="70"/>
      <c r="W805" s="70"/>
    </row>
    <row r="806" customFormat="false" ht="12.75" hidden="false" customHeight="false" outlineLevel="0" collapsed="false">
      <c r="A806" s="32" t="n">
        <v>37321</v>
      </c>
      <c r="B806" s="114"/>
      <c r="C806" s="115"/>
      <c r="D806" s="28"/>
      <c r="E806" s="28"/>
      <c r="F806" s="28"/>
      <c r="G806" s="113"/>
      <c r="H806" s="113"/>
      <c r="I806" s="113"/>
      <c r="J806" s="113"/>
      <c r="K806" s="28"/>
      <c r="L806" s="28"/>
      <c r="M806" s="70"/>
      <c r="N806" s="70"/>
      <c r="O806" s="70"/>
      <c r="P806" s="70"/>
      <c r="Q806" s="70"/>
      <c r="R806" s="70"/>
      <c r="S806" s="70"/>
      <c r="T806" s="70"/>
      <c r="U806" s="70"/>
      <c r="V806" s="70"/>
      <c r="W806" s="70"/>
    </row>
    <row r="807" customFormat="false" ht="12.75" hidden="false" customHeight="false" outlineLevel="0" collapsed="false">
      <c r="A807" s="32" t="n">
        <v>37322</v>
      </c>
      <c r="B807" s="114"/>
      <c r="C807" s="115"/>
      <c r="D807" s="28"/>
      <c r="E807" s="28"/>
      <c r="F807" s="28"/>
      <c r="G807" s="113"/>
      <c r="H807" s="113"/>
      <c r="I807" s="113"/>
      <c r="J807" s="113"/>
      <c r="K807" s="28"/>
      <c r="L807" s="28"/>
      <c r="M807" s="70"/>
      <c r="N807" s="70"/>
      <c r="O807" s="70"/>
      <c r="P807" s="70"/>
      <c r="Q807" s="70"/>
      <c r="R807" s="70"/>
      <c r="S807" s="70"/>
      <c r="T807" s="70"/>
      <c r="U807" s="70"/>
      <c r="V807" s="70"/>
      <c r="W807" s="70"/>
    </row>
    <row r="808" customFormat="false" ht="12.75" hidden="false" customHeight="false" outlineLevel="0" collapsed="false">
      <c r="A808" s="32" t="n">
        <v>37323</v>
      </c>
      <c r="B808" s="114"/>
      <c r="C808" s="115"/>
      <c r="D808" s="28"/>
      <c r="E808" s="28"/>
      <c r="F808" s="28"/>
      <c r="G808" s="113"/>
      <c r="H808" s="113"/>
      <c r="I808" s="113"/>
      <c r="J808" s="113"/>
      <c r="K808" s="28"/>
      <c r="L808" s="28"/>
      <c r="M808" s="70"/>
      <c r="N808" s="70"/>
      <c r="O808" s="70"/>
      <c r="P808" s="70"/>
      <c r="Q808" s="70"/>
      <c r="R808" s="70"/>
      <c r="S808" s="70"/>
      <c r="T808" s="70"/>
      <c r="U808" s="70"/>
      <c r="V808" s="70"/>
      <c r="W808" s="70"/>
    </row>
    <row r="809" customFormat="false" ht="12.75" hidden="false" customHeight="false" outlineLevel="0" collapsed="false">
      <c r="A809" s="32" t="n">
        <v>37324</v>
      </c>
      <c r="B809" s="114"/>
      <c r="C809" s="115"/>
      <c r="D809" s="28"/>
      <c r="E809" s="28"/>
      <c r="F809" s="28"/>
      <c r="G809" s="113"/>
      <c r="H809" s="113"/>
      <c r="I809" s="113"/>
      <c r="J809" s="113"/>
      <c r="K809" s="28"/>
      <c r="L809" s="28"/>
      <c r="M809" s="70"/>
      <c r="N809" s="70"/>
      <c r="O809" s="70"/>
      <c r="P809" s="70"/>
      <c r="Q809" s="70"/>
      <c r="R809" s="70"/>
      <c r="S809" s="70"/>
      <c r="T809" s="70"/>
      <c r="U809" s="70"/>
      <c r="V809" s="70"/>
      <c r="W809" s="70"/>
    </row>
    <row r="810" customFormat="false" ht="12.75" hidden="false" customHeight="false" outlineLevel="0" collapsed="false">
      <c r="A810" s="32" t="n">
        <v>37325</v>
      </c>
      <c r="B810" s="114"/>
      <c r="C810" s="115"/>
      <c r="D810" s="28"/>
      <c r="E810" s="28"/>
      <c r="F810" s="28"/>
      <c r="G810" s="113"/>
      <c r="H810" s="113"/>
      <c r="I810" s="113"/>
      <c r="J810" s="113"/>
      <c r="K810" s="28"/>
      <c r="L810" s="28"/>
      <c r="M810" s="70"/>
      <c r="N810" s="70"/>
      <c r="O810" s="70"/>
      <c r="P810" s="70"/>
      <c r="Q810" s="70"/>
      <c r="R810" s="70"/>
      <c r="S810" s="70"/>
      <c r="T810" s="70"/>
      <c r="U810" s="70"/>
      <c r="V810" s="70"/>
      <c r="W810" s="70"/>
    </row>
    <row r="811" customFormat="false" ht="12.75" hidden="false" customHeight="false" outlineLevel="0" collapsed="false">
      <c r="A811" s="32" t="n">
        <v>37326</v>
      </c>
      <c r="B811" s="114"/>
      <c r="C811" s="115"/>
      <c r="D811" s="28"/>
      <c r="E811" s="28"/>
      <c r="F811" s="28"/>
      <c r="G811" s="113"/>
      <c r="H811" s="113"/>
      <c r="I811" s="113"/>
      <c r="J811" s="113"/>
      <c r="K811" s="28"/>
      <c r="L811" s="28"/>
      <c r="M811" s="70"/>
      <c r="N811" s="70"/>
      <c r="O811" s="70"/>
      <c r="P811" s="70"/>
      <c r="Q811" s="70"/>
      <c r="R811" s="70"/>
      <c r="S811" s="70"/>
      <c r="T811" s="70"/>
      <c r="U811" s="70"/>
      <c r="V811" s="70"/>
      <c r="W811" s="70"/>
    </row>
    <row r="812" customFormat="false" ht="12.75" hidden="false" customHeight="false" outlineLevel="0" collapsed="false">
      <c r="A812" s="32" t="n">
        <v>37327</v>
      </c>
      <c r="B812" s="114"/>
      <c r="C812" s="115"/>
      <c r="D812" s="28"/>
      <c r="E812" s="28"/>
      <c r="F812" s="28"/>
      <c r="G812" s="113"/>
      <c r="H812" s="113"/>
      <c r="I812" s="113"/>
      <c r="J812" s="113"/>
      <c r="K812" s="28"/>
      <c r="L812" s="28"/>
      <c r="M812" s="70"/>
      <c r="N812" s="70"/>
      <c r="O812" s="70"/>
      <c r="P812" s="70"/>
      <c r="Q812" s="70"/>
      <c r="R812" s="70"/>
      <c r="S812" s="70"/>
      <c r="T812" s="70"/>
      <c r="U812" s="70"/>
      <c r="V812" s="70"/>
      <c r="W812" s="70"/>
    </row>
    <row r="813" customFormat="false" ht="12.75" hidden="false" customHeight="false" outlineLevel="0" collapsed="false">
      <c r="A813" s="32" t="n">
        <v>37328</v>
      </c>
      <c r="B813" s="114"/>
      <c r="C813" s="115"/>
      <c r="D813" s="28"/>
      <c r="E813" s="28"/>
      <c r="F813" s="28"/>
      <c r="G813" s="113"/>
      <c r="H813" s="113"/>
      <c r="I813" s="113"/>
      <c r="J813" s="113"/>
      <c r="K813" s="28"/>
      <c r="L813" s="28"/>
      <c r="M813" s="70"/>
      <c r="N813" s="70"/>
      <c r="O813" s="70"/>
      <c r="P813" s="70"/>
      <c r="Q813" s="70"/>
      <c r="R813" s="70"/>
      <c r="S813" s="70"/>
      <c r="T813" s="70"/>
      <c r="U813" s="70"/>
      <c r="V813" s="70"/>
      <c r="W813" s="70"/>
    </row>
    <row r="814" customFormat="false" ht="12.75" hidden="false" customHeight="false" outlineLevel="0" collapsed="false">
      <c r="A814" s="32" t="n">
        <v>37329</v>
      </c>
      <c r="B814" s="114"/>
      <c r="C814" s="115"/>
      <c r="D814" s="28"/>
      <c r="E814" s="28"/>
      <c r="F814" s="28"/>
      <c r="G814" s="113"/>
      <c r="H814" s="113"/>
      <c r="I814" s="113"/>
      <c r="J814" s="113"/>
      <c r="K814" s="28"/>
      <c r="L814" s="28"/>
      <c r="M814" s="70"/>
      <c r="N814" s="70"/>
      <c r="O814" s="70"/>
      <c r="P814" s="70"/>
      <c r="Q814" s="70"/>
      <c r="R814" s="70"/>
      <c r="S814" s="70"/>
      <c r="T814" s="70"/>
      <c r="U814" s="70"/>
      <c r="V814" s="70"/>
      <c r="W814" s="70"/>
    </row>
    <row r="815" customFormat="false" ht="12.75" hidden="false" customHeight="false" outlineLevel="0" collapsed="false">
      <c r="A815" s="32" t="n">
        <v>37330</v>
      </c>
      <c r="B815" s="114"/>
      <c r="C815" s="115"/>
      <c r="D815" s="28"/>
      <c r="E815" s="28"/>
      <c r="F815" s="28"/>
      <c r="G815" s="113"/>
      <c r="H815" s="113"/>
      <c r="I815" s="113"/>
      <c r="J815" s="113"/>
      <c r="K815" s="28"/>
      <c r="L815" s="28"/>
      <c r="M815" s="70"/>
      <c r="N815" s="70"/>
      <c r="O815" s="70"/>
      <c r="P815" s="70"/>
      <c r="Q815" s="70"/>
      <c r="R815" s="70"/>
      <c r="S815" s="70"/>
      <c r="T815" s="70"/>
      <c r="U815" s="70"/>
      <c r="V815" s="70"/>
      <c r="W815" s="70"/>
    </row>
    <row r="816" customFormat="false" ht="12.75" hidden="false" customHeight="false" outlineLevel="0" collapsed="false">
      <c r="A816" s="32" t="n">
        <v>37331</v>
      </c>
      <c r="B816" s="114"/>
      <c r="C816" s="115"/>
      <c r="D816" s="28"/>
      <c r="E816" s="28"/>
      <c r="F816" s="28"/>
      <c r="G816" s="113"/>
      <c r="H816" s="113"/>
      <c r="I816" s="113"/>
      <c r="J816" s="113"/>
      <c r="K816" s="28"/>
      <c r="L816" s="28"/>
      <c r="M816" s="70"/>
      <c r="N816" s="70"/>
      <c r="O816" s="70"/>
      <c r="P816" s="70"/>
      <c r="Q816" s="70"/>
      <c r="R816" s="70"/>
      <c r="S816" s="70"/>
      <c r="T816" s="70"/>
      <c r="U816" s="70"/>
      <c r="V816" s="70"/>
      <c r="W816" s="70"/>
    </row>
    <row r="817" customFormat="false" ht="12.75" hidden="false" customHeight="false" outlineLevel="0" collapsed="false">
      <c r="A817" s="32" t="n">
        <v>37332</v>
      </c>
      <c r="B817" s="114"/>
      <c r="C817" s="115"/>
      <c r="D817" s="28"/>
      <c r="E817" s="28"/>
      <c r="F817" s="28"/>
      <c r="G817" s="113"/>
      <c r="H817" s="113"/>
      <c r="I817" s="113"/>
      <c r="J817" s="113"/>
      <c r="K817" s="28"/>
      <c r="L817" s="28"/>
      <c r="M817" s="70"/>
      <c r="N817" s="70"/>
      <c r="O817" s="70"/>
      <c r="P817" s="70"/>
      <c r="Q817" s="70"/>
      <c r="R817" s="70"/>
      <c r="S817" s="70"/>
      <c r="T817" s="70"/>
      <c r="U817" s="70"/>
      <c r="V817" s="70"/>
      <c r="W817" s="70"/>
    </row>
    <row r="818" customFormat="false" ht="12.75" hidden="false" customHeight="false" outlineLevel="0" collapsed="false">
      <c r="A818" s="32" t="n">
        <v>37333</v>
      </c>
      <c r="B818" s="114"/>
      <c r="C818" s="115"/>
      <c r="D818" s="28"/>
      <c r="E818" s="28"/>
      <c r="F818" s="28"/>
      <c r="G818" s="113"/>
      <c r="H818" s="113"/>
      <c r="I818" s="113"/>
      <c r="J818" s="113"/>
      <c r="K818" s="28"/>
      <c r="L818" s="28"/>
      <c r="M818" s="70"/>
      <c r="N818" s="70"/>
      <c r="O818" s="70"/>
      <c r="P818" s="70"/>
      <c r="Q818" s="70"/>
      <c r="R818" s="70"/>
      <c r="S818" s="70"/>
      <c r="T818" s="70"/>
      <c r="U818" s="70"/>
      <c r="V818" s="70"/>
      <c r="W818" s="70"/>
    </row>
    <row r="819" customFormat="false" ht="12.75" hidden="false" customHeight="false" outlineLevel="0" collapsed="false">
      <c r="A819" s="32" t="n">
        <v>37334</v>
      </c>
      <c r="B819" s="114"/>
      <c r="C819" s="115"/>
      <c r="D819" s="28"/>
      <c r="E819" s="28"/>
      <c r="F819" s="28"/>
      <c r="G819" s="113"/>
      <c r="H819" s="113"/>
      <c r="I819" s="113"/>
      <c r="J819" s="113"/>
      <c r="K819" s="28"/>
      <c r="L819" s="28"/>
      <c r="M819" s="70"/>
      <c r="N819" s="70"/>
      <c r="O819" s="70"/>
      <c r="P819" s="70"/>
      <c r="Q819" s="70"/>
      <c r="R819" s="70"/>
      <c r="S819" s="70"/>
      <c r="T819" s="70"/>
      <c r="U819" s="70"/>
      <c r="V819" s="70"/>
      <c r="W819" s="70"/>
    </row>
    <row r="820" customFormat="false" ht="12.75" hidden="false" customHeight="false" outlineLevel="0" collapsed="false">
      <c r="A820" s="32" t="n">
        <v>37335</v>
      </c>
      <c r="B820" s="114"/>
      <c r="C820" s="115"/>
      <c r="D820" s="28"/>
      <c r="E820" s="28"/>
      <c r="F820" s="28"/>
      <c r="G820" s="113"/>
      <c r="H820" s="113"/>
      <c r="I820" s="113"/>
      <c r="J820" s="113"/>
      <c r="K820" s="28"/>
      <c r="L820" s="28"/>
      <c r="M820" s="70"/>
      <c r="N820" s="70"/>
      <c r="O820" s="70"/>
      <c r="P820" s="70"/>
      <c r="Q820" s="70"/>
      <c r="R820" s="70"/>
      <c r="S820" s="70"/>
      <c r="T820" s="70"/>
      <c r="U820" s="70"/>
      <c r="V820" s="70"/>
      <c r="W820" s="70"/>
    </row>
    <row r="821" customFormat="false" ht="12.75" hidden="false" customHeight="false" outlineLevel="0" collapsed="false">
      <c r="A821" s="32" t="n">
        <v>37336</v>
      </c>
      <c r="B821" s="114"/>
      <c r="C821" s="115"/>
      <c r="D821" s="28"/>
      <c r="E821" s="28"/>
      <c r="F821" s="28"/>
      <c r="G821" s="113"/>
      <c r="H821" s="113"/>
      <c r="I821" s="113"/>
      <c r="J821" s="113"/>
      <c r="K821" s="28"/>
      <c r="L821" s="28"/>
      <c r="M821" s="70"/>
      <c r="N821" s="70"/>
      <c r="O821" s="70"/>
      <c r="P821" s="70"/>
      <c r="Q821" s="70"/>
      <c r="R821" s="70"/>
      <c r="S821" s="70"/>
      <c r="T821" s="70"/>
      <c r="U821" s="70"/>
      <c r="V821" s="70"/>
      <c r="W821" s="70"/>
    </row>
    <row r="822" customFormat="false" ht="12.75" hidden="false" customHeight="false" outlineLevel="0" collapsed="false">
      <c r="A822" s="32" t="n">
        <v>37337</v>
      </c>
      <c r="B822" s="114"/>
      <c r="C822" s="115"/>
      <c r="D822" s="28"/>
      <c r="E822" s="28"/>
      <c r="F822" s="28"/>
      <c r="G822" s="113"/>
      <c r="H822" s="113"/>
      <c r="I822" s="113"/>
      <c r="J822" s="113"/>
      <c r="K822" s="28"/>
      <c r="L822" s="28"/>
      <c r="M822" s="70"/>
      <c r="N822" s="70"/>
      <c r="O822" s="70"/>
      <c r="P822" s="70"/>
      <c r="Q822" s="70"/>
      <c r="R822" s="70"/>
      <c r="S822" s="70"/>
      <c r="T822" s="70"/>
      <c r="U822" s="70"/>
      <c r="V822" s="70"/>
      <c r="W822" s="70"/>
    </row>
    <row r="823" customFormat="false" ht="12.75" hidden="false" customHeight="false" outlineLevel="0" collapsed="false">
      <c r="A823" s="32" t="n">
        <v>37338</v>
      </c>
      <c r="B823" s="114"/>
      <c r="C823" s="115"/>
      <c r="D823" s="28"/>
      <c r="E823" s="28"/>
      <c r="F823" s="28"/>
      <c r="G823" s="113"/>
      <c r="H823" s="113"/>
      <c r="I823" s="113"/>
      <c r="J823" s="113"/>
      <c r="K823" s="28"/>
      <c r="L823" s="28"/>
      <c r="M823" s="70"/>
      <c r="N823" s="70"/>
      <c r="O823" s="70"/>
      <c r="P823" s="70"/>
      <c r="Q823" s="70"/>
      <c r="R823" s="70"/>
      <c r="S823" s="70"/>
      <c r="T823" s="70"/>
      <c r="U823" s="70"/>
      <c r="V823" s="70"/>
      <c r="W823" s="70"/>
    </row>
    <row r="824" customFormat="false" ht="12.75" hidden="false" customHeight="false" outlineLevel="0" collapsed="false">
      <c r="A824" s="32" t="n">
        <v>37339</v>
      </c>
      <c r="B824" s="114"/>
      <c r="C824" s="115"/>
      <c r="D824" s="28"/>
      <c r="E824" s="28"/>
      <c r="F824" s="28"/>
      <c r="G824" s="113"/>
      <c r="H824" s="113"/>
      <c r="I824" s="113"/>
      <c r="J824" s="113"/>
      <c r="K824" s="28"/>
      <c r="L824" s="28"/>
      <c r="M824" s="70"/>
      <c r="N824" s="70"/>
      <c r="O824" s="70"/>
      <c r="P824" s="70"/>
      <c r="Q824" s="70"/>
      <c r="R824" s="70"/>
      <c r="S824" s="70"/>
      <c r="T824" s="70"/>
      <c r="U824" s="70"/>
      <c r="V824" s="70"/>
      <c r="W824" s="70"/>
    </row>
    <row r="825" customFormat="false" ht="12.75" hidden="false" customHeight="false" outlineLevel="0" collapsed="false">
      <c r="A825" s="32" t="n">
        <v>37340</v>
      </c>
      <c r="B825" s="114"/>
      <c r="C825" s="115"/>
      <c r="D825" s="28"/>
      <c r="E825" s="28"/>
      <c r="F825" s="28"/>
      <c r="G825" s="113"/>
      <c r="H825" s="113"/>
      <c r="I825" s="113"/>
      <c r="J825" s="113"/>
      <c r="K825" s="28"/>
      <c r="L825" s="28"/>
      <c r="M825" s="70"/>
      <c r="N825" s="70"/>
      <c r="O825" s="70"/>
      <c r="P825" s="70"/>
      <c r="Q825" s="70"/>
      <c r="R825" s="70"/>
      <c r="S825" s="70"/>
      <c r="T825" s="70"/>
      <c r="U825" s="70"/>
      <c r="V825" s="70"/>
      <c r="W825" s="70"/>
    </row>
    <row r="826" customFormat="false" ht="8.1" hidden="false" customHeight="true" outlineLevel="0" collapsed="false">
      <c r="A826" s="32"/>
      <c r="B826" s="114"/>
      <c r="C826" s="115"/>
      <c r="D826" s="28"/>
      <c r="E826" s="28"/>
      <c r="F826" s="28"/>
      <c r="G826" s="113"/>
      <c r="H826" s="113"/>
      <c r="I826" s="113"/>
      <c r="J826" s="113"/>
      <c r="K826" s="28"/>
      <c r="L826" s="28"/>
      <c r="M826" s="70"/>
      <c r="N826" s="70"/>
      <c r="O826" s="70"/>
      <c r="P826" s="70"/>
      <c r="Q826" s="70"/>
      <c r="R826" s="70"/>
      <c r="S826" s="70"/>
      <c r="T826" s="70"/>
      <c r="U826" s="70"/>
      <c r="V826" s="70"/>
    </row>
    <row r="827" customFormat="false" ht="20.1" hidden="false" customHeight="true" outlineLevel="0" collapsed="false">
      <c r="A827" s="116" t="s">
        <v>156</v>
      </c>
      <c r="B827" s="114"/>
    </row>
    <row r="828" customFormat="false" ht="20.25" hidden="false" customHeight="false" outlineLevel="0" collapsed="false">
      <c r="A828" s="116" t="s">
        <v>157</v>
      </c>
      <c r="B828" s="114"/>
    </row>
    <row r="829" customFormat="false" ht="20.25" hidden="false" customHeight="false" outlineLevel="0" collapsed="false">
      <c r="A829" s="116" t="s">
        <v>158</v>
      </c>
      <c r="B829" s="114"/>
    </row>
    <row r="830" customFormat="false" ht="12.75" hidden="false" customHeight="false" outlineLevel="0" collapsed="false">
      <c r="B830" s="114"/>
    </row>
    <row r="831" customFormat="false" ht="12.75" hidden="false" customHeight="false" outlineLevel="0" collapsed="false">
      <c r="B831" s="114"/>
    </row>
    <row r="832" customFormat="false" ht="12.75" hidden="false" customHeight="false" outlineLevel="0" collapsed="false">
      <c r="B832" s="114"/>
    </row>
    <row r="833" customFormat="false" ht="12.75" hidden="false" customHeight="false" outlineLevel="0" collapsed="false">
      <c r="B833" s="114"/>
    </row>
    <row r="834" customFormat="false" ht="12.75" hidden="false" customHeight="false" outlineLevel="0" collapsed="false">
      <c r="B834" s="114"/>
    </row>
    <row r="835" customFormat="false" ht="12.75" hidden="false" customHeight="false" outlineLevel="0" collapsed="false">
      <c r="B835" s="114"/>
    </row>
    <row r="836" customFormat="false" ht="12.75" hidden="false" customHeight="false" outlineLevel="0" collapsed="false">
      <c r="B836" s="114"/>
    </row>
    <row r="837" customFormat="false" ht="12.75" hidden="false" customHeight="false" outlineLevel="0" collapsed="false">
      <c r="B837" s="114"/>
    </row>
    <row r="838" customFormat="false" ht="12.75" hidden="false" customHeight="false" outlineLevel="0" collapsed="false">
      <c r="B838" s="114"/>
    </row>
    <row r="839" customFormat="false" ht="12.75" hidden="false" customHeight="false" outlineLevel="0" collapsed="false">
      <c r="B839" s="114"/>
    </row>
    <row r="840" customFormat="false" ht="12.75" hidden="false" customHeight="false" outlineLevel="0" collapsed="false">
      <c r="B840" s="114"/>
    </row>
    <row r="841" customFormat="false" ht="12.75" hidden="false" customHeight="false" outlineLevel="0" collapsed="false">
      <c r="B841" s="114"/>
    </row>
    <row r="842" customFormat="false" ht="12.75" hidden="false" customHeight="false" outlineLevel="0" collapsed="false">
      <c r="B842" s="114"/>
    </row>
    <row r="843" customFormat="false" ht="12.75" hidden="false" customHeight="false" outlineLevel="0" collapsed="false">
      <c r="B843" s="114"/>
    </row>
    <row r="844" customFormat="false" ht="12.75" hidden="false" customHeight="false" outlineLevel="0" collapsed="false">
      <c r="B844" s="114"/>
    </row>
    <row r="845" customFormat="false" ht="12.75" hidden="false" customHeight="false" outlineLevel="0" collapsed="false">
      <c r="B845" s="114"/>
    </row>
    <row r="846" customFormat="false" ht="12.75" hidden="false" customHeight="false" outlineLevel="0" collapsed="false">
      <c r="B846" s="114"/>
    </row>
    <row r="847" customFormat="false" ht="12.75" hidden="false" customHeight="false" outlineLevel="0" collapsed="false">
      <c r="B847" s="114"/>
    </row>
    <row r="848" customFormat="false" ht="12.75" hidden="false" customHeight="false" outlineLevel="0" collapsed="false">
      <c r="B848" s="114"/>
    </row>
    <row r="849" customFormat="false" ht="12.75" hidden="false" customHeight="false" outlineLevel="0" collapsed="false">
      <c r="B849" s="114"/>
    </row>
    <row r="850" customFormat="false" ht="12.75" hidden="false" customHeight="false" outlineLevel="0" collapsed="false">
      <c r="B850" s="114"/>
    </row>
    <row r="851" customFormat="false" ht="12.75" hidden="false" customHeight="false" outlineLevel="0" collapsed="false">
      <c r="B851" s="114"/>
    </row>
    <row r="852" customFormat="false" ht="12.75" hidden="false" customHeight="false" outlineLevel="0" collapsed="false">
      <c r="B852" s="114"/>
    </row>
    <row r="853" customFormat="false" ht="12.75" hidden="false" customHeight="false" outlineLevel="0" collapsed="false">
      <c r="B853" s="114"/>
    </row>
    <row r="854" customFormat="false" ht="12.75" hidden="false" customHeight="false" outlineLevel="0" collapsed="false">
      <c r="B854" s="114"/>
    </row>
    <row r="855" customFormat="false" ht="12.75" hidden="false" customHeight="false" outlineLevel="0" collapsed="false">
      <c r="B855" s="114"/>
    </row>
    <row r="856" customFormat="false" ht="12.75" hidden="false" customHeight="false" outlineLevel="0" collapsed="false">
      <c r="B856" s="114"/>
    </row>
    <row r="857" customFormat="false" ht="12.75" hidden="false" customHeight="false" outlineLevel="0" collapsed="false">
      <c r="B857" s="114"/>
    </row>
    <row r="858" customFormat="false" ht="12.75" hidden="false" customHeight="false" outlineLevel="0" collapsed="false">
      <c r="B858" s="114"/>
    </row>
    <row r="859" customFormat="false" ht="12.75" hidden="false" customHeight="false" outlineLevel="0" collapsed="false">
      <c r="B859" s="114"/>
    </row>
    <row r="860" customFormat="false" ht="12.75" hidden="false" customHeight="false" outlineLevel="0" collapsed="false">
      <c r="B860" s="114"/>
    </row>
    <row r="861" customFormat="false" ht="12.75" hidden="false" customHeight="false" outlineLevel="0" collapsed="false">
      <c r="B861" s="114"/>
    </row>
    <row r="862" customFormat="false" ht="12.75" hidden="false" customHeight="false" outlineLevel="0" collapsed="false">
      <c r="B862" s="114"/>
    </row>
    <row r="863" customFormat="false" ht="12.75" hidden="false" customHeight="false" outlineLevel="0" collapsed="false">
      <c r="B863" s="114"/>
    </row>
    <row r="864" customFormat="false" ht="12.75" hidden="false" customHeight="false" outlineLevel="0" collapsed="false">
      <c r="B864" s="114"/>
    </row>
    <row r="865" customFormat="false" ht="12.75" hidden="false" customHeight="false" outlineLevel="0" collapsed="false">
      <c r="B865" s="114"/>
    </row>
    <row r="866" customFormat="false" ht="12.75" hidden="false" customHeight="false" outlineLevel="0" collapsed="false">
      <c r="B866" s="114"/>
    </row>
    <row r="867" customFormat="false" ht="12.75" hidden="false" customHeight="false" outlineLevel="0" collapsed="false">
      <c r="B867" s="114"/>
    </row>
    <row r="868" customFormat="false" ht="12.75" hidden="false" customHeight="false" outlineLevel="0" collapsed="false">
      <c r="B868" s="114"/>
    </row>
    <row r="869" customFormat="false" ht="12.75" hidden="false" customHeight="false" outlineLevel="0" collapsed="false">
      <c r="B869" s="114"/>
    </row>
    <row r="870" customFormat="false" ht="12.75" hidden="false" customHeight="false" outlineLevel="0" collapsed="false">
      <c r="B870" s="114"/>
    </row>
    <row r="871" customFormat="false" ht="12.75" hidden="false" customHeight="false" outlineLevel="0" collapsed="false">
      <c r="B871" s="114"/>
    </row>
    <row r="872" customFormat="false" ht="12.75" hidden="false" customHeight="false" outlineLevel="0" collapsed="false">
      <c r="B872" s="114"/>
    </row>
    <row r="873" customFormat="false" ht="12.75" hidden="false" customHeight="false" outlineLevel="0" collapsed="false">
      <c r="B873" s="114"/>
    </row>
    <row r="874" customFormat="false" ht="12.75" hidden="false" customHeight="false" outlineLevel="0" collapsed="false">
      <c r="B874" s="114"/>
    </row>
    <row r="875" customFormat="false" ht="12.75" hidden="false" customHeight="false" outlineLevel="0" collapsed="false">
      <c r="B875" s="114"/>
    </row>
    <row r="876" customFormat="false" ht="12.75" hidden="false" customHeight="false" outlineLevel="0" collapsed="false">
      <c r="B876" s="114"/>
    </row>
    <row r="877" customFormat="false" ht="12.75" hidden="false" customHeight="false" outlineLevel="0" collapsed="false">
      <c r="B877" s="114"/>
    </row>
    <row r="878" customFormat="false" ht="12.75" hidden="false" customHeight="false" outlineLevel="0" collapsed="false">
      <c r="B878" s="114"/>
    </row>
    <row r="879" customFormat="false" ht="12.75" hidden="false" customHeight="false" outlineLevel="0" collapsed="false">
      <c r="B879" s="114"/>
    </row>
    <row r="880" customFormat="false" ht="12.75" hidden="false" customHeight="false" outlineLevel="0" collapsed="false">
      <c r="B880" s="114"/>
    </row>
    <row r="881" customFormat="false" ht="12.75" hidden="false" customHeight="false" outlineLevel="0" collapsed="false">
      <c r="B881" s="114"/>
    </row>
    <row r="882" customFormat="false" ht="12.75" hidden="false" customHeight="false" outlineLevel="0" collapsed="false">
      <c r="B882" s="114"/>
    </row>
    <row r="883" customFormat="false" ht="12.75" hidden="false" customHeight="false" outlineLevel="0" collapsed="false">
      <c r="B883" s="114"/>
    </row>
    <row r="884" customFormat="false" ht="12.75" hidden="false" customHeight="false" outlineLevel="0" collapsed="false">
      <c r="B884" s="11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A131"/>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pane xSplit="2" ySplit="3" topLeftCell="H21" activePane="bottomRight" state="frozen"/>
      <selection pane="topLeft" activeCell="A18" activeCellId="0" sqref="A18"/>
      <selection pane="topRight" activeCell="H18" activeCellId="0" sqref="H18"/>
      <selection pane="bottomLeft" activeCell="A21" activeCellId="0" sqref="A21"/>
      <selection pane="bottomRight" activeCell="M21" activeCellId="0" sqref="M2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4.28"/>
    <col collapsed="false" customWidth="true" hidden="false" outlineLevel="0" max="3" min="3" style="117" width="12.7"/>
    <col collapsed="false" customWidth="true" hidden="false" outlineLevel="0" max="4" min="4" style="117" width="13.85"/>
    <col collapsed="false" customWidth="true" hidden="false" outlineLevel="0" max="5" min="5" style="117" width="12.28"/>
    <col collapsed="false" customWidth="true" hidden="false" outlineLevel="0" max="6" min="6" style="117" width="1.41"/>
    <col collapsed="false" customWidth="true" hidden="false" outlineLevel="0" max="8" min="7" style="117" width="13.85"/>
    <col collapsed="false" customWidth="true" hidden="false" outlineLevel="0" max="9" min="9" style="117" width="12.99"/>
    <col collapsed="false" customWidth="true" hidden="false" outlineLevel="0" max="10" min="10" style="0" width="15.85"/>
    <col collapsed="false" customWidth="true" hidden="false" outlineLevel="0" max="11" min="11" style="0" width="13.14"/>
    <col collapsed="false" customWidth="true" hidden="false" outlineLevel="0" max="12" min="12" style="0" width="1.99"/>
    <col collapsed="false" customWidth="true" hidden="false" outlineLevel="0" max="13" min="13" style="0" width="12.99"/>
    <col collapsed="false" customWidth="true" hidden="false" outlineLevel="0" max="16" min="14" style="0" width="13.14"/>
    <col collapsed="false" customWidth="true" hidden="false" outlineLevel="0" max="17" min="17" style="0" width="14.41"/>
    <col collapsed="false" customWidth="true" hidden="false" outlineLevel="0" max="18" min="18" style="0" width="1.13"/>
    <col collapsed="false" customWidth="true" hidden="false" outlineLevel="0" max="19" min="19" style="0" width="12.85"/>
    <col collapsed="false" customWidth="true" hidden="false" outlineLevel="0" max="22" min="20" style="0" width="12.28"/>
    <col collapsed="false" customWidth="true" hidden="false" outlineLevel="0" max="23" min="23" style="0" width="9.41"/>
    <col collapsed="false" customWidth="true" hidden="false" outlineLevel="0" max="24" min="24" style="0" width="1.13"/>
    <col collapsed="false" customWidth="true" hidden="false" outlineLevel="0" max="25" min="25" style="0" width="14.41"/>
    <col collapsed="false" customWidth="true" hidden="false" outlineLevel="0" max="26" min="26" style="0" width="17.42"/>
  </cols>
  <sheetData>
    <row r="2" customFormat="false" ht="12.75" hidden="false" customHeight="false" outlineLevel="0" collapsed="false">
      <c r="B2" s="0" t="s">
        <v>159</v>
      </c>
    </row>
    <row r="5" customFormat="false" ht="12.75" hidden="false" customHeight="false" outlineLevel="0" collapsed="false">
      <c r="B5" s="0" t="s">
        <v>160</v>
      </c>
    </row>
    <row r="6" customFormat="false" ht="12.75" hidden="false" customHeight="false" outlineLevel="0" collapsed="false">
      <c r="C6" s="117" t="s">
        <v>161</v>
      </c>
    </row>
    <row r="7" customFormat="false" ht="12.75" hidden="false" customHeight="false" outlineLevel="0" collapsed="false">
      <c r="C7" s="117" t="s">
        <v>162</v>
      </c>
    </row>
    <row r="8" customFormat="false" ht="12.75" hidden="false" customHeight="false" outlineLevel="0" collapsed="false">
      <c r="C8" s="117" t="s">
        <v>163</v>
      </c>
    </row>
    <row r="9" customFormat="false" ht="12.75" hidden="false" customHeight="false" outlineLevel="0" collapsed="false">
      <c r="C9" s="117" t="s">
        <v>164</v>
      </c>
    </row>
    <row r="10" customFormat="false" ht="12.75" hidden="false" customHeight="false" outlineLevel="0" collapsed="false">
      <c r="C10" s="117" t="s">
        <v>165</v>
      </c>
    </row>
    <row r="12" customFormat="false" ht="12.75" hidden="false" customHeight="false" outlineLevel="0" collapsed="false">
      <c r="C12" s="117" t="s">
        <v>166</v>
      </c>
    </row>
    <row r="13" customFormat="false" ht="12.75" hidden="false" customHeight="false" outlineLevel="0" collapsed="false">
      <c r="C13" s="117" t="s">
        <v>167</v>
      </c>
    </row>
    <row r="15" customFormat="false" ht="12.75" hidden="false" customHeight="false" outlineLevel="0" collapsed="false">
      <c r="C15" s="117" t="s">
        <v>168</v>
      </c>
    </row>
    <row r="18" customFormat="false" ht="12.75" hidden="false" customHeight="false" outlineLevel="0" collapsed="false">
      <c r="A18" s="118" t="n">
        <f aca="false">LOOKUP(Input!B16,Input!A20:A498)</f>
        <v>36707</v>
      </c>
      <c r="L18" s="41"/>
      <c r="R18" s="41"/>
      <c r="S18" s="17"/>
      <c r="T18" s="17"/>
      <c r="U18" s="17"/>
      <c r="V18" s="17"/>
      <c r="W18" s="17"/>
      <c r="X18" s="17"/>
    </row>
    <row r="19" customFormat="false" ht="12.75" hidden="false" customHeight="false" outlineLevel="0" collapsed="false">
      <c r="C19" s="119" t="s">
        <v>169</v>
      </c>
      <c r="F19" s="120"/>
      <c r="G19" s="23" t="s">
        <v>9</v>
      </c>
      <c r="H19" s="23" t="s">
        <v>9</v>
      </c>
      <c r="I19" s="23" t="s">
        <v>9</v>
      </c>
      <c r="J19" s="23" t="s">
        <v>9</v>
      </c>
      <c r="K19" s="121"/>
      <c r="L19" s="122"/>
      <c r="M19" s="23" t="s">
        <v>9</v>
      </c>
      <c r="N19" s="23" t="s">
        <v>9</v>
      </c>
      <c r="O19" s="23" t="s">
        <v>9</v>
      </c>
      <c r="P19" s="23" t="s">
        <v>9</v>
      </c>
      <c r="Q19" s="121"/>
      <c r="R19" s="122"/>
      <c r="S19" s="23" t="s">
        <v>9</v>
      </c>
      <c r="T19" s="23" t="s">
        <v>9</v>
      </c>
      <c r="U19" s="23" t="s">
        <v>9</v>
      </c>
      <c r="V19" s="23" t="s">
        <v>9</v>
      </c>
      <c r="W19" s="121"/>
      <c r="X19" s="122"/>
    </row>
    <row r="20" customFormat="false" ht="12.75" hidden="false" customHeight="false" outlineLevel="0" collapsed="false">
      <c r="A20" s="110" t="s">
        <v>17</v>
      </c>
      <c r="B20" s="110"/>
      <c r="C20" s="123" t="n">
        <v>36068</v>
      </c>
      <c r="D20" s="123" t="n">
        <v>36160</v>
      </c>
      <c r="E20" s="124" t="s">
        <v>170</v>
      </c>
      <c r="F20" s="125"/>
      <c r="G20" s="126" t="n">
        <v>36250</v>
      </c>
      <c r="H20" s="126" t="n">
        <v>36341</v>
      </c>
      <c r="I20" s="126" t="n">
        <v>36433</v>
      </c>
      <c r="J20" s="126" t="n">
        <v>36525</v>
      </c>
      <c r="K20" s="127" t="s">
        <v>171</v>
      </c>
      <c r="L20" s="128"/>
      <c r="M20" s="129" t="n">
        <v>36616</v>
      </c>
      <c r="N20" s="126" t="n">
        <v>36707</v>
      </c>
      <c r="O20" s="126" t="n">
        <v>36799</v>
      </c>
      <c r="P20" s="126" t="n">
        <v>36891</v>
      </c>
      <c r="Q20" s="127" t="s">
        <v>172</v>
      </c>
      <c r="R20" s="128"/>
      <c r="S20" s="129" t="n">
        <v>36981</v>
      </c>
      <c r="T20" s="126" t="n">
        <v>37072</v>
      </c>
      <c r="U20" s="126" t="n">
        <v>37164</v>
      </c>
      <c r="V20" s="126" t="n">
        <v>37256</v>
      </c>
      <c r="W20" s="127" t="s">
        <v>173</v>
      </c>
      <c r="X20" s="128"/>
      <c r="Y20" s="127" t="s">
        <v>95</v>
      </c>
      <c r="Z20" s="110" t="s">
        <v>95</v>
      </c>
    </row>
    <row r="21" customFormat="false" ht="12.75" hidden="false" customHeight="false" outlineLevel="0" collapsed="false">
      <c r="A21" s="0" t="s">
        <v>174</v>
      </c>
      <c r="B21" s="0" t="s">
        <v>175</v>
      </c>
      <c r="C21" s="130" t="n">
        <v>53.5</v>
      </c>
      <c r="D21" s="130" t="n">
        <v>57.0625</v>
      </c>
      <c r="E21" s="131"/>
      <c r="F21" s="132"/>
      <c r="G21" s="130" t="n">
        <v>64.25</v>
      </c>
      <c r="H21" s="130" t="n">
        <v>81.75</v>
      </c>
      <c r="I21" s="133" t="n">
        <v>41.0625</v>
      </c>
      <c r="J21" s="130" t="n">
        <v>44.375</v>
      </c>
      <c r="K21" s="17"/>
      <c r="L21" s="41"/>
      <c r="M21" s="134" t="n">
        <f aca="false">IF($A$18&lt;=M20,LOOKUP(Input!$B16,Input!$A20:$A827,Input!$B20:$B827),LOOKUP(M20,Input!$A20:$A827,Input!$B20:$B827))</f>
        <v>74.875</v>
      </c>
      <c r="N21" s="134" t="n">
        <f aca="false">IF($A$18&lt;=N20,LOOKUP(Input!$B16,Input!$A20:$A827,Input!$B20:$B827),LOOKUP(N20,Input!$A20:$A827,Input!$B20:$B827))</f>
        <v>64.5</v>
      </c>
      <c r="O21" s="134" t="n">
        <f aca="false">IF($A$18&lt;=O20,LOOKUP(Input!$B16,Input!$A20:$A827,Input!$B20:$B827),LOOKUP(O20,Input!$A20:$A827,Input!$B20:$B827))</f>
        <v>64.5</v>
      </c>
      <c r="P21" s="134" t="n">
        <f aca="false">IF($A$18&lt;=P20,LOOKUP(Input!$B16,Input!$A20:$A827,Input!$B20:$B827),LOOKUP(P20,Input!$A20:$A827,Input!$B20:$B827))</f>
        <v>64.5</v>
      </c>
      <c r="Q21" s="17"/>
      <c r="R21" s="41"/>
      <c r="S21" s="134" t="n">
        <f aca="false">IF($A$18&lt;=S20,LOOKUP(Input!$B16,Input!$A20:$A827,Input!$B20:$B827),LOOKUP(S20,Input!$A20:$A827,Input!$B20:$B827))</f>
        <v>64.5</v>
      </c>
      <c r="T21" s="134" t="n">
        <f aca="false">IF($A$18&lt;=T20,LOOKUP(Input!$B16,Input!$A20:$A827,Input!$B20:$B827),LOOKUP(T20,Input!$A20:$A827,Input!$B20:$B827))</f>
        <v>64.5</v>
      </c>
      <c r="U21" s="134" t="n">
        <f aca="false">IF($A$18&lt;=U20,LOOKUP(Input!$B16,Input!$A20:$A827,Input!$B20:$B827),LOOKUP(U20,Input!$A20:$A827,Input!$B20:$B827))</f>
        <v>64.5</v>
      </c>
      <c r="V21" s="134" t="n">
        <f aca="false">IF($A$18&lt;=V20,LOOKUP(Input!$B16,Input!$A20:$A827,Input!$B20:$B827),LOOKUP(V20,Input!$A20:$A827,Input!$B20:$B827))</f>
        <v>64.5</v>
      </c>
      <c r="W21" s="17"/>
      <c r="X21" s="41"/>
    </row>
    <row r="22" customFormat="false" ht="12.75" hidden="false" customHeight="false" outlineLevel="0" collapsed="false">
      <c r="A22" s="135" t="n">
        <v>54.0625</v>
      </c>
      <c r="B22" s="51" t="s">
        <v>176</v>
      </c>
      <c r="C22" s="130" t="n">
        <v>54.0625</v>
      </c>
      <c r="D22" s="130" t="n">
        <v>54.0625</v>
      </c>
      <c r="E22" s="131"/>
      <c r="F22" s="132"/>
      <c r="G22" s="133" t="n">
        <v>71</v>
      </c>
      <c r="H22" s="133" t="n">
        <v>71</v>
      </c>
      <c r="I22" s="133" t="n">
        <v>35.5</v>
      </c>
      <c r="J22" s="133" t="n">
        <v>35.5</v>
      </c>
      <c r="K22" s="17"/>
      <c r="L22" s="41"/>
      <c r="M22" s="136" t="n">
        <v>35.5</v>
      </c>
      <c r="N22" s="136" t="n">
        <v>35.5</v>
      </c>
      <c r="O22" s="136" t="n">
        <v>35.5</v>
      </c>
      <c r="P22" s="136" t="n">
        <v>35.5</v>
      </c>
      <c r="Q22" s="86"/>
      <c r="R22" s="92"/>
      <c r="S22" s="136" t="n">
        <v>35.5</v>
      </c>
      <c r="T22" s="136" t="n">
        <v>35.5</v>
      </c>
      <c r="U22" s="136" t="n">
        <v>35.5</v>
      </c>
      <c r="V22" s="136" t="n">
        <v>35.5</v>
      </c>
      <c r="W22" s="17"/>
      <c r="X22" s="41"/>
    </row>
    <row r="23" customFormat="false" ht="12.75" hidden="false" customHeight="false" outlineLevel="0" collapsed="false">
      <c r="A23" s="0" t="s">
        <v>177</v>
      </c>
      <c r="E23" s="137"/>
      <c r="F23" s="120"/>
      <c r="H23" s="138"/>
      <c r="I23" s="139"/>
      <c r="J23" s="139"/>
      <c r="K23" s="17"/>
      <c r="L23" s="41"/>
      <c r="M23" s="117"/>
      <c r="N23" s="138"/>
      <c r="O23" s="139"/>
      <c r="P23" s="139"/>
      <c r="Q23" s="17"/>
      <c r="R23" s="41"/>
      <c r="S23" s="117"/>
      <c r="T23" s="138"/>
      <c r="U23" s="139"/>
      <c r="V23" s="139"/>
      <c r="W23" s="17"/>
      <c r="X23" s="41"/>
    </row>
    <row r="24" customFormat="false" ht="12.75" hidden="false" customHeight="false" outlineLevel="0" collapsed="false">
      <c r="A24" s="113" t="n">
        <v>6006402</v>
      </c>
      <c r="B24" s="113"/>
      <c r="E24" s="137"/>
      <c r="F24" s="120"/>
      <c r="G24" s="140"/>
      <c r="H24" s="138"/>
      <c r="I24" s="138"/>
      <c r="J24" s="138"/>
      <c r="K24" s="17"/>
      <c r="L24" s="41"/>
      <c r="M24" s="140"/>
      <c r="N24" s="138"/>
      <c r="O24" s="138"/>
      <c r="P24" s="138"/>
      <c r="Q24" s="17"/>
      <c r="R24" s="41"/>
      <c r="S24" s="140"/>
      <c r="T24" s="138"/>
      <c r="U24" s="138"/>
      <c r="V24" s="138"/>
      <c r="W24" s="17"/>
      <c r="X24" s="41"/>
      <c r="AA24" s="141" t="s">
        <v>178</v>
      </c>
    </row>
    <row r="25" customFormat="false" ht="12.75" hidden="false" customHeight="false" outlineLevel="0" collapsed="false">
      <c r="A25" s="51" t="s">
        <v>179</v>
      </c>
      <c r="E25" s="137"/>
      <c r="F25" s="120"/>
      <c r="G25" s="140"/>
      <c r="H25" s="138"/>
      <c r="I25" s="138"/>
      <c r="J25" s="138"/>
      <c r="K25" s="17"/>
      <c r="L25" s="41"/>
      <c r="M25" s="140"/>
      <c r="N25" s="138"/>
      <c r="O25" s="138"/>
      <c r="P25" s="138"/>
      <c r="Q25" s="17"/>
      <c r="R25" s="41"/>
      <c r="S25" s="140"/>
      <c r="T25" s="138"/>
      <c r="U25" s="138"/>
      <c r="V25" s="138"/>
      <c r="W25" s="17"/>
      <c r="X25" s="41"/>
      <c r="AA25" s="141"/>
    </row>
    <row r="26" customFormat="false" ht="12.75" hidden="false" customHeight="false" outlineLevel="0" collapsed="false">
      <c r="A26" s="113" t="n">
        <v>12012804</v>
      </c>
      <c r="E26" s="137"/>
      <c r="F26" s="120"/>
      <c r="G26" s="140"/>
      <c r="H26" s="138"/>
      <c r="I26" s="138"/>
      <c r="J26" s="141"/>
      <c r="K26" s="17"/>
      <c r="L26" s="41"/>
      <c r="N26" s="138"/>
      <c r="O26" s="138"/>
      <c r="P26" s="141"/>
      <c r="Q26" s="17"/>
      <c r="R26" s="41"/>
      <c r="S26" s="140"/>
      <c r="T26" s="138"/>
      <c r="U26" s="138"/>
      <c r="V26" s="141"/>
      <c r="W26" s="17"/>
      <c r="X26" s="41"/>
      <c r="AA26" s="141"/>
    </row>
    <row r="27" customFormat="false" ht="12.75" hidden="false" customHeight="false" outlineLevel="0" collapsed="false">
      <c r="A27" s="71"/>
      <c r="E27" s="137"/>
      <c r="F27" s="120"/>
      <c r="G27" s="140"/>
      <c r="H27" s="138"/>
      <c r="I27" s="138"/>
      <c r="K27" s="17"/>
      <c r="L27" s="41"/>
      <c r="M27" s="140"/>
      <c r="N27" s="138"/>
      <c r="O27" s="138"/>
      <c r="Q27" s="17"/>
      <c r="R27" s="41"/>
      <c r="S27" s="140"/>
      <c r="T27" s="138"/>
      <c r="U27" s="138"/>
      <c r="W27" s="17"/>
      <c r="X27" s="41"/>
      <c r="AA27" s="141"/>
    </row>
    <row r="28" customFormat="false" ht="12.75" hidden="false" customHeight="false" outlineLevel="0" collapsed="false">
      <c r="B28" s="142"/>
      <c r="E28" s="137"/>
      <c r="F28" s="120"/>
      <c r="H28" s="138"/>
      <c r="I28" s="138"/>
      <c r="K28" s="17"/>
      <c r="L28" s="41"/>
      <c r="M28" s="70" t="s">
        <v>180</v>
      </c>
      <c r="N28" s="138"/>
      <c r="O28" s="138"/>
      <c r="Q28" s="17"/>
      <c r="R28" s="41"/>
      <c r="S28" s="117"/>
      <c r="T28" s="138"/>
      <c r="U28" s="138"/>
      <c r="W28" s="17"/>
      <c r="X28" s="41"/>
    </row>
    <row r="29" customFormat="false" ht="12.75" hidden="false" customHeight="true" outlineLevel="0" collapsed="false">
      <c r="A29" s="22" t="s">
        <v>181</v>
      </c>
      <c r="C29" s="10"/>
      <c r="D29" s="28"/>
      <c r="E29" s="28"/>
      <c r="F29" s="143"/>
      <c r="G29" s="144"/>
      <c r="H29" s="10"/>
      <c r="I29" s="10"/>
      <c r="J29" s="10"/>
      <c r="K29" s="10"/>
      <c r="L29" s="145"/>
      <c r="M29" s="146" t="n">
        <v>47.625</v>
      </c>
      <c r="N29" s="10"/>
      <c r="O29" s="10"/>
      <c r="P29" s="10"/>
      <c r="Q29" s="10"/>
      <c r="R29" s="145"/>
      <c r="S29" s="144"/>
      <c r="T29" s="10"/>
      <c r="U29" s="10"/>
      <c r="V29" s="10"/>
      <c r="W29" s="10"/>
      <c r="X29" s="145"/>
    </row>
    <row r="30" customFormat="false" ht="12.75" hidden="false" customHeight="true" outlineLevel="0" collapsed="false">
      <c r="B30" s="0" t="s">
        <v>182</v>
      </c>
      <c r="C30" s="10"/>
      <c r="D30" s="70" t="n">
        <f aca="false">+A24*$A22</f>
        <v>324721108.125</v>
      </c>
      <c r="E30" s="70"/>
      <c r="F30" s="147"/>
      <c r="G30" s="70" t="n">
        <f aca="false">+D31</f>
        <v>342740314.125</v>
      </c>
      <c r="H30" s="70" t="n">
        <f aca="false">+G31</f>
        <v>385911328.5</v>
      </c>
      <c r="I30" s="70" t="n">
        <f aca="false">+H31</f>
        <v>491023363.5</v>
      </c>
      <c r="J30" s="70" t="n">
        <f aca="false">+I31</f>
        <v>493275764.25</v>
      </c>
      <c r="K30" s="70"/>
      <c r="L30" s="147"/>
      <c r="M30" s="70" t="n">
        <f aca="false">+J31</f>
        <v>533068177.5</v>
      </c>
      <c r="N30" s="70"/>
      <c r="O30" s="70"/>
      <c r="P30" s="70"/>
      <c r="Q30" s="70"/>
      <c r="R30" s="147"/>
      <c r="S30" s="70"/>
      <c r="T30" s="70"/>
      <c r="U30" s="70"/>
      <c r="V30" s="70"/>
      <c r="W30" s="70"/>
      <c r="X30" s="147"/>
    </row>
    <row r="31" customFormat="false" ht="12.75" hidden="false" customHeight="true" outlineLevel="0" collapsed="false">
      <c r="B31" s="0" t="s">
        <v>183</v>
      </c>
      <c r="C31" s="70"/>
      <c r="D31" s="70" t="n">
        <f aca="false">+D21*$A24</f>
        <v>342740314.125</v>
      </c>
      <c r="E31" s="70"/>
      <c r="F31" s="147"/>
      <c r="G31" s="70" t="n">
        <f aca="false">+G21*$A24</f>
        <v>385911328.5</v>
      </c>
      <c r="H31" s="70" t="n">
        <f aca="false">+H21*$A24</f>
        <v>491023363.5</v>
      </c>
      <c r="I31" s="70" t="n">
        <f aca="false">+I21*$A26</f>
        <v>493275764.25</v>
      </c>
      <c r="J31" s="70" t="n">
        <f aca="false">+J21*$A26</f>
        <v>533068177.5</v>
      </c>
      <c r="K31" s="10"/>
      <c r="L31" s="145"/>
      <c r="M31" s="70" t="n">
        <f aca="false">+M29*$A26</f>
        <v>572109790.5</v>
      </c>
      <c r="N31" s="70"/>
      <c r="O31" s="70"/>
      <c r="P31" s="70"/>
      <c r="Q31" s="10"/>
      <c r="R31" s="145"/>
      <c r="S31" s="70"/>
      <c r="T31" s="70"/>
      <c r="U31" s="70"/>
      <c r="V31" s="70"/>
      <c r="W31" s="10"/>
      <c r="X31" s="145"/>
      <c r="Z31" s="148" t="s">
        <v>184</v>
      </c>
    </row>
    <row r="32" customFormat="false" ht="12.75" hidden="false" customHeight="true" outlineLevel="0" collapsed="false">
      <c r="B32" s="0" t="s">
        <v>185</v>
      </c>
      <c r="C32" s="77" t="n">
        <f aca="false">+C31-C30</f>
        <v>0</v>
      </c>
      <c r="D32" s="77" t="n">
        <f aca="false">+D31-D30</f>
        <v>18019206</v>
      </c>
      <c r="E32" s="77" t="n">
        <f aca="false">SUM(C32:D32)</f>
        <v>18019206</v>
      </c>
      <c r="F32" s="149"/>
      <c r="G32" s="77" t="n">
        <f aca="false">+G31-G30</f>
        <v>43171014.375</v>
      </c>
      <c r="H32" s="77" t="n">
        <f aca="false">+H31-H30</f>
        <v>105112035</v>
      </c>
      <c r="I32" s="77" t="n">
        <f aca="false">+I31-I30</f>
        <v>2252400.75</v>
      </c>
      <c r="J32" s="77" t="n">
        <f aca="false">+J31-J30</f>
        <v>39792413.25</v>
      </c>
      <c r="K32" s="77" t="n">
        <f aca="false">SUM(G32:J32)</f>
        <v>190327863.375</v>
      </c>
      <c r="L32" s="149"/>
      <c r="M32" s="77" t="n">
        <f aca="false">+M31-M30</f>
        <v>39041613</v>
      </c>
      <c r="N32" s="77" t="n">
        <f aca="false">+N31-N30</f>
        <v>0</v>
      </c>
      <c r="O32" s="77" t="n">
        <f aca="false">+O31-O30</f>
        <v>0</v>
      </c>
      <c r="P32" s="77" t="n">
        <f aca="false">+P31-P30</f>
        <v>0</v>
      </c>
      <c r="Q32" s="77" t="n">
        <f aca="false">SUM(M32:P32)</f>
        <v>39041613</v>
      </c>
      <c r="R32" s="149"/>
      <c r="S32" s="77" t="n">
        <f aca="false">+S31-S30</f>
        <v>0</v>
      </c>
      <c r="T32" s="77" t="n">
        <f aca="false">+T31-T30</f>
        <v>0</v>
      </c>
      <c r="U32" s="77" t="n">
        <f aca="false">+U31-U30</f>
        <v>0</v>
      </c>
      <c r="V32" s="77" t="n">
        <f aca="false">+V31-V30</f>
        <v>0</v>
      </c>
      <c r="W32" s="77" t="n">
        <f aca="false">SUM(S32:V32)</f>
        <v>0</v>
      </c>
      <c r="X32" s="149"/>
      <c r="Y32" s="149" t="n">
        <f aca="false">+E32+K32+Q32+W32</f>
        <v>247388682.375</v>
      </c>
      <c r="Z32" s="27" t="n">
        <f aca="false">+Y32</f>
        <v>247388682.375</v>
      </c>
    </row>
    <row r="33" customFormat="false" ht="12.75" hidden="false" customHeight="true" outlineLevel="0" collapsed="false">
      <c r="B33" s="150" t="s">
        <v>186</v>
      </c>
      <c r="C33" s="151" t="n">
        <f aca="false">+C32*0.6</f>
        <v>0</v>
      </c>
      <c r="D33" s="151" t="n">
        <f aca="false">+D32*0.6</f>
        <v>10811523.6</v>
      </c>
      <c r="E33" s="151" t="n">
        <f aca="false">SUM(C33:D33)</f>
        <v>10811523.6</v>
      </c>
      <c r="F33" s="152"/>
      <c r="G33" s="151" t="n">
        <f aca="false">+G32*0.6</f>
        <v>25902608.625</v>
      </c>
      <c r="H33" s="151" t="n">
        <f aca="false">+H32*0.6</f>
        <v>63067221</v>
      </c>
      <c r="I33" s="151" t="n">
        <f aca="false">+I32*0.6</f>
        <v>1351440.45</v>
      </c>
      <c r="J33" s="151" t="n">
        <f aca="false">+J32*0.6</f>
        <v>23875447.95</v>
      </c>
      <c r="K33" s="151" t="n">
        <f aca="false">SUM(G33:J33)</f>
        <v>114196718.025</v>
      </c>
      <c r="L33" s="153"/>
      <c r="M33" s="151" t="n">
        <f aca="false">+M32*0.6</f>
        <v>23424967.8</v>
      </c>
      <c r="N33" s="151" t="n">
        <f aca="false">+N32*0.6</f>
        <v>0</v>
      </c>
      <c r="O33" s="151" t="n">
        <f aca="false">+O32*0.6</f>
        <v>0</v>
      </c>
      <c r="P33" s="151" t="n">
        <f aca="false">+P32*0.6</f>
        <v>0</v>
      </c>
      <c r="Q33" s="151" t="n">
        <f aca="false">SUM(M33:P33)</f>
        <v>23424967.8</v>
      </c>
      <c r="R33" s="153"/>
      <c r="S33" s="151" t="n">
        <f aca="false">+S32*0.6</f>
        <v>0</v>
      </c>
      <c r="T33" s="151" t="n">
        <f aca="false">+T32*0.6</f>
        <v>0</v>
      </c>
      <c r="U33" s="151" t="n">
        <f aca="false">+U32*0.6</f>
        <v>0</v>
      </c>
      <c r="V33" s="151" t="n">
        <f aca="false">+V32*0.6</f>
        <v>0</v>
      </c>
      <c r="W33" s="151" t="n">
        <f aca="false">SUM(S33:V33)</f>
        <v>0</v>
      </c>
      <c r="X33" s="153"/>
      <c r="Y33" s="153" t="n">
        <f aca="false">+E33+K33+Q33+W33</f>
        <v>148433209.425</v>
      </c>
      <c r="Z33" s="27"/>
    </row>
    <row r="34" customFormat="false" ht="12.75" hidden="false" customHeight="true" outlineLevel="0" collapsed="false">
      <c r="C34" s="10"/>
      <c r="D34" s="70"/>
      <c r="E34" s="70"/>
      <c r="F34" s="147"/>
      <c r="G34" s="144"/>
      <c r="H34" s="10"/>
      <c r="I34" s="10"/>
      <c r="J34" s="10"/>
      <c r="K34" s="10"/>
      <c r="L34" s="145"/>
      <c r="M34" s="70" t="s">
        <v>180</v>
      </c>
      <c r="N34" s="10"/>
      <c r="O34" s="10"/>
      <c r="P34" s="10"/>
      <c r="Q34" s="10"/>
      <c r="R34" s="145"/>
      <c r="S34" s="144"/>
      <c r="T34" s="10"/>
      <c r="U34" s="10"/>
      <c r="V34" s="10"/>
      <c r="W34" s="10"/>
      <c r="X34" s="145"/>
    </row>
    <row r="35" customFormat="false" ht="12.75" hidden="false" customHeight="true" outlineLevel="0" collapsed="false">
      <c r="A35" s="22" t="s">
        <v>187</v>
      </c>
      <c r="D35" s="70"/>
      <c r="E35" s="70"/>
      <c r="F35" s="147"/>
      <c r="G35" s="144"/>
      <c r="H35" s="10"/>
      <c r="I35" s="10"/>
      <c r="J35" s="10"/>
      <c r="K35" s="10"/>
      <c r="L35" s="145"/>
      <c r="M35" s="146" t="n">
        <v>47.625</v>
      </c>
      <c r="N35" s="10"/>
      <c r="O35" s="10"/>
      <c r="P35" s="10"/>
      <c r="Q35" s="10"/>
      <c r="R35" s="145"/>
      <c r="S35" s="144"/>
      <c r="T35" s="10"/>
      <c r="U35" s="10"/>
      <c r="V35" s="10"/>
      <c r="W35" s="10"/>
      <c r="X35" s="145"/>
    </row>
    <row r="36" customFormat="false" ht="12.75" hidden="false" customHeight="true" outlineLevel="0" collapsed="false">
      <c r="A36" s="0" t="s">
        <v>129</v>
      </c>
      <c r="B36" s="0" t="s">
        <v>188</v>
      </c>
      <c r="C36" s="118" t="n">
        <v>36413</v>
      </c>
      <c r="D36" s="70"/>
      <c r="E36" s="70"/>
      <c r="F36" s="147"/>
      <c r="G36" s="144"/>
      <c r="H36" s="10"/>
      <c r="I36" s="10" t="n">
        <f aca="false">$A$39*$A$37</f>
        <v>513547371</v>
      </c>
      <c r="J36" s="10" t="n">
        <f aca="false">+I37</f>
        <v>493275764.25</v>
      </c>
      <c r="K36" s="10"/>
      <c r="L36" s="145"/>
      <c r="M36" s="70" t="n">
        <f aca="false">+J37</f>
        <v>533068177.5</v>
      </c>
      <c r="N36" s="10"/>
      <c r="O36" s="10"/>
      <c r="P36" s="10"/>
      <c r="Q36" s="10"/>
      <c r="R36" s="145"/>
      <c r="S36" s="70"/>
      <c r="T36" s="10"/>
      <c r="U36" s="10"/>
      <c r="V36" s="10"/>
      <c r="W36" s="10"/>
      <c r="X36" s="145"/>
    </row>
    <row r="37" customFormat="false" ht="12.75" hidden="false" customHeight="true" outlineLevel="0" collapsed="false">
      <c r="A37" s="133" t="n">
        <v>42.75</v>
      </c>
      <c r="B37" s="0" t="s">
        <v>183</v>
      </c>
      <c r="C37" s="118" t="n">
        <v>36536</v>
      </c>
      <c r="D37" s="70"/>
      <c r="E37" s="70"/>
      <c r="F37" s="147"/>
      <c r="G37" s="144"/>
      <c r="H37" s="10"/>
      <c r="I37" s="10" t="n">
        <f aca="false">+$A$39*I21</f>
        <v>493275764.25</v>
      </c>
      <c r="J37" s="10" t="n">
        <f aca="false">+$A$39*J21</f>
        <v>533068177.5</v>
      </c>
      <c r="K37" s="10"/>
      <c r="L37" s="145"/>
      <c r="M37" s="10" t="n">
        <f aca="false">+$A$39*M35</f>
        <v>572109790.5</v>
      </c>
      <c r="N37" s="10"/>
      <c r="O37" s="10"/>
      <c r="P37" s="10"/>
      <c r="Q37" s="10"/>
      <c r="R37" s="145"/>
      <c r="S37" s="10"/>
      <c r="T37" s="10"/>
      <c r="U37" s="10"/>
      <c r="V37" s="10"/>
      <c r="W37" s="10"/>
      <c r="X37" s="145"/>
      <c r="Z37" s="148" t="s">
        <v>189</v>
      </c>
    </row>
    <row r="38" customFormat="false" ht="12.75" hidden="false" customHeight="true" outlineLevel="0" collapsed="false">
      <c r="A38" s="0" t="s">
        <v>13</v>
      </c>
      <c r="B38" s="0" t="s">
        <v>185</v>
      </c>
      <c r="C38" s="10"/>
      <c r="D38" s="70"/>
      <c r="E38" s="70"/>
      <c r="F38" s="147"/>
      <c r="G38" s="144"/>
      <c r="H38" s="10"/>
      <c r="I38" s="154" t="n">
        <f aca="false">+I36-I37</f>
        <v>20271606.75</v>
      </c>
      <c r="J38" s="154" t="n">
        <f aca="false">+J36-J37</f>
        <v>-39792413.25</v>
      </c>
      <c r="K38" s="154" t="n">
        <f aca="false">SUM(G38:J38)</f>
        <v>-19520806.5</v>
      </c>
      <c r="L38" s="155"/>
      <c r="M38" s="154" t="n">
        <f aca="false">+M36-M37</f>
        <v>-39041613</v>
      </c>
      <c r="N38" s="154" t="n">
        <f aca="false">+N36-N37</f>
        <v>0</v>
      </c>
      <c r="O38" s="154" t="n">
        <f aca="false">+O36-O37</f>
        <v>0</v>
      </c>
      <c r="P38" s="154" t="n">
        <f aca="false">+P36-P37</f>
        <v>0</v>
      </c>
      <c r="Q38" s="154" t="n">
        <f aca="false">SUM(M38:P38)</f>
        <v>-39041613</v>
      </c>
      <c r="R38" s="155"/>
      <c r="S38" s="154" t="n">
        <f aca="false">+S36-S37</f>
        <v>0</v>
      </c>
      <c r="T38" s="154" t="n">
        <f aca="false">+T36-T37</f>
        <v>0</v>
      </c>
      <c r="U38" s="154" t="n">
        <f aca="false">+U36-U37</f>
        <v>0</v>
      </c>
      <c r="V38" s="154" t="n">
        <f aca="false">+V36-V37</f>
        <v>0</v>
      </c>
      <c r="W38" s="154" t="n">
        <f aca="false">SUM(S38:V38)</f>
        <v>0</v>
      </c>
      <c r="X38" s="155"/>
      <c r="Y38" s="156" t="n">
        <f aca="false">+K38+Q38+W38</f>
        <v>-58562419.5</v>
      </c>
      <c r="Z38" s="27" t="n">
        <f aca="false">+Y38</f>
        <v>-58562419.5</v>
      </c>
    </row>
    <row r="39" customFormat="false" ht="12.75" hidden="false" customHeight="true" outlineLevel="0" collapsed="false">
      <c r="A39" s="113" t="n">
        <v>12012804</v>
      </c>
      <c r="B39" s="150" t="s">
        <v>186</v>
      </c>
      <c r="C39" s="157"/>
      <c r="D39" s="151"/>
      <c r="E39" s="151"/>
      <c r="F39" s="152"/>
      <c r="G39" s="158"/>
      <c r="H39" s="157"/>
      <c r="I39" s="159" t="n">
        <f aca="false">+I38*0.6</f>
        <v>12162964.05</v>
      </c>
      <c r="J39" s="157" t="n">
        <f aca="false">+J38*0.6</f>
        <v>-23875447.95</v>
      </c>
      <c r="K39" s="157" t="n">
        <f aca="false">SUM(G39:J39)</f>
        <v>-11712483.9</v>
      </c>
      <c r="L39" s="153"/>
      <c r="M39" s="159" t="n">
        <f aca="false">+M38*0.6</f>
        <v>-23424967.8</v>
      </c>
      <c r="N39" s="159" t="n">
        <f aca="false">+N38*0.6</f>
        <v>0</v>
      </c>
      <c r="O39" s="159" t="n">
        <f aca="false">+O38*0.6</f>
        <v>0</v>
      </c>
      <c r="P39" s="159" t="n">
        <f aca="false">+P38*0.6</f>
        <v>0</v>
      </c>
      <c r="Q39" s="157" t="n">
        <f aca="false">SUM(M39:P39)</f>
        <v>-23424967.8</v>
      </c>
      <c r="R39" s="153"/>
      <c r="S39" s="159" t="n">
        <f aca="false">+S38*0.6</f>
        <v>0</v>
      </c>
      <c r="T39" s="159" t="n">
        <f aca="false">+T38*0.6</f>
        <v>0</v>
      </c>
      <c r="U39" s="159" t="n">
        <f aca="false">+U38*0.6</f>
        <v>0</v>
      </c>
      <c r="V39" s="159" t="n">
        <f aca="false">+V38*0.6</f>
        <v>0</v>
      </c>
      <c r="W39" s="157" t="n">
        <f aca="false">SUM(S39:V39)</f>
        <v>0</v>
      </c>
      <c r="X39" s="153"/>
      <c r="Y39" s="160" t="n">
        <f aca="false">+K39+Q39+W39</f>
        <v>-35137451.7</v>
      </c>
    </row>
    <row r="40" customFormat="false" ht="12.75" hidden="false" customHeight="true" outlineLevel="0" collapsed="false">
      <c r="A40" s="32" t="n">
        <v>36497</v>
      </c>
      <c r="B40" s="150" t="s">
        <v>190</v>
      </c>
      <c r="C40" s="157"/>
      <c r="D40" s="151"/>
      <c r="E40" s="151" t="n">
        <f aca="false">+E33+E39</f>
        <v>10811523.6</v>
      </c>
      <c r="F40" s="153"/>
      <c r="G40" s="157" t="n">
        <f aca="false">+G33+G39</f>
        <v>25902608.625</v>
      </c>
      <c r="H40" s="157" t="n">
        <f aca="false">+H33+H39</f>
        <v>63067221</v>
      </c>
      <c r="I40" s="157" t="n">
        <f aca="false">+I33+I39</f>
        <v>13514404.5</v>
      </c>
      <c r="J40" s="157" t="n">
        <f aca="false">+J33+J39</f>
        <v>0</v>
      </c>
      <c r="K40" s="157" t="n">
        <f aca="false">+K33+K39</f>
        <v>102484234.125</v>
      </c>
      <c r="L40" s="153"/>
      <c r="M40" s="157" t="n">
        <f aca="false">+M33+M39</f>
        <v>0</v>
      </c>
      <c r="N40" s="157" t="n">
        <f aca="false">+N33+N39</f>
        <v>0</v>
      </c>
      <c r="O40" s="157" t="n">
        <f aca="false">+O33+O39</f>
        <v>0</v>
      </c>
      <c r="P40" s="157" t="n">
        <f aca="false">+P33+P39</f>
        <v>0</v>
      </c>
      <c r="Q40" s="157" t="n">
        <f aca="false">+Q33+Q39</f>
        <v>0</v>
      </c>
      <c r="R40" s="153"/>
      <c r="S40" s="157" t="n">
        <f aca="false">+S33+S39</f>
        <v>0</v>
      </c>
      <c r="T40" s="157" t="n">
        <f aca="false">+T33+T39</f>
        <v>0</v>
      </c>
      <c r="U40" s="157" t="n">
        <f aca="false">+U33+U39</f>
        <v>0</v>
      </c>
      <c r="V40" s="157" t="n">
        <f aca="false">+V33+V39</f>
        <v>0</v>
      </c>
      <c r="W40" s="157" t="n">
        <f aca="false">+W33+W39</f>
        <v>0</v>
      </c>
      <c r="X40" s="153"/>
      <c r="Y40" s="160" t="n">
        <f aca="false">+Y33+Y39</f>
        <v>113295757.725</v>
      </c>
    </row>
    <row r="41" customFormat="false" ht="12.75" hidden="false" customHeight="true" outlineLevel="0" collapsed="false">
      <c r="B41" s="17"/>
      <c r="C41" s="10"/>
      <c r="D41" s="70"/>
      <c r="E41" s="70"/>
      <c r="F41" s="145"/>
      <c r="G41" s="10"/>
      <c r="H41" s="10"/>
      <c r="I41" s="10"/>
      <c r="J41" s="10"/>
      <c r="K41" s="10"/>
      <c r="L41" s="145"/>
      <c r="M41" s="10" t="s">
        <v>180</v>
      </c>
      <c r="N41" s="10"/>
      <c r="O41" s="10"/>
      <c r="P41" s="10"/>
      <c r="Q41" s="10"/>
      <c r="R41" s="145"/>
      <c r="S41" s="10"/>
      <c r="T41" s="10"/>
      <c r="U41" s="10"/>
      <c r="V41" s="10"/>
      <c r="W41" s="10"/>
      <c r="X41" s="145"/>
      <c r="Y41" s="161"/>
    </row>
    <row r="42" customFormat="false" ht="12.75" hidden="false" customHeight="true" outlineLevel="0" collapsed="false">
      <c r="A42" s="22" t="s">
        <v>181</v>
      </c>
      <c r="B42" s="17"/>
      <c r="C42" s="10"/>
      <c r="D42" s="70"/>
      <c r="E42" s="70"/>
      <c r="F42" s="145"/>
      <c r="G42" s="10"/>
      <c r="H42" s="10"/>
      <c r="I42" s="10"/>
      <c r="J42" s="10"/>
      <c r="K42" s="10"/>
      <c r="L42" s="145"/>
      <c r="M42" s="146" t="n">
        <v>61</v>
      </c>
      <c r="N42" s="10"/>
      <c r="O42" s="10"/>
      <c r="P42" s="10"/>
      <c r="Q42" s="10"/>
      <c r="R42" s="145"/>
      <c r="S42" s="10"/>
      <c r="T42" s="10"/>
      <c r="U42" s="10"/>
      <c r="V42" s="10"/>
      <c r="W42" s="10"/>
      <c r="X42" s="145"/>
      <c r="Y42" s="161"/>
    </row>
    <row r="43" customFormat="false" ht="12.75" hidden="false" customHeight="true" outlineLevel="0" collapsed="false">
      <c r="A43" s="0" t="s">
        <v>129</v>
      </c>
      <c r="B43" s="0" t="s">
        <v>182</v>
      </c>
      <c r="C43" s="10"/>
      <c r="D43" s="10"/>
      <c r="E43" s="10"/>
      <c r="F43" s="145"/>
      <c r="G43" s="10"/>
      <c r="H43" s="10"/>
      <c r="I43" s="10"/>
      <c r="J43" s="10"/>
      <c r="K43" s="10"/>
      <c r="L43" s="145"/>
      <c r="M43" s="70" t="n">
        <f aca="false">+A44*A46</f>
        <v>572109790.5</v>
      </c>
      <c r="N43" s="70"/>
      <c r="O43" s="70"/>
      <c r="P43" s="70"/>
      <c r="Q43" s="70"/>
      <c r="R43" s="147"/>
      <c r="S43" s="70"/>
      <c r="T43" s="70"/>
      <c r="U43" s="70"/>
      <c r="V43" s="70"/>
      <c r="W43" s="70"/>
      <c r="X43" s="147"/>
    </row>
    <row r="44" customFormat="false" ht="12.75" hidden="false" customHeight="true" outlineLevel="0" collapsed="false">
      <c r="A44" s="133" t="n">
        <v>47.625</v>
      </c>
      <c r="B44" s="0" t="s">
        <v>183</v>
      </c>
      <c r="C44" s="10"/>
      <c r="D44" s="10"/>
      <c r="E44" s="10"/>
      <c r="F44" s="145"/>
      <c r="G44" s="10"/>
      <c r="H44" s="10"/>
      <c r="I44" s="10"/>
      <c r="J44" s="10"/>
      <c r="K44" s="10"/>
      <c r="L44" s="145"/>
      <c r="M44" s="70" t="n">
        <f aca="false">+M42*$A46</f>
        <v>732781044</v>
      </c>
      <c r="N44" s="70"/>
      <c r="O44" s="70"/>
      <c r="P44" s="70"/>
      <c r="Q44" s="10"/>
      <c r="R44" s="145"/>
      <c r="S44" s="70"/>
      <c r="T44" s="70"/>
      <c r="U44" s="70"/>
      <c r="V44" s="70"/>
      <c r="W44" s="10"/>
      <c r="X44" s="145"/>
      <c r="Z44" s="148" t="s">
        <v>191</v>
      </c>
    </row>
    <row r="45" customFormat="false" ht="12.75" hidden="false" customHeight="true" outlineLevel="0" collapsed="false">
      <c r="A45" s="0" t="s">
        <v>13</v>
      </c>
      <c r="B45" s="0" t="s">
        <v>185</v>
      </c>
      <c r="C45" s="10"/>
      <c r="D45" s="10"/>
      <c r="E45" s="10"/>
      <c r="F45" s="145"/>
      <c r="G45" s="10"/>
      <c r="H45" s="10"/>
      <c r="I45" s="10"/>
      <c r="J45" s="10"/>
      <c r="K45" s="10"/>
      <c r="L45" s="145"/>
      <c r="M45" s="77" t="n">
        <f aca="false">+M44-M43</f>
        <v>160671253.5</v>
      </c>
      <c r="N45" s="77" t="n">
        <f aca="false">+N44-N43</f>
        <v>0</v>
      </c>
      <c r="O45" s="77" t="n">
        <f aca="false">+O44-O43</f>
        <v>0</v>
      </c>
      <c r="P45" s="77" t="n">
        <f aca="false">+P44-P43</f>
        <v>0</v>
      </c>
      <c r="Q45" s="77" t="n">
        <f aca="false">SUM(M45:P45)</f>
        <v>160671253.5</v>
      </c>
      <c r="R45" s="149"/>
      <c r="S45" s="77" t="n">
        <f aca="false">+S44-S43</f>
        <v>0</v>
      </c>
      <c r="T45" s="77" t="n">
        <f aca="false">+T44-T43</f>
        <v>0</v>
      </c>
      <c r="U45" s="77" t="n">
        <f aca="false">+U44-U43</f>
        <v>0</v>
      </c>
      <c r="V45" s="77" t="n">
        <f aca="false">+V44-V43</f>
        <v>0</v>
      </c>
      <c r="W45" s="77" t="n">
        <f aca="false">SUM(S45:V45)</f>
        <v>0</v>
      </c>
      <c r="X45" s="149"/>
      <c r="Y45" s="149" t="n">
        <f aca="false">+E45+K45+Q45+W45</f>
        <v>160671253.5</v>
      </c>
      <c r="Z45" s="27" t="n">
        <f aca="false">+Y45</f>
        <v>160671253.5</v>
      </c>
    </row>
    <row r="46" customFormat="false" ht="12.75" hidden="false" customHeight="true" outlineLevel="0" collapsed="false">
      <c r="A46" s="28" t="n">
        <v>12012804</v>
      </c>
      <c r="B46" s="150" t="s">
        <v>186</v>
      </c>
      <c r="C46" s="157"/>
      <c r="D46" s="151"/>
      <c r="E46" s="151"/>
      <c r="F46" s="153"/>
      <c r="G46" s="157"/>
      <c r="H46" s="157"/>
      <c r="I46" s="157"/>
      <c r="J46" s="157"/>
      <c r="K46" s="157"/>
      <c r="L46" s="153"/>
      <c r="M46" s="151" t="n">
        <f aca="false">+M45*0.6</f>
        <v>96402752.1</v>
      </c>
      <c r="N46" s="151" t="n">
        <f aca="false">+N45*0.6</f>
        <v>0</v>
      </c>
      <c r="O46" s="151" t="n">
        <f aca="false">+O45*0.6</f>
        <v>0</v>
      </c>
      <c r="P46" s="151" t="n">
        <f aca="false">+P45*0.6</f>
        <v>0</v>
      </c>
      <c r="Q46" s="151" t="n">
        <f aca="false">SUM(M46:P46)</f>
        <v>96402752.1</v>
      </c>
      <c r="R46" s="153"/>
      <c r="S46" s="151" t="n">
        <f aca="false">+S45*0.6</f>
        <v>0</v>
      </c>
      <c r="T46" s="151" t="n">
        <f aca="false">+T45*0.6</f>
        <v>0</v>
      </c>
      <c r="U46" s="151" t="n">
        <f aca="false">+U45*0.6</f>
        <v>0</v>
      </c>
      <c r="V46" s="151" t="n">
        <f aca="false">+V45*0.6</f>
        <v>0</v>
      </c>
      <c r="W46" s="151" t="n">
        <f aca="false">SUM(S46:V46)</f>
        <v>0</v>
      </c>
      <c r="X46" s="153"/>
      <c r="Y46" s="153" t="n">
        <f aca="false">+E46+K46+Q46+W46</f>
        <v>96402752.1</v>
      </c>
    </row>
    <row r="47" customFormat="false" ht="12.75" hidden="false" customHeight="true" outlineLevel="0" collapsed="false">
      <c r="A47" s="28"/>
      <c r="B47" s="17"/>
      <c r="C47" s="10"/>
      <c r="D47" s="70"/>
      <c r="E47" s="70"/>
      <c r="F47" s="145"/>
      <c r="G47" s="10"/>
      <c r="H47" s="10"/>
      <c r="I47" s="10"/>
      <c r="J47" s="10"/>
      <c r="K47" s="10"/>
      <c r="L47" s="145"/>
      <c r="M47" s="70"/>
      <c r="N47" s="70"/>
      <c r="O47" s="70"/>
      <c r="P47" s="70"/>
      <c r="Q47" s="70"/>
      <c r="R47" s="145"/>
      <c r="S47" s="70"/>
      <c r="T47" s="70"/>
      <c r="U47" s="70"/>
      <c r="V47" s="70"/>
      <c r="W47" s="70"/>
      <c r="X47" s="145"/>
      <c r="Y47" s="10"/>
    </row>
    <row r="48" customFormat="false" ht="12.75" hidden="false" customHeight="true" outlineLevel="0" collapsed="false">
      <c r="A48" s="22" t="s">
        <v>181</v>
      </c>
      <c r="B48" s="17"/>
      <c r="C48" s="10"/>
      <c r="D48" s="70"/>
      <c r="E48" s="70"/>
      <c r="F48" s="145"/>
      <c r="G48" s="10"/>
      <c r="H48" s="10"/>
      <c r="I48" s="10"/>
      <c r="J48" s="10"/>
      <c r="K48" s="10"/>
      <c r="L48" s="145"/>
      <c r="M48" s="146"/>
      <c r="N48" s="10"/>
      <c r="O48" s="10"/>
      <c r="P48" s="10"/>
      <c r="Q48" s="10"/>
      <c r="R48" s="145"/>
      <c r="S48" s="10"/>
      <c r="T48" s="10"/>
      <c r="U48" s="10"/>
      <c r="V48" s="10"/>
      <c r="W48" s="10"/>
      <c r="X48" s="145"/>
      <c r="Y48" s="161"/>
    </row>
    <row r="49" customFormat="false" ht="12.75" hidden="false" customHeight="true" outlineLevel="0" collapsed="false">
      <c r="A49" s="0" t="s">
        <v>129</v>
      </c>
      <c r="B49" s="0" t="s">
        <v>182</v>
      </c>
      <c r="C49" s="10"/>
      <c r="D49" s="10"/>
      <c r="E49" s="10"/>
      <c r="F49" s="145"/>
      <c r="G49" s="10"/>
      <c r="H49" s="10"/>
      <c r="I49" s="10"/>
      <c r="J49" s="10"/>
      <c r="K49" s="10"/>
      <c r="L49" s="145"/>
      <c r="M49" s="70" t="n">
        <f aca="false">+A50*A52</f>
        <v>732781044</v>
      </c>
      <c r="N49" s="70" t="n">
        <f aca="false">+M50</f>
        <v>899458699.5</v>
      </c>
      <c r="O49" s="70" t="n">
        <f aca="false">+N50</f>
        <v>774825858</v>
      </c>
      <c r="P49" s="70" t="n">
        <f aca="false">+O50</f>
        <v>774825858</v>
      </c>
      <c r="Q49" s="70"/>
      <c r="R49" s="147"/>
      <c r="S49" s="70" t="n">
        <f aca="false">+P50</f>
        <v>774825858</v>
      </c>
      <c r="T49" s="70" t="n">
        <f aca="false">+S50</f>
        <v>774825858</v>
      </c>
      <c r="U49" s="70" t="n">
        <f aca="false">+T50</f>
        <v>774825858</v>
      </c>
      <c r="V49" s="70" t="n">
        <f aca="false">+U50</f>
        <v>774825858</v>
      </c>
      <c r="W49" s="70"/>
      <c r="X49" s="147"/>
    </row>
    <row r="50" customFormat="false" ht="12.75" hidden="false" customHeight="true" outlineLevel="0" collapsed="false">
      <c r="A50" s="133" t="n">
        <v>61</v>
      </c>
      <c r="B50" s="0" t="s">
        <v>183</v>
      </c>
      <c r="C50" s="10"/>
      <c r="D50" s="10"/>
      <c r="E50" s="10"/>
      <c r="F50" s="145"/>
      <c r="G50" s="10"/>
      <c r="H50" s="10"/>
      <c r="I50" s="10"/>
      <c r="J50" s="10"/>
      <c r="K50" s="10"/>
      <c r="L50" s="145"/>
      <c r="M50" s="70" t="n">
        <f aca="false">+M21*$A52</f>
        <v>899458699.5</v>
      </c>
      <c r="N50" s="70" t="n">
        <f aca="false">+N$21*$A52</f>
        <v>774825858</v>
      </c>
      <c r="O50" s="70" t="n">
        <f aca="false">+O$21*$A52</f>
        <v>774825858</v>
      </c>
      <c r="P50" s="70" t="n">
        <f aca="false">+P$21*$A52</f>
        <v>774825858</v>
      </c>
      <c r="Q50" s="10"/>
      <c r="R50" s="145"/>
      <c r="S50" s="70" t="n">
        <f aca="false">+S$21*$A52</f>
        <v>774825858</v>
      </c>
      <c r="T50" s="70" t="n">
        <f aca="false">+T$21*$A52</f>
        <v>774825858</v>
      </c>
      <c r="U50" s="70" t="n">
        <f aca="false">+U$21*$A52</f>
        <v>774825858</v>
      </c>
      <c r="V50" s="70" t="n">
        <f aca="false">+V$21*$A52</f>
        <v>774825858</v>
      </c>
      <c r="W50" s="10"/>
      <c r="X50" s="145"/>
      <c r="Z50" s="148" t="s">
        <v>192</v>
      </c>
    </row>
    <row r="51" customFormat="false" ht="12.75" hidden="false" customHeight="true" outlineLevel="0" collapsed="false">
      <c r="A51" s="0" t="s">
        <v>13</v>
      </c>
      <c r="B51" s="0" t="s">
        <v>185</v>
      </c>
      <c r="C51" s="10"/>
      <c r="D51" s="10"/>
      <c r="E51" s="10"/>
      <c r="F51" s="145"/>
      <c r="G51" s="10"/>
      <c r="H51" s="10"/>
      <c r="I51" s="10"/>
      <c r="J51" s="10"/>
      <c r="K51" s="10"/>
      <c r="L51" s="145"/>
      <c r="M51" s="77" t="n">
        <f aca="false">+M50-M49</f>
        <v>166677655.5</v>
      </c>
      <c r="N51" s="77" t="n">
        <f aca="false">+N50-N49</f>
        <v>-124632841.5</v>
      </c>
      <c r="O51" s="77" t="n">
        <f aca="false">+O50-O49</f>
        <v>0</v>
      </c>
      <c r="P51" s="77" t="n">
        <f aca="false">+P50-P49</f>
        <v>0</v>
      </c>
      <c r="Q51" s="77" t="n">
        <f aca="false">SUM(M51:P51)</f>
        <v>42044814</v>
      </c>
      <c r="R51" s="149"/>
      <c r="S51" s="77" t="n">
        <f aca="false">+S50-S49</f>
        <v>0</v>
      </c>
      <c r="T51" s="77" t="n">
        <f aca="false">+T50-T49</f>
        <v>0</v>
      </c>
      <c r="U51" s="77" t="n">
        <f aca="false">+U50-U49</f>
        <v>0</v>
      </c>
      <c r="V51" s="77" t="n">
        <f aca="false">+V50-V49</f>
        <v>0</v>
      </c>
      <c r="W51" s="77" t="n">
        <f aca="false">SUM(S51:V51)</f>
        <v>0</v>
      </c>
      <c r="X51" s="149"/>
      <c r="Y51" s="149" t="n">
        <f aca="false">+E51+K51+Q51+W51</f>
        <v>42044814</v>
      </c>
      <c r="Z51" s="27" t="n">
        <f aca="false">+Y51</f>
        <v>42044814</v>
      </c>
    </row>
    <row r="52" customFormat="false" ht="12.75" hidden="false" customHeight="true" outlineLevel="0" collapsed="false">
      <c r="A52" s="28" t="n">
        <v>12012804</v>
      </c>
      <c r="B52" s="150" t="s">
        <v>186</v>
      </c>
      <c r="C52" s="157"/>
      <c r="D52" s="151"/>
      <c r="E52" s="151"/>
      <c r="F52" s="153"/>
      <c r="G52" s="157"/>
      <c r="H52" s="157"/>
      <c r="I52" s="157"/>
      <c r="J52" s="157"/>
      <c r="K52" s="157"/>
      <c r="L52" s="153"/>
      <c r="M52" s="151" t="n">
        <f aca="false">+M51*0.6</f>
        <v>100006593.3</v>
      </c>
      <c r="N52" s="151" t="n">
        <f aca="false">+N51*0.6</f>
        <v>-74779704.9</v>
      </c>
      <c r="O52" s="151" t="n">
        <f aca="false">+O51*0.6</f>
        <v>0</v>
      </c>
      <c r="P52" s="151" t="n">
        <f aca="false">+P51*0.6</f>
        <v>0</v>
      </c>
      <c r="Q52" s="151" t="n">
        <f aca="false">SUM(M52:P52)</f>
        <v>25226888.4</v>
      </c>
      <c r="R52" s="153"/>
      <c r="S52" s="151" t="n">
        <f aca="false">+S51*0.6</f>
        <v>0</v>
      </c>
      <c r="T52" s="151" t="n">
        <f aca="false">+T51*0.6</f>
        <v>0</v>
      </c>
      <c r="U52" s="151" t="n">
        <f aca="false">+U51*0.6</f>
        <v>0</v>
      </c>
      <c r="V52" s="151" t="n">
        <f aca="false">+V51*0.6</f>
        <v>0</v>
      </c>
      <c r="W52" s="151" t="n">
        <f aca="false">SUM(S52:V52)</f>
        <v>0</v>
      </c>
      <c r="X52" s="153"/>
      <c r="Y52" s="153" t="n">
        <f aca="false">+E52+K52+Q52+W52</f>
        <v>25226888.4</v>
      </c>
    </row>
    <row r="53" customFormat="false" ht="12.75" hidden="false" customHeight="true" outlineLevel="0" collapsed="false">
      <c r="C53" s="10"/>
      <c r="D53" s="70"/>
      <c r="E53" s="70"/>
      <c r="F53" s="147"/>
      <c r="G53" s="144"/>
      <c r="H53" s="10"/>
      <c r="I53" s="10"/>
      <c r="J53" s="10"/>
      <c r="K53" s="10"/>
      <c r="L53" s="145"/>
      <c r="M53" s="144"/>
      <c r="N53" s="10"/>
      <c r="O53" s="10"/>
      <c r="P53" s="10"/>
      <c r="Q53" s="10"/>
      <c r="R53" s="145"/>
      <c r="S53" s="144"/>
      <c r="T53" s="10"/>
      <c r="U53" s="10"/>
      <c r="V53" s="10"/>
      <c r="W53" s="10"/>
      <c r="X53" s="145"/>
    </row>
    <row r="54" customFormat="false" ht="12.75" hidden="false" customHeight="true" outlineLevel="0" collapsed="false">
      <c r="A54" s="22" t="s">
        <v>187</v>
      </c>
      <c r="D54" s="70"/>
      <c r="E54" s="70"/>
      <c r="F54" s="147"/>
      <c r="G54" s="144"/>
      <c r="H54" s="10"/>
      <c r="I54" s="10"/>
      <c r="J54" s="10"/>
      <c r="K54" s="10"/>
      <c r="L54" s="145"/>
      <c r="M54" s="146"/>
      <c r="N54" s="10"/>
      <c r="O54" s="10"/>
      <c r="P54" s="10"/>
      <c r="Q54" s="10"/>
      <c r="R54" s="145"/>
      <c r="S54" s="144"/>
      <c r="T54" s="10"/>
      <c r="U54" s="10"/>
      <c r="V54" s="10"/>
      <c r="W54" s="10"/>
      <c r="X54" s="145"/>
    </row>
    <row r="55" customFormat="false" ht="12.75" hidden="false" customHeight="true" outlineLevel="0" collapsed="false">
      <c r="A55" s="0" t="s">
        <v>129</v>
      </c>
      <c r="B55" s="0" t="s">
        <v>188</v>
      </c>
      <c r="C55" s="118" t="n">
        <v>36536</v>
      </c>
      <c r="D55" s="70"/>
      <c r="E55" s="70"/>
      <c r="F55" s="147"/>
      <c r="G55" s="144"/>
      <c r="H55" s="10"/>
      <c r="I55" s="10"/>
      <c r="J55" s="10"/>
      <c r="K55" s="10"/>
      <c r="L55" s="145"/>
      <c r="M55" s="70" t="n">
        <f aca="false">+A56*A58</f>
        <v>732781044</v>
      </c>
      <c r="N55" s="70" t="n">
        <f aca="false">+M56</f>
        <v>899458699.5</v>
      </c>
      <c r="O55" s="70" t="n">
        <f aca="false">+N56</f>
        <v>774825858</v>
      </c>
      <c r="P55" s="70" t="n">
        <f aca="false">+O56</f>
        <v>774825858</v>
      </c>
      <c r="Q55" s="10"/>
      <c r="R55" s="145"/>
      <c r="S55" s="70" t="n">
        <f aca="false">+P56</f>
        <v>774825858</v>
      </c>
      <c r="T55" s="70" t="n">
        <f aca="false">+S56</f>
        <v>774825858</v>
      </c>
      <c r="U55" s="70" t="n">
        <f aca="false">+T56</f>
        <v>774825858</v>
      </c>
      <c r="V55" s="70" t="n">
        <f aca="false">+U56</f>
        <v>774825858</v>
      </c>
      <c r="W55" s="10"/>
      <c r="X55" s="145"/>
    </row>
    <row r="56" customFormat="false" ht="12.75" hidden="false" customHeight="true" outlineLevel="0" collapsed="false">
      <c r="A56" s="133" t="n">
        <v>61</v>
      </c>
      <c r="B56" s="0" t="s">
        <v>183</v>
      </c>
      <c r="C56" s="118" t="n">
        <v>36545</v>
      </c>
      <c r="D56" s="70"/>
      <c r="E56" s="70"/>
      <c r="F56" s="147"/>
      <c r="G56" s="144"/>
      <c r="H56" s="10"/>
      <c r="I56" s="10"/>
      <c r="J56" s="10"/>
      <c r="K56" s="10"/>
      <c r="L56" s="145"/>
      <c r="M56" s="10" t="n">
        <f aca="false">+$M$21*A58</f>
        <v>899458699.5</v>
      </c>
      <c r="N56" s="70" t="n">
        <f aca="false">+N$21*$A58</f>
        <v>774825858</v>
      </c>
      <c r="O56" s="70" t="n">
        <f aca="false">+O$21*$A58</f>
        <v>774825858</v>
      </c>
      <c r="P56" s="70" t="n">
        <f aca="false">+P$21*$A58</f>
        <v>774825858</v>
      </c>
      <c r="Q56" s="10"/>
      <c r="R56" s="145"/>
      <c r="S56" s="70" t="n">
        <f aca="false">+S$21*$A58</f>
        <v>774825858</v>
      </c>
      <c r="T56" s="70" t="n">
        <f aca="false">+T$21*$A58</f>
        <v>774825858</v>
      </c>
      <c r="U56" s="70" t="n">
        <f aca="false">+U$21*$A58</f>
        <v>774825858</v>
      </c>
      <c r="V56" s="70" t="n">
        <f aca="false">+V$21*$A58</f>
        <v>774825858</v>
      </c>
      <c r="W56" s="10"/>
      <c r="X56" s="145"/>
      <c r="Z56" s="148" t="s">
        <v>193</v>
      </c>
    </row>
    <row r="57" customFormat="false" ht="12.75" hidden="false" customHeight="true" outlineLevel="0" collapsed="false">
      <c r="A57" s="0" t="s">
        <v>13</v>
      </c>
      <c r="B57" s="0" t="s">
        <v>185</v>
      </c>
      <c r="C57" s="10"/>
      <c r="D57" s="70"/>
      <c r="E57" s="70"/>
      <c r="F57" s="147"/>
      <c r="G57" s="144"/>
      <c r="H57" s="10"/>
      <c r="I57" s="10"/>
      <c r="J57" s="10"/>
      <c r="K57" s="10"/>
      <c r="L57" s="155"/>
      <c r="M57" s="154" t="n">
        <f aca="false">+M55-M56</f>
        <v>-166677655.5</v>
      </c>
      <c r="N57" s="154" t="n">
        <f aca="false">+N55-N56</f>
        <v>124632841.5</v>
      </c>
      <c r="O57" s="154" t="n">
        <f aca="false">+O55-O56</f>
        <v>0</v>
      </c>
      <c r="P57" s="154" t="n">
        <f aca="false">+P55-P56</f>
        <v>0</v>
      </c>
      <c r="Q57" s="154" t="n">
        <f aca="false">SUM(M57:P57)</f>
        <v>-42044814</v>
      </c>
      <c r="R57" s="155"/>
      <c r="S57" s="154" t="n">
        <f aca="false">+S55-S56</f>
        <v>0</v>
      </c>
      <c r="T57" s="154" t="n">
        <f aca="false">+T55-T56</f>
        <v>0</v>
      </c>
      <c r="U57" s="154" t="n">
        <f aca="false">+U55-U56</f>
        <v>0</v>
      </c>
      <c r="V57" s="154" t="n">
        <f aca="false">+V55-V56</f>
        <v>0</v>
      </c>
      <c r="W57" s="154" t="n">
        <f aca="false">SUM(S57:V57)</f>
        <v>0</v>
      </c>
      <c r="X57" s="155"/>
      <c r="Y57" s="156" t="n">
        <f aca="false">+K57+Q57+W57</f>
        <v>-42044814</v>
      </c>
      <c r="Z57" s="27" t="n">
        <f aca="false">+Y57</f>
        <v>-42044814</v>
      </c>
    </row>
    <row r="58" customFormat="false" ht="12.75" hidden="false" customHeight="true" outlineLevel="0" collapsed="false">
      <c r="A58" s="28" t="n">
        <v>12012804</v>
      </c>
      <c r="B58" s="150" t="s">
        <v>186</v>
      </c>
      <c r="C58" s="157"/>
      <c r="D58" s="151"/>
      <c r="E58" s="151"/>
      <c r="F58" s="152"/>
      <c r="G58" s="158"/>
      <c r="H58" s="157"/>
      <c r="I58" s="159"/>
      <c r="J58" s="157"/>
      <c r="K58" s="157"/>
      <c r="L58" s="153"/>
      <c r="M58" s="159" t="n">
        <f aca="false">+M57*0.6</f>
        <v>-100006593.3</v>
      </c>
      <c r="N58" s="159" t="n">
        <f aca="false">+N57*0.6</f>
        <v>74779704.9</v>
      </c>
      <c r="O58" s="159" t="n">
        <f aca="false">+O57*0.6</f>
        <v>0</v>
      </c>
      <c r="P58" s="159" t="n">
        <f aca="false">+P57*0.6</f>
        <v>0</v>
      </c>
      <c r="Q58" s="157" t="n">
        <f aca="false">SUM(M58:P58)</f>
        <v>-25226888.4</v>
      </c>
      <c r="R58" s="153"/>
      <c r="S58" s="159" t="n">
        <f aca="false">+S57*0.6</f>
        <v>0</v>
      </c>
      <c r="T58" s="159" t="n">
        <f aca="false">+T57*0.6</f>
        <v>0</v>
      </c>
      <c r="U58" s="159" t="n">
        <f aca="false">+U57*0.6</f>
        <v>0</v>
      </c>
      <c r="V58" s="159" t="n">
        <f aca="false">+V57*0.6</f>
        <v>0</v>
      </c>
      <c r="W58" s="157" t="n">
        <f aca="false">SUM(S58:V58)</f>
        <v>0</v>
      </c>
      <c r="X58" s="153"/>
      <c r="Y58" s="160" t="n">
        <f aca="false">+K58+Q58+W58</f>
        <v>-25226888.4</v>
      </c>
    </row>
    <row r="59" customFormat="false" ht="12.75" hidden="false" customHeight="true" outlineLevel="0" collapsed="false">
      <c r="A59" s="32" t="n">
        <v>36545</v>
      </c>
      <c r="B59" s="150" t="s">
        <v>190</v>
      </c>
      <c r="C59" s="157"/>
      <c r="D59" s="151"/>
      <c r="E59" s="151"/>
      <c r="F59" s="153"/>
      <c r="G59" s="157"/>
      <c r="H59" s="157"/>
      <c r="I59" s="157"/>
      <c r="J59" s="157"/>
      <c r="K59" s="157"/>
      <c r="L59" s="153"/>
      <c r="M59" s="157" t="n">
        <f aca="false">+M52+M58</f>
        <v>0</v>
      </c>
      <c r="N59" s="157" t="n">
        <f aca="false">+N52+N58</f>
        <v>0</v>
      </c>
      <c r="O59" s="157" t="n">
        <f aca="false">+O52+O58</f>
        <v>0</v>
      </c>
      <c r="P59" s="157" t="n">
        <f aca="false">+P52+P58</f>
        <v>0</v>
      </c>
      <c r="Q59" s="157" t="n">
        <f aca="false">+Q52+Q58</f>
        <v>0</v>
      </c>
      <c r="R59" s="153"/>
      <c r="S59" s="157" t="n">
        <f aca="false">+S52+S58</f>
        <v>0</v>
      </c>
      <c r="T59" s="157" t="n">
        <f aca="false">+T52+T58</f>
        <v>0</v>
      </c>
      <c r="U59" s="157" t="n">
        <f aca="false">+U52+U58</f>
        <v>0</v>
      </c>
      <c r="V59" s="157" t="n">
        <f aca="false">+V52+V58</f>
        <v>0</v>
      </c>
      <c r="W59" s="157" t="n">
        <f aca="false">+W52+W58</f>
        <v>0</v>
      </c>
      <c r="X59" s="153"/>
      <c r="Y59" s="160" t="n">
        <f aca="false">+Y52+Y58</f>
        <v>0</v>
      </c>
    </row>
    <row r="60" customFormat="false" ht="12.75" hidden="false" customHeight="true" outlineLevel="0" collapsed="false">
      <c r="C60" s="10"/>
      <c r="D60" s="70"/>
      <c r="E60" s="70"/>
      <c r="F60" s="147"/>
      <c r="G60" s="144"/>
      <c r="H60" s="10"/>
      <c r="I60" s="10"/>
      <c r="J60" s="10"/>
      <c r="K60" s="10"/>
      <c r="L60" s="145"/>
      <c r="M60" s="144"/>
      <c r="N60" s="10"/>
      <c r="O60" s="10"/>
      <c r="P60" s="10"/>
      <c r="Q60" s="10"/>
      <c r="R60" s="145"/>
      <c r="S60" s="144"/>
      <c r="T60" s="10"/>
      <c r="U60" s="10"/>
      <c r="V60" s="10"/>
      <c r="W60" s="10"/>
      <c r="X60" s="145"/>
    </row>
    <row r="61" customFormat="false" ht="12.75" hidden="false" customHeight="true" outlineLevel="0" collapsed="false">
      <c r="A61" s="22" t="s">
        <v>194</v>
      </c>
      <c r="C61" s="10"/>
      <c r="D61" s="70"/>
      <c r="E61" s="70"/>
      <c r="F61" s="147"/>
      <c r="G61" s="144"/>
      <c r="H61" s="10"/>
      <c r="I61" s="10"/>
      <c r="J61" s="10"/>
      <c r="K61" s="10"/>
      <c r="L61" s="145"/>
      <c r="M61" s="144"/>
      <c r="N61" s="144"/>
      <c r="O61" s="144"/>
      <c r="P61" s="144"/>
      <c r="Q61" s="144"/>
      <c r="R61" s="145"/>
      <c r="S61" s="144"/>
      <c r="T61" s="144"/>
      <c r="U61" s="144"/>
      <c r="V61" s="144"/>
      <c r="W61" s="144"/>
      <c r="X61" s="145"/>
    </row>
    <row r="62" customFormat="false" ht="12.75" hidden="false" customHeight="true" outlineLevel="0" collapsed="false">
      <c r="A62" s="32" t="n">
        <v>35989</v>
      </c>
      <c r="B62" s="162" t="n">
        <v>22824327</v>
      </c>
      <c r="C62" s="28" t="n">
        <v>-1141216.35</v>
      </c>
      <c r="D62" s="28" t="n">
        <v>-1141216.35</v>
      </c>
      <c r="E62" s="28" t="n">
        <f aca="false">SUM(C62:D62)</f>
        <v>-2282432.7</v>
      </c>
      <c r="F62" s="147"/>
      <c r="G62" s="28" t="n">
        <f aca="false">-22824327/60*3</f>
        <v>-1141216.35</v>
      </c>
      <c r="H62" s="28" t="n">
        <v>0</v>
      </c>
      <c r="I62" s="28" t="n">
        <v>0</v>
      </c>
      <c r="J62" s="28" t="n">
        <v>0</v>
      </c>
      <c r="K62" s="10" t="n">
        <f aca="false">SUM(G62:J62)</f>
        <v>-1141216.35</v>
      </c>
      <c r="L62" s="145"/>
      <c r="M62" s="144"/>
      <c r="N62" s="144"/>
      <c r="O62" s="144"/>
      <c r="P62" s="144"/>
      <c r="Q62" s="144"/>
      <c r="R62" s="145"/>
      <c r="S62" s="144"/>
      <c r="T62" s="144"/>
      <c r="U62" s="144"/>
      <c r="V62" s="144"/>
      <c r="W62" s="144"/>
      <c r="X62" s="145"/>
      <c r="Y62" s="70" t="n">
        <f aca="false">+E62+K62</f>
        <v>-3423649.05</v>
      </c>
    </row>
    <row r="63" customFormat="false" ht="12.75" hidden="false" customHeight="true" outlineLevel="0" collapsed="false">
      <c r="A63" s="32" t="n">
        <v>36172</v>
      </c>
      <c r="B63" s="162"/>
      <c r="C63" s="10"/>
      <c r="D63" s="70"/>
      <c r="E63" s="70"/>
      <c r="F63" s="147"/>
      <c r="G63" s="28"/>
      <c r="H63" s="28"/>
      <c r="I63" s="28"/>
      <c r="J63" s="28"/>
      <c r="K63" s="10" t="n">
        <f aca="false">SUM(G63:J63)</f>
        <v>0</v>
      </c>
      <c r="L63" s="145"/>
      <c r="M63" s="144"/>
      <c r="N63" s="144"/>
      <c r="O63" s="144"/>
      <c r="P63" s="144"/>
      <c r="Q63" s="144"/>
      <c r="R63" s="145"/>
      <c r="S63" s="144"/>
      <c r="T63" s="144"/>
      <c r="U63" s="144"/>
      <c r="V63" s="144"/>
      <c r="W63" s="144"/>
      <c r="X63" s="145"/>
      <c r="Y63" s="70" t="n">
        <f aca="false">+E63+K63</f>
        <v>0</v>
      </c>
    </row>
    <row r="64" customFormat="false" ht="12.75" hidden="false" customHeight="true" outlineLevel="0" collapsed="false">
      <c r="A64" s="32" t="n">
        <v>36230</v>
      </c>
      <c r="B64" s="162"/>
      <c r="C64" s="10"/>
      <c r="D64" s="70"/>
      <c r="E64" s="70"/>
      <c r="F64" s="147"/>
      <c r="G64" s="28"/>
      <c r="H64" s="28"/>
      <c r="I64" s="28"/>
      <c r="J64" s="28"/>
      <c r="K64" s="10" t="n">
        <f aca="false">SUM(G64:J64)</f>
        <v>0</v>
      </c>
      <c r="L64" s="145"/>
      <c r="M64" s="144"/>
      <c r="N64" s="144"/>
      <c r="O64" s="144"/>
      <c r="P64" s="144"/>
      <c r="Q64" s="144"/>
      <c r="R64" s="145"/>
      <c r="S64" s="144"/>
      <c r="T64" s="144"/>
      <c r="U64" s="144"/>
      <c r="V64" s="144"/>
      <c r="W64" s="144"/>
      <c r="X64" s="145"/>
      <c r="Y64" s="70" t="n">
        <f aca="false">+E64+K64</f>
        <v>0</v>
      </c>
      <c r="Z64" s="148" t="s">
        <v>195</v>
      </c>
    </row>
    <row r="65" customFormat="false" ht="12.75" hidden="false" customHeight="true" outlineLevel="0" collapsed="false">
      <c r="A65" s="150" t="s">
        <v>196</v>
      </c>
      <c r="B65" s="163" t="n">
        <f aca="false">SUM(B62:B64)</f>
        <v>22824327</v>
      </c>
      <c r="C65" s="157" t="n">
        <f aca="false">SUM(C62:C64)</f>
        <v>-1141216.35</v>
      </c>
      <c r="D65" s="157" t="n">
        <f aca="false">SUM(D62:D64)</f>
        <v>-1141216.35</v>
      </c>
      <c r="E65" s="157" t="n">
        <f aca="false">SUM(E62:E64)</f>
        <v>-2282432.7</v>
      </c>
      <c r="F65" s="153"/>
      <c r="G65" s="157" t="n">
        <f aca="false">SUM(G62:G64)</f>
        <v>-1141216.35</v>
      </c>
      <c r="H65" s="157" t="n">
        <f aca="false">SUM(H62:H64)</f>
        <v>0</v>
      </c>
      <c r="I65" s="164" t="n">
        <f aca="false">SUM(I62:I64)</f>
        <v>0</v>
      </c>
      <c r="J65" s="157" t="n">
        <f aca="false">SUM(J62:J64)</f>
        <v>0</v>
      </c>
      <c r="K65" s="157" t="n">
        <f aca="false">SUM(G65:J65)</f>
        <v>-1141216.35</v>
      </c>
      <c r="L65" s="153"/>
      <c r="M65" s="144"/>
      <c r="N65" s="144"/>
      <c r="O65" s="144"/>
      <c r="P65" s="144"/>
      <c r="Q65" s="144"/>
      <c r="R65" s="145"/>
      <c r="S65" s="144"/>
      <c r="T65" s="144"/>
      <c r="U65" s="144"/>
      <c r="V65" s="144"/>
      <c r="W65" s="144"/>
      <c r="X65" s="145"/>
      <c r="Y65" s="157" t="n">
        <f aca="false">+E65+K65</f>
        <v>-3423649.05</v>
      </c>
      <c r="Z65" s="27" t="n">
        <f aca="false">+Y65</f>
        <v>-3423649.05</v>
      </c>
    </row>
    <row r="66" customFormat="false" ht="12.75" hidden="false" customHeight="true" outlineLevel="0" collapsed="false">
      <c r="A66" s="165"/>
      <c r="F66" s="120"/>
      <c r="J66" s="117"/>
      <c r="K66" s="166"/>
      <c r="L66" s="120"/>
      <c r="M66" s="144"/>
      <c r="N66" s="144"/>
      <c r="O66" s="144"/>
      <c r="P66" s="144"/>
      <c r="Q66" s="144"/>
      <c r="R66" s="145"/>
      <c r="S66" s="144"/>
      <c r="T66" s="144"/>
      <c r="U66" s="144"/>
      <c r="V66" s="144"/>
      <c r="W66" s="144"/>
      <c r="X66" s="145"/>
      <c r="Y66" s="117"/>
    </row>
    <row r="67" customFormat="false" ht="12.75" hidden="false" customHeight="true" outlineLevel="0" collapsed="false">
      <c r="A67" s="167" t="s">
        <v>197</v>
      </c>
      <c r="F67" s="120"/>
      <c r="J67" s="117"/>
      <c r="K67" s="166"/>
      <c r="L67" s="120"/>
      <c r="M67" s="117"/>
      <c r="N67" s="117"/>
      <c r="O67" s="117"/>
      <c r="P67" s="117"/>
      <c r="Q67" s="117"/>
      <c r="R67" s="145"/>
      <c r="S67" s="117"/>
      <c r="T67" s="117"/>
      <c r="U67" s="117"/>
      <c r="V67" s="117"/>
      <c r="W67" s="117"/>
      <c r="X67" s="145"/>
      <c r="Y67" s="117"/>
      <c r="Z67" s="148" t="s">
        <v>198</v>
      </c>
    </row>
    <row r="68" customFormat="false" ht="12.75" hidden="false" customHeight="true" outlineLevel="0" collapsed="false">
      <c r="A68" s="165"/>
      <c r="B68" s="168" t="n">
        <v>1</v>
      </c>
      <c r="F68" s="120"/>
      <c r="G68" s="28" t="n">
        <f aca="false">-(56-54.0625)*6006402</f>
        <v>-11637403.875</v>
      </c>
      <c r="H68" s="28"/>
      <c r="I68" s="28"/>
      <c r="J68" s="28"/>
      <c r="K68" s="169" t="n">
        <f aca="false">SUM(G68:J68)</f>
        <v>-11637403.875</v>
      </c>
      <c r="L68" s="170"/>
      <c r="M68" s="117"/>
      <c r="N68" s="117"/>
      <c r="O68" s="117"/>
      <c r="P68" s="117"/>
      <c r="Q68" s="117"/>
      <c r="R68" s="145"/>
      <c r="S68" s="117"/>
      <c r="T68" s="117"/>
      <c r="U68" s="117"/>
      <c r="V68" s="117"/>
      <c r="W68" s="117"/>
      <c r="X68" s="145"/>
      <c r="Y68" s="10" t="n">
        <f aca="false">+E68+K68</f>
        <v>-11637403.875</v>
      </c>
      <c r="Z68" s="27" t="n">
        <f aca="false">+Y68</f>
        <v>-11637403.875</v>
      </c>
    </row>
    <row r="69" customFormat="false" ht="12.75" hidden="false" customHeight="true" outlineLevel="0" collapsed="false">
      <c r="B69" s="171" t="s">
        <v>186</v>
      </c>
      <c r="C69" s="172" t="n">
        <f aca="false">+C68*0.6</f>
        <v>0</v>
      </c>
      <c r="D69" s="172" t="n">
        <f aca="false">+D68*0.6</f>
        <v>0</v>
      </c>
      <c r="E69" s="172" t="n">
        <f aca="false">SUM(C69:D69)</f>
        <v>0</v>
      </c>
      <c r="F69" s="173"/>
      <c r="G69" s="172" t="n">
        <f aca="false">+G68*0.6</f>
        <v>-6982442.325</v>
      </c>
      <c r="H69" s="174" t="n">
        <f aca="false">+H68*0.6</f>
        <v>0</v>
      </c>
      <c r="I69" s="172" t="n">
        <f aca="false">+I68*0.6</f>
        <v>0</v>
      </c>
      <c r="J69" s="172" t="n">
        <f aca="false">+J68*0.6</f>
        <v>0</v>
      </c>
      <c r="K69" s="172" t="n">
        <f aca="false">SUM(G69:J69)</f>
        <v>-6982442.325</v>
      </c>
      <c r="L69" s="175"/>
      <c r="M69" s="117"/>
      <c r="N69" s="117"/>
      <c r="O69" s="117"/>
      <c r="P69" s="117"/>
      <c r="Q69" s="117"/>
      <c r="R69" s="145"/>
      <c r="S69" s="117"/>
      <c r="T69" s="117"/>
      <c r="U69" s="117"/>
      <c r="V69" s="117"/>
      <c r="W69" s="117"/>
      <c r="X69" s="145"/>
      <c r="Y69" s="172" t="n">
        <f aca="false">+E69+K69</f>
        <v>-6982442.325</v>
      </c>
    </row>
    <row r="70" customFormat="false" ht="12.75" hidden="false" customHeight="true" outlineLevel="0" collapsed="false">
      <c r="A70" s="22" t="s">
        <v>199</v>
      </c>
      <c r="B70" s="17"/>
      <c r="C70" s="10"/>
      <c r="D70" s="10"/>
      <c r="E70" s="10"/>
      <c r="F70" s="147"/>
      <c r="G70" s="10"/>
      <c r="H70" s="176"/>
      <c r="I70" s="10"/>
      <c r="J70" s="10"/>
      <c r="K70" s="10"/>
      <c r="L70" s="145"/>
      <c r="M70" s="117"/>
      <c r="N70" s="117"/>
      <c r="O70" s="117"/>
      <c r="P70" s="117"/>
      <c r="Q70" s="117"/>
      <c r="R70" s="145"/>
      <c r="S70" s="117"/>
      <c r="T70" s="117"/>
      <c r="U70" s="117"/>
      <c r="V70" s="117"/>
      <c r="W70" s="117"/>
      <c r="X70" s="145"/>
      <c r="Y70" s="10"/>
    </row>
    <row r="71" customFormat="false" ht="12.75" hidden="false" customHeight="true" outlineLevel="0" collapsed="false">
      <c r="A71" s="51" t="s">
        <v>200</v>
      </c>
      <c r="B71" s="177" t="n">
        <v>74.125</v>
      </c>
      <c r="C71" s="0"/>
      <c r="D71" s="178"/>
      <c r="E71" s="178"/>
      <c r="F71" s="147"/>
      <c r="G71" s="10"/>
      <c r="H71" s="176"/>
      <c r="I71" s="10"/>
      <c r="J71" s="10"/>
      <c r="K71" s="10"/>
      <c r="L71" s="145"/>
      <c r="M71" s="117"/>
      <c r="N71" s="117"/>
      <c r="O71" s="117"/>
      <c r="P71" s="117"/>
      <c r="Q71" s="117"/>
      <c r="R71" s="145"/>
      <c r="S71" s="117"/>
      <c r="T71" s="117"/>
      <c r="U71" s="117"/>
      <c r="V71" s="117"/>
      <c r="W71" s="117"/>
      <c r="X71" s="145"/>
      <c r="Y71" s="10"/>
      <c r="AA71" s="135"/>
    </row>
    <row r="72" customFormat="false" ht="12.75" hidden="false" customHeight="true" outlineLevel="0" collapsed="false">
      <c r="A72" s="0" t="s">
        <v>177</v>
      </c>
      <c r="B72" s="178" t="n">
        <v>300000</v>
      </c>
      <c r="C72" s="10"/>
      <c r="D72" s="10"/>
      <c r="E72" s="10"/>
      <c r="F72" s="145"/>
      <c r="G72" s="10"/>
      <c r="H72" s="10" t="n">
        <f aca="false">+B71*B72</f>
        <v>22237500</v>
      </c>
      <c r="I72" s="10" t="n">
        <f aca="false">H74</f>
        <v>24525000</v>
      </c>
      <c r="J72" s="10"/>
      <c r="K72" s="10"/>
      <c r="L72" s="145"/>
      <c r="M72" s="117"/>
      <c r="N72" s="117"/>
      <c r="O72" s="117"/>
      <c r="P72" s="117"/>
      <c r="Q72" s="117"/>
      <c r="R72" s="145"/>
      <c r="S72" s="117"/>
      <c r="T72" s="117"/>
      <c r="U72" s="117"/>
      <c r="V72" s="117"/>
      <c r="W72" s="117"/>
      <c r="X72" s="145"/>
      <c r="Y72" s="10"/>
      <c r="AA72" s="135"/>
    </row>
    <row r="73" customFormat="false" ht="12.75" hidden="false" customHeight="true" outlineLevel="0" collapsed="false">
      <c r="A73" s="51" t="s">
        <v>179</v>
      </c>
      <c r="B73" s="178" t="n">
        <v>600000</v>
      </c>
      <c r="C73" s="10"/>
      <c r="D73" s="10"/>
      <c r="E73" s="10"/>
      <c r="F73" s="145"/>
      <c r="G73" s="10"/>
      <c r="H73" s="10"/>
      <c r="I73" s="10"/>
      <c r="J73" s="10"/>
      <c r="K73" s="10"/>
      <c r="L73" s="145"/>
      <c r="M73" s="117"/>
      <c r="N73" s="117"/>
      <c r="O73" s="117"/>
      <c r="P73" s="117"/>
      <c r="Q73" s="117"/>
      <c r="R73" s="145"/>
      <c r="S73" s="117"/>
      <c r="T73" s="117"/>
      <c r="U73" s="117"/>
      <c r="V73" s="117"/>
      <c r="W73" s="117"/>
      <c r="X73" s="145"/>
      <c r="Y73" s="10"/>
      <c r="AA73" s="135"/>
    </row>
    <row r="74" customFormat="false" ht="12.75" hidden="false" customHeight="true" outlineLevel="0" collapsed="false">
      <c r="A74" s="167" t="s">
        <v>201</v>
      </c>
      <c r="F74" s="120"/>
      <c r="G74" s="28"/>
      <c r="H74" s="176" t="n">
        <f aca="false">+$B$72*$H$21</f>
        <v>24525000</v>
      </c>
      <c r="I74" s="176" t="n">
        <f aca="false">+$B$73*I$21</f>
        <v>24637500</v>
      </c>
      <c r="J74" s="176"/>
      <c r="K74" s="10"/>
      <c r="L74" s="145"/>
      <c r="M74" s="117"/>
      <c r="N74" s="117"/>
      <c r="O74" s="117"/>
      <c r="P74" s="117"/>
      <c r="Q74" s="117"/>
      <c r="R74" s="145"/>
      <c r="S74" s="117"/>
      <c r="T74" s="117"/>
      <c r="U74" s="117"/>
      <c r="V74" s="117"/>
      <c r="W74" s="117"/>
      <c r="X74" s="145"/>
      <c r="Y74" s="27"/>
      <c r="Z74" s="148" t="s">
        <v>202</v>
      </c>
    </row>
    <row r="75" customFormat="false" ht="12.75" hidden="false" customHeight="true" outlineLevel="0" collapsed="false">
      <c r="A75" s="167"/>
      <c r="B75" s="179" t="s">
        <v>178</v>
      </c>
      <c r="C75" s="180"/>
      <c r="D75" s="180"/>
      <c r="E75" s="180"/>
      <c r="F75" s="181"/>
      <c r="G75" s="182"/>
      <c r="H75" s="183" t="n">
        <f aca="false">-H74+H72</f>
        <v>-2287500</v>
      </c>
      <c r="I75" s="183" t="n">
        <f aca="false">-I74+I72</f>
        <v>-112500</v>
      </c>
      <c r="J75" s="183" t="n">
        <f aca="false">-J74+J72</f>
        <v>0</v>
      </c>
      <c r="K75" s="183" t="n">
        <f aca="false">SUM(G75:J75)</f>
        <v>-2400000</v>
      </c>
      <c r="L75" s="149"/>
      <c r="M75" s="117"/>
      <c r="N75" s="117"/>
      <c r="O75" s="117"/>
      <c r="P75" s="117"/>
      <c r="Q75" s="117"/>
      <c r="R75" s="145"/>
      <c r="S75" s="117"/>
      <c r="T75" s="117"/>
      <c r="U75" s="117"/>
      <c r="V75" s="117"/>
      <c r="W75" s="117"/>
      <c r="X75" s="145"/>
      <c r="Y75" s="184" t="n">
        <f aca="false">+K75</f>
        <v>-2400000</v>
      </c>
      <c r="Z75" s="27" t="n">
        <f aca="false">+Y75</f>
        <v>-2400000</v>
      </c>
    </row>
    <row r="76" customFormat="false" ht="12.75" hidden="false" customHeight="true" outlineLevel="0" collapsed="false">
      <c r="A76" s="185"/>
      <c r="B76" s="150"/>
      <c r="C76" s="163"/>
      <c r="D76" s="157"/>
      <c r="E76" s="157"/>
      <c r="F76" s="153"/>
      <c r="G76" s="153" t="n">
        <f aca="false">+G69+G75</f>
        <v>-6982442.325</v>
      </c>
      <c r="H76" s="157" t="n">
        <f aca="false">+H69+H75</f>
        <v>-2287500</v>
      </c>
      <c r="I76" s="164" t="n">
        <f aca="false">+I69+I75</f>
        <v>-112500</v>
      </c>
      <c r="J76" s="157" t="n">
        <f aca="false">+J69+J75</f>
        <v>0</v>
      </c>
      <c r="K76" s="157" t="n">
        <f aca="false">+K69+K75</f>
        <v>-9382442.325</v>
      </c>
      <c r="L76" s="153"/>
      <c r="M76" s="117"/>
      <c r="N76" s="117"/>
      <c r="O76" s="117"/>
      <c r="P76" s="117"/>
      <c r="Q76" s="117"/>
      <c r="R76" s="145"/>
      <c r="S76" s="117"/>
      <c r="T76" s="117"/>
      <c r="U76" s="117"/>
      <c r="V76" s="117"/>
      <c r="W76" s="117"/>
      <c r="X76" s="145"/>
      <c r="Y76" s="157" t="n">
        <f aca="false">SUM(Y69:Y75)</f>
        <v>-9382442.325</v>
      </c>
    </row>
    <row r="77" customFormat="false" ht="12.75" hidden="false" customHeight="false" outlineLevel="0" collapsed="false">
      <c r="A77" s="22" t="s">
        <v>203</v>
      </c>
      <c r="F77" s="120"/>
      <c r="G77" s="176"/>
      <c r="K77" s="70"/>
      <c r="L77" s="147"/>
      <c r="M77" s="117"/>
      <c r="N77" s="117"/>
      <c r="O77" s="117"/>
      <c r="P77" s="117"/>
      <c r="Q77" s="117"/>
      <c r="R77" s="145"/>
      <c r="S77" s="117"/>
      <c r="T77" s="117"/>
      <c r="U77" s="117"/>
      <c r="V77" s="117"/>
      <c r="W77" s="117"/>
      <c r="X77" s="145"/>
      <c r="Z77" s="17"/>
    </row>
    <row r="78" customFormat="false" ht="12.75" hidden="false" customHeight="false" outlineLevel="0" collapsed="false">
      <c r="A78" s="23"/>
      <c r="B78" s="23" t="s">
        <v>204</v>
      </c>
      <c r="C78" s="186"/>
      <c r="D78" s="186" t="n">
        <v>6.77</v>
      </c>
      <c r="E78" s="186"/>
      <c r="F78" s="120"/>
      <c r="J78" s="0" t="s">
        <v>205</v>
      </c>
      <c r="K78" s="70"/>
      <c r="L78" s="147"/>
      <c r="M78" s="134" t="s">
        <v>206</v>
      </c>
      <c r="N78" s="117"/>
      <c r="O78" s="117"/>
      <c r="P78" s="117"/>
      <c r="Q78" s="117"/>
      <c r="R78" s="147"/>
      <c r="S78" s="117"/>
      <c r="T78" s="117"/>
      <c r="U78" s="117"/>
      <c r="V78" s="117"/>
      <c r="W78" s="117"/>
      <c r="X78" s="147"/>
    </row>
    <row r="79" customFormat="false" ht="12.75" hidden="false" customHeight="false" outlineLevel="0" collapsed="false">
      <c r="A79" s="31" t="s">
        <v>207</v>
      </c>
      <c r="B79" s="0" t="s">
        <v>208</v>
      </c>
      <c r="C79" s="28" t="n">
        <v>6006402</v>
      </c>
      <c r="D79" s="186"/>
      <c r="E79" s="186"/>
      <c r="F79" s="187"/>
      <c r="G79" s="186" t="n">
        <v>15.242</v>
      </c>
      <c r="H79" s="186" t="n">
        <v>9.734098</v>
      </c>
      <c r="I79" s="186" t="n">
        <v>4.690902</v>
      </c>
      <c r="J79" s="188" t="n">
        <v>4.351632</v>
      </c>
      <c r="K79" s="70"/>
      <c r="L79" s="147"/>
      <c r="M79" s="186" t="n">
        <v>2.94</v>
      </c>
      <c r="N79" s="189"/>
      <c r="O79" s="189"/>
      <c r="P79" s="189"/>
      <c r="Q79" s="117"/>
      <c r="R79" s="147"/>
      <c r="S79" s="117"/>
      <c r="T79" s="117"/>
      <c r="U79" s="117"/>
      <c r="V79" s="117"/>
      <c r="W79" s="117"/>
      <c r="X79" s="147"/>
    </row>
    <row r="80" customFormat="false" ht="12.75" hidden="false" customHeight="false" outlineLevel="0" collapsed="false">
      <c r="A80" s="31" t="s">
        <v>209</v>
      </c>
      <c r="B80" s="0" t="s">
        <v>208</v>
      </c>
      <c r="C80" s="28" t="n">
        <v>12012804</v>
      </c>
      <c r="D80" s="186"/>
      <c r="E80" s="186"/>
      <c r="F80" s="187"/>
      <c r="G80" s="186"/>
      <c r="H80" s="186"/>
      <c r="I80" s="188"/>
      <c r="J80" s="186"/>
      <c r="K80" s="70"/>
      <c r="L80" s="147"/>
      <c r="M80" s="28" t="n">
        <v>12012804</v>
      </c>
      <c r="N80" s="29"/>
      <c r="O80" s="117"/>
      <c r="P80" s="117"/>
      <c r="Q80" s="117"/>
      <c r="R80" s="147"/>
      <c r="S80" s="117"/>
      <c r="T80" s="117"/>
      <c r="U80" s="117"/>
      <c r="V80" s="117"/>
      <c r="W80" s="117"/>
      <c r="X80" s="147"/>
    </row>
    <row r="81" customFormat="false" ht="12.75" hidden="false" customHeight="false" outlineLevel="0" collapsed="false">
      <c r="A81" s="23"/>
      <c r="C81" s="28"/>
      <c r="F81" s="120"/>
      <c r="K81" s="70"/>
      <c r="L81" s="147"/>
      <c r="M81" s="117"/>
      <c r="N81" s="117"/>
      <c r="O81" s="117"/>
      <c r="P81" s="117"/>
      <c r="Q81" s="117"/>
      <c r="R81" s="147"/>
      <c r="S81" s="117"/>
      <c r="T81" s="117"/>
      <c r="U81" s="117"/>
      <c r="V81" s="117"/>
      <c r="W81" s="117"/>
      <c r="X81" s="147"/>
    </row>
    <row r="82" customFormat="false" ht="12.75" hidden="false" customHeight="false" outlineLevel="0" collapsed="false">
      <c r="A82" s="0" t="s">
        <v>210</v>
      </c>
      <c r="C82" s="70" t="n">
        <f aca="false">+C79*$C78</f>
        <v>0</v>
      </c>
      <c r="D82" s="70" t="n">
        <f aca="false">+C79*$D78</f>
        <v>40663341.54</v>
      </c>
      <c r="E82" s="70"/>
      <c r="F82" s="143"/>
      <c r="G82" s="190" t="n">
        <f aca="false">+G79*$C79</f>
        <v>91549579.284</v>
      </c>
      <c r="H82" s="190" t="n">
        <f aca="false">+H79*$C79</f>
        <v>58466905.695396</v>
      </c>
      <c r="I82" s="70" t="n">
        <f aca="false">+I79*$C80</f>
        <v>56350886.309208</v>
      </c>
      <c r="J82" s="70" t="n">
        <f aca="false">+J79*$C80</f>
        <v>52275302.296128</v>
      </c>
      <c r="K82" s="70"/>
      <c r="L82" s="147"/>
      <c r="M82" s="70" t="n">
        <f aca="false">+M79*$M80</f>
        <v>35317643.76</v>
      </c>
      <c r="N82" s="70"/>
      <c r="O82" s="70"/>
      <c r="P82" s="70"/>
      <c r="Q82" s="117"/>
      <c r="R82" s="147"/>
      <c r="S82" s="117"/>
      <c r="T82" s="117"/>
      <c r="U82" s="117"/>
      <c r="V82" s="117"/>
      <c r="W82" s="117"/>
      <c r="X82" s="147"/>
    </row>
    <row r="83" customFormat="false" ht="12.75" hidden="false" customHeight="false" outlineLevel="0" collapsed="false">
      <c r="A83" s="23" t="s">
        <v>211</v>
      </c>
      <c r="C83" s="70" t="n">
        <f aca="false">+C82*0.6</f>
        <v>0</v>
      </c>
      <c r="D83" s="70" t="n">
        <f aca="false">+D82*0.6</f>
        <v>24398004.924</v>
      </c>
      <c r="E83" s="70"/>
      <c r="F83" s="147"/>
      <c r="G83" s="70" t="n">
        <f aca="false">+G82*0.6</f>
        <v>54929747.5704</v>
      </c>
      <c r="H83" s="70" t="n">
        <f aca="false">+H82*0.6</f>
        <v>35080143.4172376</v>
      </c>
      <c r="I83" s="70" t="n">
        <f aca="false">+I82*0.6</f>
        <v>33810531.7855248</v>
      </c>
      <c r="J83" s="70" t="n">
        <f aca="false">+J82*0.6</f>
        <v>31365181.3776768</v>
      </c>
      <c r="K83" s="70"/>
      <c r="L83" s="147"/>
      <c r="M83" s="70" t="n">
        <f aca="false">+M82*0.6</f>
        <v>21190586.256</v>
      </c>
      <c r="N83" s="70"/>
      <c r="O83" s="70"/>
      <c r="P83" s="70"/>
      <c r="Q83" s="117"/>
      <c r="R83" s="147"/>
      <c r="S83" s="117"/>
      <c r="T83" s="117"/>
      <c r="U83" s="117"/>
      <c r="V83" s="117"/>
      <c r="W83" s="117"/>
      <c r="X83" s="147"/>
    </row>
    <row r="84" customFormat="false" ht="12.75" hidden="false" customHeight="false" outlineLevel="0" collapsed="false">
      <c r="F84" s="120"/>
      <c r="K84" s="191"/>
      <c r="L84" s="41"/>
      <c r="M84" s="117"/>
      <c r="N84" s="117"/>
      <c r="O84" s="117"/>
      <c r="P84" s="117"/>
      <c r="Q84" s="117"/>
      <c r="R84" s="41"/>
      <c r="S84" s="117"/>
      <c r="T84" s="117"/>
      <c r="U84" s="117"/>
      <c r="V84" s="117"/>
      <c r="W84" s="117"/>
      <c r="X84" s="41"/>
    </row>
    <row r="85" customFormat="false" ht="12.75" hidden="false" customHeight="false" outlineLevel="0" collapsed="false">
      <c r="F85" s="120"/>
      <c r="K85" s="191"/>
      <c r="L85" s="41"/>
      <c r="M85" s="117"/>
      <c r="N85" s="117"/>
      <c r="O85" s="117"/>
      <c r="P85" s="117"/>
      <c r="Q85" s="117"/>
      <c r="R85" s="41"/>
      <c r="S85" s="117"/>
      <c r="T85" s="117"/>
      <c r="U85" s="117"/>
      <c r="V85" s="117"/>
      <c r="W85" s="117"/>
      <c r="X85" s="41"/>
    </row>
    <row r="86" customFormat="false" ht="12.75" hidden="false" customHeight="false" outlineLevel="0" collapsed="false">
      <c r="A86" s="0" t="s">
        <v>212</v>
      </c>
      <c r="F86" s="120"/>
      <c r="K86" s="191"/>
      <c r="L86" s="41"/>
      <c r="M86" s="117"/>
      <c r="N86" s="117"/>
      <c r="O86" s="117"/>
      <c r="P86" s="117"/>
      <c r="Q86" s="117"/>
      <c r="R86" s="41"/>
      <c r="S86" s="117"/>
      <c r="T86" s="117"/>
      <c r="U86" s="117"/>
      <c r="V86" s="117"/>
      <c r="W86" s="117"/>
      <c r="X86" s="41"/>
    </row>
    <row r="87" customFormat="false" ht="12.75" hidden="false" customHeight="false" outlineLevel="0" collapsed="false">
      <c r="A87" s="0" t="s">
        <v>213</v>
      </c>
      <c r="D87" s="28" t="n">
        <v>0</v>
      </c>
      <c r="E87" s="28"/>
      <c r="F87" s="143"/>
      <c r="G87" s="176" t="n">
        <f aca="false">+D82</f>
        <v>40663341.54</v>
      </c>
      <c r="H87" s="176" t="n">
        <f aca="false">+G82</f>
        <v>91549579.284</v>
      </c>
      <c r="I87" s="176" t="n">
        <f aca="false">+H82</f>
        <v>58466905.695396</v>
      </c>
      <c r="J87" s="176" t="n">
        <f aca="false">+I82</f>
        <v>56350886.309208</v>
      </c>
      <c r="K87" s="191"/>
      <c r="L87" s="41"/>
      <c r="M87" s="192" t="n">
        <v>0</v>
      </c>
      <c r="N87" s="176"/>
      <c r="O87" s="176"/>
      <c r="P87" s="176"/>
      <c r="Q87" s="117"/>
      <c r="R87" s="41"/>
      <c r="S87" s="117"/>
      <c r="T87" s="117"/>
      <c r="U87" s="117"/>
      <c r="V87" s="117"/>
      <c r="W87" s="117"/>
      <c r="X87" s="41"/>
    </row>
    <row r="88" customFormat="false" ht="12.75" hidden="false" customHeight="false" outlineLevel="0" collapsed="false">
      <c r="F88" s="120"/>
      <c r="K88" s="191"/>
      <c r="L88" s="41"/>
      <c r="M88" s="117"/>
      <c r="N88" s="117"/>
      <c r="O88" s="117"/>
      <c r="P88" s="117"/>
      <c r="Q88" s="117"/>
      <c r="R88" s="41"/>
      <c r="S88" s="117"/>
      <c r="T88" s="117"/>
      <c r="U88" s="117"/>
      <c r="V88" s="117"/>
      <c r="W88" s="117"/>
      <c r="X88" s="41"/>
    </row>
    <row r="89" customFormat="false" ht="12.75" hidden="false" customHeight="false" outlineLevel="0" collapsed="false">
      <c r="A89" s="51" t="s">
        <v>214</v>
      </c>
      <c r="F89" s="120"/>
      <c r="K89" s="191"/>
      <c r="L89" s="41"/>
      <c r="M89" s="193" t="n">
        <v>36536</v>
      </c>
      <c r="N89" s="117"/>
      <c r="O89" s="117"/>
      <c r="P89" s="117"/>
      <c r="Q89" s="117"/>
      <c r="R89" s="41"/>
      <c r="S89" s="117"/>
      <c r="T89" s="117"/>
      <c r="U89" s="117"/>
      <c r="V89" s="117"/>
      <c r="W89" s="117"/>
      <c r="X89" s="41"/>
    </row>
    <row r="90" customFormat="false" ht="12.75" hidden="false" customHeight="false" outlineLevel="0" collapsed="false">
      <c r="A90" s="32" t="n">
        <v>35989</v>
      </c>
      <c r="B90" s="162" t="n">
        <v>22824327</v>
      </c>
      <c r="C90" s="28"/>
      <c r="D90" s="28" t="n">
        <v>22824327</v>
      </c>
      <c r="E90" s="28" t="n">
        <f aca="false">SUM(C90:D90)</f>
        <v>22824327</v>
      </c>
      <c r="F90" s="147"/>
      <c r="G90" s="28"/>
      <c r="H90" s="28"/>
      <c r="I90" s="194"/>
      <c r="J90" s="28"/>
      <c r="K90" s="169" t="n">
        <f aca="false">SUM(G90:J90)</f>
        <v>0</v>
      </c>
      <c r="L90" s="170"/>
      <c r="M90" s="195" t="n">
        <f aca="false">5.33*12012804</f>
        <v>64028245.32</v>
      </c>
      <c r="N90" s="32"/>
      <c r="O90" s="117"/>
      <c r="P90" s="117"/>
      <c r="Q90" s="117"/>
      <c r="R90" s="170"/>
      <c r="S90" s="117"/>
      <c r="T90" s="117"/>
      <c r="U90" s="117"/>
      <c r="V90" s="117"/>
      <c r="W90" s="117"/>
      <c r="X90" s="170"/>
    </row>
    <row r="91" customFormat="false" ht="12.75" hidden="false" customHeight="false" outlineLevel="0" collapsed="false">
      <c r="A91" s="32" t="n">
        <v>36172</v>
      </c>
      <c r="B91" s="162" t="n">
        <v>23184711.72</v>
      </c>
      <c r="C91" s="28"/>
      <c r="D91" s="28"/>
      <c r="E91" s="28" t="n">
        <f aca="false">SUM(C91:D91)</f>
        <v>0</v>
      </c>
      <c r="F91" s="147"/>
      <c r="G91" s="28" t="n">
        <v>23184711.72</v>
      </c>
      <c r="H91" s="28"/>
      <c r="I91" s="28"/>
      <c r="J91" s="28"/>
      <c r="K91" s="169" t="n">
        <f aca="false">SUM(G91:J91)</f>
        <v>23184711.72</v>
      </c>
      <c r="L91" s="170"/>
      <c r="M91" s="117"/>
      <c r="N91" s="117"/>
      <c r="O91" s="117"/>
      <c r="P91" s="117"/>
      <c r="Q91" s="117"/>
      <c r="R91" s="170"/>
      <c r="S91" s="117"/>
      <c r="T91" s="117"/>
      <c r="U91" s="117"/>
      <c r="V91" s="117"/>
      <c r="W91" s="117"/>
      <c r="X91" s="170"/>
      <c r="Y91" s="70"/>
    </row>
    <row r="92" customFormat="false" ht="12.75" hidden="false" customHeight="false" outlineLevel="0" collapsed="false">
      <c r="A92" s="32" t="n">
        <v>36230</v>
      </c>
      <c r="B92" s="162" t="n">
        <v>13334212.44</v>
      </c>
      <c r="C92" s="28"/>
      <c r="D92" s="28"/>
      <c r="E92" s="28" t="n">
        <f aca="false">SUM(C92:D92)</f>
        <v>0</v>
      </c>
      <c r="F92" s="147"/>
      <c r="G92" s="28" t="n">
        <v>13334212.44</v>
      </c>
      <c r="H92" s="28"/>
      <c r="I92" s="28"/>
      <c r="J92" s="28"/>
      <c r="K92" s="169" t="n">
        <f aca="false">SUM(G92:J92)</f>
        <v>13334212.44</v>
      </c>
      <c r="L92" s="170"/>
      <c r="M92" s="117"/>
      <c r="N92" s="117"/>
      <c r="O92" s="117"/>
      <c r="P92" s="117"/>
      <c r="Q92" s="117"/>
      <c r="R92" s="170"/>
      <c r="S92" s="117"/>
      <c r="T92" s="117"/>
      <c r="U92" s="117"/>
      <c r="V92" s="117"/>
      <c r="W92" s="117"/>
      <c r="X92" s="170"/>
      <c r="Y92" s="70"/>
    </row>
    <row r="93" customFormat="false" ht="12.75" hidden="false" customHeight="false" outlineLevel="0" collapsed="false">
      <c r="A93" s="0" t="s">
        <v>215</v>
      </c>
      <c r="B93" s="196" t="n">
        <f aca="false">SUM(B90:B92)</f>
        <v>59343251.16</v>
      </c>
      <c r="C93" s="154" t="n">
        <f aca="false">SUM(C90:C92)</f>
        <v>0</v>
      </c>
      <c r="D93" s="154" t="n">
        <f aca="false">SUM(D90:D92)</f>
        <v>22824327</v>
      </c>
      <c r="E93" s="154" t="n">
        <f aca="false">SUM(C93:D93)</f>
        <v>22824327</v>
      </c>
      <c r="F93" s="155"/>
      <c r="G93" s="154" t="n">
        <f aca="false">SUM(G90:G92)</f>
        <v>36518924.16</v>
      </c>
      <c r="H93" s="154" t="n">
        <f aca="false">SUM(H90:H92)</f>
        <v>0</v>
      </c>
      <c r="I93" s="154" t="n">
        <f aca="false">SUM(I90:I92)</f>
        <v>0</v>
      </c>
      <c r="J93" s="154" t="n">
        <f aca="false">SUM(J90:J92)</f>
        <v>0</v>
      </c>
      <c r="K93" s="154" t="n">
        <f aca="false">SUM(G93:J93)</f>
        <v>36518924.16</v>
      </c>
      <c r="L93" s="145"/>
      <c r="M93" s="154" t="n">
        <f aca="false">SUM(M90:M92)</f>
        <v>64028245.32</v>
      </c>
      <c r="N93" s="154" t="n">
        <f aca="false">SUM(N90:N92)</f>
        <v>0</v>
      </c>
      <c r="O93" s="154" t="n">
        <f aca="false">SUM(O90:O92)</f>
        <v>0</v>
      </c>
      <c r="P93" s="154" t="n">
        <f aca="false">SUM(P90:P92)</f>
        <v>0</v>
      </c>
      <c r="Q93" s="154" t="n">
        <f aca="false">SUM(M93:P93)</f>
        <v>64028245.32</v>
      </c>
      <c r="R93" s="145"/>
      <c r="S93" s="117"/>
      <c r="T93" s="117"/>
      <c r="U93" s="117"/>
      <c r="V93" s="117"/>
      <c r="W93" s="117"/>
      <c r="X93" s="145"/>
      <c r="Y93" s="70"/>
    </row>
    <row r="94" customFormat="false" ht="12.75" hidden="false" customHeight="false" outlineLevel="0" collapsed="false">
      <c r="A94" s="23" t="s">
        <v>211</v>
      </c>
      <c r="C94" s="70" t="n">
        <f aca="false">+C93*0.6</f>
        <v>0</v>
      </c>
      <c r="D94" s="70" t="n">
        <f aca="false">+D93*0.6</f>
        <v>13694596.2</v>
      </c>
      <c r="E94" s="70" t="n">
        <f aca="false">SUM(C94:D94)</f>
        <v>13694596.2</v>
      </c>
      <c r="F94" s="147"/>
      <c r="G94" s="70" t="n">
        <f aca="false">+G93*0.6</f>
        <v>21911354.496</v>
      </c>
      <c r="H94" s="70" t="n">
        <f aca="false">+H93*0.6</f>
        <v>0</v>
      </c>
      <c r="I94" s="70" t="n">
        <f aca="false">+I93*0.6</f>
        <v>0</v>
      </c>
      <c r="J94" s="70" t="n">
        <f aca="false">+J93*0.6</f>
        <v>0</v>
      </c>
      <c r="K94" s="70" t="n">
        <f aca="false">+K93*0.6</f>
        <v>21911354.496</v>
      </c>
      <c r="L94" s="41"/>
      <c r="M94" s="70" t="n">
        <f aca="false">+M93*0.6</f>
        <v>38416947.192</v>
      </c>
      <c r="N94" s="70" t="n">
        <f aca="false">+N93*0.6</f>
        <v>0</v>
      </c>
      <c r="O94" s="70" t="n">
        <f aca="false">+O93*0.6</f>
        <v>0</v>
      </c>
      <c r="P94" s="70" t="n">
        <f aca="false">+P93*0.6</f>
        <v>0</v>
      </c>
      <c r="Q94" s="70" t="n">
        <f aca="false">+Q93*0.6</f>
        <v>38416947.192</v>
      </c>
      <c r="R94" s="41"/>
      <c r="S94" s="117"/>
      <c r="T94" s="117"/>
      <c r="U94" s="117"/>
      <c r="V94" s="117"/>
      <c r="W94" s="117"/>
      <c r="X94" s="41"/>
      <c r="Y94" s="70"/>
      <c r="Z94" s="148" t="s">
        <v>216</v>
      </c>
    </row>
    <row r="95" customFormat="false" ht="12.75" hidden="false" customHeight="false" outlineLevel="0" collapsed="false">
      <c r="B95" s="23"/>
      <c r="C95" s="70"/>
      <c r="D95" s="70"/>
      <c r="E95" s="70"/>
      <c r="F95" s="147"/>
      <c r="G95" s="70"/>
      <c r="H95" s="70"/>
      <c r="I95" s="70"/>
      <c r="J95" s="70"/>
      <c r="K95" s="191"/>
      <c r="L95" s="41"/>
      <c r="M95" s="117"/>
      <c r="N95" s="117"/>
      <c r="O95" s="117"/>
      <c r="P95" s="117"/>
      <c r="Q95" s="117"/>
      <c r="R95" s="41"/>
      <c r="S95" s="117"/>
      <c r="T95" s="117"/>
      <c r="U95" s="117"/>
      <c r="V95" s="117"/>
      <c r="W95" s="117"/>
      <c r="X95" s="41"/>
      <c r="Z95" s="27" t="n">
        <f aca="false">+E98+K98</f>
        <v>-7067948.86387198</v>
      </c>
    </row>
    <row r="96" customFormat="false" ht="12.75" hidden="false" customHeight="false" outlineLevel="0" collapsed="false">
      <c r="A96" s="0" t="s">
        <v>217</v>
      </c>
      <c r="B96" s="23"/>
      <c r="C96" s="70"/>
      <c r="D96" s="70" t="n">
        <f aca="false">+D87+D93</f>
        <v>22824327</v>
      </c>
      <c r="E96" s="70"/>
      <c r="F96" s="147"/>
      <c r="G96" s="70" t="n">
        <f aca="false">+G87+G93</f>
        <v>77182265.7</v>
      </c>
      <c r="H96" s="70" t="n">
        <f aca="false">+H87+H93</f>
        <v>91549579.284</v>
      </c>
      <c r="I96" s="70" t="n">
        <f aca="false">+I87+I93</f>
        <v>58466905.695396</v>
      </c>
      <c r="J96" s="70" t="n">
        <f aca="false">+J87+J93</f>
        <v>56350886.309208</v>
      </c>
      <c r="K96" s="191"/>
      <c r="L96" s="41"/>
      <c r="M96" s="176" t="n">
        <f aca="false">+M87+M93</f>
        <v>64028245.32</v>
      </c>
      <c r="N96" s="176" t="n">
        <f aca="false">+N87+N93</f>
        <v>0</v>
      </c>
      <c r="O96" s="176" t="n">
        <f aca="false">+O87+O93</f>
        <v>0</v>
      </c>
      <c r="P96" s="176" t="n">
        <f aca="false">+P87+P93</f>
        <v>0</v>
      </c>
      <c r="Q96" s="117"/>
      <c r="R96" s="41"/>
      <c r="S96" s="117"/>
      <c r="T96" s="117"/>
      <c r="U96" s="117"/>
      <c r="V96" s="117"/>
      <c r="W96" s="117"/>
      <c r="X96" s="41"/>
      <c r="Z96" s="148" t="s">
        <v>218</v>
      </c>
    </row>
    <row r="97" customFormat="false" ht="12.75" hidden="false" customHeight="false" outlineLevel="0" collapsed="false">
      <c r="B97" s="23"/>
      <c r="C97" s="70"/>
      <c r="D97" s="70"/>
      <c r="E97" s="70"/>
      <c r="F97" s="147"/>
      <c r="G97" s="70"/>
      <c r="H97" s="70"/>
      <c r="I97" s="70"/>
      <c r="J97" s="70"/>
      <c r="K97" s="191"/>
      <c r="L97" s="41"/>
      <c r="M97" s="117"/>
      <c r="N97" s="117"/>
      <c r="O97" s="117"/>
      <c r="P97" s="117"/>
      <c r="Q97" s="117"/>
      <c r="R97" s="41"/>
      <c r="S97" s="117"/>
      <c r="T97" s="117"/>
      <c r="U97" s="117"/>
      <c r="V97" s="117"/>
      <c r="W97" s="117"/>
      <c r="X97" s="41"/>
      <c r="Z97" s="197" t="n">
        <f aca="false">+Q98+W98</f>
        <v>-28710601.56</v>
      </c>
    </row>
    <row r="98" customFormat="false" ht="13.5" hidden="false" customHeight="false" outlineLevel="0" collapsed="false">
      <c r="A98" s="0" t="s">
        <v>219</v>
      </c>
      <c r="B98" s="23"/>
      <c r="C98" s="70"/>
      <c r="D98" s="70" t="n">
        <f aca="false">+D82-D96</f>
        <v>17839014.54</v>
      </c>
      <c r="E98" s="70" t="n">
        <f aca="false">SUM(C98:D98)</f>
        <v>17839014.54</v>
      </c>
      <c r="F98" s="147"/>
      <c r="G98" s="70" t="n">
        <f aca="false">+G82-G96</f>
        <v>14367313.584</v>
      </c>
      <c r="H98" s="70" t="n">
        <f aca="false">+H82-H96</f>
        <v>-33082673.588604</v>
      </c>
      <c r="I98" s="70" t="n">
        <f aca="false">+I82-I96</f>
        <v>-2116019.38618799</v>
      </c>
      <c r="J98" s="70" t="n">
        <f aca="false">+J82-J96</f>
        <v>-4075584.01308</v>
      </c>
      <c r="K98" s="169" t="n">
        <f aca="false">SUM(G98:J98)</f>
        <v>-24906963.403872</v>
      </c>
      <c r="L98" s="170"/>
      <c r="M98" s="70" t="n">
        <f aca="false">+M82-M96</f>
        <v>-28710601.56</v>
      </c>
      <c r="N98" s="70" t="n">
        <f aca="false">+N82-N96</f>
        <v>0</v>
      </c>
      <c r="O98" s="70" t="n">
        <f aca="false">+O82-O96</f>
        <v>0</v>
      </c>
      <c r="P98" s="70" t="n">
        <f aca="false">+P82-P96</f>
        <v>0</v>
      </c>
      <c r="Q98" s="70" t="n">
        <f aca="false">SUM(M98:P98)</f>
        <v>-28710601.56</v>
      </c>
      <c r="R98" s="41"/>
      <c r="S98" s="117"/>
      <c r="T98" s="117"/>
      <c r="U98" s="117"/>
      <c r="V98" s="117"/>
      <c r="W98" s="117"/>
      <c r="X98" s="41"/>
      <c r="Y98" s="70" t="n">
        <f aca="false">+E98+K98+Q98+W98</f>
        <v>-35778550.423872</v>
      </c>
    </row>
    <row r="99" customFormat="false" ht="13.5" hidden="false" customHeight="false" outlineLevel="0" collapsed="false">
      <c r="A99" s="198" t="s">
        <v>211</v>
      </c>
      <c r="B99" s="199"/>
      <c r="C99" s="151" t="n">
        <f aca="false">+C98*0.6</f>
        <v>0</v>
      </c>
      <c r="D99" s="151" t="n">
        <f aca="false">+D98*0.6</f>
        <v>10703408.724</v>
      </c>
      <c r="E99" s="151" t="n">
        <f aca="false">SUM(C99:D99)</f>
        <v>10703408.724</v>
      </c>
      <c r="F99" s="152"/>
      <c r="G99" s="151" t="n">
        <f aca="false">+G98*0.6</f>
        <v>8620388.15040001</v>
      </c>
      <c r="H99" s="151" t="n">
        <f aca="false">+H98*0.6</f>
        <v>-19849604.1531624</v>
      </c>
      <c r="I99" s="159" t="n">
        <f aca="false">+I98*0.6</f>
        <v>-1269611.6317128</v>
      </c>
      <c r="J99" s="151" t="n">
        <f aca="false">+J98*0.6</f>
        <v>-2445350.407848</v>
      </c>
      <c r="K99" s="151" t="n">
        <f aca="false">SUM(G99:J99)</f>
        <v>-14944178.0423232</v>
      </c>
      <c r="L99" s="153"/>
      <c r="M99" s="151" t="n">
        <f aca="false">+M98*0.6</f>
        <v>-17226360.936</v>
      </c>
      <c r="N99" s="151" t="n">
        <f aca="false">+N98*0.6</f>
        <v>0</v>
      </c>
      <c r="O99" s="151" t="n">
        <f aca="false">+O98*0.6</f>
        <v>0</v>
      </c>
      <c r="P99" s="151" t="n">
        <f aca="false">+P98*0.6</f>
        <v>0</v>
      </c>
      <c r="Q99" s="151" t="n">
        <f aca="false">SUM(M99:P99)</f>
        <v>-17226360.936</v>
      </c>
      <c r="R99" s="41"/>
      <c r="S99" s="117"/>
      <c r="T99" s="117"/>
      <c r="U99" s="117"/>
      <c r="V99" s="117"/>
      <c r="W99" s="117"/>
      <c r="X99" s="41"/>
      <c r="Y99" s="151" t="n">
        <f aca="false">+E99+K99+Q99+W99</f>
        <v>-21467130.2543232</v>
      </c>
    </row>
    <row r="100" customFormat="false" ht="13.5" hidden="false" customHeight="false" outlineLevel="0" collapsed="false">
      <c r="F100" s="120"/>
      <c r="L100" s="41"/>
      <c r="M100" s="117"/>
      <c r="N100" s="117"/>
      <c r="O100" s="117"/>
      <c r="R100" s="41"/>
      <c r="S100" s="117"/>
      <c r="T100" s="117"/>
      <c r="U100" s="117"/>
      <c r="X100" s="41"/>
    </row>
    <row r="101" customFormat="false" ht="13.5" hidden="false" customHeight="false" outlineLevel="0" collapsed="false">
      <c r="A101" s="200" t="s">
        <v>220</v>
      </c>
      <c r="B101" s="201" t="s">
        <v>211</v>
      </c>
      <c r="C101" s="202" t="n">
        <f aca="false">+C33+C39+C46+C52+C58+C65+C76+C99</f>
        <v>-1141216.35</v>
      </c>
      <c r="D101" s="202" t="n">
        <f aca="false">+D33+D39+D46+D52+D58+D65+D76+D99</f>
        <v>20373715.974</v>
      </c>
      <c r="E101" s="202" t="n">
        <f aca="false">+E33+E39+E46+E52+E58+E65+E76+E99</f>
        <v>19232499.624</v>
      </c>
      <c r="F101" s="152"/>
      <c r="G101" s="202" t="n">
        <f aca="false">+G33+G39+G46+G52+G58+G65+G76+G99</f>
        <v>26399338.1004</v>
      </c>
      <c r="H101" s="202" t="n">
        <f aca="false">+H33+H39+H46+H52+H58+H65+H76+H99</f>
        <v>40930116.8468376</v>
      </c>
      <c r="I101" s="202" t="n">
        <f aca="false">+I33+I39+I46+I52+I58+I65+I76+I99</f>
        <v>12132292.8682872</v>
      </c>
      <c r="J101" s="202" t="n">
        <f aca="false">+J33+J39+J46+J52+J58+J65+J76+J99</f>
        <v>-2445350.407848</v>
      </c>
      <c r="K101" s="202" t="n">
        <f aca="false">SUM(G101:J101)</f>
        <v>77016397.4076768</v>
      </c>
      <c r="L101" s="153"/>
      <c r="M101" s="202" t="n">
        <f aca="false">+M33+M39+M46+M52+M58+M65+M76+M99</f>
        <v>79176391.164</v>
      </c>
      <c r="N101" s="202" t="n">
        <f aca="false">+N33+N39+N46+N52+N58+N65+N76+N99</f>
        <v>0</v>
      </c>
      <c r="O101" s="202" t="n">
        <f aca="false">+O33+O39+O46+O52+O58+O65+O76+O99</f>
        <v>0</v>
      </c>
      <c r="P101" s="202" t="n">
        <f aca="false">+P33+P39+P46+P52+P58+P65+P76+P99</f>
        <v>0</v>
      </c>
      <c r="Q101" s="202" t="n">
        <f aca="false">SUM(M101:P101)</f>
        <v>79176391.164</v>
      </c>
      <c r="R101" s="153"/>
      <c r="S101" s="202" t="n">
        <f aca="false">+S33+S39+S46+S52+S58+S65+S76+S99</f>
        <v>0</v>
      </c>
      <c r="T101" s="202" t="n">
        <f aca="false">+T33+T39+T46+T52+T58+T65+T76+T99</f>
        <v>0</v>
      </c>
      <c r="U101" s="202" t="n">
        <f aca="false">+U33+U39+U46+U52+U58+U65+U76+U99</f>
        <v>0</v>
      </c>
      <c r="V101" s="202" t="n">
        <f aca="false">+V33+V39+V46+V52+V58+V65+V76+V99</f>
        <v>0</v>
      </c>
      <c r="W101" s="202" t="n">
        <f aca="false">SUM(S101:V101)</f>
        <v>0</v>
      </c>
      <c r="X101" s="153"/>
      <c r="Y101" s="202" t="n">
        <f aca="false">+Y33+Y39+Y46+Y52+Y58+Y65+Y76+Y99</f>
        <v>175425288.195677</v>
      </c>
      <c r="Z101" s="202"/>
    </row>
    <row r="102" customFormat="false" ht="12.75" hidden="false" customHeight="false" outlineLevel="0" collapsed="false">
      <c r="F102" s="120"/>
      <c r="K102" s="191"/>
      <c r="L102" s="41"/>
      <c r="M102" s="117"/>
      <c r="N102" s="117"/>
      <c r="O102" s="117"/>
      <c r="Q102" s="191"/>
      <c r="R102" s="41"/>
      <c r="S102" s="117"/>
      <c r="T102" s="117"/>
      <c r="U102" s="117"/>
      <c r="W102" s="191"/>
      <c r="X102" s="41"/>
    </row>
    <row r="103" customFormat="false" ht="12.75" hidden="false" customHeight="false" outlineLevel="0" collapsed="false">
      <c r="F103" s="120"/>
      <c r="K103" s="191"/>
      <c r="L103" s="41"/>
      <c r="M103" s="117"/>
      <c r="N103" s="117"/>
      <c r="O103" s="117"/>
      <c r="Q103" s="191"/>
      <c r="R103" s="41"/>
      <c r="S103" s="117"/>
      <c r="T103" s="117"/>
      <c r="U103" s="117"/>
      <c r="W103" s="191"/>
      <c r="X103" s="41"/>
    </row>
    <row r="104" customFormat="false" ht="12.75" hidden="false" customHeight="false" outlineLevel="0" collapsed="false">
      <c r="B104" s="0" t="s">
        <v>184</v>
      </c>
      <c r="C104" s="176" t="n">
        <f aca="false">+C33</f>
        <v>0</v>
      </c>
      <c r="D104" s="176" t="n">
        <f aca="false">+D33</f>
        <v>10811523.6</v>
      </c>
      <c r="E104" s="176" t="n">
        <f aca="false">SUM(C104:D104)</f>
        <v>10811523.6</v>
      </c>
      <c r="F104" s="170"/>
      <c r="G104" s="176" t="n">
        <f aca="false">+G33</f>
        <v>25902608.625</v>
      </c>
      <c r="H104" s="176" t="n">
        <f aca="false">+H33</f>
        <v>63067221</v>
      </c>
      <c r="I104" s="176" t="n">
        <f aca="false">+I33</f>
        <v>1351440.45</v>
      </c>
      <c r="J104" s="176" t="n">
        <f aca="false">+J33</f>
        <v>23875447.95</v>
      </c>
      <c r="K104" s="203" t="n">
        <f aca="false">SUM(G104:J104)</f>
        <v>114196718.025</v>
      </c>
      <c r="L104" s="204"/>
      <c r="M104" s="176" t="n">
        <f aca="false">+M33</f>
        <v>23424967.8</v>
      </c>
      <c r="N104" s="176" t="n">
        <f aca="false">+N33</f>
        <v>0</v>
      </c>
      <c r="O104" s="176" t="n">
        <f aca="false">+O33</f>
        <v>0</v>
      </c>
      <c r="P104" s="176" t="n">
        <f aca="false">+P33</f>
        <v>0</v>
      </c>
      <c r="Q104" s="203" t="n">
        <f aca="false">SUM(M104:P104)</f>
        <v>23424967.8</v>
      </c>
      <c r="R104" s="204"/>
      <c r="S104" s="176" t="n">
        <f aca="false">+S33</f>
        <v>0</v>
      </c>
      <c r="T104" s="176" t="n">
        <f aca="false">+T33</f>
        <v>0</v>
      </c>
      <c r="U104" s="176" t="n">
        <f aca="false">+U33</f>
        <v>0</v>
      </c>
      <c r="V104" s="176" t="n">
        <f aca="false">+V33</f>
        <v>0</v>
      </c>
      <c r="W104" s="203" t="n">
        <f aca="false">SUM(S104:V104)</f>
        <v>0</v>
      </c>
      <c r="X104" s="204"/>
      <c r="Y104" s="27" t="n">
        <f aca="false">+E104+K104+Q104+W104</f>
        <v>148433209.425</v>
      </c>
    </row>
    <row r="105" customFormat="false" ht="12.75" hidden="false" customHeight="false" outlineLevel="0" collapsed="false">
      <c r="B105" s="0" t="s">
        <v>142</v>
      </c>
      <c r="C105" s="176" t="n">
        <f aca="false">+C99</f>
        <v>0</v>
      </c>
      <c r="D105" s="176" t="n">
        <f aca="false">+D99</f>
        <v>10703408.724</v>
      </c>
      <c r="E105" s="176" t="n">
        <f aca="false">SUM(C105:D105)</f>
        <v>10703408.724</v>
      </c>
      <c r="F105" s="170"/>
      <c r="G105" s="176" t="n">
        <f aca="false">+G99</f>
        <v>8620388.15040001</v>
      </c>
      <c r="H105" s="176" t="n">
        <f aca="false">+H99</f>
        <v>-19849604.1531624</v>
      </c>
      <c r="I105" s="176" t="n">
        <f aca="false">+I99</f>
        <v>-1269611.6317128</v>
      </c>
      <c r="J105" s="176" t="n">
        <f aca="false">+J99</f>
        <v>-2445350.407848</v>
      </c>
      <c r="K105" s="203" t="n">
        <f aca="false">SUM(G105:J105)</f>
        <v>-14944178.0423232</v>
      </c>
      <c r="L105" s="204"/>
      <c r="M105" s="176" t="n">
        <f aca="false">+M99</f>
        <v>-17226360.936</v>
      </c>
      <c r="N105" s="176" t="n">
        <f aca="false">+N99</f>
        <v>0</v>
      </c>
      <c r="O105" s="176" t="n">
        <f aca="false">+O99</f>
        <v>0</v>
      </c>
      <c r="P105" s="176" t="n">
        <f aca="false">+P99</f>
        <v>0</v>
      </c>
      <c r="Q105" s="203" t="n">
        <f aca="false">SUM(M105:P105)</f>
        <v>-17226360.936</v>
      </c>
      <c r="R105" s="204"/>
      <c r="S105" s="176" t="n">
        <f aca="false">+S99</f>
        <v>0</v>
      </c>
      <c r="T105" s="176" t="n">
        <f aca="false">+T99</f>
        <v>0</v>
      </c>
      <c r="U105" s="176" t="n">
        <f aca="false">+U99</f>
        <v>0</v>
      </c>
      <c r="V105" s="176" t="n">
        <f aca="false">+V99</f>
        <v>0</v>
      </c>
      <c r="W105" s="203" t="n">
        <f aca="false">SUM(S105:V105)</f>
        <v>0</v>
      </c>
      <c r="X105" s="204"/>
      <c r="Y105" s="27" t="n">
        <f aca="false">+E105+K105+Q105+W105</f>
        <v>-21467130.2543232</v>
      </c>
    </row>
    <row r="106" customFormat="false" ht="12.75" hidden="false" customHeight="false" outlineLevel="0" collapsed="false">
      <c r="B106" s="205" t="n">
        <v>0.6</v>
      </c>
      <c r="C106" s="183" t="n">
        <f aca="false">SUM(C104:C105)</f>
        <v>0</v>
      </c>
      <c r="D106" s="183" t="n">
        <f aca="false">SUM(D104:D105)</f>
        <v>21514932.324</v>
      </c>
      <c r="E106" s="183" t="n">
        <f aca="false">SUM(E104:E105)</f>
        <v>21514932.324</v>
      </c>
      <c r="F106" s="206"/>
      <c r="G106" s="183" t="n">
        <f aca="false">SUM(G104:G105)</f>
        <v>34522996.7754</v>
      </c>
      <c r="H106" s="183" t="n">
        <f aca="false">SUM(H104:H105)</f>
        <v>43217616.8468376</v>
      </c>
      <c r="I106" s="183" t="n">
        <f aca="false">SUM(I104:I105)</f>
        <v>81828.8182872043</v>
      </c>
      <c r="J106" s="183" t="n">
        <f aca="false">SUM(J104:J105)</f>
        <v>21430097.542152</v>
      </c>
      <c r="K106" s="183" t="n">
        <f aca="false">SUM(K104:K105)</f>
        <v>99252539.9826768</v>
      </c>
      <c r="L106" s="206"/>
      <c r="M106" s="183" t="n">
        <f aca="false">SUM(M104:M105)</f>
        <v>6198606.864</v>
      </c>
      <c r="N106" s="183" t="n">
        <f aca="false">SUM(N104:N105)</f>
        <v>0</v>
      </c>
      <c r="O106" s="183" t="n">
        <f aca="false">SUM(O104:O105)</f>
        <v>0</v>
      </c>
      <c r="P106" s="183" t="n">
        <f aca="false">SUM(P104:P105)</f>
        <v>0</v>
      </c>
      <c r="Q106" s="183" t="n">
        <f aca="false">SUM(Q104:Q105)</f>
        <v>6198606.864</v>
      </c>
      <c r="R106" s="206"/>
      <c r="S106" s="183" t="n">
        <f aca="false">SUM(S104:S105)</f>
        <v>0</v>
      </c>
      <c r="T106" s="183" t="n">
        <f aca="false">SUM(T104:T105)</f>
        <v>0</v>
      </c>
      <c r="U106" s="183" t="n">
        <f aca="false">SUM(U104:U105)</f>
        <v>0</v>
      </c>
      <c r="V106" s="183" t="n">
        <f aca="false">SUM(V104:V105)</f>
        <v>0</v>
      </c>
      <c r="W106" s="183" t="n">
        <f aca="false">SUM(W104:W105)</f>
        <v>0</v>
      </c>
      <c r="X106" s="206"/>
      <c r="Y106" s="183" t="n">
        <f aca="false">SUM(Y104:Y105)</f>
        <v>126966079.170677</v>
      </c>
    </row>
    <row r="107" customFormat="false" ht="12.75" hidden="false" customHeight="false" outlineLevel="0" collapsed="false">
      <c r="A107" s="108"/>
      <c r="F107" s="120"/>
      <c r="K107" s="191"/>
      <c r="L107" s="41"/>
      <c r="M107" s="117"/>
      <c r="N107" s="117"/>
      <c r="O107" s="117"/>
      <c r="Q107" s="191"/>
      <c r="R107" s="41"/>
      <c r="S107" s="117"/>
      <c r="T107" s="117"/>
      <c r="U107" s="117"/>
      <c r="W107" s="191"/>
      <c r="X107" s="41"/>
    </row>
    <row r="108" customFormat="false" ht="12.75" hidden="false" customHeight="false" outlineLevel="0" collapsed="false">
      <c r="B108" s="0" t="s">
        <v>184</v>
      </c>
      <c r="C108" s="176" t="n">
        <f aca="false">+C32</f>
        <v>0</v>
      </c>
      <c r="D108" s="176" t="n">
        <f aca="false">+D32</f>
        <v>18019206</v>
      </c>
      <c r="E108" s="176" t="n">
        <f aca="false">SUM(C108:D108)</f>
        <v>18019206</v>
      </c>
      <c r="F108" s="170"/>
      <c r="G108" s="176" t="n">
        <f aca="false">+G32</f>
        <v>43171014.375</v>
      </c>
      <c r="H108" s="176" t="n">
        <f aca="false">+H32</f>
        <v>105112035</v>
      </c>
      <c r="I108" s="176" t="n">
        <f aca="false">+I32</f>
        <v>2252400.75</v>
      </c>
      <c r="J108" s="176" t="n">
        <f aca="false">+J32</f>
        <v>39792413.25</v>
      </c>
      <c r="K108" s="203" t="n">
        <f aca="false">SUM(G108:J108)</f>
        <v>190327863.375</v>
      </c>
      <c r="L108" s="204"/>
      <c r="M108" s="176" t="n">
        <f aca="false">+M32</f>
        <v>39041613</v>
      </c>
      <c r="N108" s="176" t="n">
        <f aca="false">+N32</f>
        <v>0</v>
      </c>
      <c r="O108" s="176" t="n">
        <f aca="false">+O32</f>
        <v>0</v>
      </c>
      <c r="P108" s="176" t="n">
        <f aca="false">+P32</f>
        <v>0</v>
      </c>
      <c r="Q108" s="203" t="n">
        <f aca="false">SUM(M108:P108)</f>
        <v>39041613</v>
      </c>
      <c r="R108" s="204"/>
      <c r="S108" s="176" t="n">
        <f aca="false">+S32</f>
        <v>0</v>
      </c>
      <c r="T108" s="176" t="n">
        <f aca="false">+T32</f>
        <v>0</v>
      </c>
      <c r="U108" s="176" t="n">
        <f aca="false">+U32</f>
        <v>0</v>
      </c>
      <c r="V108" s="176" t="n">
        <f aca="false">+V32</f>
        <v>0</v>
      </c>
      <c r="W108" s="203" t="n">
        <f aca="false">SUM(S108:V108)</f>
        <v>0</v>
      </c>
      <c r="X108" s="204"/>
      <c r="Y108" s="27" t="n">
        <f aca="false">+E108+K108+Q108+W108</f>
        <v>247388682.375</v>
      </c>
    </row>
    <row r="109" customFormat="false" ht="12.75" hidden="false" customHeight="false" outlineLevel="0" collapsed="false">
      <c r="B109" s="0" t="s">
        <v>142</v>
      </c>
      <c r="C109" s="176" t="n">
        <f aca="false">+C98</f>
        <v>0</v>
      </c>
      <c r="D109" s="176" t="n">
        <f aca="false">+D98</f>
        <v>17839014.54</v>
      </c>
      <c r="E109" s="176" t="n">
        <f aca="false">SUM(C109:D109)</f>
        <v>17839014.54</v>
      </c>
      <c r="F109" s="170"/>
      <c r="G109" s="176" t="n">
        <f aca="false">+G98</f>
        <v>14367313.584</v>
      </c>
      <c r="H109" s="176" t="n">
        <f aca="false">+H98</f>
        <v>-33082673.588604</v>
      </c>
      <c r="I109" s="176" t="n">
        <f aca="false">+I98</f>
        <v>-2116019.38618799</v>
      </c>
      <c r="J109" s="176" t="n">
        <f aca="false">+J98</f>
        <v>-4075584.01308</v>
      </c>
      <c r="K109" s="203" t="n">
        <f aca="false">SUM(G109:J109)</f>
        <v>-24906963.403872</v>
      </c>
      <c r="L109" s="204"/>
      <c r="M109" s="176" t="n">
        <f aca="false">+M98</f>
        <v>-28710601.56</v>
      </c>
      <c r="N109" s="176" t="n">
        <f aca="false">+N98</f>
        <v>0</v>
      </c>
      <c r="O109" s="176" t="n">
        <f aca="false">+O98</f>
        <v>0</v>
      </c>
      <c r="P109" s="176" t="n">
        <f aca="false">+P98</f>
        <v>0</v>
      </c>
      <c r="Q109" s="203" t="n">
        <f aca="false">SUM(M109:P109)</f>
        <v>-28710601.56</v>
      </c>
      <c r="R109" s="204"/>
      <c r="S109" s="176" t="n">
        <f aca="false">+S98</f>
        <v>0</v>
      </c>
      <c r="T109" s="176" t="n">
        <f aca="false">+T98</f>
        <v>0</v>
      </c>
      <c r="U109" s="176" t="n">
        <f aca="false">+U98</f>
        <v>0</v>
      </c>
      <c r="V109" s="176" t="n">
        <f aca="false">+V98</f>
        <v>0</v>
      </c>
      <c r="W109" s="203" t="n">
        <f aca="false">SUM(S109:V109)</f>
        <v>0</v>
      </c>
      <c r="X109" s="204"/>
      <c r="Y109" s="27" t="n">
        <f aca="false">+E109+K109+Q109+W109</f>
        <v>-35778550.423872</v>
      </c>
    </row>
    <row r="110" customFormat="false" ht="12.75" hidden="false" customHeight="false" outlineLevel="0" collapsed="false">
      <c r="B110" s="205" t="n">
        <v>1</v>
      </c>
      <c r="C110" s="183" t="n">
        <f aca="false">SUM(C108:C109)</f>
        <v>0</v>
      </c>
      <c r="D110" s="183" t="n">
        <f aca="false">SUM(D108:D109)</f>
        <v>35858220.54</v>
      </c>
      <c r="E110" s="183" t="n">
        <f aca="false">SUM(E108:E109)</f>
        <v>35858220.54</v>
      </c>
      <c r="F110" s="206"/>
      <c r="G110" s="183" t="n">
        <f aca="false">SUM(G108:G109)</f>
        <v>57538327.959</v>
      </c>
      <c r="H110" s="183" t="n">
        <f aca="false">SUM(H108:H109)</f>
        <v>72029361.411396</v>
      </c>
      <c r="I110" s="183" t="n">
        <f aca="false">SUM(I108:I109)</f>
        <v>136381.363812007</v>
      </c>
      <c r="J110" s="183" t="n">
        <f aca="false">SUM(J108:J109)</f>
        <v>35716829.23692</v>
      </c>
      <c r="K110" s="183" t="n">
        <f aca="false">SUM(K108:K109)</f>
        <v>165420899.971128</v>
      </c>
      <c r="L110" s="206"/>
      <c r="M110" s="183" t="n">
        <f aca="false">SUM(M108:M109)</f>
        <v>10331011.44</v>
      </c>
      <c r="N110" s="183" t="n">
        <f aca="false">SUM(N108:N109)</f>
        <v>0</v>
      </c>
      <c r="O110" s="183" t="n">
        <f aca="false">SUM(O108:O109)</f>
        <v>0</v>
      </c>
      <c r="P110" s="183" t="n">
        <f aca="false">SUM(P108:P109)</f>
        <v>0</v>
      </c>
      <c r="Q110" s="183" t="n">
        <f aca="false">SUM(Q108:Q109)</f>
        <v>10331011.44</v>
      </c>
      <c r="R110" s="206"/>
      <c r="S110" s="183" t="n">
        <f aca="false">SUM(S108:S109)</f>
        <v>0</v>
      </c>
      <c r="T110" s="183" t="n">
        <f aca="false">SUM(T108:T109)</f>
        <v>0</v>
      </c>
      <c r="U110" s="183" t="n">
        <f aca="false">SUM(U108:U109)</f>
        <v>0</v>
      </c>
      <c r="V110" s="183" t="n">
        <f aca="false">SUM(V108:V109)</f>
        <v>0</v>
      </c>
      <c r="W110" s="183" t="n">
        <f aca="false">SUM(W108:W109)</f>
        <v>0</v>
      </c>
      <c r="X110" s="206"/>
      <c r="Y110" s="183" t="n">
        <f aca="false">SUM(Y108:Y109)</f>
        <v>211610131.951128</v>
      </c>
    </row>
    <row r="111" customFormat="false" ht="12.75" hidden="false" customHeight="false" outlineLevel="0" collapsed="false">
      <c r="E111" s="137"/>
      <c r="M111" s="117"/>
      <c r="N111" s="117"/>
      <c r="O111" s="117"/>
      <c r="S111" s="117"/>
      <c r="T111" s="117"/>
      <c r="U111" s="117"/>
    </row>
    <row r="112" customFormat="false" ht="12.75" hidden="false" customHeight="false" outlineLevel="0" collapsed="false">
      <c r="E112" s="137"/>
      <c r="M112" s="117"/>
      <c r="N112" s="117"/>
      <c r="O112" s="117"/>
      <c r="S112" s="117"/>
      <c r="T112" s="117"/>
      <c r="U112" s="117"/>
    </row>
    <row r="113" customFormat="false" ht="12.75" hidden="false" customHeight="false" outlineLevel="0" collapsed="false">
      <c r="E113" s="137"/>
      <c r="M113" s="117"/>
      <c r="N113" s="117"/>
      <c r="O113" s="117"/>
      <c r="S113" s="117"/>
      <c r="T113" s="117"/>
      <c r="U113" s="117"/>
    </row>
    <row r="114" customFormat="false" ht="12.75" hidden="false" customHeight="false" outlineLevel="0" collapsed="false">
      <c r="E114" s="137"/>
      <c r="M114" s="117"/>
      <c r="N114" s="117"/>
      <c r="O114" s="117"/>
      <c r="S114" s="117"/>
      <c r="T114" s="117"/>
      <c r="U114" s="117"/>
    </row>
    <row r="115" customFormat="false" ht="12.75" hidden="false" customHeight="false" outlineLevel="0" collapsed="false">
      <c r="E115" s="137"/>
      <c r="M115" s="117"/>
      <c r="N115" s="117"/>
      <c r="O115" s="117"/>
      <c r="S115" s="117"/>
      <c r="T115" s="117"/>
      <c r="U115" s="117"/>
    </row>
    <row r="116" customFormat="false" ht="12.75" hidden="false" customHeight="false" outlineLevel="0" collapsed="false">
      <c r="E116" s="137"/>
      <c r="M116" s="117"/>
      <c r="N116" s="117"/>
      <c r="O116" s="117"/>
      <c r="S116" s="117"/>
      <c r="T116" s="117"/>
      <c r="U116" s="117"/>
    </row>
    <row r="117" customFormat="false" ht="12.75" hidden="false" customHeight="false" outlineLevel="0" collapsed="false">
      <c r="E117" s="137"/>
      <c r="M117" s="117"/>
      <c r="N117" s="117"/>
      <c r="O117" s="117"/>
      <c r="S117" s="117"/>
      <c r="T117" s="117"/>
      <c r="U117" s="117"/>
    </row>
    <row r="118" customFormat="false" ht="12.75" hidden="false" customHeight="false" outlineLevel="0" collapsed="false">
      <c r="E118" s="137"/>
      <c r="M118" s="117"/>
      <c r="N118" s="117"/>
      <c r="O118" s="117"/>
      <c r="S118" s="117"/>
      <c r="T118" s="117"/>
      <c r="U118" s="117"/>
    </row>
    <row r="119" customFormat="false" ht="12.75" hidden="false" customHeight="false" outlineLevel="0" collapsed="false">
      <c r="E119" s="137"/>
      <c r="M119" s="117"/>
      <c r="N119" s="117"/>
      <c r="O119" s="117"/>
      <c r="S119" s="117"/>
      <c r="T119" s="117"/>
      <c r="U119" s="117"/>
    </row>
    <row r="120" customFormat="false" ht="12.75" hidden="false" customHeight="false" outlineLevel="0" collapsed="false">
      <c r="E120" s="137"/>
      <c r="M120" s="117"/>
      <c r="N120" s="117"/>
      <c r="O120" s="117"/>
      <c r="S120" s="117"/>
      <c r="T120" s="117"/>
      <c r="U120" s="117"/>
    </row>
    <row r="121" customFormat="false" ht="12.75" hidden="false" customHeight="false" outlineLevel="0" collapsed="false">
      <c r="E121" s="137"/>
      <c r="M121" s="117"/>
      <c r="N121" s="117"/>
      <c r="O121" s="117"/>
      <c r="S121" s="117"/>
      <c r="T121" s="117"/>
      <c r="U121" s="117"/>
    </row>
    <row r="122" customFormat="false" ht="12.75" hidden="false" customHeight="false" outlineLevel="0" collapsed="false">
      <c r="E122" s="137"/>
      <c r="M122" s="117"/>
      <c r="N122" s="117"/>
      <c r="O122" s="117"/>
      <c r="S122" s="117"/>
      <c r="T122" s="117"/>
      <c r="U122" s="117"/>
    </row>
    <row r="123" customFormat="false" ht="12.75" hidden="false" customHeight="false" outlineLevel="0" collapsed="false">
      <c r="M123" s="117"/>
      <c r="N123" s="117"/>
      <c r="O123" s="117"/>
    </row>
    <row r="124" customFormat="false" ht="12.75" hidden="false" customHeight="false" outlineLevel="0" collapsed="false">
      <c r="M124" s="117"/>
      <c r="N124" s="117"/>
      <c r="O124" s="117"/>
    </row>
    <row r="125" customFormat="false" ht="12.75" hidden="false" customHeight="false" outlineLevel="0" collapsed="false">
      <c r="M125" s="117"/>
      <c r="N125" s="117"/>
      <c r="O125" s="117"/>
    </row>
    <row r="126" customFormat="false" ht="12.75" hidden="false" customHeight="false" outlineLevel="0" collapsed="false">
      <c r="M126" s="117"/>
      <c r="N126" s="117"/>
      <c r="O126" s="117"/>
    </row>
    <row r="127" customFormat="false" ht="12.75" hidden="false" customHeight="false" outlineLevel="0" collapsed="false">
      <c r="M127" s="117"/>
      <c r="N127" s="117"/>
      <c r="O127" s="117"/>
    </row>
    <row r="128" customFormat="false" ht="12.75" hidden="false" customHeight="false" outlineLevel="0" collapsed="false">
      <c r="M128" s="117"/>
      <c r="N128" s="117"/>
      <c r="O128" s="117"/>
    </row>
    <row r="129" customFormat="false" ht="12.75" hidden="false" customHeight="false" outlineLevel="0" collapsed="false">
      <c r="M129" s="117"/>
      <c r="N129" s="117"/>
      <c r="O129" s="117"/>
    </row>
    <row r="130" customFormat="false" ht="12.75" hidden="false" customHeight="false" outlineLevel="0" collapsed="false">
      <c r="M130" s="117"/>
      <c r="N130" s="117"/>
      <c r="O130" s="117"/>
    </row>
    <row r="131" customFormat="false" ht="12.75" hidden="false" customHeight="false" outlineLevel="0" collapsed="false">
      <c r="M131" s="117"/>
      <c r="N131" s="117"/>
      <c r="O131" s="117"/>
    </row>
  </sheetData>
  <printOptions headings="false" gridLines="false" gridLinesSet="true" horizontalCentered="false" verticalCentered="false"/>
  <pageMargins left="0.747916666666667" right="0.25" top="0.5" bottom="0.5" header="0.511811023622047" footer="0.25"/>
  <pageSetup paperSize="5" scale="51" fitToWidth="1" fitToHeight="1" pageOrder="downThenOver" orientation="landscape" blackAndWhite="false" draft="false" cellComments="none" horizontalDpi="300" verticalDpi="300" copies="1"/>
  <headerFooter differentFirst="false" differentOddEven="false">
    <oddHeader/>
    <oddFooter>&amp;L&amp;F  &amp;A&amp;R&amp;D  &amp;T</oddFooter>
  </headerFooter>
  <rowBreaks count="1" manualBreakCount="1">
    <brk id="76" man="true" max="16383" min="0"/>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9" activeCellId="0" sqref="A19"/>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37072</v>
      </c>
      <c r="G3" s="32" t="n">
        <f aca="false">+$D$10</f>
        <v>37072</v>
      </c>
      <c r="H3" s="32" t="n">
        <f aca="false">+$D$10</f>
        <v>37072</v>
      </c>
      <c r="K3" s="32" t="n">
        <f aca="false">+$D$10</f>
        <v>37072</v>
      </c>
      <c r="L3" s="32" t="n">
        <f aca="false">+$D$10</f>
        <v>37072</v>
      </c>
      <c r="Q3" s="32" t="n">
        <f aca="false">+$D$10</f>
        <v>37072</v>
      </c>
      <c r="R3" s="32" t="n">
        <f aca="false">+$D$10</f>
        <v>37072</v>
      </c>
      <c r="U3" s="32" t="n">
        <f aca="false">+$D$10</f>
        <v>37072</v>
      </c>
      <c r="V3" s="32" t="n">
        <f aca="false">+$D$10</f>
        <v>37072</v>
      </c>
    </row>
    <row r="4" customFormat="false" ht="12.75" hidden="false" customHeight="false" outlineLevel="0" collapsed="false">
      <c r="A4" s="0" t="s">
        <v>223</v>
      </c>
      <c r="C4" s="32"/>
      <c r="D4" s="32" t="n">
        <f aca="false">IF(+D$18&lt;1,C4,D$18)</f>
        <v>36737</v>
      </c>
      <c r="G4" s="32" t="n">
        <f aca="false">IF(+G$18&lt;1,D4,G$18)</f>
        <v>36737</v>
      </c>
      <c r="H4" s="32" t="n">
        <f aca="false">IF(+H$18&lt;1,G4,H$18)</f>
        <v>36762</v>
      </c>
      <c r="K4" s="32" t="n">
        <f aca="false">IF(+K$18&lt;1,H4,K$18)</f>
        <v>36762</v>
      </c>
      <c r="L4" s="32" t="n">
        <f aca="false">IF(+L$18&lt;1,K4,L$18)</f>
        <v>36762</v>
      </c>
      <c r="Q4" s="32" t="n">
        <f aca="false">IF(+Q$18&lt;1,N4,Q$18)</f>
        <v>36762</v>
      </c>
      <c r="R4" s="32" t="n">
        <f aca="false">IF(+R$18&lt;1,Q4,R$18)</f>
        <v>36762</v>
      </c>
      <c r="U4" s="32" t="n">
        <f aca="false">IF(+U$18&lt;1,R4,U$18)</f>
        <v>36762</v>
      </c>
      <c r="V4" s="32" t="n">
        <f aca="false">IF(+V$18&lt;1,U4,V$18)</f>
        <v>36762</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36707</v>
      </c>
      <c r="E6" s="171"/>
      <c r="F6" s="171"/>
      <c r="G6" s="208" t="n">
        <f aca="false">MIN(G2:G5)</f>
        <v>36707</v>
      </c>
      <c r="H6" s="208" t="n">
        <f aca="false">MIN(H2:H5)</f>
        <v>36707</v>
      </c>
      <c r="I6" s="171"/>
      <c r="J6" s="171"/>
      <c r="K6" s="208" t="n">
        <f aca="false">MIN(K2:K5)</f>
        <v>36707</v>
      </c>
      <c r="L6" s="209" t="n">
        <f aca="false">MIN(L2:L5)</f>
        <v>36707</v>
      </c>
      <c r="Q6" s="208" t="n">
        <f aca="false">MIN(Q2:Q5)</f>
        <v>36707</v>
      </c>
      <c r="R6" s="209" t="n">
        <f aca="false">MIN(R2:R5)</f>
        <v>36707</v>
      </c>
      <c r="U6" s="208" t="n">
        <f aca="false">MIN(U2:U5)</f>
        <v>36707</v>
      </c>
      <c r="V6" s="209" t="n">
        <f aca="false">MIN(V2:V5)</f>
        <v>36707</v>
      </c>
    </row>
    <row r="9" customFormat="false" ht="12.75" hidden="false" customHeight="false" outlineLevel="0" collapsed="false">
      <c r="A9" s="22" t="s">
        <v>226</v>
      </c>
      <c r="C9" s="31" t="s">
        <v>227</v>
      </c>
      <c r="D9" s="210" t="n">
        <v>36707</v>
      </c>
    </row>
    <row r="10" customFormat="false" ht="13.5" hidden="false" customHeight="false" outlineLevel="0" collapsed="false">
      <c r="A10" s="22" t="s">
        <v>228</v>
      </c>
      <c r="B10" s="211"/>
      <c r="C10" s="31" t="s">
        <v>222</v>
      </c>
      <c r="D10" s="109" t="n">
        <v>37072</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f aca="false">LOOKUP(D6,Input!$A$20:$A$827,Input!$B$20:$B$827)</f>
        <v>64.5</v>
      </c>
      <c r="E14" s="219" t="n">
        <f aca="false">+D14</f>
        <v>64.5</v>
      </c>
      <c r="F14" s="132"/>
      <c r="G14" s="219" t="n">
        <f aca="false">LOOKUP(G6,Input!$A$20:$A$827,Input!$B$20:$B$827)</f>
        <v>64.5</v>
      </c>
      <c r="H14" s="219" t="n">
        <f aca="false">LOOKUP(H6,Input!$A$20:$A$827,Input!$B$20:$B$827)</f>
        <v>64.5</v>
      </c>
      <c r="I14" s="219" t="n">
        <f aca="false">+H14</f>
        <v>64.5</v>
      </c>
      <c r="J14" s="132"/>
      <c r="K14" s="219" t="n">
        <f aca="false">LOOKUP(K6,Input!$A$20:$A$827,Input!$B$20:$B$827)</f>
        <v>64.5</v>
      </c>
      <c r="L14" s="219" t="n">
        <f aca="false">LOOKUP(L6,Input!$A$20:$A$827,Input!$B$20:$B$827)</f>
        <v>64.5</v>
      </c>
      <c r="M14" s="219" t="n">
        <f aca="false">+L14</f>
        <v>64.5</v>
      </c>
      <c r="N14" s="132"/>
      <c r="O14" s="17"/>
      <c r="P14" s="220"/>
      <c r="Q14" s="219" t="n">
        <f aca="false">LOOKUP(Q6,Input!$A$20:$A$827,Input!$B$20:$B$827)</f>
        <v>64.5</v>
      </c>
      <c r="R14" s="219" t="n">
        <f aca="false">LOOKUP(R6,Input!$A$20:$A$827,Input!$B$20:$B$827)</f>
        <v>64.5</v>
      </c>
      <c r="S14" s="219" t="n">
        <f aca="false">+R14</f>
        <v>64.5</v>
      </c>
      <c r="T14" s="132"/>
      <c r="U14" s="219" t="n">
        <f aca="false">LOOKUP(U6,Input!$A$20:$A$827,Input!$B$20:$B$827)</f>
        <v>64.5</v>
      </c>
      <c r="V14" s="219" t="n">
        <f aca="false">LOOKUP(V6,Input!$A$20:$A$827,Input!$B$20:$B$827)</f>
        <v>64.5</v>
      </c>
      <c r="W14" s="219" t="n">
        <f aca="false">+V14</f>
        <v>64.5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636700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68.3358+0.03</f>
        <v>68.3658</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36737</v>
      </c>
      <c r="E18" s="109"/>
      <c r="F18" s="221"/>
      <c r="G18" s="109" t="n">
        <v>36737</v>
      </c>
      <c r="H18" s="109" t="n">
        <v>36762</v>
      </c>
      <c r="I18" s="109"/>
      <c r="J18" s="221"/>
      <c r="K18" s="109" t="n">
        <v>36762</v>
      </c>
      <c r="L18" s="109" t="n">
        <v>36762</v>
      </c>
      <c r="M18" s="109"/>
      <c r="N18" s="221"/>
      <c r="O18" s="17"/>
      <c r="P18" s="222"/>
      <c r="Q18" s="109" t="n">
        <v>36762</v>
      </c>
      <c r="R18" s="109" t="n">
        <v>36762</v>
      </c>
      <c r="S18" s="109"/>
      <c r="T18" s="221"/>
      <c r="U18" s="109" t="n">
        <v>36762</v>
      </c>
      <c r="V18" s="109" t="n">
        <v>36762</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43528504.86</v>
      </c>
      <c r="E21" s="55" t="n">
        <f aca="false">+D21</f>
        <v>43528504.86</v>
      </c>
      <c r="F21" s="227"/>
      <c r="G21" s="55" t="n">
        <f aca="false">+D22</f>
        <v>41067150</v>
      </c>
      <c r="H21" s="55" t="n">
        <f aca="false">+G22</f>
        <v>41067150</v>
      </c>
      <c r="I21" s="55" t="n">
        <f aca="false">+E22</f>
        <v>41067150</v>
      </c>
      <c r="J21" s="227"/>
      <c r="K21" s="55" t="n">
        <f aca="false">+H22</f>
        <v>41067150</v>
      </c>
      <c r="L21" s="55" t="n">
        <f aca="false">+K22</f>
        <v>41067150</v>
      </c>
      <c r="M21" s="55" t="n">
        <f aca="false">+I22</f>
        <v>41067150</v>
      </c>
      <c r="N21" s="227"/>
      <c r="O21" s="55"/>
      <c r="P21" s="228"/>
      <c r="Q21" s="55" t="n">
        <f aca="false">+L22</f>
        <v>41067150</v>
      </c>
      <c r="R21" s="55" t="n">
        <f aca="false">+Q22</f>
        <v>41067150</v>
      </c>
      <c r="S21" s="55" t="n">
        <f aca="false">+M22</f>
        <v>41067150</v>
      </c>
      <c r="T21" s="227"/>
      <c r="U21" s="55" t="n">
        <f aca="false">+Q22</f>
        <v>41067150</v>
      </c>
      <c r="V21" s="55" t="n">
        <f aca="false">+R22</f>
        <v>41067150</v>
      </c>
      <c r="W21" s="55" t="n">
        <f aca="false">+S22</f>
        <v>41067150</v>
      </c>
      <c r="X21" s="227"/>
      <c r="Y21" s="55"/>
      <c r="Z21" s="228"/>
      <c r="AA21" s="165"/>
    </row>
    <row r="22" customFormat="false" ht="12.75" hidden="false" customHeight="false" outlineLevel="0" collapsed="false">
      <c r="B22" s="0" t="s">
        <v>183</v>
      </c>
      <c r="C22" s="55"/>
      <c r="D22" s="55" t="n">
        <f aca="false">ROUND(+D14*$B16,2)</f>
        <v>41067150</v>
      </c>
      <c r="E22" s="55" t="n">
        <f aca="false">ROUND(+E14*$B16,2)</f>
        <v>41067150</v>
      </c>
      <c r="F22" s="227"/>
      <c r="G22" s="55" t="n">
        <f aca="false">ROUND(+G14*$B16,2)</f>
        <v>41067150</v>
      </c>
      <c r="H22" s="55" t="n">
        <f aca="false">ROUND(+H14*$B16,2)</f>
        <v>41067150</v>
      </c>
      <c r="I22" s="55" t="n">
        <f aca="false">ROUND(+I14*$B16,2)</f>
        <v>41067150</v>
      </c>
      <c r="J22" s="227"/>
      <c r="K22" s="55" t="n">
        <f aca="false">ROUND(+K14*$B16,2)</f>
        <v>41067150</v>
      </c>
      <c r="L22" s="55" t="n">
        <f aca="false">ROUND(+L14*$B16,2)</f>
        <v>41067150</v>
      </c>
      <c r="M22" s="55" t="n">
        <f aca="false">ROUND(+M14*$B16,2)</f>
        <v>41067150</v>
      </c>
      <c r="N22" s="227"/>
      <c r="O22" s="165"/>
      <c r="P22" s="228"/>
      <c r="Q22" s="55" t="n">
        <f aca="false">ROUND(+Q14*$B16,2)</f>
        <v>41067150</v>
      </c>
      <c r="R22" s="55" t="n">
        <f aca="false">ROUND(+R14*$B16,2)</f>
        <v>41067150</v>
      </c>
      <c r="S22" s="55" t="n">
        <f aca="false">ROUND(+S14*$B16,2)</f>
        <v>41067150</v>
      </c>
      <c r="T22" s="227"/>
      <c r="U22" s="55" t="n">
        <f aca="false">ROUND(+U14*$B16,2)</f>
        <v>41067150</v>
      </c>
      <c r="V22" s="55" t="n">
        <f aca="false">ROUND(+V14*$B16,2)</f>
        <v>41067150</v>
      </c>
      <c r="W22" s="55" t="n">
        <f aca="false">ROUND(+W14*$B16,2)</f>
        <v>41067150</v>
      </c>
      <c r="X22" s="227"/>
      <c r="Y22" s="165"/>
      <c r="Z22" s="228"/>
      <c r="AA22" s="165"/>
    </row>
    <row r="23" customFormat="false" ht="12.75" hidden="false" customHeight="false" outlineLevel="0" collapsed="false">
      <c r="B23" s="0" t="s">
        <v>185</v>
      </c>
      <c r="C23" s="229"/>
      <c r="D23" s="229" t="n">
        <f aca="false">IF($A$11&lt;=C18,0,-D21+D22)</f>
        <v>-2461354.86</v>
      </c>
      <c r="E23" s="229" t="n">
        <f aca="false">SUM(C23:D23)</f>
        <v>-2461354.86</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-2461354.86</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-2461354.86</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A28" s="0" t="n">
        <v>6.2925</v>
      </c>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C30" s="31" t="s">
        <v>238</v>
      </c>
      <c r="D30" s="237" t="n">
        <v>0.0661</v>
      </c>
      <c r="F30" s="147"/>
      <c r="G30" s="238" t="n">
        <f aca="false">+D30</f>
        <v>0.0661</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39" t="n">
        <v>0.0075</v>
      </c>
      <c r="F31" s="147"/>
      <c r="G31" s="239" t="n">
        <f aca="false">+$D$31</f>
        <v>0.0075</v>
      </c>
      <c r="H31" s="239" t="n">
        <f aca="false">+$D$31</f>
        <v>0.0075</v>
      </c>
      <c r="J31" s="147"/>
      <c r="K31" s="239" t="n">
        <f aca="false">+$D$31</f>
        <v>0.0075</v>
      </c>
      <c r="L31" s="239" t="n">
        <f aca="false">+$D$31</f>
        <v>0.0075</v>
      </c>
      <c r="N31" s="147"/>
      <c r="O31" s="10"/>
      <c r="P31" s="233"/>
      <c r="Q31" s="239" t="n">
        <f aca="false">+$D$31</f>
        <v>0.0075</v>
      </c>
      <c r="R31" s="239" t="n">
        <f aca="false">+$D$31</f>
        <v>0.0075</v>
      </c>
      <c r="T31" s="147"/>
      <c r="U31" s="239" t="n">
        <f aca="false">+$D$31</f>
        <v>0.0075</v>
      </c>
      <c r="V31" s="239" t="n">
        <f aca="false">+$D$31</f>
        <v>0.0075</v>
      </c>
      <c r="X31" s="147"/>
      <c r="Y31" s="10"/>
      <c r="Z31" s="233"/>
    </row>
    <row r="32" customFormat="false" ht="12.75" hidden="false" customHeight="false" outlineLevel="0" collapsed="false">
      <c r="A32" s="51" t="s">
        <v>240</v>
      </c>
      <c r="D32" s="238" t="n">
        <f aca="false">SUM(D30:D31)</f>
        <v>0.0736</v>
      </c>
      <c r="F32" s="147"/>
      <c r="G32" s="238" t="n">
        <f aca="false">SUM(G30:G31)</f>
        <v>0.0736</v>
      </c>
      <c r="H32" s="238" t="n">
        <f aca="false">SUM(H30:H31)</f>
        <v>0.0684</v>
      </c>
      <c r="J32" s="147"/>
      <c r="K32" s="238" t="n">
        <f aca="false">SUM(K30:K31)</f>
        <v>0.0684</v>
      </c>
      <c r="L32" s="238" t="n">
        <f aca="false">SUM(L30:L31)</f>
        <v>0.0684</v>
      </c>
      <c r="N32" s="147"/>
      <c r="O32" s="10"/>
      <c r="P32" s="233"/>
      <c r="Q32" s="238" t="n">
        <f aca="false">SUM(Q30:Q31)</f>
        <v>0.0075</v>
      </c>
      <c r="R32" s="238" t="n">
        <f aca="false">SUM(R30:R31)</f>
        <v>0.0684</v>
      </c>
      <c r="T32" s="147"/>
      <c r="U32" s="238" t="n">
        <f aca="false">SUM(U30:U31)</f>
        <v>0.0684</v>
      </c>
      <c r="V32" s="238" t="n">
        <f aca="false">SUM(V30:V31)</f>
        <v>0.0684</v>
      </c>
      <c r="X32" s="147"/>
      <c r="Y32" s="10"/>
      <c r="Z32" s="233"/>
    </row>
    <row r="33" customFormat="false" ht="12.75" hidden="false" customHeight="false" outlineLevel="0" collapsed="false">
      <c r="A33" s="0" t="s">
        <v>241</v>
      </c>
      <c r="D33" s="240" t="n">
        <v>360</v>
      </c>
      <c r="F33" s="147"/>
      <c r="G33" s="240" t="n">
        <v>360</v>
      </c>
      <c r="H33" s="240" t="n">
        <v>360</v>
      </c>
      <c r="J33" s="147"/>
      <c r="K33" s="240" t="n">
        <v>360</v>
      </c>
      <c r="L33" s="240" t="n">
        <v>360</v>
      </c>
      <c r="N33" s="147"/>
      <c r="O33" s="10"/>
      <c r="P33" s="233"/>
      <c r="Q33" s="240" t="n">
        <v>360</v>
      </c>
      <c r="R33" s="240" t="n">
        <v>360</v>
      </c>
      <c r="T33" s="147"/>
      <c r="U33" s="240" t="n">
        <v>360</v>
      </c>
      <c r="V33" s="240" t="n">
        <v>360</v>
      </c>
      <c r="X33" s="147"/>
      <c r="Y33" s="10"/>
      <c r="Z33" s="233"/>
    </row>
    <row r="34" customFormat="false" ht="12.75" hidden="false" customHeight="false" outlineLevel="0" collapsed="false">
      <c r="A34" s="0" t="s">
        <v>242</v>
      </c>
      <c r="D34" s="118" t="n">
        <f aca="false">+D9</f>
        <v>36707</v>
      </c>
      <c r="F34" s="147"/>
      <c r="G34" s="118" t="n">
        <f aca="false">+D35</f>
        <v>36707</v>
      </c>
      <c r="H34" s="118" t="n">
        <f aca="false">+G35</f>
        <v>36707</v>
      </c>
      <c r="J34" s="147"/>
      <c r="K34" s="118" t="n">
        <f aca="false">+H35</f>
        <v>36707</v>
      </c>
      <c r="L34" s="118" t="n">
        <f aca="false">+K35</f>
        <v>36707</v>
      </c>
      <c r="N34" s="147"/>
      <c r="O34" s="10"/>
      <c r="P34" s="233"/>
      <c r="Q34" s="118" t="n">
        <f aca="false">+L35</f>
        <v>36707</v>
      </c>
      <c r="R34" s="118" t="n">
        <f aca="false">+Q35</f>
        <v>36707</v>
      </c>
      <c r="T34" s="147"/>
      <c r="U34" s="118" t="n">
        <f aca="false">+R35</f>
        <v>36707</v>
      </c>
      <c r="V34" s="118" t="n">
        <f aca="false">+U35</f>
        <v>36707</v>
      </c>
      <c r="X34" s="147"/>
      <c r="Y34" s="10"/>
      <c r="Z34" s="233"/>
    </row>
    <row r="35" customFormat="false" ht="12.75" hidden="false" customHeight="false" outlineLevel="0" collapsed="false">
      <c r="A35" s="0" t="s">
        <v>243</v>
      </c>
      <c r="D35" s="241" t="n">
        <f aca="false">+D6</f>
        <v>36707</v>
      </c>
      <c r="F35" s="147"/>
      <c r="G35" s="241" t="n">
        <f aca="false">+G6</f>
        <v>36707</v>
      </c>
      <c r="H35" s="241" t="n">
        <f aca="false">+H6</f>
        <v>36707</v>
      </c>
      <c r="J35" s="147"/>
      <c r="K35" s="241" t="n">
        <f aca="false">+K6</f>
        <v>36707</v>
      </c>
      <c r="L35" s="241" t="n">
        <f aca="false">+L6</f>
        <v>36707</v>
      </c>
      <c r="N35" s="147"/>
      <c r="O35" s="10"/>
      <c r="P35" s="233"/>
      <c r="Q35" s="241" t="n">
        <f aca="false">+Q6</f>
        <v>36707</v>
      </c>
      <c r="R35" s="241" t="n">
        <f aca="false">+R6</f>
        <v>36707</v>
      </c>
      <c r="T35" s="147"/>
      <c r="U35" s="241" t="n">
        <f aca="false">+U6</f>
        <v>36707</v>
      </c>
      <c r="V35" s="241" t="n">
        <f aca="false">+V6</f>
        <v>36707</v>
      </c>
      <c r="X35" s="147"/>
      <c r="Y35" s="10"/>
      <c r="Z35" s="233"/>
    </row>
    <row r="36" customFormat="false" ht="12.75" hidden="false" customHeight="false" outlineLevel="0" collapsed="false">
      <c r="A36" s="0" t="s">
        <v>244</v>
      </c>
      <c r="D36" s="242" t="n">
        <f aca="false">+D35-D34</f>
        <v>0</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-0</v>
      </c>
      <c r="E37" s="229" t="n">
        <f aca="false">SUM(C37:D37)</f>
        <v>0</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0</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0</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-2461354.86</v>
      </c>
      <c r="E39" s="243" t="n">
        <f aca="false">+E23+E27+E37</f>
        <v>-2461354.86</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-2461354.86</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-2461354.86</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37071</v>
      </c>
      <c r="G3" s="32" t="n">
        <f aca="false">+$D$10</f>
        <v>37071</v>
      </c>
      <c r="H3" s="32" t="n">
        <f aca="false">+$D$10</f>
        <v>37071</v>
      </c>
      <c r="K3" s="32" t="n">
        <f aca="false">+$D$10</f>
        <v>37071</v>
      </c>
      <c r="L3" s="32" t="n">
        <f aca="false">+$D$10</f>
        <v>37071</v>
      </c>
      <c r="Q3" s="32" t="n">
        <f aca="false">+$D$10</f>
        <v>37071</v>
      </c>
      <c r="R3" s="32" t="n">
        <f aca="false">+$D$10</f>
        <v>37071</v>
      </c>
      <c r="U3" s="32" t="n">
        <f aca="false">+$D$10</f>
        <v>37071</v>
      </c>
      <c r="V3" s="32" t="n">
        <f aca="false">+$D$10</f>
        <v>37071</v>
      </c>
    </row>
    <row r="4" customFormat="false" ht="12.75" hidden="false" customHeight="false" outlineLevel="0" collapsed="false">
      <c r="A4" s="0" t="s">
        <v>223</v>
      </c>
      <c r="C4" s="32"/>
      <c r="D4" s="32" t="n">
        <f aca="false">IF(+D$18&lt;1,C4,D$18)</f>
        <v>36736</v>
      </c>
      <c r="G4" s="32" t="n">
        <f aca="false">IF(+G$18&lt;1,D4,G$18)</f>
        <v>36736</v>
      </c>
      <c r="H4" s="32" t="n">
        <f aca="false">IF(+H$18&lt;1,G4,H$18)</f>
        <v>36762</v>
      </c>
      <c r="K4" s="32" t="n">
        <f aca="false">IF(+K$18&lt;1,H4,K$18)</f>
        <v>36762</v>
      </c>
      <c r="L4" s="32" t="n">
        <f aca="false">IF(+L$18&lt;1,K4,L$18)</f>
        <v>36762</v>
      </c>
      <c r="Q4" s="32" t="n">
        <f aca="false">IF(+Q$18&lt;1,N4,Q$18)</f>
        <v>36762</v>
      </c>
      <c r="R4" s="32" t="n">
        <f aca="false">IF(+R$18&lt;1,Q4,R$18)</f>
        <v>36762</v>
      </c>
      <c r="U4" s="32" t="n">
        <f aca="false">IF(+U$18&lt;1,R4,U$18)</f>
        <v>36762</v>
      </c>
      <c r="V4" s="32" t="n">
        <f aca="false">IF(+V$18&lt;1,U4,V$18)</f>
        <v>36762</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36707</v>
      </c>
      <c r="E6" s="171"/>
      <c r="F6" s="171"/>
      <c r="G6" s="208" t="n">
        <f aca="false">MIN(G2:G5)</f>
        <v>36707</v>
      </c>
      <c r="H6" s="208" t="n">
        <f aca="false">MIN(H2:H5)</f>
        <v>36707</v>
      </c>
      <c r="I6" s="171"/>
      <c r="J6" s="171"/>
      <c r="K6" s="208" t="n">
        <f aca="false">MIN(K2:K5)</f>
        <v>36707</v>
      </c>
      <c r="L6" s="209" t="n">
        <f aca="false">MIN(L2:L5)</f>
        <v>36707</v>
      </c>
      <c r="Q6" s="208" t="n">
        <f aca="false">MIN(Q2:Q5)</f>
        <v>36707</v>
      </c>
      <c r="R6" s="209" t="n">
        <f aca="false">MIN(R2:R5)</f>
        <v>36707</v>
      </c>
      <c r="U6" s="208" t="n">
        <f aca="false">MIN(U2:U5)</f>
        <v>36707</v>
      </c>
      <c r="V6" s="209" t="n">
        <f aca="false">MIN(V2:V5)</f>
        <v>36707</v>
      </c>
    </row>
    <row r="9" customFormat="false" ht="12.75" hidden="false" customHeight="false" outlineLevel="0" collapsed="false">
      <c r="A9" s="22" t="s">
        <v>226</v>
      </c>
      <c r="C9" s="31" t="s">
        <v>227</v>
      </c>
      <c r="D9" s="210" t="n">
        <v>36706</v>
      </c>
    </row>
    <row r="10" customFormat="false" ht="13.5" hidden="false" customHeight="false" outlineLevel="0" collapsed="false">
      <c r="A10" s="22" t="s">
        <v>228</v>
      </c>
      <c r="B10" s="211"/>
      <c r="C10" s="31" t="s">
        <v>222</v>
      </c>
      <c r="D10" s="109" t="n">
        <v>37071</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f aca="false">LOOKUP(D6,Input!$A$20:$A$827,Input!$B$20:$B$827)</f>
        <v>64.5</v>
      </c>
      <c r="E14" s="219" t="n">
        <f aca="false">+D14</f>
        <v>64.5</v>
      </c>
      <c r="F14" s="132"/>
      <c r="G14" s="219" t="n">
        <f aca="false">LOOKUP(G6,Input!$A$20:$A$827,Input!$B$20:$B$827)</f>
        <v>64.5</v>
      </c>
      <c r="H14" s="219" t="n">
        <f aca="false">LOOKUP(H6,Input!$A$20:$A$827,Input!$B$20:$B$827)</f>
        <v>64.5</v>
      </c>
      <c r="I14" s="219" t="n">
        <f aca="false">+H14</f>
        <v>64.5</v>
      </c>
      <c r="J14" s="132"/>
      <c r="K14" s="219" t="n">
        <f aca="false">LOOKUP(K6,Input!$A$20:$A$827,Input!$B$20:$B$827)</f>
        <v>64.5</v>
      </c>
      <c r="L14" s="219" t="n">
        <f aca="false">LOOKUP(L6,Input!$A$20:$A$827,Input!$B$20:$B$827)</f>
        <v>64.5</v>
      </c>
      <c r="M14" s="219" t="n">
        <f aca="false">+L14</f>
        <v>64.5</v>
      </c>
      <c r="N14" s="132"/>
      <c r="O14" s="17"/>
      <c r="P14" s="220"/>
      <c r="Q14" s="219" t="n">
        <f aca="false">LOOKUP(Q6,Input!$A$20:$A$827,Input!$B$20:$B$827)</f>
        <v>64.5</v>
      </c>
      <c r="R14" s="219" t="n">
        <f aca="false">LOOKUP(R6,Input!$A$20:$A$827,Input!$B$20:$B$827)</f>
        <v>64.5</v>
      </c>
      <c r="S14" s="219" t="n">
        <f aca="false">+R14</f>
        <v>64.5</v>
      </c>
      <c r="T14" s="132"/>
      <c r="U14" s="219" t="n">
        <f aca="false">LOOKUP(U6,Input!$A$20:$A$827,Input!$B$20:$B$827)</f>
        <v>64.5</v>
      </c>
      <c r="V14" s="219" t="n">
        <f aca="false">LOOKUP(V6,Input!$A$20:$A$827,Input!$B$20:$B$827)</f>
        <v>64.5</v>
      </c>
      <c r="W14" s="219" t="n">
        <f aca="false">+V14</f>
        <v>64.5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150000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68.5+0.03</f>
        <v>68.53</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36736</v>
      </c>
      <c r="E18" s="109"/>
      <c r="F18" s="221"/>
      <c r="G18" s="109" t="n">
        <v>36736</v>
      </c>
      <c r="H18" s="109" t="n">
        <v>36762</v>
      </c>
      <c r="I18" s="109"/>
      <c r="J18" s="221"/>
      <c r="K18" s="109" t="n">
        <v>36762</v>
      </c>
      <c r="L18" s="109" t="n">
        <v>36762</v>
      </c>
      <c r="M18" s="109"/>
      <c r="N18" s="221"/>
      <c r="O18" s="17"/>
      <c r="P18" s="222"/>
      <c r="Q18" s="109" t="n">
        <v>36762</v>
      </c>
      <c r="R18" s="109" t="n">
        <v>36762</v>
      </c>
      <c r="S18" s="109"/>
      <c r="T18" s="221"/>
      <c r="U18" s="109" t="n">
        <v>36762</v>
      </c>
      <c r="V18" s="109" t="n">
        <v>36762</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10279500</v>
      </c>
      <c r="E21" s="55" t="n">
        <f aca="false">+D21</f>
        <v>10279500</v>
      </c>
      <c r="F21" s="227"/>
      <c r="G21" s="55" t="n">
        <f aca="false">+D22</f>
        <v>9675000</v>
      </c>
      <c r="H21" s="55" t="n">
        <f aca="false">+G22</f>
        <v>9675000</v>
      </c>
      <c r="I21" s="55" t="n">
        <f aca="false">+E22</f>
        <v>9675000</v>
      </c>
      <c r="J21" s="227"/>
      <c r="K21" s="55" t="n">
        <f aca="false">+H22</f>
        <v>9675000</v>
      </c>
      <c r="L21" s="55" t="n">
        <f aca="false">+K22</f>
        <v>9675000</v>
      </c>
      <c r="M21" s="55" t="n">
        <f aca="false">+I22</f>
        <v>9675000</v>
      </c>
      <c r="N21" s="227"/>
      <c r="O21" s="55"/>
      <c r="P21" s="228"/>
      <c r="Q21" s="55" t="n">
        <f aca="false">+L22</f>
        <v>9675000</v>
      </c>
      <c r="R21" s="55" t="n">
        <f aca="false">+Q22</f>
        <v>9675000</v>
      </c>
      <c r="S21" s="55" t="n">
        <f aca="false">+M22</f>
        <v>9675000</v>
      </c>
      <c r="T21" s="227"/>
      <c r="U21" s="55" t="n">
        <f aca="false">+Q22</f>
        <v>9675000</v>
      </c>
      <c r="V21" s="55" t="n">
        <f aca="false">+R22</f>
        <v>9675000</v>
      </c>
      <c r="W21" s="55" t="n">
        <f aca="false">+S22</f>
        <v>9675000</v>
      </c>
      <c r="X21" s="227"/>
      <c r="Y21" s="55"/>
      <c r="Z21" s="228"/>
      <c r="AA21" s="165"/>
    </row>
    <row r="22" customFormat="false" ht="12.75" hidden="false" customHeight="false" outlineLevel="0" collapsed="false">
      <c r="B22" s="0" t="s">
        <v>183</v>
      </c>
      <c r="C22" s="55"/>
      <c r="D22" s="55" t="n">
        <f aca="false">ROUND(+D14*$B16,2)</f>
        <v>9675000</v>
      </c>
      <c r="E22" s="55" t="n">
        <f aca="false">ROUND(+E14*$B16,2)</f>
        <v>9675000</v>
      </c>
      <c r="F22" s="227"/>
      <c r="G22" s="55" t="n">
        <f aca="false">ROUND(+G14*$B16,2)</f>
        <v>9675000</v>
      </c>
      <c r="H22" s="55" t="n">
        <f aca="false">ROUND(+H14*$B16,2)</f>
        <v>9675000</v>
      </c>
      <c r="I22" s="55" t="n">
        <f aca="false">ROUND(+I14*$B16,2)</f>
        <v>9675000</v>
      </c>
      <c r="J22" s="227"/>
      <c r="K22" s="55" t="n">
        <f aca="false">ROUND(+K14*$B16,2)</f>
        <v>9675000</v>
      </c>
      <c r="L22" s="55" t="n">
        <f aca="false">ROUND(+L14*$B16,2)</f>
        <v>9675000</v>
      </c>
      <c r="M22" s="55" t="n">
        <f aca="false">ROUND(+M14*$B16,2)</f>
        <v>9675000</v>
      </c>
      <c r="N22" s="227"/>
      <c r="O22" s="165"/>
      <c r="P22" s="228"/>
      <c r="Q22" s="55" t="n">
        <f aca="false">ROUND(+Q14*$B16,2)</f>
        <v>9675000</v>
      </c>
      <c r="R22" s="55" t="n">
        <f aca="false">ROUND(+R14*$B16,2)</f>
        <v>9675000</v>
      </c>
      <c r="S22" s="55" t="n">
        <f aca="false">ROUND(+S14*$B16,2)</f>
        <v>9675000</v>
      </c>
      <c r="T22" s="227"/>
      <c r="U22" s="55" t="n">
        <f aca="false">ROUND(+U14*$B16,2)</f>
        <v>9675000</v>
      </c>
      <c r="V22" s="55" t="n">
        <f aca="false">ROUND(+V14*$B16,2)</f>
        <v>9675000</v>
      </c>
      <c r="W22" s="55" t="n">
        <f aca="false">ROUND(+W14*$B16,2)</f>
        <v>9675000</v>
      </c>
      <c r="X22" s="227"/>
      <c r="Y22" s="165"/>
      <c r="Z22" s="228"/>
      <c r="AA22" s="165"/>
    </row>
    <row r="23" customFormat="false" ht="12.75" hidden="false" customHeight="false" outlineLevel="0" collapsed="false">
      <c r="B23" s="0" t="s">
        <v>185</v>
      </c>
      <c r="C23" s="229"/>
      <c r="D23" s="229" t="n">
        <f aca="false">IF($A$11&lt;=C18,0,-D21+D22)</f>
        <v>-604500</v>
      </c>
      <c r="E23" s="229" t="n">
        <f aca="false">SUM(C23:D23)</f>
        <v>-604500</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-604500</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-604500</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A28" s="0" t="n">
        <v>6.2925</v>
      </c>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C30" s="31" t="s">
        <v>238</v>
      </c>
      <c r="D30" s="237" t="n">
        <v>0.0661</v>
      </c>
      <c r="F30" s="147"/>
      <c r="G30" s="238" t="n">
        <f aca="false">+D30</f>
        <v>0.0661</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39" t="n">
        <v>0.0075</v>
      </c>
      <c r="F31" s="147"/>
      <c r="G31" s="239" t="n">
        <f aca="false">+$D$31</f>
        <v>0.0075</v>
      </c>
      <c r="H31" s="239" t="n">
        <f aca="false">+$D$31</f>
        <v>0.0075</v>
      </c>
      <c r="J31" s="147"/>
      <c r="K31" s="239" t="n">
        <f aca="false">+$D$31</f>
        <v>0.0075</v>
      </c>
      <c r="L31" s="239" t="n">
        <f aca="false">+$D$31</f>
        <v>0.0075</v>
      </c>
      <c r="N31" s="147"/>
      <c r="O31" s="10"/>
      <c r="P31" s="233"/>
      <c r="Q31" s="239" t="n">
        <f aca="false">+$D$31</f>
        <v>0.0075</v>
      </c>
      <c r="R31" s="239" t="n">
        <f aca="false">+$D$31</f>
        <v>0.0075</v>
      </c>
      <c r="T31" s="147"/>
      <c r="U31" s="239" t="n">
        <f aca="false">+$D$31</f>
        <v>0.0075</v>
      </c>
      <c r="V31" s="239" t="n">
        <f aca="false">+$D$31</f>
        <v>0.0075</v>
      </c>
      <c r="X31" s="147"/>
      <c r="Y31" s="10"/>
      <c r="Z31" s="233"/>
    </row>
    <row r="32" customFormat="false" ht="12.75" hidden="false" customHeight="false" outlineLevel="0" collapsed="false">
      <c r="A32" s="51" t="s">
        <v>240</v>
      </c>
      <c r="D32" s="238" t="n">
        <f aca="false">SUM(D30:D31)</f>
        <v>0.0736</v>
      </c>
      <c r="F32" s="147"/>
      <c r="G32" s="238" t="n">
        <f aca="false">SUM(G30:G31)</f>
        <v>0.0736</v>
      </c>
      <c r="H32" s="238" t="n">
        <f aca="false">SUM(H30:H31)</f>
        <v>0.0684</v>
      </c>
      <c r="J32" s="147"/>
      <c r="K32" s="238" t="n">
        <f aca="false">SUM(K30:K31)</f>
        <v>0.0684</v>
      </c>
      <c r="L32" s="238" t="n">
        <f aca="false">SUM(L30:L31)</f>
        <v>0.0684</v>
      </c>
      <c r="N32" s="147"/>
      <c r="O32" s="10"/>
      <c r="P32" s="233"/>
      <c r="Q32" s="238" t="n">
        <f aca="false">SUM(Q30:Q31)</f>
        <v>0.0075</v>
      </c>
      <c r="R32" s="238" t="n">
        <f aca="false">SUM(R30:R31)</f>
        <v>0.0684</v>
      </c>
      <c r="T32" s="147"/>
      <c r="U32" s="238" t="n">
        <f aca="false">SUM(U30:U31)</f>
        <v>0.0684</v>
      </c>
      <c r="V32" s="238" t="n">
        <f aca="false">SUM(V30:V31)</f>
        <v>0.0684</v>
      </c>
      <c r="X32" s="147"/>
      <c r="Y32" s="10"/>
      <c r="Z32" s="233"/>
    </row>
    <row r="33" customFormat="false" ht="12.75" hidden="false" customHeight="false" outlineLevel="0" collapsed="false">
      <c r="A33" s="0" t="s">
        <v>241</v>
      </c>
      <c r="D33" s="240" t="n">
        <v>360</v>
      </c>
      <c r="F33" s="147"/>
      <c r="G33" s="240" t="n">
        <v>360</v>
      </c>
      <c r="H33" s="240" t="n">
        <v>360</v>
      </c>
      <c r="J33" s="147"/>
      <c r="K33" s="240" t="n">
        <v>360</v>
      </c>
      <c r="L33" s="240" t="n">
        <v>360</v>
      </c>
      <c r="N33" s="147"/>
      <c r="O33" s="10"/>
      <c r="P33" s="233"/>
      <c r="Q33" s="240" t="n">
        <v>360</v>
      </c>
      <c r="R33" s="240" t="n">
        <v>360</v>
      </c>
      <c r="T33" s="147"/>
      <c r="U33" s="240" t="n">
        <v>360</v>
      </c>
      <c r="V33" s="240" t="n">
        <v>360</v>
      </c>
      <c r="X33" s="147"/>
      <c r="Y33" s="10"/>
      <c r="Z33" s="233"/>
    </row>
    <row r="34" customFormat="false" ht="12.75" hidden="false" customHeight="false" outlineLevel="0" collapsed="false">
      <c r="A34" s="0" t="s">
        <v>242</v>
      </c>
      <c r="D34" s="118" t="n">
        <f aca="false">+D9</f>
        <v>36706</v>
      </c>
      <c r="F34" s="147"/>
      <c r="G34" s="118" t="n">
        <f aca="false">+D35</f>
        <v>36707</v>
      </c>
      <c r="H34" s="118" t="n">
        <f aca="false">+G35</f>
        <v>36707</v>
      </c>
      <c r="J34" s="147"/>
      <c r="K34" s="118" t="n">
        <f aca="false">+H35</f>
        <v>36707</v>
      </c>
      <c r="L34" s="118" t="n">
        <f aca="false">+K35</f>
        <v>36707</v>
      </c>
      <c r="N34" s="147"/>
      <c r="O34" s="10"/>
      <c r="P34" s="233"/>
      <c r="Q34" s="118" t="n">
        <f aca="false">+L35</f>
        <v>36707</v>
      </c>
      <c r="R34" s="118" t="n">
        <f aca="false">+Q35</f>
        <v>36707</v>
      </c>
      <c r="T34" s="147"/>
      <c r="U34" s="118" t="n">
        <f aca="false">+R35</f>
        <v>36707</v>
      </c>
      <c r="V34" s="118" t="n">
        <f aca="false">+U35</f>
        <v>36707</v>
      </c>
      <c r="X34" s="147"/>
      <c r="Y34" s="10"/>
      <c r="Z34" s="233"/>
    </row>
    <row r="35" customFormat="false" ht="12.75" hidden="false" customHeight="false" outlineLevel="0" collapsed="false">
      <c r="A35" s="0" t="s">
        <v>243</v>
      </c>
      <c r="D35" s="241" t="n">
        <f aca="false">+D6</f>
        <v>36707</v>
      </c>
      <c r="F35" s="147"/>
      <c r="G35" s="241" t="n">
        <f aca="false">+G6</f>
        <v>36707</v>
      </c>
      <c r="H35" s="241" t="n">
        <f aca="false">+H6</f>
        <v>36707</v>
      </c>
      <c r="J35" s="147"/>
      <c r="K35" s="241" t="n">
        <f aca="false">+K6</f>
        <v>36707</v>
      </c>
      <c r="L35" s="241" t="n">
        <f aca="false">+L6</f>
        <v>36707</v>
      </c>
      <c r="N35" s="147"/>
      <c r="O35" s="10"/>
      <c r="P35" s="233"/>
      <c r="Q35" s="241" t="n">
        <f aca="false">+Q6</f>
        <v>36707</v>
      </c>
      <c r="R35" s="241" t="n">
        <f aca="false">+R6</f>
        <v>36707</v>
      </c>
      <c r="T35" s="147"/>
      <c r="U35" s="241" t="n">
        <f aca="false">+U6</f>
        <v>36707</v>
      </c>
      <c r="V35" s="241" t="n">
        <f aca="false">+V6</f>
        <v>36707</v>
      </c>
      <c r="X35" s="147"/>
      <c r="Y35" s="10"/>
      <c r="Z35" s="233"/>
    </row>
    <row r="36" customFormat="false" ht="12.75" hidden="false" customHeight="false" outlineLevel="0" collapsed="false">
      <c r="A36" s="0" t="s">
        <v>244</v>
      </c>
      <c r="D36" s="242" t="n">
        <f aca="false">+D35-D34</f>
        <v>1</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-2101.59</v>
      </c>
      <c r="E37" s="229" t="n">
        <f aca="false">SUM(C37:D37)</f>
        <v>-2101.59</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-2101.59</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-2101.59</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-606601.59</v>
      </c>
      <c r="E39" s="243" t="n">
        <f aca="false">+E23+E27+E37</f>
        <v>-606601.59</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-606601.59</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-606601.59</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1" activeCellId="0" sqref="D11"/>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37062</v>
      </c>
      <c r="G3" s="32" t="n">
        <f aca="false">+$D$10</f>
        <v>37062</v>
      </c>
      <c r="H3" s="32" t="n">
        <f aca="false">+$D$10</f>
        <v>37062</v>
      </c>
      <c r="K3" s="32" t="n">
        <f aca="false">+$D$10</f>
        <v>37062</v>
      </c>
      <c r="L3" s="32" t="n">
        <f aca="false">+$D$10</f>
        <v>37062</v>
      </c>
      <c r="Q3" s="32" t="n">
        <f aca="false">+$D$10</f>
        <v>37062</v>
      </c>
      <c r="R3" s="32" t="n">
        <f aca="false">+$D$10</f>
        <v>37062</v>
      </c>
      <c r="U3" s="32" t="n">
        <f aca="false">+$D$10</f>
        <v>37062</v>
      </c>
      <c r="V3" s="32" t="n">
        <f aca="false">+$D$10</f>
        <v>37062</v>
      </c>
    </row>
    <row r="4" customFormat="false" ht="12.75" hidden="false" customHeight="false" outlineLevel="0" collapsed="false">
      <c r="A4" s="0" t="s">
        <v>223</v>
      </c>
      <c r="C4" s="32"/>
      <c r="D4" s="32" t="n">
        <f aca="false">IF(+D$18&lt;1,C4,D$18)</f>
        <v>36735</v>
      </c>
      <c r="G4" s="32" t="n">
        <f aca="false">IF(+G$18&lt;1,D4,G$18)</f>
        <v>36735</v>
      </c>
      <c r="H4" s="32" t="n">
        <f aca="false">IF(+H$18&lt;1,G4,H$18)</f>
        <v>36762</v>
      </c>
      <c r="K4" s="32" t="n">
        <f aca="false">IF(+K$18&lt;1,H4,K$18)</f>
        <v>36762</v>
      </c>
      <c r="L4" s="32" t="n">
        <f aca="false">IF(+L$18&lt;1,K4,L$18)</f>
        <v>36762</v>
      </c>
      <c r="Q4" s="32" t="n">
        <f aca="false">IF(+Q$18&lt;1,N4,Q$18)</f>
        <v>36762</v>
      </c>
      <c r="R4" s="32" t="n">
        <f aca="false">IF(+R$18&lt;1,Q4,R$18)</f>
        <v>36762</v>
      </c>
      <c r="U4" s="32" t="n">
        <f aca="false">IF(+U$18&lt;1,R4,U$18)</f>
        <v>36762</v>
      </c>
      <c r="V4" s="32" t="n">
        <f aca="false">IF(+V$18&lt;1,U4,V$18)</f>
        <v>36762</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36707</v>
      </c>
      <c r="E6" s="171"/>
      <c r="F6" s="171"/>
      <c r="G6" s="208" t="n">
        <f aca="false">MIN(G2:G5)</f>
        <v>36707</v>
      </c>
      <c r="H6" s="208" t="n">
        <f aca="false">MIN(H2:H5)</f>
        <v>36707</v>
      </c>
      <c r="I6" s="171"/>
      <c r="J6" s="171"/>
      <c r="K6" s="208" t="n">
        <f aca="false">MIN(K2:K5)</f>
        <v>36707</v>
      </c>
      <c r="L6" s="209" t="n">
        <f aca="false">MIN(L2:L5)</f>
        <v>36707</v>
      </c>
      <c r="Q6" s="208" t="n">
        <f aca="false">MIN(Q2:Q5)</f>
        <v>36707</v>
      </c>
      <c r="R6" s="209" t="n">
        <f aca="false">MIN(R2:R5)</f>
        <v>36707</v>
      </c>
      <c r="U6" s="208" t="n">
        <f aca="false">MIN(U2:U5)</f>
        <v>36707</v>
      </c>
      <c r="V6" s="209" t="n">
        <f aca="false">MIN(V2:V5)</f>
        <v>36707</v>
      </c>
    </row>
    <row r="9" customFormat="false" ht="12.75" hidden="false" customHeight="false" outlineLevel="0" collapsed="false">
      <c r="A9" s="22" t="s">
        <v>226</v>
      </c>
      <c r="C9" s="31" t="s">
        <v>227</v>
      </c>
      <c r="D9" s="210" t="n">
        <v>36705</v>
      </c>
    </row>
    <row r="10" customFormat="false" ht="13.5" hidden="false" customHeight="false" outlineLevel="0" collapsed="false">
      <c r="A10" s="22" t="s">
        <v>228</v>
      </c>
      <c r="B10" s="211"/>
      <c r="C10" s="31" t="s">
        <v>222</v>
      </c>
      <c r="D10" s="210" t="n">
        <v>37062</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f aca="false">LOOKUP(D6,Input!$A$20:$A$827,Input!$B$20:$B$827)</f>
        <v>64.5</v>
      </c>
      <c r="E14" s="219" t="n">
        <f aca="false">+D14</f>
        <v>64.5</v>
      </c>
      <c r="F14" s="132"/>
      <c r="G14" s="219" t="n">
        <f aca="false">LOOKUP(G6,Input!$A$20:$A$827,Input!$B$20:$B$827)</f>
        <v>64.5</v>
      </c>
      <c r="H14" s="219" t="n">
        <f aca="false">LOOKUP(H6,Input!$A$20:$A$827,Input!$B$20:$B$827)</f>
        <v>64.5</v>
      </c>
      <c r="I14" s="219" t="n">
        <f aca="false">+H14</f>
        <v>64.5</v>
      </c>
      <c r="J14" s="132"/>
      <c r="K14" s="219" t="n">
        <f aca="false">LOOKUP(K6,Input!$A$20:$A$827,Input!$B$20:$B$827)</f>
        <v>64.5</v>
      </c>
      <c r="L14" s="219" t="n">
        <f aca="false">LOOKUP(L6,Input!$A$20:$A$827,Input!$B$20:$B$827)</f>
        <v>64.5</v>
      </c>
      <c r="M14" s="219" t="n">
        <f aca="false">+L14</f>
        <v>64.5</v>
      </c>
      <c r="N14" s="132"/>
      <c r="O14" s="17"/>
      <c r="P14" s="220"/>
      <c r="Q14" s="219" t="n">
        <f aca="false">LOOKUP(Q6,Input!$A$20:$A$827,Input!$B$20:$B$827)</f>
        <v>64.5</v>
      </c>
      <c r="R14" s="219" t="n">
        <f aca="false">LOOKUP(R6,Input!$A$20:$A$827,Input!$B$20:$B$827)</f>
        <v>64.5</v>
      </c>
      <c r="S14" s="219" t="n">
        <f aca="false">+R14</f>
        <v>64.5</v>
      </c>
      <c r="T14" s="132"/>
      <c r="U14" s="219" t="n">
        <f aca="false">LOOKUP(U6,Input!$A$20:$A$827,Input!$B$20:$B$827)</f>
        <v>64.5</v>
      </c>
      <c r="V14" s="219" t="n">
        <f aca="false">LOOKUP(V6,Input!$A$20:$A$827,Input!$B$20:$B$827)</f>
        <v>64.5</v>
      </c>
      <c r="W14" s="219" t="n">
        <f aca="false">+V14</f>
        <v>64.5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110100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68.5+0.03</f>
        <v>68.53</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36735</v>
      </c>
      <c r="E18" s="109"/>
      <c r="F18" s="221"/>
      <c r="G18" s="109" t="n">
        <v>36735</v>
      </c>
      <c r="H18" s="109" t="n">
        <v>36762</v>
      </c>
      <c r="I18" s="109"/>
      <c r="J18" s="221"/>
      <c r="K18" s="109" t="n">
        <v>36762</v>
      </c>
      <c r="L18" s="109" t="n">
        <v>36762</v>
      </c>
      <c r="M18" s="109"/>
      <c r="N18" s="221"/>
      <c r="O18" s="17"/>
      <c r="P18" s="222"/>
      <c r="Q18" s="109" t="n">
        <v>36762</v>
      </c>
      <c r="R18" s="109" t="n">
        <v>36762</v>
      </c>
      <c r="S18" s="109"/>
      <c r="T18" s="221"/>
      <c r="U18" s="109" t="n">
        <v>36762</v>
      </c>
      <c r="V18" s="109" t="n">
        <v>36762</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7545153</v>
      </c>
      <c r="E21" s="55" t="n">
        <f aca="false">+D21</f>
        <v>7545153</v>
      </c>
      <c r="F21" s="227"/>
      <c r="G21" s="55" t="n">
        <f aca="false">+D22</f>
        <v>7101450</v>
      </c>
      <c r="H21" s="55" t="n">
        <f aca="false">+G22</f>
        <v>7101450</v>
      </c>
      <c r="I21" s="55" t="n">
        <f aca="false">+E22</f>
        <v>7101450</v>
      </c>
      <c r="J21" s="227"/>
      <c r="K21" s="55" t="n">
        <f aca="false">+H22</f>
        <v>7101450</v>
      </c>
      <c r="L21" s="55" t="n">
        <f aca="false">+K22</f>
        <v>7101450</v>
      </c>
      <c r="M21" s="55" t="n">
        <f aca="false">+I22</f>
        <v>7101450</v>
      </c>
      <c r="N21" s="227"/>
      <c r="O21" s="55"/>
      <c r="P21" s="228"/>
      <c r="Q21" s="55" t="n">
        <f aca="false">+L22</f>
        <v>7101450</v>
      </c>
      <c r="R21" s="55" t="n">
        <f aca="false">+Q22</f>
        <v>7101450</v>
      </c>
      <c r="S21" s="55" t="n">
        <f aca="false">+M22</f>
        <v>7101450</v>
      </c>
      <c r="T21" s="227"/>
      <c r="U21" s="55" t="n">
        <f aca="false">+Q22</f>
        <v>7101450</v>
      </c>
      <c r="V21" s="55" t="n">
        <f aca="false">+R22</f>
        <v>7101450</v>
      </c>
      <c r="W21" s="55" t="n">
        <f aca="false">+S22</f>
        <v>7101450</v>
      </c>
      <c r="X21" s="227"/>
      <c r="Y21" s="55"/>
      <c r="Z21" s="228"/>
      <c r="AA21" s="165"/>
    </row>
    <row r="22" customFormat="false" ht="12.75" hidden="false" customHeight="false" outlineLevel="0" collapsed="false">
      <c r="B22" s="0" t="s">
        <v>183</v>
      </c>
      <c r="C22" s="55"/>
      <c r="D22" s="55" t="n">
        <f aca="false">ROUND(+D14*$B16,2)</f>
        <v>7101450</v>
      </c>
      <c r="E22" s="55" t="n">
        <f aca="false">ROUND(+E14*$B16,2)</f>
        <v>7101450</v>
      </c>
      <c r="F22" s="227"/>
      <c r="G22" s="55" t="n">
        <f aca="false">ROUND(+G14*$B16,2)</f>
        <v>7101450</v>
      </c>
      <c r="H22" s="55" t="n">
        <f aca="false">ROUND(+H14*$B16,2)</f>
        <v>7101450</v>
      </c>
      <c r="I22" s="55" t="n">
        <f aca="false">ROUND(+I14*$B16,2)</f>
        <v>7101450</v>
      </c>
      <c r="J22" s="227"/>
      <c r="K22" s="55" t="n">
        <f aca="false">ROUND(+K14*$B16,2)</f>
        <v>7101450</v>
      </c>
      <c r="L22" s="55" t="n">
        <f aca="false">ROUND(+L14*$B16,2)</f>
        <v>7101450</v>
      </c>
      <c r="M22" s="55" t="n">
        <f aca="false">ROUND(+M14*$B16,2)</f>
        <v>7101450</v>
      </c>
      <c r="N22" s="227"/>
      <c r="O22" s="165"/>
      <c r="P22" s="228"/>
      <c r="Q22" s="55" t="n">
        <f aca="false">ROUND(+Q14*$B16,2)</f>
        <v>7101450</v>
      </c>
      <c r="R22" s="55" t="n">
        <f aca="false">ROUND(+R14*$B16,2)</f>
        <v>7101450</v>
      </c>
      <c r="S22" s="55" t="n">
        <f aca="false">ROUND(+S14*$B16,2)</f>
        <v>7101450</v>
      </c>
      <c r="T22" s="227"/>
      <c r="U22" s="55" t="n">
        <f aca="false">ROUND(+U14*$B16,2)</f>
        <v>7101450</v>
      </c>
      <c r="V22" s="55" t="n">
        <f aca="false">ROUND(+V14*$B16,2)</f>
        <v>7101450</v>
      </c>
      <c r="W22" s="55" t="n">
        <f aca="false">ROUND(+W14*$B16,2)</f>
        <v>7101450</v>
      </c>
      <c r="X22" s="227"/>
      <c r="Y22" s="165"/>
      <c r="Z22" s="228"/>
      <c r="AA22" s="165"/>
    </row>
    <row r="23" customFormat="false" ht="12.75" hidden="false" customHeight="false" outlineLevel="0" collapsed="false">
      <c r="B23" s="0" t="s">
        <v>185</v>
      </c>
      <c r="C23" s="229"/>
      <c r="D23" s="229" t="n">
        <f aca="false">IF($A$11&lt;=C18,0,-D21+D22)</f>
        <v>-443703</v>
      </c>
      <c r="E23" s="229" t="n">
        <f aca="false">SUM(C23:D23)</f>
        <v>-443703</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-443703</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-443703</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A28" s="0" t="n">
        <v>6.2925</v>
      </c>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C30" s="31" t="s">
        <v>238</v>
      </c>
      <c r="D30" s="237" t="n">
        <v>0.0661</v>
      </c>
      <c r="F30" s="147"/>
      <c r="G30" s="238" t="n">
        <f aca="false">+D30</f>
        <v>0.0661</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39" t="n">
        <v>0.006</v>
      </c>
      <c r="F31" s="147"/>
      <c r="G31" s="239" t="n">
        <f aca="false">+$D$31</f>
        <v>0.006</v>
      </c>
      <c r="H31" s="239" t="n">
        <f aca="false">+$D$31</f>
        <v>0.006</v>
      </c>
      <c r="J31" s="147"/>
      <c r="K31" s="239" t="n">
        <f aca="false">+$D$31</f>
        <v>0.006</v>
      </c>
      <c r="L31" s="239" t="n">
        <f aca="false">+$D$31</f>
        <v>0.006</v>
      </c>
      <c r="N31" s="147"/>
      <c r="O31" s="10"/>
      <c r="P31" s="233"/>
      <c r="Q31" s="239" t="n">
        <f aca="false">+$D$31</f>
        <v>0.006</v>
      </c>
      <c r="R31" s="239" t="n">
        <f aca="false">+$D$31</f>
        <v>0.006</v>
      </c>
      <c r="T31" s="147"/>
      <c r="U31" s="239" t="n">
        <f aca="false">+$D$31</f>
        <v>0.006</v>
      </c>
      <c r="V31" s="239" t="n">
        <f aca="false">+$D$31</f>
        <v>0.006</v>
      </c>
      <c r="X31" s="147"/>
      <c r="Y31" s="10"/>
      <c r="Z31" s="233"/>
    </row>
    <row r="32" customFormat="false" ht="12.75" hidden="false" customHeight="false" outlineLevel="0" collapsed="false">
      <c r="A32" s="51" t="s">
        <v>240</v>
      </c>
      <c r="D32" s="238" t="n">
        <f aca="false">SUM(D30:D31)</f>
        <v>0.0721</v>
      </c>
      <c r="F32" s="147"/>
      <c r="G32" s="238" t="n">
        <f aca="false">SUM(G30:G31)</f>
        <v>0.0721</v>
      </c>
      <c r="H32" s="238" t="n">
        <f aca="false">SUM(H30:H31)</f>
        <v>0.0669</v>
      </c>
      <c r="J32" s="147"/>
      <c r="K32" s="238" t="n">
        <f aca="false">SUM(K30:K31)</f>
        <v>0.0669</v>
      </c>
      <c r="L32" s="238" t="n">
        <f aca="false">SUM(L30:L31)</f>
        <v>0.0669</v>
      </c>
      <c r="N32" s="147"/>
      <c r="O32" s="10"/>
      <c r="P32" s="233"/>
      <c r="Q32" s="238" t="n">
        <f aca="false">SUM(Q30:Q31)</f>
        <v>0.006</v>
      </c>
      <c r="R32" s="238" t="n">
        <f aca="false">SUM(R30:R31)</f>
        <v>0.0669</v>
      </c>
      <c r="T32" s="147"/>
      <c r="U32" s="238" t="n">
        <f aca="false">SUM(U30:U31)</f>
        <v>0.0669</v>
      </c>
      <c r="V32" s="238" t="n">
        <f aca="false">SUM(V30:V31)</f>
        <v>0.0669</v>
      </c>
      <c r="X32" s="147"/>
      <c r="Y32" s="10"/>
      <c r="Z32" s="233"/>
    </row>
    <row r="33" customFormat="false" ht="12.75" hidden="false" customHeight="false" outlineLevel="0" collapsed="false">
      <c r="A33" s="0" t="s">
        <v>241</v>
      </c>
      <c r="D33" s="240" t="n">
        <v>360</v>
      </c>
      <c r="F33" s="147"/>
      <c r="G33" s="240" t="n">
        <v>360</v>
      </c>
      <c r="H33" s="240" t="n">
        <v>360</v>
      </c>
      <c r="J33" s="147"/>
      <c r="K33" s="240" t="n">
        <v>360</v>
      </c>
      <c r="L33" s="240" t="n">
        <v>360</v>
      </c>
      <c r="N33" s="147"/>
      <c r="O33" s="10"/>
      <c r="P33" s="233"/>
      <c r="Q33" s="240" t="n">
        <v>360</v>
      </c>
      <c r="R33" s="240" t="n">
        <v>360</v>
      </c>
      <c r="T33" s="147"/>
      <c r="U33" s="240" t="n">
        <v>360</v>
      </c>
      <c r="V33" s="240" t="n">
        <v>360</v>
      </c>
      <c r="X33" s="147"/>
      <c r="Y33" s="10"/>
      <c r="Z33" s="233"/>
    </row>
    <row r="34" customFormat="false" ht="12.75" hidden="false" customHeight="false" outlineLevel="0" collapsed="false">
      <c r="A34" s="0" t="s">
        <v>242</v>
      </c>
      <c r="D34" s="118" t="n">
        <f aca="false">+D9</f>
        <v>36705</v>
      </c>
      <c r="F34" s="147"/>
      <c r="G34" s="118" t="n">
        <f aca="false">+D35</f>
        <v>36707</v>
      </c>
      <c r="H34" s="118" t="n">
        <f aca="false">+G35</f>
        <v>36707</v>
      </c>
      <c r="J34" s="147"/>
      <c r="K34" s="118" t="n">
        <f aca="false">+H35</f>
        <v>36707</v>
      </c>
      <c r="L34" s="118" t="n">
        <f aca="false">+K35</f>
        <v>36707</v>
      </c>
      <c r="N34" s="147"/>
      <c r="O34" s="10"/>
      <c r="P34" s="233"/>
      <c r="Q34" s="118" t="n">
        <f aca="false">+L35</f>
        <v>36707</v>
      </c>
      <c r="R34" s="118" t="n">
        <f aca="false">+Q35</f>
        <v>36707</v>
      </c>
      <c r="T34" s="147"/>
      <c r="U34" s="118" t="n">
        <f aca="false">+R35</f>
        <v>36707</v>
      </c>
      <c r="V34" s="118" t="n">
        <f aca="false">+U35</f>
        <v>36707</v>
      </c>
      <c r="X34" s="147"/>
      <c r="Y34" s="10"/>
      <c r="Z34" s="233"/>
    </row>
    <row r="35" customFormat="false" ht="12.75" hidden="false" customHeight="false" outlineLevel="0" collapsed="false">
      <c r="A35" s="0" t="s">
        <v>243</v>
      </c>
      <c r="D35" s="241" t="n">
        <f aca="false">+D6</f>
        <v>36707</v>
      </c>
      <c r="F35" s="147"/>
      <c r="G35" s="241" t="n">
        <f aca="false">+G6</f>
        <v>36707</v>
      </c>
      <c r="H35" s="241" t="n">
        <f aca="false">+H6</f>
        <v>36707</v>
      </c>
      <c r="J35" s="147"/>
      <c r="K35" s="241" t="n">
        <f aca="false">+K6</f>
        <v>36707</v>
      </c>
      <c r="L35" s="241" t="n">
        <f aca="false">+L6</f>
        <v>36707</v>
      </c>
      <c r="N35" s="147"/>
      <c r="O35" s="10"/>
      <c r="P35" s="233"/>
      <c r="Q35" s="241" t="n">
        <f aca="false">+Q6</f>
        <v>36707</v>
      </c>
      <c r="R35" s="241" t="n">
        <f aca="false">+R6</f>
        <v>36707</v>
      </c>
      <c r="T35" s="147"/>
      <c r="U35" s="241" t="n">
        <f aca="false">+U6</f>
        <v>36707</v>
      </c>
      <c r="V35" s="241" t="n">
        <f aca="false">+V6</f>
        <v>36707</v>
      </c>
      <c r="X35" s="147"/>
      <c r="Y35" s="10"/>
      <c r="Z35" s="233"/>
    </row>
    <row r="36" customFormat="false" ht="12.75" hidden="false" customHeight="false" outlineLevel="0" collapsed="false">
      <c r="A36" s="0" t="s">
        <v>244</v>
      </c>
      <c r="D36" s="242" t="n">
        <f aca="false">+D35-D34</f>
        <v>2</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-3022.25</v>
      </c>
      <c r="E37" s="229" t="n">
        <f aca="false">SUM(C37:D37)</f>
        <v>-3022.25</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-3022.25</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-3022.25</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-446725.25</v>
      </c>
      <c r="E39" s="243" t="n">
        <f aca="false">+E23+E27+E37</f>
        <v>-446725.25</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-446725.25</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-446725.25</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40"/>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D41" activeCellId="0" sqref="D41"/>
    </sheetView>
  </sheetViews>
  <sheetFormatPr defaultColWidth="9.0546875" defaultRowHeight="12.75" customHeight="true" zeroHeight="false" outlineLevelRow="0" outlineLevelCol="0"/>
  <cols>
    <col collapsed="false" customWidth="true" hidden="false" outlineLevel="0" max="1" min="1" style="0" width="12.56"/>
    <col collapsed="false" customWidth="true" hidden="false" outlineLevel="0" max="3" min="2" style="0" width="13.85"/>
    <col collapsed="false" customWidth="true" hidden="false" outlineLevel="0" max="5" min="4" style="0" width="15.41"/>
    <col collapsed="false" customWidth="true" hidden="false" outlineLevel="0" max="6" min="6" style="0" width="1.41"/>
    <col collapsed="false" customWidth="true" hidden="false" outlineLevel="0" max="9" min="7" style="0" width="15.41"/>
    <col collapsed="false" customWidth="true" hidden="false" outlineLevel="0" max="10" min="10" style="0" width="1.41"/>
    <col collapsed="false" customWidth="true" hidden="false" outlineLevel="0" max="12" min="11" style="0" width="15.41"/>
    <col collapsed="false" customWidth="true" hidden="false" outlineLevel="0" max="13" min="13" style="0" width="13.85"/>
    <col collapsed="false" customWidth="true" hidden="false" outlineLevel="0" max="14" min="14" style="0" width="1.41"/>
    <col collapsed="false" customWidth="true" hidden="false" outlineLevel="0" max="15" min="15" style="0" width="13.85"/>
    <col collapsed="false" customWidth="true" hidden="false" outlineLevel="0" max="16" min="16" style="0" width="1.41"/>
    <col collapsed="false" customWidth="true" hidden="false" outlineLevel="0" max="17" min="17" style="0" width="14.41"/>
    <col collapsed="false" customWidth="true" hidden="false" outlineLevel="0" max="18" min="18" style="0" width="13.85"/>
    <col collapsed="false" customWidth="true" hidden="false" outlineLevel="0" max="19" min="19" style="0" width="14.41"/>
    <col collapsed="false" customWidth="true" hidden="false" outlineLevel="0" max="20" min="20" style="0" width="1.28"/>
    <col collapsed="false" customWidth="true" hidden="false" outlineLevel="0" max="23" min="21" style="0" width="13.85"/>
    <col collapsed="false" customWidth="true" hidden="false" outlineLevel="0" max="24" min="24" style="0" width="1.28"/>
    <col collapsed="false" customWidth="true" hidden="false" outlineLevel="0" max="25" min="25" style="0" width="14.41"/>
    <col collapsed="false" customWidth="true" hidden="false" outlineLevel="0" max="26" min="26" style="0" width="1.41"/>
    <col collapsed="false" customWidth="true" hidden="false" outlineLevel="0" max="27" min="27" style="0" width="14.85"/>
    <col collapsed="false" customWidth="true" hidden="false" outlineLevel="0" max="28" min="28" style="0" width="11.85"/>
  </cols>
  <sheetData>
    <row r="2" customFormat="false" ht="12.75" hidden="false" customHeight="false" outlineLevel="0" collapsed="false">
      <c r="A2" s="0" t="s">
        <v>221</v>
      </c>
      <c r="C2" s="32"/>
      <c r="D2" s="32" t="n">
        <f aca="false">+$A$11</f>
        <v>36707</v>
      </c>
      <c r="G2" s="32" t="n">
        <f aca="false">+$A$11</f>
        <v>36707</v>
      </c>
      <c r="H2" s="32" t="n">
        <f aca="false">+$A$11</f>
        <v>36707</v>
      </c>
      <c r="K2" s="32" t="n">
        <f aca="false">+$A$11</f>
        <v>36707</v>
      </c>
      <c r="L2" s="32" t="n">
        <f aca="false">+$A$11</f>
        <v>36707</v>
      </c>
      <c r="Q2" s="32" t="n">
        <f aca="false">+$A$11</f>
        <v>36707</v>
      </c>
      <c r="R2" s="32" t="n">
        <f aca="false">+$A$11</f>
        <v>36707</v>
      </c>
      <c r="U2" s="32" t="n">
        <f aca="false">+$A$11</f>
        <v>36707</v>
      </c>
      <c r="V2" s="32" t="n">
        <f aca="false">+$A$11</f>
        <v>36707</v>
      </c>
    </row>
    <row r="3" customFormat="false" ht="12.75" hidden="false" customHeight="false" outlineLevel="0" collapsed="false">
      <c r="A3" s="0" t="s">
        <v>222</v>
      </c>
      <c r="C3" s="32"/>
      <c r="D3" s="32" t="n">
        <f aca="false">+$D$10</f>
        <v>37069</v>
      </c>
      <c r="G3" s="32" t="n">
        <f aca="false">+$D$10</f>
        <v>37069</v>
      </c>
      <c r="H3" s="32" t="n">
        <f aca="false">+$D$10</f>
        <v>37069</v>
      </c>
      <c r="K3" s="32" t="n">
        <f aca="false">+$D$10</f>
        <v>37069</v>
      </c>
      <c r="L3" s="32" t="n">
        <f aca="false">+$D$10</f>
        <v>37069</v>
      </c>
      <c r="Q3" s="32" t="n">
        <f aca="false">+$D$10</f>
        <v>37069</v>
      </c>
      <c r="R3" s="32" t="n">
        <f aca="false">+$D$10</f>
        <v>37069</v>
      </c>
      <c r="U3" s="32" t="n">
        <f aca="false">+$D$10</f>
        <v>37069</v>
      </c>
      <c r="V3" s="32" t="n">
        <f aca="false">+$D$10</f>
        <v>37069</v>
      </c>
    </row>
    <row r="4" customFormat="false" ht="12.75" hidden="false" customHeight="false" outlineLevel="0" collapsed="false">
      <c r="A4" s="0" t="s">
        <v>223</v>
      </c>
      <c r="C4" s="32"/>
      <c r="D4" s="32" t="n">
        <f aca="false">IF(+D$18&lt;1,C4,D$18)</f>
        <v>36798</v>
      </c>
      <c r="G4" s="32" t="n">
        <f aca="false">IF(+G$18&lt;1,D4,G$18)</f>
        <v>36798</v>
      </c>
      <c r="H4" s="32" t="n">
        <f aca="false">IF(+H$18&lt;1,G4,H$18)</f>
        <v>36889</v>
      </c>
      <c r="K4" s="32" t="n">
        <f aca="false">IF(+K$18&lt;1,H4,K$18)</f>
        <v>36889</v>
      </c>
      <c r="L4" s="32" t="n">
        <f aca="false">IF(+L$18&lt;1,K4,L$18)</f>
        <v>36980</v>
      </c>
      <c r="Q4" s="32" t="n">
        <f aca="false">IF(+Q$18&lt;1,N4,Q$18)</f>
        <v>36980</v>
      </c>
      <c r="R4" s="32" t="n">
        <f aca="false">IF(+R$18&lt;1,Q4,R$18)</f>
        <v>37071</v>
      </c>
      <c r="U4" s="32" t="n">
        <f aca="false">IF(+U$18&lt;1,R4,U$18)</f>
        <v>37071</v>
      </c>
      <c r="V4" s="32" t="n">
        <f aca="false">IF(+V$18&lt;1,U4,V$18)</f>
        <v>36762</v>
      </c>
    </row>
    <row r="5" customFormat="false" ht="12.75" hidden="false" customHeight="false" outlineLevel="0" collapsed="false">
      <c r="A5" s="0" t="s">
        <v>224</v>
      </c>
      <c r="C5" s="32"/>
      <c r="D5" s="32" t="n">
        <f aca="false">+D$13</f>
        <v>36707</v>
      </c>
      <c r="G5" s="32" t="n">
        <f aca="false">+G$13</f>
        <v>36799</v>
      </c>
      <c r="H5" s="32" t="n">
        <f aca="false">+H$13</f>
        <v>36799</v>
      </c>
      <c r="K5" s="32" t="n">
        <f aca="false">+K$13</f>
        <v>36891</v>
      </c>
      <c r="L5" s="32" t="n">
        <f aca="false">+L$13</f>
        <v>36891</v>
      </c>
      <c r="Q5" s="32" t="n">
        <f aca="false">+Q$13</f>
        <v>36981</v>
      </c>
      <c r="R5" s="32" t="n">
        <f aca="false">+R$13</f>
        <v>36981</v>
      </c>
      <c r="U5" s="32" t="n">
        <f aca="false">+U$13</f>
        <v>37072</v>
      </c>
      <c r="V5" s="32" t="n">
        <f aca="false">+V$13</f>
        <v>37072</v>
      </c>
    </row>
    <row r="6" customFormat="false" ht="12.75" hidden="false" customHeight="false" outlineLevel="0" collapsed="false">
      <c r="A6" s="207" t="s">
        <v>225</v>
      </c>
      <c r="B6" s="171"/>
      <c r="C6" s="208"/>
      <c r="D6" s="208" t="n">
        <f aca="false">MIN(D2:D5)</f>
        <v>36707</v>
      </c>
      <c r="E6" s="171"/>
      <c r="F6" s="171"/>
      <c r="G6" s="208" t="n">
        <f aca="false">MIN(G2:G5)</f>
        <v>36707</v>
      </c>
      <c r="H6" s="208" t="n">
        <f aca="false">MIN(H2:H5)</f>
        <v>36707</v>
      </c>
      <c r="I6" s="171"/>
      <c r="J6" s="171"/>
      <c r="K6" s="208" t="n">
        <f aca="false">MIN(K2:K5)</f>
        <v>36707</v>
      </c>
      <c r="L6" s="209" t="n">
        <f aca="false">MIN(L2:L5)</f>
        <v>36707</v>
      </c>
      <c r="Q6" s="208" t="n">
        <f aca="false">MIN(Q2:Q5)</f>
        <v>36707</v>
      </c>
      <c r="R6" s="209" t="n">
        <f aca="false">MIN(R2:R5)</f>
        <v>36707</v>
      </c>
      <c r="U6" s="208" t="n">
        <f aca="false">MIN(U2:U5)</f>
        <v>36707</v>
      </c>
      <c r="V6" s="209" t="n">
        <f aca="false">MIN(V2:V5)</f>
        <v>36707</v>
      </c>
    </row>
    <row r="9" customFormat="false" ht="12.75" hidden="false" customHeight="false" outlineLevel="0" collapsed="false">
      <c r="A9" s="22" t="s">
        <v>226</v>
      </c>
      <c r="C9" s="31" t="s">
        <v>227</v>
      </c>
      <c r="D9" s="210" t="n">
        <v>36704</v>
      </c>
    </row>
    <row r="10" customFormat="false" ht="13.5" hidden="false" customHeight="false" outlineLevel="0" collapsed="false">
      <c r="A10" s="22" t="s">
        <v>228</v>
      </c>
      <c r="B10" s="211"/>
      <c r="C10" s="31" t="s">
        <v>222</v>
      </c>
      <c r="D10" s="210" t="n">
        <v>37069</v>
      </c>
    </row>
    <row r="11" customFormat="false" ht="12.75" hidden="false" customHeight="false" outlineLevel="0" collapsed="false">
      <c r="A11" s="212" t="n">
        <f aca="false">+Input!B16</f>
        <v>36707</v>
      </c>
      <c r="C11" s="23"/>
      <c r="D11" s="23"/>
      <c r="E11" s="23" t="s">
        <v>229</v>
      </c>
      <c r="F11" s="213"/>
      <c r="G11" s="23"/>
      <c r="H11" s="23"/>
      <c r="I11" s="23" t="s">
        <v>229</v>
      </c>
      <c r="J11" s="213"/>
      <c r="K11" s="23"/>
      <c r="L11" s="23"/>
      <c r="M11" s="23" t="s">
        <v>229</v>
      </c>
      <c r="N11" s="213"/>
      <c r="P11" s="214"/>
      <c r="Q11" s="23"/>
      <c r="R11" s="23"/>
      <c r="S11" s="23" t="s">
        <v>229</v>
      </c>
      <c r="T11" s="213"/>
      <c r="U11" s="23"/>
      <c r="V11" s="23"/>
      <c r="W11" s="23" t="s">
        <v>229</v>
      </c>
      <c r="X11" s="213"/>
      <c r="Z11" s="214"/>
    </row>
    <row r="12" customFormat="false" ht="12.75" hidden="false" customHeight="false" outlineLevel="0" collapsed="false">
      <c r="C12" s="23"/>
      <c r="D12" s="23" t="s">
        <v>9</v>
      </c>
      <c r="E12" s="23" t="s">
        <v>9</v>
      </c>
      <c r="F12" s="213"/>
      <c r="G12" s="23" t="s">
        <v>9</v>
      </c>
      <c r="H12" s="23" t="s">
        <v>9</v>
      </c>
      <c r="I12" s="23" t="s">
        <v>9</v>
      </c>
      <c r="J12" s="213"/>
      <c r="K12" s="23" t="s">
        <v>9</v>
      </c>
      <c r="L12" s="23" t="s">
        <v>9</v>
      </c>
      <c r="M12" s="23" t="s">
        <v>9</v>
      </c>
      <c r="N12" s="213"/>
      <c r="O12" s="23"/>
      <c r="P12" s="215"/>
      <c r="Q12" s="23" t="s">
        <v>9</v>
      </c>
      <c r="R12" s="23" t="s">
        <v>9</v>
      </c>
      <c r="S12" s="23" t="s">
        <v>9</v>
      </c>
      <c r="T12" s="213"/>
      <c r="U12" s="23" t="s">
        <v>9</v>
      </c>
      <c r="V12" s="23" t="s">
        <v>9</v>
      </c>
      <c r="W12" s="23" t="s">
        <v>9</v>
      </c>
      <c r="X12" s="213"/>
      <c r="Y12" s="23"/>
      <c r="Z12" s="215"/>
    </row>
    <row r="13" customFormat="false" ht="12.75" hidden="false" customHeight="false" outlineLevel="0" collapsed="false">
      <c r="A13" s="110" t="s">
        <v>17</v>
      </c>
      <c r="B13" s="110"/>
      <c r="C13" s="216"/>
      <c r="D13" s="216" t="n">
        <v>36707</v>
      </c>
      <c r="E13" s="216" t="n">
        <v>36707</v>
      </c>
      <c r="F13" s="217"/>
      <c r="G13" s="216" t="n">
        <v>36799</v>
      </c>
      <c r="H13" s="216" t="n">
        <v>36799</v>
      </c>
      <c r="I13" s="216" t="n">
        <v>36799</v>
      </c>
      <c r="J13" s="217"/>
      <c r="K13" s="216" t="n">
        <v>36891</v>
      </c>
      <c r="L13" s="216" t="n">
        <v>36891</v>
      </c>
      <c r="M13" s="216" t="n">
        <v>36891</v>
      </c>
      <c r="N13" s="217"/>
      <c r="O13" s="127" t="s">
        <v>172</v>
      </c>
      <c r="P13" s="218"/>
      <c r="Q13" s="216" t="n">
        <v>36981</v>
      </c>
      <c r="R13" s="216" t="n">
        <v>36981</v>
      </c>
      <c r="S13" s="216" t="n">
        <v>36981</v>
      </c>
      <c r="T13" s="217"/>
      <c r="U13" s="216" t="n">
        <v>37072</v>
      </c>
      <c r="V13" s="216" t="n">
        <v>37072</v>
      </c>
      <c r="W13" s="216" t="n">
        <v>37072</v>
      </c>
      <c r="X13" s="217"/>
      <c r="Y13" s="127" t="s">
        <v>173</v>
      </c>
      <c r="Z13" s="218"/>
      <c r="AA13" s="127" t="s">
        <v>95</v>
      </c>
    </row>
    <row r="14" customFormat="false" ht="12.75" hidden="false" customHeight="false" outlineLevel="0" collapsed="false">
      <c r="B14" s="0" t="s">
        <v>175</v>
      </c>
      <c r="C14" s="219"/>
      <c r="D14" s="219" t="n">
        <f aca="false">LOOKUP(D6,Input!$A$20:$A$827,Input!$B$20:$B$827)</f>
        <v>64.5</v>
      </c>
      <c r="E14" s="219" t="n">
        <f aca="false">+D14</f>
        <v>64.5</v>
      </c>
      <c r="F14" s="132"/>
      <c r="G14" s="219" t="n">
        <f aca="false">LOOKUP(G6,Input!$A$20:$A$827,Input!$B$20:$B$827)</f>
        <v>64.5</v>
      </c>
      <c r="H14" s="219" t="n">
        <f aca="false">LOOKUP(H6,Input!$A$20:$A$827,Input!$B$20:$B$827)</f>
        <v>64.5</v>
      </c>
      <c r="I14" s="219" t="n">
        <f aca="false">+H14</f>
        <v>64.5</v>
      </c>
      <c r="J14" s="132"/>
      <c r="K14" s="219" t="n">
        <f aca="false">LOOKUP(K6,Input!$A$20:$A$827,Input!$B$20:$B$827)</f>
        <v>64.5</v>
      </c>
      <c r="L14" s="219" t="n">
        <f aca="false">LOOKUP(L6,Input!$A$20:$A$827,Input!$B$20:$B$827)</f>
        <v>64.5</v>
      </c>
      <c r="M14" s="219" t="n">
        <f aca="false">+L14</f>
        <v>64.5</v>
      </c>
      <c r="N14" s="132"/>
      <c r="O14" s="17"/>
      <c r="P14" s="220"/>
      <c r="Q14" s="219" t="n">
        <f aca="false">LOOKUP(Q6,Input!$A$20:$A$827,Input!$B$20:$B$827)</f>
        <v>64.5</v>
      </c>
      <c r="R14" s="219" t="n">
        <f aca="false">LOOKUP(R6,Input!$A$20:$A$827,Input!$B$20:$B$827)</f>
        <v>64.5</v>
      </c>
      <c r="S14" s="219" t="n">
        <f aca="false">+R14</f>
        <v>64.5</v>
      </c>
      <c r="T14" s="132"/>
      <c r="U14" s="219" t="n">
        <f aca="false">LOOKUP(U6,Input!$A$20:$A$827,Input!$B$20:$B$827)</f>
        <v>64.5</v>
      </c>
      <c r="V14" s="219" t="n">
        <f aca="false">LOOKUP(V6,Input!$A$20:$A$827,Input!$B$20:$B$827)</f>
        <v>64.5</v>
      </c>
      <c r="W14" s="219" t="n">
        <f aca="false">+V14</f>
        <v>64.5</v>
      </c>
      <c r="X14" s="132"/>
      <c r="Y14" s="17"/>
      <c r="Z14" s="220"/>
    </row>
    <row r="15" customFormat="false" ht="12.75" hidden="false" customHeight="false" outlineLevel="0" collapsed="false">
      <c r="B15" s="51"/>
      <c r="C15" s="133"/>
      <c r="D15" s="133"/>
      <c r="E15" s="133"/>
      <c r="F15" s="132"/>
      <c r="G15" s="133"/>
      <c r="H15" s="133"/>
      <c r="I15" s="133"/>
      <c r="J15" s="132"/>
      <c r="K15" s="133"/>
      <c r="L15" s="133"/>
      <c r="M15" s="133"/>
      <c r="N15" s="132"/>
      <c r="O15" s="17"/>
      <c r="P15" s="220"/>
      <c r="Q15" s="133"/>
      <c r="R15" s="133"/>
      <c r="S15" s="133"/>
      <c r="T15" s="132"/>
      <c r="U15" s="133"/>
      <c r="V15" s="133"/>
      <c r="W15" s="133"/>
      <c r="X15" s="132"/>
      <c r="Y15" s="17"/>
      <c r="Z15" s="220"/>
    </row>
    <row r="16" customFormat="false" ht="12.75" hidden="false" customHeight="false" outlineLevel="0" collapsed="false">
      <c r="A16" s="51" t="s">
        <v>230</v>
      </c>
      <c r="B16" s="113" t="n">
        <v>750000</v>
      </c>
      <c r="C16" s="140"/>
      <c r="D16" s="140"/>
      <c r="E16" s="138"/>
      <c r="F16" s="221"/>
      <c r="G16" s="138"/>
      <c r="H16" s="138"/>
      <c r="I16" s="138"/>
      <c r="J16" s="221"/>
      <c r="K16" s="138"/>
      <c r="L16" s="138"/>
      <c r="M16" s="141"/>
      <c r="N16" s="221"/>
      <c r="O16" s="17"/>
      <c r="P16" s="222"/>
      <c r="Q16" s="138"/>
      <c r="R16" s="138"/>
      <c r="S16" s="141"/>
      <c r="T16" s="221"/>
      <c r="U16" s="138"/>
      <c r="V16" s="138"/>
      <c r="W16" s="141"/>
      <c r="X16" s="221"/>
      <c r="Y16" s="17"/>
      <c r="Z16" s="222"/>
    </row>
    <row r="17" customFormat="false" ht="12.75" hidden="false" customHeight="false" outlineLevel="0" collapsed="false">
      <c r="A17" s="0" t="s">
        <v>174</v>
      </c>
      <c r="B17" s="223" t="n">
        <f aca="false">51355725/750000</f>
        <v>68.4743</v>
      </c>
      <c r="C17" s="140"/>
      <c r="D17" s="140"/>
      <c r="E17" s="138"/>
      <c r="F17" s="221"/>
      <c r="G17" s="138"/>
      <c r="H17" s="138"/>
      <c r="I17" s="138"/>
      <c r="J17" s="221"/>
      <c r="K17" s="138"/>
      <c r="L17" s="138"/>
      <c r="N17" s="221"/>
      <c r="O17" s="17"/>
      <c r="P17" s="222"/>
      <c r="Q17" s="138"/>
      <c r="R17" s="138"/>
      <c r="T17" s="221"/>
      <c r="U17" s="138"/>
      <c r="V17" s="138"/>
      <c r="X17" s="221"/>
      <c r="Y17" s="17"/>
      <c r="Z17" s="222"/>
    </row>
    <row r="18" customFormat="false" ht="12.75" hidden="false" customHeight="false" outlineLevel="0" collapsed="false">
      <c r="A18" s="0" t="s">
        <v>231</v>
      </c>
      <c r="B18" s="224"/>
      <c r="C18" s="109"/>
      <c r="D18" s="109" t="n">
        <v>36798</v>
      </c>
      <c r="E18" s="109"/>
      <c r="F18" s="221"/>
      <c r="G18" s="109" t="n">
        <v>36798</v>
      </c>
      <c r="H18" s="109" t="n">
        <v>36889</v>
      </c>
      <c r="I18" s="109"/>
      <c r="J18" s="221"/>
      <c r="K18" s="109" t="n">
        <v>36889</v>
      </c>
      <c r="L18" s="109" t="n">
        <v>36980</v>
      </c>
      <c r="M18" s="109"/>
      <c r="N18" s="221"/>
      <c r="O18" s="17"/>
      <c r="P18" s="222"/>
      <c r="Q18" s="109" t="n">
        <v>36980</v>
      </c>
      <c r="R18" s="109" t="n">
        <v>37071</v>
      </c>
      <c r="S18" s="109"/>
      <c r="T18" s="221"/>
      <c r="U18" s="109" t="n">
        <v>37071</v>
      </c>
      <c r="V18" s="109" t="n">
        <v>36762</v>
      </c>
      <c r="W18" s="109"/>
      <c r="X18" s="221"/>
      <c r="Y18" s="17"/>
      <c r="Z18" s="222"/>
    </row>
    <row r="19" customFormat="false" ht="12.75" hidden="false" customHeight="false" outlineLevel="0" collapsed="false">
      <c r="B19" s="142"/>
      <c r="C19" s="117"/>
      <c r="D19" s="117"/>
      <c r="E19" s="138"/>
      <c r="F19" s="221"/>
      <c r="G19" s="138"/>
      <c r="H19" s="138"/>
      <c r="I19" s="138"/>
      <c r="J19" s="221"/>
      <c r="K19" s="138"/>
      <c r="L19" s="138"/>
      <c r="N19" s="221"/>
      <c r="O19" s="17"/>
      <c r="P19" s="222"/>
      <c r="Q19" s="138"/>
      <c r="R19" s="138"/>
      <c r="T19" s="221"/>
      <c r="U19" s="138"/>
      <c r="V19" s="138"/>
      <c r="X19" s="221"/>
      <c r="Y19" s="17"/>
      <c r="Z19" s="222"/>
    </row>
    <row r="20" customFormat="false" ht="12.75" hidden="false" customHeight="false" outlineLevel="0" collapsed="false">
      <c r="A20" s="225" t="s">
        <v>232</v>
      </c>
      <c r="C20" s="144"/>
      <c r="D20" s="144"/>
      <c r="E20" s="10"/>
      <c r="F20" s="143"/>
      <c r="G20" s="10"/>
      <c r="H20" s="10"/>
      <c r="I20" s="10"/>
      <c r="J20" s="143"/>
      <c r="K20" s="10"/>
      <c r="L20" s="10"/>
      <c r="M20" s="10"/>
      <c r="N20" s="143"/>
      <c r="O20" s="10"/>
      <c r="P20" s="226"/>
      <c r="Q20" s="10"/>
      <c r="R20" s="10"/>
      <c r="S20" s="10"/>
      <c r="T20" s="143"/>
      <c r="U20" s="10"/>
      <c r="V20" s="10"/>
      <c r="W20" s="10"/>
      <c r="X20" s="143"/>
      <c r="Y20" s="10"/>
      <c r="Z20" s="226"/>
    </row>
    <row r="21" customFormat="false" ht="12.75" hidden="false" customHeight="false" outlineLevel="0" collapsed="false">
      <c r="B21" s="0" t="s">
        <v>182</v>
      </c>
      <c r="C21" s="55"/>
      <c r="D21" s="55" t="n">
        <f aca="false">ROUND(+B16*$B17,2)</f>
        <v>51355725</v>
      </c>
      <c r="E21" s="55" t="n">
        <f aca="false">+D21</f>
        <v>51355725</v>
      </c>
      <c r="F21" s="227"/>
      <c r="G21" s="55" t="n">
        <f aca="false">+D22</f>
        <v>48375000</v>
      </c>
      <c r="H21" s="55" t="n">
        <f aca="false">+G22</f>
        <v>48375000</v>
      </c>
      <c r="I21" s="55" t="n">
        <f aca="false">+E22</f>
        <v>48375000</v>
      </c>
      <c r="J21" s="227"/>
      <c r="K21" s="55" t="n">
        <f aca="false">+H22</f>
        <v>48375000</v>
      </c>
      <c r="L21" s="55" t="n">
        <f aca="false">+K22</f>
        <v>48375000</v>
      </c>
      <c r="M21" s="55" t="n">
        <f aca="false">+I22</f>
        <v>48375000</v>
      </c>
      <c r="N21" s="227"/>
      <c r="O21" s="55"/>
      <c r="P21" s="228"/>
      <c r="Q21" s="55" t="n">
        <f aca="false">+L22</f>
        <v>48375000</v>
      </c>
      <c r="R21" s="55" t="n">
        <f aca="false">+Q22</f>
        <v>48375000</v>
      </c>
      <c r="S21" s="55" t="n">
        <f aca="false">+M22</f>
        <v>48375000</v>
      </c>
      <c r="T21" s="227"/>
      <c r="U21" s="55" t="n">
        <f aca="false">+Q22</f>
        <v>48375000</v>
      </c>
      <c r="V21" s="55" t="n">
        <f aca="false">+R22</f>
        <v>48375000</v>
      </c>
      <c r="W21" s="55" t="n">
        <f aca="false">+S22</f>
        <v>48375000</v>
      </c>
      <c r="X21" s="227"/>
      <c r="Y21" s="55"/>
      <c r="Z21" s="228"/>
      <c r="AA21" s="165"/>
    </row>
    <row r="22" customFormat="false" ht="12.75" hidden="false" customHeight="false" outlineLevel="0" collapsed="false">
      <c r="B22" s="0" t="s">
        <v>183</v>
      </c>
      <c r="C22" s="55"/>
      <c r="D22" s="55" t="n">
        <f aca="false">ROUND(+D14*$B16,2)</f>
        <v>48375000</v>
      </c>
      <c r="E22" s="55" t="n">
        <f aca="false">ROUND(+E14*$B16,2)</f>
        <v>48375000</v>
      </c>
      <c r="F22" s="227"/>
      <c r="G22" s="55" t="n">
        <f aca="false">ROUND(+G14*$B16,2)</f>
        <v>48375000</v>
      </c>
      <c r="H22" s="55" t="n">
        <f aca="false">ROUND(+H14*$B16,2)</f>
        <v>48375000</v>
      </c>
      <c r="I22" s="55" t="n">
        <f aca="false">ROUND(+I14*$B16,2)</f>
        <v>48375000</v>
      </c>
      <c r="J22" s="227"/>
      <c r="K22" s="55" t="n">
        <f aca="false">ROUND(+K14*$B16,2)</f>
        <v>48375000</v>
      </c>
      <c r="L22" s="55" t="n">
        <f aca="false">ROUND(+L14*$B16,2)</f>
        <v>48375000</v>
      </c>
      <c r="M22" s="55" t="n">
        <f aca="false">ROUND(+M14*$B16,2)</f>
        <v>48375000</v>
      </c>
      <c r="N22" s="227"/>
      <c r="O22" s="165"/>
      <c r="P22" s="228"/>
      <c r="Q22" s="55" t="n">
        <f aca="false">ROUND(+Q14*$B16,2)</f>
        <v>48375000</v>
      </c>
      <c r="R22" s="55" t="n">
        <f aca="false">ROUND(+R14*$B16,2)</f>
        <v>48375000</v>
      </c>
      <c r="S22" s="55" t="n">
        <f aca="false">ROUND(+S14*$B16,2)</f>
        <v>48375000</v>
      </c>
      <c r="T22" s="227"/>
      <c r="U22" s="55" t="n">
        <f aca="false">ROUND(+U14*$B16,2)</f>
        <v>48375000</v>
      </c>
      <c r="V22" s="55" t="n">
        <f aca="false">ROUND(+V14*$B16,2)</f>
        <v>48375000</v>
      </c>
      <c r="W22" s="55" t="n">
        <f aca="false">ROUND(+W14*$B16,2)</f>
        <v>48375000</v>
      </c>
      <c r="X22" s="227"/>
      <c r="Y22" s="165"/>
      <c r="Z22" s="228"/>
      <c r="AA22" s="165"/>
    </row>
    <row r="23" customFormat="false" ht="12.75" hidden="false" customHeight="false" outlineLevel="0" collapsed="false">
      <c r="B23" s="0" t="s">
        <v>185</v>
      </c>
      <c r="C23" s="229"/>
      <c r="D23" s="229" t="n">
        <f aca="false">IF($A$11&lt;=C18,0,-D21+D22)</f>
        <v>-2980725</v>
      </c>
      <c r="E23" s="229" t="n">
        <f aca="false">SUM(C23:D23)</f>
        <v>-2980725</v>
      </c>
      <c r="F23" s="230"/>
      <c r="G23" s="229" t="n">
        <f aca="false">IF($A$11&lt;=D13,0,-G21+G22)</f>
        <v>0</v>
      </c>
      <c r="H23" s="229" t="n">
        <f aca="false">IF($A$11&lt;=G18,0,-H21+H22)</f>
        <v>0</v>
      </c>
      <c r="I23" s="229" t="n">
        <f aca="false">IF($A$11&lt;=E13,0,-I21+I22)</f>
        <v>0</v>
      </c>
      <c r="J23" s="230"/>
      <c r="K23" s="229" t="n">
        <f aca="false">IF($A$11&lt;=H13,0,-K21+K22)</f>
        <v>0</v>
      </c>
      <c r="L23" s="229" t="n">
        <f aca="false">IF($A$11&lt;=K18,0,-L21+L22)</f>
        <v>0</v>
      </c>
      <c r="M23" s="229" t="n">
        <f aca="false">IF($A$11&lt;=I13,0,-M21+M22)</f>
        <v>0</v>
      </c>
      <c r="N23" s="230"/>
      <c r="O23" s="229" t="n">
        <f aca="false">+E23+I23+M23</f>
        <v>-2980725</v>
      </c>
      <c r="P23" s="231"/>
      <c r="Q23" s="229" t="n">
        <f aca="false">IF($A$11&lt;=N13,0,-Q21+Q22)</f>
        <v>0</v>
      </c>
      <c r="R23" s="229" t="n">
        <f aca="false">IF($A$11&lt;=Q18,0,-R21+R22)</f>
        <v>0</v>
      </c>
      <c r="S23" s="229" t="n">
        <f aca="false">IF($A$11&lt;=O13,0,-S21+S22)</f>
        <v>0</v>
      </c>
      <c r="T23" s="230"/>
      <c r="U23" s="229" t="n">
        <f aca="false">IF($A$11&lt;=R13,0,-U21+U22)</f>
        <v>0</v>
      </c>
      <c r="V23" s="229" t="n">
        <f aca="false">IF($A$11&lt;=U18,0,-V21+V22)</f>
        <v>0</v>
      </c>
      <c r="W23" s="229" t="n">
        <f aca="false">IF($A$11&lt;=S13,0,-W21+W22)</f>
        <v>0</v>
      </c>
      <c r="X23" s="230"/>
      <c r="Y23" s="229" t="n">
        <f aca="false">+S23+W23</f>
        <v>0</v>
      </c>
      <c r="Z23" s="231"/>
      <c r="AA23" s="229" t="n">
        <f aca="false">+O23+Y23</f>
        <v>-2980725</v>
      </c>
      <c r="AB23" s="232"/>
    </row>
    <row r="24" customFormat="false" ht="12.75" hidden="false" customHeight="false" outlineLevel="0" collapsed="false">
      <c r="C24" s="70"/>
      <c r="D24" s="70"/>
      <c r="E24" s="10"/>
      <c r="F24" s="147"/>
      <c r="G24" s="10"/>
      <c r="H24" s="10"/>
      <c r="I24" s="10"/>
      <c r="J24" s="147"/>
      <c r="K24" s="10"/>
      <c r="L24" s="10"/>
      <c r="M24" s="10"/>
      <c r="N24" s="147"/>
      <c r="O24" s="10"/>
      <c r="P24" s="233"/>
      <c r="Q24" s="10"/>
      <c r="R24" s="10"/>
      <c r="S24" s="10"/>
      <c r="T24" s="147"/>
      <c r="U24" s="10"/>
      <c r="V24" s="10"/>
      <c r="W24" s="10"/>
      <c r="X24" s="147"/>
      <c r="Y24" s="10"/>
      <c r="Z24" s="233"/>
      <c r="AB24" s="232"/>
    </row>
    <row r="25" customFormat="false" ht="12.75" hidden="false" customHeight="false" outlineLevel="0" collapsed="false">
      <c r="A25" s="22" t="s">
        <v>233</v>
      </c>
      <c r="C25" s="70"/>
      <c r="D25" s="70"/>
      <c r="E25" s="10"/>
      <c r="F25" s="147"/>
      <c r="G25" s="10"/>
      <c r="H25" s="10"/>
      <c r="I25" s="10"/>
      <c r="J25" s="147"/>
      <c r="K25" s="10"/>
      <c r="L25" s="10"/>
      <c r="M25" s="10"/>
      <c r="N25" s="147"/>
      <c r="O25" s="10"/>
      <c r="P25" s="233"/>
      <c r="Q25" s="10"/>
      <c r="R25" s="10"/>
      <c r="S25" s="10"/>
      <c r="T25" s="147"/>
      <c r="U25" s="10"/>
      <c r="V25" s="10"/>
      <c r="W25" s="10"/>
      <c r="X25" s="147"/>
      <c r="Y25" s="10"/>
      <c r="Z25" s="233"/>
      <c r="AB25" s="232"/>
    </row>
    <row r="26" customFormat="false" ht="12.75" hidden="false" customHeight="false" outlineLevel="0" collapsed="false">
      <c r="A26" s="0" t="s">
        <v>234</v>
      </c>
      <c r="D26" s="234" t="n">
        <v>0</v>
      </c>
      <c r="F26" s="147"/>
      <c r="G26" s="234" t="n">
        <v>0</v>
      </c>
      <c r="H26" s="234"/>
      <c r="J26" s="147"/>
      <c r="K26" s="234" t="n">
        <v>0.125</v>
      </c>
      <c r="L26" s="234"/>
      <c r="N26" s="147"/>
      <c r="O26" s="10"/>
      <c r="P26" s="233"/>
      <c r="Q26" s="234" t="n">
        <v>0.125</v>
      </c>
      <c r="R26" s="234"/>
      <c r="T26" s="147"/>
      <c r="U26" s="234" t="n">
        <v>0.125</v>
      </c>
      <c r="V26" s="234"/>
      <c r="X26" s="147"/>
      <c r="Y26" s="10"/>
      <c r="Z26" s="233"/>
      <c r="AB26" s="232"/>
    </row>
    <row r="27" customFormat="false" ht="12.75" hidden="false" customHeight="false" outlineLevel="0" collapsed="false">
      <c r="A27" s="0" t="s">
        <v>235</v>
      </c>
      <c r="D27" s="229" t="n">
        <f aca="false">+D26*$B$16</f>
        <v>0</v>
      </c>
      <c r="E27" s="229" t="n">
        <f aca="false">SUM(C27:D27)</f>
        <v>0</v>
      </c>
      <c r="F27" s="147"/>
      <c r="G27" s="235" t="n">
        <f aca="false">IF(G6&lt;=G35,0,ROUND(G26*$B$16,2))</f>
        <v>0</v>
      </c>
      <c r="H27" s="229"/>
      <c r="I27" s="229" t="n">
        <f aca="false">SUM(G27:H27)</f>
        <v>0</v>
      </c>
      <c r="J27" s="147"/>
      <c r="K27" s="235" t="n">
        <f aca="false">IF(K6&lt;=K35,0,ROUND(K26*$B$16,2))</f>
        <v>0</v>
      </c>
      <c r="L27" s="229"/>
      <c r="M27" s="229" t="n">
        <f aca="false">SUM(K27:L27)</f>
        <v>0</v>
      </c>
      <c r="N27" s="147"/>
      <c r="O27" s="229" t="n">
        <f aca="false">+E27+I27+M27</f>
        <v>0</v>
      </c>
      <c r="P27" s="233"/>
      <c r="Q27" s="235" t="n">
        <f aca="false">IF(Q6&lt;=Q35,0,ROUND(Q26*$B$16,2))</f>
        <v>0</v>
      </c>
      <c r="R27" s="229"/>
      <c r="S27" s="229" t="n">
        <f aca="false">SUM(Q27:R27)</f>
        <v>0</v>
      </c>
      <c r="T27" s="147"/>
      <c r="U27" s="235" t="n">
        <f aca="false">IF(U6&lt;=U35,0,ROUND(U26*$B$16,2))</f>
        <v>0</v>
      </c>
      <c r="V27" s="229"/>
      <c r="W27" s="229" t="n">
        <f aca="false">SUM(U27:V27)</f>
        <v>0</v>
      </c>
      <c r="X27" s="147"/>
      <c r="Y27" s="229" t="n">
        <f aca="false">+S27+W27</f>
        <v>0</v>
      </c>
      <c r="Z27" s="233"/>
      <c r="AA27" s="229" t="n">
        <f aca="false">+O27+Y27</f>
        <v>0</v>
      </c>
      <c r="AB27" s="232"/>
    </row>
    <row r="28" customFormat="false" ht="12.75" hidden="false" customHeight="false" outlineLevel="0" collapsed="false">
      <c r="A28" s="0" t="n">
        <v>6.2925</v>
      </c>
      <c r="D28" s="234"/>
      <c r="F28" s="147"/>
      <c r="G28" s="234"/>
      <c r="H28" s="234"/>
      <c r="J28" s="147"/>
      <c r="K28" s="234"/>
      <c r="L28" s="234"/>
      <c r="N28" s="147"/>
      <c r="O28" s="10"/>
      <c r="P28" s="233"/>
      <c r="Q28" s="234"/>
      <c r="R28" s="234"/>
      <c r="T28" s="147"/>
      <c r="U28" s="234"/>
      <c r="V28" s="234"/>
      <c r="X28" s="147"/>
      <c r="Y28" s="10"/>
      <c r="Z28" s="233"/>
      <c r="AB28" s="232"/>
    </row>
    <row r="29" customFormat="false" ht="12.75" hidden="false" customHeight="false" outlineLevel="0" collapsed="false">
      <c r="A29" s="22" t="s">
        <v>236</v>
      </c>
      <c r="C29" s="236"/>
      <c r="F29" s="147"/>
      <c r="J29" s="147"/>
      <c r="N29" s="147"/>
      <c r="O29" s="10"/>
      <c r="P29" s="233"/>
      <c r="T29" s="147"/>
      <c r="X29" s="147"/>
      <c r="Y29" s="10"/>
      <c r="Z29" s="233"/>
    </row>
    <row r="30" customFormat="false" ht="12.75" hidden="false" customHeight="false" outlineLevel="0" collapsed="false">
      <c r="A30" s="0" t="s">
        <v>237</v>
      </c>
      <c r="C30" s="31" t="s">
        <v>238</v>
      </c>
      <c r="D30" s="237" t="n">
        <v>0.0661</v>
      </c>
      <c r="F30" s="147"/>
      <c r="G30" s="238" t="n">
        <f aca="false">+D30</f>
        <v>0.0661</v>
      </c>
      <c r="H30" s="237" t="n">
        <v>0.0609</v>
      </c>
      <c r="J30" s="147"/>
      <c r="K30" s="238" t="n">
        <f aca="false">+H30</f>
        <v>0.0609</v>
      </c>
      <c r="L30" s="237" t="n">
        <v>0.0609</v>
      </c>
      <c r="N30" s="147"/>
      <c r="O30" s="10"/>
      <c r="P30" s="233"/>
      <c r="Q30" s="238" t="n">
        <f aca="false">+N30</f>
        <v>0</v>
      </c>
      <c r="R30" s="237" t="n">
        <v>0.0609</v>
      </c>
      <c r="T30" s="147"/>
      <c r="U30" s="238" t="n">
        <f aca="false">+R30</f>
        <v>0.0609</v>
      </c>
      <c r="V30" s="237" t="n">
        <v>0.0609</v>
      </c>
      <c r="X30" s="147"/>
      <c r="Y30" s="10"/>
      <c r="Z30" s="233"/>
    </row>
    <row r="31" customFormat="false" ht="12.75" hidden="false" customHeight="false" outlineLevel="0" collapsed="false">
      <c r="A31" s="51" t="s">
        <v>239</v>
      </c>
      <c r="D31" s="239" t="n">
        <v>0.0105</v>
      </c>
      <c r="F31" s="147"/>
      <c r="G31" s="239" t="n">
        <f aca="false">+$D$31</f>
        <v>0.0105</v>
      </c>
      <c r="H31" s="239" t="n">
        <f aca="false">+$D$31</f>
        <v>0.0105</v>
      </c>
      <c r="J31" s="147"/>
      <c r="K31" s="239" t="n">
        <f aca="false">+$D$31</f>
        <v>0.0105</v>
      </c>
      <c r="L31" s="239" t="n">
        <f aca="false">+$D$31</f>
        <v>0.0105</v>
      </c>
      <c r="N31" s="147"/>
      <c r="O31" s="10"/>
      <c r="P31" s="233"/>
      <c r="Q31" s="239" t="n">
        <f aca="false">+$D$31</f>
        <v>0.0105</v>
      </c>
      <c r="R31" s="239" t="n">
        <f aca="false">+$D$31</f>
        <v>0.0105</v>
      </c>
      <c r="T31" s="147"/>
      <c r="U31" s="239" t="n">
        <f aca="false">+$D$31</f>
        <v>0.0105</v>
      </c>
      <c r="V31" s="239" t="n">
        <f aca="false">+$D$31</f>
        <v>0.0105</v>
      </c>
      <c r="X31" s="147"/>
      <c r="Y31" s="10"/>
      <c r="Z31" s="233"/>
    </row>
    <row r="32" customFormat="false" ht="12.75" hidden="false" customHeight="false" outlineLevel="0" collapsed="false">
      <c r="A32" s="51" t="s">
        <v>240</v>
      </c>
      <c r="D32" s="238" t="n">
        <f aca="false">SUM(D30:D31)</f>
        <v>0.0766</v>
      </c>
      <c r="F32" s="147"/>
      <c r="G32" s="238" t="n">
        <f aca="false">SUM(G30:G31)</f>
        <v>0.0766</v>
      </c>
      <c r="H32" s="238" t="n">
        <f aca="false">SUM(H30:H31)</f>
        <v>0.0714</v>
      </c>
      <c r="J32" s="147"/>
      <c r="K32" s="238" t="n">
        <f aca="false">SUM(K30:K31)</f>
        <v>0.0714</v>
      </c>
      <c r="L32" s="238" t="n">
        <f aca="false">SUM(L30:L31)</f>
        <v>0.0714</v>
      </c>
      <c r="N32" s="147"/>
      <c r="O32" s="10"/>
      <c r="P32" s="233"/>
      <c r="Q32" s="238" t="n">
        <f aca="false">SUM(Q30:Q31)</f>
        <v>0.0105</v>
      </c>
      <c r="R32" s="238" t="n">
        <f aca="false">SUM(R30:R31)</f>
        <v>0.0714</v>
      </c>
      <c r="T32" s="147"/>
      <c r="U32" s="238" t="n">
        <f aca="false">SUM(U30:U31)</f>
        <v>0.0714</v>
      </c>
      <c r="V32" s="238" t="n">
        <f aca="false">SUM(V30:V31)</f>
        <v>0.0714</v>
      </c>
      <c r="X32" s="147"/>
      <c r="Y32" s="10"/>
      <c r="Z32" s="233"/>
    </row>
    <row r="33" customFormat="false" ht="12.75" hidden="false" customHeight="false" outlineLevel="0" collapsed="false">
      <c r="A33" s="0" t="s">
        <v>241</v>
      </c>
      <c r="D33" s="240" t="n">
        <v>360</v>
      </c>
      <c r="F33" s="147"/>
      <c r="G33" s="240" t="n">
        <v>360</v>
      </c>
      <c r="H33" s="240" t="n">
        <v>360</v>
      </c>
      <c r="J33" s="147"/>
      <c r="K33" s="240" t="n">
        <v>360</v>
      </c>
      <c r="L33" s="240" t="n">
        <v>360</v>
      </c>
      <c r="N33" s="147"/>
      <c r="O33" s="10"/>
      <c r="P33" s="233"/>
      <c r="Q33" s="240" t="n">
        <v>360</v>
      </c>
      <c r="R33" s="240" t="n">
        <v>360</v>
      </c>
      <c r="T33" s="147"/>
      <c r="U33" s="240" t="n">
        <v>360</v>
      </c>
      <c r="V33" s="240" t="n">
        <v>360</v>
      </c>
      <c r="X33" s="147"/>
      <c r="Y33" s="10"/>
      <c r="Z33" s="233"/>
    </row>
    <row r="34" customFormat="false" ht="12.75" hidden="false" customHeight="false" outlineLevel="0" collapsed="false">
      <c r="A34" s="0" t="s">
        <v>242</v>
      </c>
      <c r="D34" s="118" t="n">
        <f aca="false">+D9</f>
        <v>36704</v>
      </c>
      <c r="F34" s="147"/>
      <c r="G34" s="118" t="n">
        <f aca="false">+D35</f>
        <v>36707</v>
      </c>
      <c r="H34" s="118" t="n">
        <f aca="false">+G35</f>
        <v>36707</v>
      </c>
      <c r="J34" s="147"/>
      <c r="K34" s="118" t="n">
        <f aca="false">+H35</f>
        <v>36707</v>
      </c>
      <c r="L34" s="118" t="n">
        <f aca="false">+K35</f>
        <v>36707</v>
      </c>
      <c r="N34" s="147"/>
      <c r="O34" s="10"/>
      <c r="P34" s="233"/>
      <c r="Q34" s="118" t="n">
        <f aca="false">+L35</f>
        <v>36707</v>
      </c>
      <c r="R34" s="118" t="n">
        <f aca="false">+Q35</f>
        <v>36707</v>
      </c>
      <c r="T34" s="147"/>
      <c r="U34" s="118" t="n">
        <f aca="false">+R35</f>
        <v>36707</v>
      </c>
      <c r="V34" s="118" t="n">
        <f aca="false">+U35</f>
        <v>36707</v>
      </c>
      <c r="X34" s="147"/>
      <c r="Y34" s="10"/>
      <c r="Z34" s="233"/>
    </row>
    <row r="35" customFormat="false" ht="12.75" hidden="false" customHeight="false" outlineLevel="0" collapsed="false">
      <c r="A35" s="0" t="s">
        <v>243</v>
      </c>
      <c r="D35" s="241" t="n">
        <f aca="false">+D6</f>
        <v>36707</v>
      </c>
      <c r="F35" s="147"/>
      <c r="G35" s="241" t="n">
        <f aca="false">+G6</f>
        <v>36707</v>
      </c>
      <c r="H35" s="241" t="n">
        <f aca="false">+H6</f>
        <v>36707</v>
      </c>
      <c r="J35" s="147"/>
      <c r="K35" s="241" t="n">
        <f aca="false">+K6</f>
        <v>36707</v>
      </c>
      <c r="L35" s="241" t="n">
        <f aca="false">+L6</f>
        <v>36707</v>
      </c>
      <c r="N35" s="147"/>
      <c r="O35" s="10"/>
      <c r="P35" s="233"/>
      <c r="Q35" s="241" t="n">
        <f aca="false">+Q6</f>
        <v>36707</v>
      </c>
      <c r="R35" s="241" t="n">
        <f aca="false">+R6</f>
        <v>36707</v>
      </c>
      <c r="T35" s="147"/>
      <c r="U35" s="241" t="n">
        <f aca="false">+U6</f>
        <v>36707</v>
      </c>
      <c r="V35" s="241" t="n">
        <f aca="false">+V6</f>
        <v>36707</v>
      </c>
      <c r="X35" s="147"/>
      <c r="Y35" s="10"/>
      <c r="Z35" s="233"/>
    </row>
    <row r="36" customFormat="false" ht="12.75" hidden="false" customHeight="false" outlineLevel="0" collapsed="false">
      <c r="A36" s="0" t="s">
        <v>244</v>
      </c>
      <c r="D36" s="242" t="n">
        <f aca="false">+D35-D34</f>
        <v>3</v>
      </c>
      <c r="F36" s="147"/>
      <c r="G36" s="242" t="n">
        <f aca="false">+G35-G34</f>
        <v>0</v>
      </c>
      <c r="H36" s="242" t="n">
        <f aca="false">+H35-H34</f>
        <v>0</v>
      </c>
      <c r="J36" s="147"/>
      <c r="K36" s="242" t="n">
        <f aca="false">+K35-K34</f>
        <v>0</v>
      </c>
      <c r="L36" s="242" t="n">
        <f aca="false">+L35-L34</f>
        <v>0</v>
      </c>
      <c r="N36" s="147"/>
      <c r="O36" s="10"/>
      <c r="P36" s="233"/>
      <c r="Q36" s="242" t="n">
        <f aca="false">+Q35-Q34</f>
        <v>0</v>
      </c>
      <c r="R36" s="242" t="n">
        <f aca="false">+R35-R34</f>
        <v>0</v>
      </c>
      <c r="T36" s="147"/>
      <c r="U36" s="242" t="n">
        <f aca="false">+U35-U34</f>
        <v>0</v>
      </c>
      <c r="V36" s="242" t="n">
        <f aca="false">+V35-V34</f>
        <v>0</v>
      </c>
      <c r="X36" s="147"/>
      <c r="Y36" s="10"/>
      <c r="Z36" s="233"/>
    </row>
    <row r="37" customFormat="false" ht="12.75" hidden="false" customHeight="false" outlineLevel="0" collapsed="false">
      <c r="A37" s="0" t="s">
        <v>235</v>
      </c>
      <c r="D37" s="235" t="n">
        <f aca="false">IF(D6&lt;D35,0,ROUND(-D21*D32*D36/D33,2))</f>
        <v>-32782.07</v>
      </c>
      <c r="E37" s="229" t="n">
        <f aca="false">SUM(C37:D37)</f>
        <v>-32782.07</v>
      </c>
      <c r="F37" s="147"/>
      <c r="G37" s="235" t="n">
        <f aca="false">IF(G6&lt;G35,0,ROUND(-G21*G32*G36/G33,2))</f>
        <v>-0</v>
      </c>
      <c r="H37" s="235" t="n">
        <f aca="false">IF(H6&lt;H35,0,ROUND(-H21*H32*H36/H33,2))</f>
        <v>-0</v>
      </c>
      <c r="I37" s="229" t="n">
        <f aca="false">SUM(G37:H37)</f>
        <v>0</v>
      </c>
      <c r="J37" s="147"/>
      <c r="K37" s="235" t="n">
        <f aca="false">IF(K6&lt;K35,0,ROUND(-K21*K32*K36/K33,2))</f>
        <v>-0</v>
      </c>
      <c r="L37" s="235" t="n">
        <f aca="false">IF(L6&lt;L35,0,ROUND(-L21*L32*L36/L33,2))</f>
        <v>-0</v>
      </c>
      <c r="M37" s="229" t="n">
        <f aca="false">SUM(K37:L37)</f>
        <v>0</v>
      </c>
      <c r="N37" s="147"/>
      <c r="O37" s="229" t="n">
        <f aca="false">+E37+I37+M37</f>
        <v>-32782.07</v>
      </c>
      <c r="P37" s="233"/>
      <c r="Q37" s="235" t="n">
        <f aca="false">IF(Q6&lt;Q35,0,ROUND(-Q21*Q32*Q36/Q33,2))</f>
        <v>-0</v>
      </c>
      <c r="R37" s="235" t="n">
        <f aca="false">IF(R6&lt;R35,0,ROUND(-R21*R32*R36/R33,2))</f>
        <v>-0</v>
      </c>
      <c r="S37" s="229" t="n">
        <f aca="false">SUM(Q37:R37)</f>
        <v>0</v>
      </c>
      <c r="T37" s="147"/>
      <c r="U37" s="235" t="n">
        <f aca="false">IF(U6&lt;U35,0,ROUND(-U21*U32*U36/U33,2))</f>
        <v>-0</v>
      </c>
      <c r="V37" s="235" t="n">
        <f aca="false">IF(V6&lt;V35,0,ROUND(-V21*V32*V36/V33,2))</f>
        <v>-0</v>
      </c>
      <c r="W37" s="229" t="n">
        <f aca="false">SUM(U37:V37)</f>
        <v>0</v>
      </c>
      <c r="X37" s="147"/>
      <c r="Y37" s="229" t="n">
        <f aca="false">+S37+W37</f>
        <v>0</v>
      </c>
      <c r="Z37" s="233"/>
      <c r="AA37" s="229" t="n">
        <f aca="false">+O37+Y37</f>
        <v>-32782.07</v>
      </c>
    </row>
    <row r="38" customFormat="false" ht="12.75" hidden="false" customHeight="false" outlineLevel="0" collapsed="false">
      <c r="D38" s="17"/>
      <c r="F38" s="147"/>
      <c r="G38" s="17"/>
      <c r="H38" s="17"/>
      <c r="J38" s="147"/>
      <c r="K38" s="17"/>
      <c r="L38" s="17"/>
      <c r="N38" s="147"/>
      <c r="O38" s="10"/>
      <c r="P38" s="233"/>
      <c r="Q38" s="17"/>
      <c r="R38" s="17"/>
      <c r="T38" s="147"/>
      <c r="U38" s="17"/>
      <c r="V38" s="17"/>
      <c r="X38" s="147"/>
      <c r="Y38" s="10"/>
      <c r="Z38" s="233"/>
    </row>
    <row r="39" customFormat="false" ht="13.5" hidden="false" customHeight="false" outlineLevel="0" collapsed="false">
      <c r="A39" s="0" t="s">
        <v>245</v>
      </c>
      <c r="D39" s="243" t="n">
        <f aca="false">+D23+D27+D37</f>
        <v>-3013507.07</v>
      </c>
      <c r="E39" s="243" t="n">
        <f aca="false">+E23+E27+E37</f>
        <v>-3013507.07</v>
      </c>
      <c r="F39" s="147"/>
      <c r="G39" s="243" t="n">
        <f aca="false">+G23+G27+G37</f>
        <v>0</v>
      </c>
      <c r="H39" s="243" t="n">
        <f aca="false">+H23+H27+H37</f>
        <v>0</v>
      </c>
      <c r="I39" s="243" t="n">
        <f aca="false">+I23+I27+I37</f>
        <v>0</v>
      </c>
      <c r="J39" s="147"/>
      <c r="K39" s="243" t="n">
        <f aca="false">+K23+K27+K37</f>
        <v>0</v>
      </c>
      <c r="L39" s="243" t="n">
        <f aca="false">+L23+L27+L37</f>
        <v>0</v>
      </c>
      <c r="M39" s="243" t="n">
        <f aca="false">+M23+M27+M37</f>
        <v>0</v>
      </c>
      <c r="N39" s="147"/>
      <c r="O39" s="243" t="n">
        <f aca="false">+O23+O27+O37</f>
        <v>-3013507.07</v>
      </c>
      <c r="P39" s="233"/>
      <c r="Q39" s="243" t="n">
        <f aca="false">+Q23+Q27+Q37</f>
        <v>0</v>
      </c>
      <c r="R39" s="243" t="n">
        <f aca="false">+R23+R27+R37</f>
        <v>0</v>
      </c>
      <c r="S39" s="243" t="n">
        <f aca="false">+S23+S27+S37</f>
        <v>0</v>
      </c>
      <c r="T39" s="147"/>
      <c r="U39" s="243" t="n">
        <f aca="false">+U23+U27+U37</f>
        <v>0</v>
      </c>
      <c r="V39" s="243" t="n">
        <f aca="false">+V23+V27+V37</f>
        <v>0</v>
      </c>
      <c r="W39" s="243" t="n">
        <f aca="false">+W23+W27+W37</f>
        <v>0</v>
      </c>
      <c r="X39" s="147"/>
      <c r="Y39" s="243" t="n">
        <f aca="false">+Y23+Y27+Y37</f>
        <v>0</v>
      </c>
      <c r="Z39" s="233"/>
      <c r="AA39" s="243" t="n">
        <f aca="false">+AA23+AA27+AA37</f>
        <v>-3013507.07</v>
      </c>
    </row>
    <row r="40" customFormat="false" ht="13.5" hidden="false" customHeight="false" outlineLevel="0" collapsed="false">
      <c r="F40" s="147"/>
      <c r="J40" s="147"/>
      <c r="N40" s="147"/>
      <c r="O40" s="10"/>
      <c r="P40" s="233"/>
      <c r="T40" s="147"/>
      <c r="X40" s="147"/>
      <c r="Y40" s="10"/>
      <c r="Z40" s="233"/>
    </row>
  </sheetData>
  <printOptions headings="false" gridLines="false" gridLinesSet="true" horizontalCentered="false" verticalCentered="false"/>
  <pageMargins left="0.747916666666667" right="0.747916666666667" top="0.984027777777778" bottom="0.75" header="0.511811023622047" footer="0.25"/>
  <pageSetup paperSize="5" scale="100" fitToWidth="1" fitToHeight="1" pageOrder="downThenOver" orientation="landscape" blackAndWhite="false" draft="false" cellComments="atEnd" horizontalDpi="300" verticalDpi="300" copies="1"/>
  <headerFooter differentFirst="false" differentOddEven="false">
    <oddHeader/>
    <oddFooter>&amp;L&amp;F  &amp;A&amp;R&amp;D  &amp;T</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1999-01-26T14:12:49Z</dcterms:created>
  <dc:creator>acopela</dc:creator>
  <dc:description/>
  <dc:language>en-US</dc:language>
  <cp:lastModifiedBy>jerwin</cp:lastModifiedBy>
  <cp:lastPrinted>2000-07-17T20:11:52Z</cp:lastPrinted>
  <cp:revision>0</cp:revision>
  <dc:subject/>
  <dc:title/>
</cp:coreProperties>
</file>