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ENRON!$A$1:$AN$55</definedName>
    <definedName function="false" hidden="false" localSheetId="1" name="_xlnm.Print_Titles" vbProcedure="false">ENRON!$A:$C,ENRON!$1:$6</definedName>
    <definedName function="false" hidden="false" name="dividend" vbProcedure="false">ENRON!$AP$7:$AX$25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23</xdr:col>
                <xdr:colOff>77</xdr:colOff>
                <xdr:row>20</xdr:row>
                <xdr:rowOff>11</xdr:rowOff>
              </xdr:from>
              <xdr:to>
                <xdr:col>27</xdr:col>
                <xdr:colOff>35</xdr:colOff>
                <xdr:row>23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<sst xmlns="http://schemas.openxmlformats.org/spreadsheetml/2006/main" count="184" uniqueCount="120">
  <si>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</si>
  <si>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</si>
  <si>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</si>
  <si>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</si>
  <si>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</si>
  <si>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</si>
  <si>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</si>
  <si>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</si>
  <si>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</si>
  <si>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</si>
  <si>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</si>
  <si>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Communications/B2B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</si>
  <si>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</si>
  <si>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</si>
  <si>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</si>
  <si>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</si>
  <si>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</si>
  <si>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</si>
  <si>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</si>
  <si>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</si>
  <si>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</si>
  <si>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</si>
  <si>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</si>
  <si>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</si>
  <si>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</si>
  <si>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</si>
  <si>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</si>
  <si>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</si>
  <si>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</si>
  <si>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</si>
  <si>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</si>
  <si>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</si>
  <si>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</si>
  <si>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</si>
  <si>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</si>
  <si>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</si>
  <si>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</si>
  <si>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</si>
  <si>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</si>
  <si>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</si>
  <si>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</si>
  <si>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</si>
  <si>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12/31/99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</si>
  <si>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</si>
  <si>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</si>
  <si>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</si>
  <si>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</si>
  <si>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</si>
  <si>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</si>
  <si>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</si>
  <si>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</si>
  <si>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</si>
  <si>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***</t>
  </si>
  <si>
    <t xml:space="preserve">AES</t>
  </si>
  <si>
    <t xml:space="preserve">None</t>
  </si>
  <si>
    <t xml:space="preserve">Columbia </t>
  </si>
  <si>
    <t xml:space="preserve">CG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</si>
  <si>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</si>
  <si>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</si>
  <si>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</si>
  <si>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</si>
  <si>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</si>
  <si>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</si>
  <si>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8/09/00</t>
  </si>
  <si>
    <t xml:space="preserve">Dynegy****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</si>
  <si>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</si>
  <si>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</si>
  <si>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</si>
  <si>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</si>
  <si>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</si>
  <si>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</si>
  <si>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</si>
  <si>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</si>
  <si>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</si>
  <si>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</si>
  <si>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</si>
  <si>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Energy Peer Group Average</t>
  </si>
  <si>
    <t xml:space="preserve">* Enron's Reported Diluted EPS excluding J. Block and MTBE</t>
  </si>
  <si>
    <t xml:space="preserve">Communications and B2B Peers</t>
  </si>
  <si>
    <t xml:space="preserve">Rev (MM)</t>
  </si>
  <si>
    <t xml:space="preserve">Mult</t>
  </si>
  <si>
    <t xml:space="preserve">Communications Peer Average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</si>
  <si>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</si>
  <si>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</si>
  <si>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</si>
  <si>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</si>
  <si>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</si>
  <si>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</si>
  <si>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</si>
  <si>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* Revenue estimates based on fiscal year rather than calendar year</t>
  </si>
  <si>
    <t xml:space="preserve">** Consensus information is not available for 2001</t>
  </si>
  <si>
    <t xml:space="preserve">*** 2 for 1 stock split effective 6/2/00.</t>
  </si>
  <si>
    <t xml:space="preserve">**** 2 for 1 stock split effective 8/22/00.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</si>
  <si>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</si>
  <si>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</si>
  <si>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</si>
  <si>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</si>
  <si>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</si>
  <si>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</si>
  <si>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</si>
  <si>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CIBC Oppenheimer</t>
  </si>
  <si>
    <t xml:space="preserve">CSFB</t>
  </si>
  <si>
    <t xml:space="preserve">DLJ Securities</t>
  </si>
  <si>
    <t xml:space="preserve">DRW</t>
  </si>
  <si>
    <t xml:space="preserve">Deutsche BankAB </t>
  </si>
  <si>
    <t xml:space="preserve">First Albany</t>
  </si>
  <si>
    <t xml:space="preserve">First Union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</si>
  <si>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</si>
  <si>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</si>
  <si>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</si>
  <si>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</si>
  <si>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</si>
  <si>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</si>
  <si>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PaineWebber</t>
  </si>
  <si>
    <t xml:space="preserve">Prudential Securities</t>
  </si>
  <si>
    <t xml:space="preserve">Salomon Smith Barney</t>
  </si>
  <si>
    <t xml:space="preserve">Sanders Morris</t>
  </si>
  <si>
    <t xml:space="preserve">Simmons</t>
  </si>
  <si>
    <t xml:space="preserve">     Consensus</t>
  </si>
  <si>
    <t xml:space="preserve">*** No coverage since analyst departure</t>
  </si>
</sst>
</file>

<file path=xl/styles.xml><?xml version="1.0" encoding="utf-8"?>
<styleSheet xmlns="http://schemas.openxmlformats.org/spreadsheetml/2006/main">
  <numFmts count="25">
    <numFmt numFmtId="164" formatCode="General_)"/>
    <numFmt numFmtId="165" formatCode="0.0"/>
    <numFmt numFmtId="166" formatCode="0%"/>
    <numFmt numFmtId="167" formatCode="0.0%"/>
    <numFmt numFmtId="168" formatCode="0.0\%"/>
    <numFmt numFmtId="169" formatCode="_(* #,##0.00_);_(* \(#,##0.00\);_(* \-??_);_(@_)"/>
    <numFmt numFmtId="170" formatCode="_(* #,##0.0000_);_(* \(#,##0.0000\);_(* \-??_);_(@_)"/>
    <numFmt numFmtId="171" formatCode="mm/dd/yy"/>
    <numFmt numFmtId="172" formatCode="[$-409]m/d/yyyy"/>
    <numFmt numFmtId="173" formatCode="_(\$* #,##0.00_);_(\$* \(#,##0.00\);_(\$* \-??_);_(@_)"/>
    <numFmt numFmtId="174" formatCode="\$#,##0.00_);&quot;($&quot;#,##0.00\)"/>
    <numFmt numFmtId="175" formatCode="@"/>
    <numFmt numFmtId="176" formatCode="0.0_)"/>
    <numFmt numFmtId="177" formatCode="_(\$* #,##0.00000_);_(\$* \(#,##0.00000\);_(\$* \-??_);_(@_)"/>
    <numFmt numFmtId="178" formatCode="0.00%"/>
    <numFmt numFmtId="179" formatCode="0.0000_)"/>
    <numFmt numFmtId="180" formatCode="_(* #,##0.00000_);_(* \(#,##0.00000\);_(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* #,##0.0_);_(* \(#,##0.0\);_(* \-??_);_(@_)"/>
    <numFmt numFmtId="187" formatCode="_(\$* #,##0_);_(\$* \(#,##0\);_(\$* \-??_);_(@_)"/>
    <numFmt numFmtId="188" formatCode="0.00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3366FF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7">
          <cell r="G17">
            <v>154.664406779661</v>
          </cell>
        </row>
        <row r="17">
          <cell r="J17">
            <v>70.6116666666667</v>
          </cell>
        </row>
        <row r="19">
          <cell r="A19" t="str">
            <v>Digital Island*</v>
          </cell>
          <cell r="B19" t="str">
            <v>ISLD</v>
          </cell>
        </row>
        <row r="19">
          <cell r="G19">
            <v>54.394945155393</v>
          </cell>
        </row>
        <row r="19">
          <cell r="J19">
            <v>18.8078603034134</v>
          </cell>
        </row>
        <row r="22">
          <cell r="A22" t="str">
            <v>InterNap</v>
          </cell>
          <cell r="B22" t="str">
            <v>INAP</v>
          </cell>
        </row>
        <row r="22">
          <cell r="G22">
            <v>86.0696457654723</v>
          </cell>
        </row>
        <row r="22">
          <cell r="J22">
            <v>30.8684360397196</v>
          </cell>
        </row>
        <row r="33">
          <cell r="A33" t="str">
            <v>Williams Communications**</v>
          </cell>
          <cell r="B33" t="str">
            <v>WCG</v>
          </cell>
        </row>
        <row r="33">
          <cell r="J33">
            <v>5.77133963541667</v>
          </cell>
        </row>
        <row r="34">
          <cell r="A34" t="str">
            <v>Level3**</v>
          </cell>
          <cell r="B34" t="str">
            <v>LVLT</v>
          </cell>
        </row>
        <row r="34">
          <cell r="J34">
            <v>34.5587998680534</v>
          </cell>
        </row>
        <row r="35">
          <cell r="A35" t="str">
            <v>Global Crossing**</v>
          </cell>
          <cell r="B35" t="str">
            <v>GBLX</v>
          </cell>
        </row>
        <row r="35">
          <cell r="I35">
            <v>4650</v>
          </cell>
          <cell r="J35">
            <v>4.78063830645161</v>
          </cell>
        </row>
        <row r="36">
          <cell r="A36" t="str">
            <v>Qwest</v>
          </cell>
          <cell r="B36" t="str">
            <v>Q</v>
          </cell>
        </row>
        <row r="36">
          <cell r="J36">
            <v>17.5178488394622</v>
          </cell>
        </row>
        <row r="56">
          <cell r="A56" t="str">
            <v>Ariba</v>
          </cell>
          <cell r="B56" t="str">
            <v>ARBA</v>
          </cell>
        </row>
        <row r="56">
          <cell r="G56">
            <v>127.345894303065</v>
          </cell>
        </row>
        <row r="56">
          <cell r="J56">
            <v>66.1601716496394</v>
          </cell>
        </row>
        <row r="57">
          <cell r="A57" t="str">
            <v>Commerce One</v>
          </cell>
          <cell r="B57" t="str">
            <v>CMRC</v>
          </cell>
        </row>
        <row r="57">
          <cell r="G57">
            <v>28.1157665585919</v>
          </cell>
        </row>
        <row r="57">
          <cell r="J57">
            <v>15.175485</v>
          </cell>
        </row>
        <row r="58">
          <cell r="A58" t="str">
            <v>i2</v>
          </cell>
          <cell r="B58" t="str">
            <v>ITWO</v>
          </cell>
        </row>
        <row r="58">
          <cell r="G58">
            <v>22.4705361338716</v>
          </cell>
        </row>
        <row r="58">
          <cell r="J58">
            <v>16.7942164422731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63.4083658277207</v>
      </c>
      <c r="D6" s="12" t="n">
        <f aca="false">ENRON!AH7</f>
        <v>0.0620651266351239</v>
      </c>
      <c r="E6" s="13"/>
      <c r="F6" s="14" t="n">
        <f aca="false">ENRON!AJ7</f>
        <v>0.386627906976744</v>
      </c>
      <c r="G6" s="13"/>
      <c r="H6" s="15" t="n">
        <f aca="false">ENRON!AL7</f>
        <v>1.02112676056338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25.3337366055997</v>
      </c>
      <c r="D7" s="17" t="n">
        <f aca="false">ENRON!AH9</f>
        <v>-0.0189407828705253</v>
      </c>
      <c r="E7" s="18"/>
      <c r="F7" s="19" t="n">
        <f aca="false">ENRON!AJ9</f>
        <v>0.0101904303588616</v>
      </c>
      <c r="G7" s="18"/>
      <c r="H7" s="20" t="n">
        <f aca="false">ENRON!AL9</f>
        <v>0.00569402284143037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-0.0359168612586435</v>
      </c>
      <c r="E8" s="18"/>
      <c r="F8" s="19" t="n">
        <f aca="false">ENRON!AJ10</f>
        <v>-0.0326518931648392</v>
      </c>
      <c r="G8" s="18"/>
      <c r="H8" s="20" t="n">
        <f aca="false">ENRON!AL10</f>
        <v>-0.0563997336157727</v>
      </c>
    </row>
    <row r="9" customFormat="false" ht="15.75" hidden="false" customHeight="false" outlineLevel="0" collapsed="false">
      <c r="A9" s="1" t="s">
        <v>10</v>
      </c>
      <c r="B9" s="16" t="n">
        <f aca="false">ENRON!Z25</f>
        <v>26.7494750900157</v>
      </c>
      <c r="C9" s="21"/>
      <c r="D9" s="17" t="n">
        <f aca="false">ENRON!AH25</f>
        <v>0.0314790779326639</v>
      </c>
      <c r="E9" s="18"/>
      <c r="F9" s="19" t="n">
        <f aca="false">ENRON!AJ25</f>
        <v>0.301260200307931</v>
      </c>
      <c r="G9" s="19"/>
      <c r="H9" s="20" t="n">
        <f aca="false">ENRON!AL25</f>
        <v>0.760362024133382</v>
      </c>
      <c r="I9" s="21"/>
      <c r="J9" s="21"/>
    </row>
    <row r="10" customFormat="false" ht="16.5" hidden="false" customHeight="false" outlineLevel="0" collapsed="false">
      <c r="A10" s="1" t="s">
        <v>11</v>
      </c>
      <c r="B10" s="22" t="s">
        <v>12</v>
      </c>
      <c r="D10" s="23" t="n">
        <f aca="false">ENRON!AH42</f>
        <v>-0.0628557712698729</v>
      </c>
      <c r="E10" s="24"/>
      <c r="F10" s="25" t="n">
        <f aca="false">ENRON!AJ42</f>
        <v>0.0136797459912481</v>
      </c>
      <c r="G10" s="26"/>
      <c r="H10" s="27" t="n">
        <f aca="false">ENRON!AL42</f>
        <v>-0.156698092165223</v>
      </c>
    </row>
    <row r="11" customFormat="false" ht="15.75" hidden="false" customHeight="false" outlineLevel="0" collapsed="false">
      <c r="D11" s="28"/>
    </row>
    <row r="12" customFormat="false" ht="15.75" hidden="false" customHeight="false" outlineLevel="0" collapsed="false">
      <c r="A12" s="29"/>
      <c r="F12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AT23" activeCellId="0" sqref="AT23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7.43"/>
    <col collapsed="false" customWidth="true" hidden="false" outlineLevel="0" max="2" min="2" style="31" width="7.32"/>
    <col collapsed="false" customWidth="true" hidden="false" outlineLevel="0" max="3" min="3" style="32" width="6.77"/>
    <col collapsed="false" customWidth="true" hidden="false" outlineLevel="0" max="4" min="4" style="31" width="1.77"/>
    <col collapsed="false" customWidth="true" hidden="false" outlineLevel="0" max="5" min="5" style="31" width="10.32"/>
    <col collapsed="false" customWidth="true" hidden="tru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false" hidden="false" outlineLevel="0" max="24" min="24" style="31" width="9.77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8" min="28" style="31" width="9.44"/>
    <col collapsed="false" customWidth="true" hidden="false" outlineLevel="0" max="29" min="29" style="31" width="1.77"/>
    <col collapsed="false" customWidth="true" hidden="false" outlineLevel="0" max="30" min="30" style="31" width="5.99"/>
    <col collapsed="false" customWidth="true" hidden="true" outlineLevel="0" max="31" min="31" style="31" width="0.99"/>
    <col collapsed="false" customWidth="true" hidden="true" outlineLevel="0" max="32" min="32" style="31" width="7.99"/>
    <col collapsed="false" customWidth="true" hidden="false" outlineLevel="0" max="33" min="33" style="33" width="0.88"/>
    <col collapsed="false" customWidth="true" hidden="false" outlineLevel="0" max="34" min="34" style="33" width="6.99"/>
    <col collapsed="false" customWidth="true" hidden="false" outlineLevel="0" max="35" min="35" style="33" width="1.21"/>
    <col collapsed="false" customWidth="true" hidden="false" outlineLevel="0" max="36" min="36" style="33" width="8.55"/>
    <col collapsed="false" customWidth="true" hidden="false" outlineLevel="0" max="37" min="37" style="33" width="0.88"/>
    <col collapsed="false" customWidth="true" hidden="false" outlineLevel="0" max="38" min="38" style="31" width="7.66"/>
    <col collapsed="false" customWidth="true" hidden="false" outlineLevel="0" max="39" min="39" style="31" width="0.99"/>
    <col collapsed="false" customWidth="true" hidden="false" outlineLevel="0" max="40" min="40" style="31" width="8.44"/>
    <col collapsed="false" customWidth="true" hidden="false" outlineLevel="0" max="41" min="41" style="31" width="4.88"/>
    <col collapsed="false" customWidth="true" hidden="false" outlineLevel="0" max="42" min="42" style="34" width="12.77"/>
    <col collapsed="false" customWidth="true" hidden="false" outlineLevel="0" max="43" min="43" style="35" width="8.55"/>
    <col collapsed="false" customWidth="true" hidden="false" outlineLevel="0" max="44" min="44" style="36" width="8.55"/>
    <col collapsed="false" customWidth="true" hidden="false" outlineLevel="0" max="45" min="45" style="31" width="11.1"/>
    <col collapsed="false" customWidth="true" hidden="false" outlineLevel="0" max="46" min="46" style="31" width="12.32"/>
    <col collapsed="false" customWidth="true" hidden="false" outlineLevel="0" max="47" min="47" style="31" width="14.55"/>
    <col collapsed="false" customWidth="true" hidden="false" outlineLevel="0" max="48" min="48" style="31" width="12.88"/>
    <col collapsed="false" customWidth="true" hidden="false" outlineLevel="0" max="49" min="49" style="31" width="13.32"/>
    <col collapsed="false" customWidth="true" hidden="false" outlineLevel="0" max="50" min="50" style="31" width="13.65"/>
    <col collapsed="false" customWidth="false" hidden="false" outlineLevel="0" max="257" min="51" style="31" width="9.77"/>
  </cols>
  <sheetData>
    <row r="1" customFormat="false" ht="18" hidden="false" customHeight="false" outlineLevel="0" collapsed="false">
      <c r="A1" s="37" t="s">
        <v>13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40"/>
      <c r="AH1" s="40"/>
      <c r="AI1" s="40"/>
      <c r="AJ1" s="40"/>
      <c r="AK1" s="40"/>
      <c r="AL1" s="38"/>
      <c r="AN1" s="41" t="s">
        <v>14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42"/>
      <c r="AG2" s="43"/>
      <c r="AH2" s="43"/>
      <c r="AI2" s="43"/>
      <c r="AJ2" s="43"/>
      <c r="AK2" s="43"/>
      <c r="AL2" s="42"/>
      <c r="AN2" s="44" t="n">
        <v>36784</v>
      </c>
    </row>
    <row r="3" customFormat="false" ht="15.75" hidden="false" customHeight="false" outlineLevel="0" collapsed="false">
      <c r="A3" s="45"/>
      <c r="B3" s="46"/>
      <c r="C3" s="47"/>
      <c r="D3" s="46"/>
      <c r="E3" s="46"/>
      <c r="F3" s="46"/>
      <c r="G3" s="38"/>
      <c r="H3" s="38"/>
      <c r="I3" s="38"/>
      <c r="J3" s="38"/>
      <c r="K3" s="38"/>
      <c r="L3" s="38"/>
      <c r="M3" s="38"/>
      <c r="N3" s="46"/>
      <c r="O3" s="38"/>
      <c r="P3" s="38"/>
      <c r="Q3" s="38"/>
      <c r="R3" s="38"/>
      <c r="S3" s="38"/>
      <c r="T3" s="38"/>
      <c r="U3" s="40"/>
      <c r="V3" s="48"/>
      <c r="W3" s="49"/>
      <c r="X3" s="38"/>
      <c r="Y3" s="38"/>
      <c r="Z3" s="38"/>
      <c r="AA3" s="38"/>
      <c r="AB3" s="38"/>
      <c r="AC3" s="38"/>
      <c r="AD3" s="38"/>
      <c r="AE3" s="38"/>
      <c r="AF3" s="48"/>
      <c r="AG3" s="49"/>
      <c r="AH3" s="49"/>
      <c r="AI3" s="49"/>
      <c r="AJ3" s="49"/>
      <c r="AK3" s="49"/>
      <c r="AL3" s="48"/>
      <c r="AN3" s="48"/>
      <c r="AO3" s="50"/>
    </row>
    <row r="4" customFormat="false" ht="15.75" hidden="false" customHeight="false" outlineLevel="0" collapsed="false">
      <c r="A4" s="46"/>
      <c r="B4" s="46"/>
      <c r="C4" s="47"/>
      <c r="D4" s="46"/>
      <c r="E4" s="46"/>
      <c r="F4" s="46"/>
      <c r="G4" s="38"/>
      <c r="H4" s="38"/>
      <c r="I4" s="38"/>
      <c r="J4" s="38"/>
      <c r="K4" s="51" t="n">
        <v>1997</v>
      </c>
      <c r="L4" s="51"/>
      <c r="M4" s="51"/>
      <c r="N4" s="46"/>
      <c r="O4" s="38"/>
      <c r="P4" s="38"/>
      <c r="Q4" s="38"/>
      <c r="R4" s="38"/>
      <c r="S4" s="52" t="n">
        <v>1998</v>
      </c>
      <c r="T4" s="52"/>
      <c r="U4" s="40"/>
      <c r="V4" s="53"/>
      <c r="W4" s="54"/>
      <c r="X4" s="55" t="n">
        <v>2000</v>
      </c>
      <c r="Y4" s="55"/>
      <c r="Z4" s="55"/>
      <c r="AA4" s="56"/>
      <c r="AB4" s="55" t="n">
        <v>2001</v>
      </c>
      <c r="AC4" s="55"/>
      <c r="AD4" s="55"/>
      <c r="AE4" s="46"/>
      <c r="AF4" s="57" t="s">
        <v>15</v>
      </c>
      <c r="AG4" s="54"/>
      <c r="AH4" s="58" t="s">
        <v>16</v>
      </c>
      <c r="AI4" s="58"/>
      <c r="AJ4" s="58"/>
      <c r="AK4" s="58"/>
      <c r="AL4" s="58"/>
      <c r="AN4" s="59"/>
      <c r="AO4" s="60"/>
      <c r="AP4" s="61" t="s">
        <v>17</v>
      </c>
      <c r="AQ4" s="61"/>
      <c r="AR4" s="61"/>
      <c r="AS4" s="62" t="s">
        <v>4</v>
      </c>
      <c r="AT4" s="62"/>
      <c r="AU4" s="62" t="s">
        <v>5</v>
      </c>
      <c r="AV4" s="62"/>
      <c r="AW4" s="62" t="s">
        <v>6</v>
      </c>
      <c r="AX4" s="62"/>
    </row>
    <row r="5" customFormat="false" ht="15" hidden="false" customHeight="false" outlineLevel="0" collapsed="false">
      <c r="A5" s="46"/>
      <c r="B5" s="46"/>
      <c r="C5" s="47"/>
      <c r="D5" s="46"/>
      <c r="E5" s="50" t="s">
        <v>18</v>
      </c>
      <c r="F5" s="46"/>
      <c r="G5" s="63" t="s">
        <v>19</v>
      </c>
      <c r="H5" s="64"/>
      <c r="I5" s="65"/>
      <c r="J5" s="46"/>
      <c r="K5" s="63" t="s">
        <v>19</v>
      </c>
      <c r="L5" s="64"/>
      <c r="M5" s="65"/>
      <c r="N5" s="46"/>
      <c r="O5" s="63" t="s">
        <v>19</v>
      </c>
      <c r="P5" s="64"/>
      <c r="Q5" s="65"/>
      <c r="R5" s="46"/>
      <c r="S5" s="63" t="s">
        <v>19</v>
      </c>
      <c r="T5" s="65"/>
      <c r="U5" s="54"/>
      <c r="V5" s="57" t="s">
        <v>20</v>
      </c>
      <c r="W5" s="66"/>
      <c r="X5" s="63" t="s">
        <v>19</v>
      </c>
      <c r="Y5" s="67"/>
      <c r="Z5" s="65"/>
      <c r="AA5" s="68"/>
      <c r="AB5" s="63" t="s">
        <v>19</v>
      </c>
      <c r="AC5" s="67"/>
      <c r="AD5" s="65"/>
      <c r="AE5" s="68"/>
      <c r="AF5" s="69" t="s">
        <v>20</v>
      </c>
      <c r="AG5" s="66"/>
      <c r="AH5" s="70" t="s">
        <v>21</v>
      </c>
      <c r="AI5" s="66"/>
      <c r="AJ5" s="66" t="s">
        <v>22</v>
      </c>
      <c r="AK5" s="66"/>
      <c r="AL5" s="71" t="s">
        <v>23</v>
      </c>
      <c r="AN5" s="72" t="s">
        <v>24</v>
      </c>
      <c r="AO5" s="73"/>
      <c r="AP5" s="74"/>
      <c r="AQ5" s="75" t="s">
        <v>25</v>
      </c>
      <c r="AR5" s="76" t="s">
        <v>25</v>
      </c>
      <c r="AS5" s="77"/>
      <c r="AT5" s="78" t="n">
        <v>36777</v>
      </c>
      <c r="AU5" s="77"/>
      <c r="AV5" s="78" t="n">
        <v>36707</v>
      </c>
      <c r="AW5" s="79"/>
      <c r="AX5" s="80"/>
    </row>
    <row r="6" customFormat="false" ht="15.75" hidden="false" customHeight="false" outlineLevel="0" collapsed="false">
      <c r="A6" s="81" t="s">
        <v>26</v>
      </c>
      <c r="B6" s="46"/>
      <c r="C6" s="81" t="s">
        <v>27</v>
      </c>
      <c r="D6" s="46"/>
      <c r="E6" s="81" t="s">
        <v>28</v>
      </c>
      <c r="F6" s="46"/>
      <c r="G6" s="82" t="s">
        <v>15</v>
      </c>
      <c r="H6" s="68"/>
      <c r="I6" s="83" t="s">
        <v>3</v>
      </c>
      <c r="J6" s="46"/>
      <c r="K6" s="82" t="s">
        <v>15</v>
      </c>
      <c r="L6" s="68"/>
      <c r="M6" s="83" t="s">
        <v>3</v>
      </c>
      <c r="N6" s="46"/>
      <c r="O6" s="82" t="s">
        <v>15</v>
      </c>
      <c r="P6" s="68"/>
      <c r="Q6" s="83" t="s">
        <v>3</v>
      </c>
      <c r="R6" s="46"/>
      <c r="S6" s="82" t="s">
        <v>15</v>
      </c>
      <c r="T6" s="83" t="s">
        <v>3</v>
      </c>
      <c r="U6" s="84"/>
      <c r="V6" s="85" t="s">
        <v>29</v>
      </c>
      <c r="W6" s="84"/>
      <c r="X6" s="82" t="s">
        <v>30</v>
      </c>
      <c r="Y6" s="86"/>
      <c r="Z6" s="83" t="s">
        <v>3</v>
      </c>
      <c r="AA6" s="87"/>
      <c r="AB6" s="82" t="s">
        <v>30</v>
      </c>
      <c r="AC6" s="86"/>
      <c r="AD6" s="83" t="s">
        <v>3</v>
      </c>
      <c r="AE6" s="87"/>
      <c r="AF6" s="85" t="s">
        <v>31</v>
      </c>
      <c r="AG6" s="84"/>
      <c r="AH6" s="88" t="s">
        <v>32</v>
      </c>
      <c r="AI6" s="84"/>
      <c r="AJ6" s="89" t="s">
        <v>33</v>
      </c>
      <c r="AK6" s="84"/>
      <c r="AL6" s="90" t="s">
        <v>33</v>
      </c>
      <c r="AN6" s="85" t="s">
        <v>34</v>
      </c>
      <c r="AO6" s="91"/>
      <c r="AP6" s="92" t="s">
        <v>35</v>
      </c>
      <c r="AQ6" s="93" t="s">
        <v>36</v>
      </c>
      <c r="AR6" s="94" t="s">
        <v>24</v>
      </c>
      <c r="AS6" s="92" t="s">
        <v>37</v>
      </c>
      <c r="AT6" s="95" t="s">
        <v>38</v>
      </c>
      <c r="AU6" s="92" t="s">
        <v>39</v>
      </c>
      <c r="AV6" s="96" t="s">
        <v>40</v>
      </c>
      <c r="AW6" s="97" t="s">
        <v>41</v>
      </c>
      <c r="AX6" s="96" t="s">
        <v>42</v>
      </c>
    </row>
    <row r="7" customFormat="false" ht="15.75" hidden="false" customHeight="false" outlineLevel="0" collapsed="false">
      <c r="A7" s="98" t="s">
        <v>43</v>
      </c>
      <c r="B7" s="99"/>
      <c r="C7" s="100" t="s">
        <v>44</v>
      </c>
      <c r="D7" s="99"/>
      <c r="E7" s="101" t="n">
        <f aca="false">DDE("REUTER","IDN","ENE")</f>
        <v>89.4375</v>
      </c>
      <c r="F7" s="99"/>
      <c r="G7" s="102" t="n">
        <v>2.16</v>
      </c>
      <c r="H7" s="103" t="s">
        <v>45</v>
      </c>
      <c r="I7" s="104" t="n">
        <f aca="false">E7/G7</f>
        <v>41.40625</v>
      </c>
      <c r="J7" s="99"/>
      <c r="K7" s="102" t="n">
        <v>2.14</v>
      </c>
      <c r="L7" s="105" t="s">
        <v>46</v>
      </c>
      <c r="M7" s="104" t="n">
        <f aca="false">E7/K7</f>
        <v>41.7932242990654</v>
      </c>
      <c r="N7" s="99"/>
      <c r="O7" s="102" t="n">
        <v>2.16</v>
      </c>
      <c r="P7" s="103" t="s">
        <v>45</v>
      </c>
      <c r="Q7" s="104" t="n">
        <f aca="false">M7/O7</f>
        <v>19.348714953271</v>
      </c>
      <c r="R7" s="99"/>
      <c r="S7" s="106" t="n">
        <f aca="false">+S85</f>
        <v>1.995</v>
      </c>
      <c r="T7" s="104" t="n">
        <f aca="false">E7/S7</f>
        <v>44.8308270676692</v>
      </c>
      <c r="U7" s="107"/>
      <c r="V7" s="108" t="n">
        <f aca="false">(S7-K7)/K7</f>
        <v>-0.0677570093457944</v>
      </c>
      <c r="W7" s="109"/>
      <c r="X7" s="110" t="n">
        <f aca="false">+X85</f>
        <v>1.4105</v>
      </c>
      <c r="Y7" s="111"/>
      <c r="Z7" s="104" t="n">
        <f aca="false">E7/X7</f>
        <v>63.4083658277207</v>
      </c>
      <c r="AA7" s="107"/>
      <c r="AB7" s="110" t="n">
        <f aca="false">+AB85</f>
        <v>1.638</v>
      </c>
      <c r="AC7" s="112"/>
      <c r="AD7" s="104" t="n">
        <f aca="false">E7/AB7</f>
        <v>54.6016483516484</v>
      </c>
      <c r="AE7" s="107"/>
      <c r="AF7" s="108" t="n">
        <f aca="false">(X7-S7)/S7</f>
        <v>-0.292982456140351</v>
      </c>
      <c r="AG7" s="109"/>
      <c r="AH7" s="113" t="n">
        <f aca="false">((+AS7+E7-AT7)/AT7)</f>
        <v>0.0620651266351239</v>
      </c>
      <c r="AI7" s="109"/>
      <c r="AJ7" s="109" t="n">
        <f aca="false">((+AU7+E7-AV7)/AV7)</f>
        <v>0.386627906976744</v>
      </c>
      <c r="AK7" s="109"/>
      <c r="AL7" s="114" t="n">
        <f aca="false">((+AW7+E7-AX7)/AX7)</f>
        <v>1.02112676056338</v>
      </c>
      <c r="AM7" s="115"/>
      <c r="AN7" s="116" t="n">
        <f aca="false">AP7/E7</f>
        <v>0.00559049615653389</v>
      </c>
      <c r="AO7" s="117"/>
      <c r="AP7" s="118" t="n">
        <v>0.5</v>
      </c>
      <c r="AQ7" s="119" t="n">
        <v>36775</v>
      </c>
      <c r="AR7" s="120" t="n">
        <v>0.125</v>
      </c>
      <c r="AS7" s="121"/>
      <c r="AT7" s="101" t="n">
        <v>84.2109375</v>
      </c>
      <c r="AU7" s="122"/>
      <c r="AV7" s="123" t="n">
        <v>64.5</v>
      </c>
      <c r="AW7" s="121" t="n">
        <f aca="false">0.125+0.125</f>
        <v>0.25</v>
      </c>
      <c r="AX7" s="123" t="n">
        <v>44.375</v>
      </c>
    </row>
    <row r="8" customFormat="false" ht="6" hidden="false" customHeight="true" outlineLevel="0" collapsed="false">
      <c r="A8" s="53"/>
      <c r="B8" s="53"/>
      <c r="C8" s="124"/>
      <c r="D8" s="53"/>
      <c r="E8" s="125"/>
      <c r="F8" s="53"/>
      <c r="G8" s="126"/>
      <c r="H8" s="127"/>
      <c r="I8" s="128"/>
      <c r="J8" s="54"/>
      <c r="K8" s="126"/>
      <c r="L8" s="54"/>
      <c r="M8" s="128"/>
      <c r="N8" s="53"/>
      <c r="O8" s="126"/>
      <c r="P8" s="127"/>
      <c r="Q8" s="128"/>
      <c r="R8" s="54"/>
      <c r="S8" s="126"/>
      <c r="T8" s="128"/>
      <c r="U8" s="54"/>
      <c r="V8" s="129"/>
      <c r="W8" s="130"/>
      <c r="X8" s="126"/>
      <c r="Y8" s="131"/>
      <c r="Z8" s="128"/>
      <c r="AA8" s="54"/>
      <c r="AB8" s="132"/>
      <c r="AC8" s="54"/>
      <c r="AD8" s="133"/>
      <c r="AE8" s="54"/>
      <c r="AF8" s="129"/>
      <c r="AG8" s="130"/>
      <c r="AH8" s="134"/>
      <c r="AI8" s="130"/>
      <c r="AJ8" s="130"/>
      <c r="AK8" s="130"/>
      <c r="AL8" s="135"/>
      <c r="AM8" s="136"/>
      <c r="AN8" s="129"/>
      <c r="AO8" s="134"/>
      <c r="AP8" s="137"/>
      <c r="AQ8" s="138"/>
      <c r="AR8" s="120"/>
      <c r="AS8" s="139"/>
      <c r="AT8" s="125"/>
      <c r="AU8" s="139"/>
      <c r="AV8" s="140"/>
      <c r="AW8" s="141"/>
      <c r="AX8" s="140"/>
    </row>
    <row r="9" customFormat="false" ht="15" hidden="false" customHeight="false" outlineLevel="0" collapsed="false">
      <c r="A9" s="142" t="s">
        <v>47</v>
      </c>
      <c r="B9" s="53"/>
      <c r="C9" s="124" t="s">
        <v>48</v>
      </c>
      <c r="D9" s="53"/>
      <c r="E9" s="143" t="n">
        <f aca="false">DDE("REUTER","IDN",".SPX")</f>
        <v>1465.81</v>
      </c>
      <c r="F9" s="144"/>
      <c r="G9" s="145" t="n">
        <v>40.53</v>
      </c>
      <c r="H9" s="127"/>
      <c r="I9" s="146" t="n">
        <f aca="false">E9/G9</f>
        <v>36.166049839625</v>
      </c>
      <c r="J9" s="54"/>
      <c r="K9" s="145" t="n">
        <v>42.08</v>
      </c>
      <c r="L9" s="54"/>
      <c r="M9" s="146" t="n">
        <f aca="false">E9/K9</f>
        <v>34.8338878326996</v>
      </c>
      <c r="N9" s="144"/>
      <c r="O9" s="145" t="n">
        <v>40.53</v>
      </c>
      <c r="P9" s="127"/>
      <c r="Q9" s="146" t="n">
        <f aca="false">M9/O9</f>
        <v>0.859459359306677</v>
      </c>
      <c r="R9" s="54"/>
      <c r="S9" s="147" t="n">
        <v>40.18</v>
      </c>
      <c r="T9" s="146" t="n">
        <f aca="false">E9/S9</f>
        <v>36.4810851169736</v>
      </c>
      <c r="U9" s="148"/>
      <c r="V9" s="149" t="n">
        <f aca="false">(S9-K9)/K9</f>
        <v>-0.0451520912547528</v>
      </c>
      <c r="W9" s="150"/>
      <c r="X9" s="147" t="n">
        <v>57.86</v>
      </c>
      <c r="Y9" s="151"/>
      <c r="Z9" s="146" t="n">
        <f aca="false">E9/X9</f>
        <v>25.3337366055997</v>
      </c>
      <c r="AA9" s="148"/>
      <c r="AB9" s="147" t="n">
        <v>62.31</v>
      </c>
      <c r="AC9" s="151"/>
      <c r="AD9" s="146" t="n">
        <f aca="false">E9/AB9</f>
        <v>23.5244744021826</v>
      </c>
      <c r="AE9" s="148"/>
      <c r="AF9" s="149" t="n">
        <f aca="false">(X9-S9)/S9</f>
        <v>0.440019910403186</v>
      </c>
      <c r="AG9" s="150"/>
      <c r="AH9" s="117" t="n">
        <f aca="false">((+AS9+E9-AT9)/AT9)</f>
        <v>-0.0189407828705253</v>
      </c>
      <c r="AI9" s="150"/>
      <c r="AJ9" s="150" t="n">
        <f aca="false">((+AU9+E9-AV9)/AV9)</f>
        <v>0.0101904303588616</v>
      </c>
      <c r="AK9" s="150"/>
      <c r="AL9" s="152" t="n">
        <f aca="false">((+AW9+E9-AX9)/AX9)</f>
        <v>0.00569402284143037</v>
      </c>
      <c r="AM9" s="136"/>
      <c r="AN9" s="153" t="n">
        <v>0.0109</v>
      </c>
      <c r="AO9" s="117"/>
      <c r="AP9" s="154" t="n">
        <f aca="false">AN9*E9</f>
        <v>15.977329</v>
      </c>
      <c r="AQ9" s="155"/>
      <c r="AR9" s="120"/>
      <c r="AS9" s="156" t="n">
        <v>0.383</v>
      </c>
      <c r="AT9" s="143" t="n">
        <v>1494.5</v>
      </c>
      <c r="AU9" s="156" t="n">
        <v>3.613</v>
      </c>
      <c r="AV9" s="157" t="n">
        <v>1454.6</v>
      </c>
      <c r="AW9" s="156" t="n">
        <v>11.816</v>
      </c>
      <c r="AX9" s="157" t="n">
        <v>1469.26</v>
      </c>
    </row>
    <row r="10" customFormat="false" ht="15" hidden="false" customHeight="false" outlineLevel="0" collapsed="false">
      <c r="A10" s="142" t="s">
        <v>9</v>
      </c>
      <c r="B10" s="53"/>
      <c r="C10" s="124" t="s">
        <v>49</v>
      </c>
      <c r="D10" s="53"/>
      <c r="E10" s="143" t="n">
        <f aca="false">DDE("REUTER","IDN",".IXIC")</f>
        <v>3835.23</v>
      </c>
      <c r="F10" s="144"/>
      <c r="G10" s="145" t="n">
        <v>40.53</v>
      </c>
      <c r="H10" s="127"/>
      <c r="I10" s="146" t="n">
        <f aca="false">E10/G10</f>
        <v>94.6269430051814</v>
      </c>
      <c r="J10" s="54"/>
      <c r="K10" s="145" t="n">
        <v>42.08</v>
      </c>
      <c r="L10" s="54"/>
      <c r="M10" s="146" t="n">
        <f aca="false">E10/K10</f>
        <v>91.1413973384031</v>
      </c>
      <c r="N10" s="144"/>
      <c r="O10" s="145" t="n">
        <v>40.53</v>
      </c>
      <c r="P10" s="127"/>
      <c r="Q10" s="146" t="n">
        <f aca="false">M10/O10</f>
        <v>2.24873913985697</v>
      </c>
      <c r="R10" s="54"/>
      <c r="S10" s="147" t="n">
        <v>40.18</v>
      </c>
      <c r="T10" s="146" t="n">
        <f aca="false">E10/S10</f>
        <v>95.4512195121951</v>
      </c>
      <c r="U10" s="148"/>
      <c r="V10" s="149" t="n">
        <f aca="false">(S10-K10)/K10</f>
        <v>-0.0451520912547528</v>
      </c>
      <c r="W10" s="150"/>
      <c r="X10" s="158" t="s">
        <v>50</v>
      </c>
      <c r="Y10" s="151"/>
      <c r="Z10" s="159" t="s">
        <v>12</v>
      </c>
      <c r="AA10" s="148"/>
      <c r="AB10" s="158" t="s">
        <v>50</v>
      </c>
      <c r="AC10" s="151"/>
      <c r="AD10" s="159" t="s">
        <v>12</v>
      </c>
      <c r="AE10" s="148"/>
      <c r="AF10" s="149" t="e">
        <f aca="false">(X10-S10)/S10</f>
        <v>#VALUE!</v>
      </c>
      <c r="AG10" s="150"/>
      <c r="AH10" s="117" t="n">
        <f aca="false">((+AS10+E10-AT10)/AT10)</f>
        <v>-0.0359168612586435</v>
      </c>
      <c r="AI10" s="150"/>
      <c r="AJ10" s="150" t="n">
        <f aca="false">((+AU10+E10-AV10)/AV10)</f>
        <v>-0.0326518931648392</v>
      </c>
      <c r="AK10" s="150"/>
      <c r="AL10" s="152" t="n">
        <f aca="false">((+AW10+E10-AX10)/AX10)</f>
        <v>-0.0563997336157727</v>
      </c>
      <c r="AM10" s="136"/>
      <c r="AN10" s="153" t="n">
        <v>0.0017</v>
      </c>
      <c r="AO10" s="117"/>
      <c r="AP10" s="154" t="n">
        <f aca="false">AN10*E10</f>
        <v>6.519891</v>
      </c>
      <c r="AQ10" s="155"/>
      <c r="AR10" s="120"/>
      <c r="AS10" s="156" t="n">
        <v>0.288</v>
      </c>
      <c r="AT10" s="143" t="n">
        <v>3978.41</v>
      </c>
      <c r="AU10" s="156" t="n">
        <v>1.379</v>
      </c>
      <c r="AV10" s="157" t="n">
        <v>3966.11</v>
      </c>
      <c r="AW10" s="156" t="n">
        <v>4.572</v>
      </c>
      <c r="AX10" s="157" t="n">
        <v>4069.31</v>
      </c>
    </row>
    <row r="11" customFormat="false" ht="9.75" hidden="false" customHeight="true" outlineLevel="0" collapsed="false">
      <c r="A11" s="53"/>
      <c r="B11" s="53"/>
      <c r="C11" s="124"/>
      <c r="D11" s="53"/>
      <c r="E11" s="143"/>
      <c r="F11" s="53"/>
      <c r="G11" s="145"/>
      <c r="H11" s="127"/>
      <c r="I11" s="160"/>
      <c r="J11" s="53"/>
      <c r="K11" s="145"/>
      <c r="L11" s="54"/>
      <c r="M11" s="160"/>
      <c r="N11" s="53"/>
      <c r="O11" s="145"/>
      <c r="P11" s="127"/>
      <c r="Q11" s="160"/>
      <c r="R11" s="53"/>
      <c r="S11" s="147"/>
      <c r="T11" s="160"/>
      <c r="U11" s="40"/>
      <c r="V11" s="129"/>
      <c r="W11" s="130"/>
      <c r="X11" s="147"/>
      <c r="Y11" s="151"/>
      <c r="Z11" s="160"/>
      <c r="AA11" s="40"/>
      <c r="AB11" s="147"/>
      <c r="AC11" s="151"/>
      <c r="AD11" s="161"/>
      <c r="AE11" s="40"/>
      <c r="AF11" s="129"/>
      <c r="AG11" s="130"/>
      <c r="AH11" s="134"/>
      <c r="AI11" s="130"/>
      <c r="AJ11" s="130"/>
      <c r="AK11" s="130"/>
      <c r="AL11" s="135"/>
      <c r="AM11" s="136"/>
      <c r="AN11" s="162"/>
      <c r="AO11" s="163"/>
      <c r="AP11" s="137"/>
      <c r="AQ11" s="138"/>
      <c r="AR11" s="120"/>
      <c r="AS11" s="139"/>
      <c r="AT11" s="143"/>
      <c r="AU11" s="164"/>
      <c r="AV11" s="157"/>
      <c r="AW11" s="141"/>
      <c r="AX11" s="157"/>
    </row>
    <row r="12" customFormat="false" ht="15" hidden="false" customHeight="false" outlineLevel="0" collapsed="false">
      <c r="A12" s="165" t="s">
        <v>51</v>
      </c>
      <c r="B12" s="53"/>
      <c r="C12" s="124"/>
      <c r="D12" s="53"/>
      <c r="E12" s="143"/>
      <c r="F12" s="53"/>
      <c r="G12" s="145"/>
      <c r="H12" s="127"/>
      <c r="I12" s="160"/>
      <c r="J12" s="53"/>
      <c r="K12" s="145"/>
      <c r="L12" s="54"/>
      <c r="M12" s="160"/>
      <c r="N12" s="53"/>
      <c r="O12" s="145"/>
      <c r="P12" s="127"/>
      <c r="Q12" s="160"/>
      <c r="R12" s="53"/>
      <c r="S12" s="147"/>
      <c r="T12" s="160"/>
      <c r="U12" s="40"/>
      <c r="V12" s="129"/>
      <c r="W12" s="130"/>
      <c r="X12" s="147"/>
      <c r="Y12" s="151"/>
      <c r="Z12" s="160"/>
      <c r="AA12" s="40"/>
      <c r="AB12" s="147"/>
      <c r="AC12" s="151"/>
      <c r="AD12" s="161"/>
      <c r="AE12" s="40"/>
      <c r="AF12" s="129"/>
      <c r="AG12" s="130"/>
      <c r="AH12" s="134"/>
      <c r="AI12" s="130"/>
      <c r="AJ12" s="130"/>
      <c r="AK12" s="130"/>
      <c r="AL12" s="135"/>
      <c r="AM12" s="136"/>
      <c r="AN12" s="162"/>
      <c r="AO12" s="163"/>
      <c r="AP12" s="137"/>
      <c r="AQ12" s="138"/>
      <c r="AR12" s="120"/>
      <c r="AS12" s="166"/>
      <c r="AT12" s="143"/>
      <c r="AU12" s="141"/>
      <c r="AV12" s="157"/>
      <c r="AW12" s="141"/>
      <c r="AX12" s="157"/>
    </row>
    <row r="13" customFormat="false" ht="15" hidden="false" customHeight="false" outlineLevel="0" collapsed="false">
      <c r="A13" s="53" t="s">
        <v>52</v>
      </c>
      <c r="B13" s="53"/>
      <c r="C13" s="167" t="s">
        <v>53</v>
      </c>
      <c r="D13" s="53"/>
      <c r="E13" s="143" t="n">
        <f aca="false">DDE("REUTER","IDN","AES")</f>
        <v>67.5</v>
      </c>
      <c r="F13" s="53"/>
      <c r="G13" s="145" t="n">
        <v>4.72</v>
      </c>
      <c r="H13" s="168" t="s">
        <v>45</v>
      </c>
      <c r="I13" s="146" t="n">
        <f aca="false">E13/G13</f>
        <v>14.3008474576271</v>
      </c>
      <c r="J13" s="53"/>
      <c r="K13" s="145" t="n">
        <v>4.94</v>
      </c>
      <c r="L13" s="54"/>
      <c r="M13" s="146" t="n">
        <f aca="false">E13/K13</f>
        <v>13.663967611336</v>
      </c>
      <c r="N13" s="53"/>
      <c r="O13" s="145" t="n">
        <v>4.72</v>
      </c>
      <c r="P13" s="168" t="s">
        <v>45</v>
      </c>
      <c r="Q13" s="146" t="n">
        <f aca="false">M13/O13</f>
        <v>2.89490839223221</v>
      </c>
      <c r="R13" s="53"/>
      <c r="S13" s="147" t="n">
        <v>3.43</v>
      </c>
      <c r="T13" s="146" t="n">
        <f aca="false">E13/S13</f>
        <v>19.6793002915452</v>
      </c>
      <c r="U13" s="148"/>
      <c r="V13" s="149" t="n">
        <f aca="false">(S13-K13)/K13</f>
        <v>-0.305668016194332</v>
      </c>
      <c r="W13" s="150"/>
      <c r="X13" s="147" t="n">
        <v>1.49</v>
      </c>
      <c r="Y13" s="151"/>
      <c r="Z13" s="146" t="n">
        <f aca="false">E13/X13</f>
        <v>45.3020134228188</v>
      </c>
      <c r="AA13" s="148"/>
      <c r="AB13" s="147" t="n">
        <v>1.92</v>
      </c>
      <c r="AC13" s="151"/>
      <c r="AD13" s="146" t="n">
        <f aca="false">E13/AB13</f>
        <v>35.15625</v>
      </c>
      <c r="AE13" s="148"/>
      <c r="AF13" s="149" t="n">
        <f aca="false">(X13-S13)/S13</f>
        <v>-0.565597667638484</v>
      </c>
      <c r="AG13" s="150"/>
      <c r="AH13" s="117" t="n">
        <f aca="false">((+AS13+E13-AT13)/AT13)</f>
        <v>0.106132377416464</v>
      </c>
      <c r="AI13" s="150"/>
      <c r="AJ13" s="150" t="n">
        <f aca="false">((+AU13+E13-AV13)/AV13)</f>
        <v>0.479452054794521</v>
      </c>
      <c r="AK13" s="150"/>
      <c r="AL13" s="152" t="n">
        <f aca="false">((+AW13+E13-AX13)/AX13)</f>
        <v>0.806020066889632</v>
      </c>
      <c r="AM13" s="136"/>
      <c r="AN13" s="169" t="n">
        <f aca="false">AP13/E13</f>
        <v>0</v>
      </c>
      <c r="AO13" s="170"/>
      <c r="AP13" s="118" t="n">
        <f aca="false">DDE("REUTER","IDN","AES,DIVIDEND")</f>
        <v>0</v>
      </c>
      <c r="AQ13" s="171" t="s">
        <v>54</v>
      </c>
      <c r="AR13" s="120" t="n">
        <v>0</v>
      </c>
      <c r="AS13" s="141"/>
      <c r="AT13" s="157" t="n">
        <v>61.0234375</v>
      </c>
      <c r="AU13" s="141"/>
      <c r="AV13" s="157" t="n">
        <v>45.625</v>
      </c>
      <c r="AW13" s="141" t="n">
        <v>0</v>
      </c>
      <c r="AX13" s="157" t="n">
        <f aca="false">74.75/2</f>
        <v>37.375</v>
      </c>
    </row>
    <row r="14" customFormat="false" ht="15" hidden="false" customHeight="false" outlineLevel="0" collapsed="false">
      <c r="A14" s="142" t="s">
        <v>55</v>
      </c>
      <c r="B14" s="53"/>
      <c r="C14" s="167" t="s">
        <v>56</v>
      </c>
      <c r="D14" s="53"/>
      <c r="E14" s="143" t="n">
        <f aca="false">DDE("REUTER","IDN","CG")</f>
        <v>70.76953125</v>
      </c>
      <c r="F14" s="53"/>
      <c r="G14" s="145" t="n">
        <v>4.72</v>
      </c>
      <c r="H14" s="168" t="s">
        <v>45</v>
      </c>
      <c r="I14" s="146" t="n">
        <f aca="false">E14/G14</f>
        <v>14.9935447563559</v>
      </c>
      <c r="J14" s="53"/>
      <c r="K14" s="145" t="n">
        <v>4.94</v>
      </c>
      <c r="L14" s="54"/>
      <c r="M14" s="146" t="n">
        <f aca="false">E14/K14</f>
        <v>14.3258160425101</v>
      </c>
      <c r="N14" s="53"/>
      <c r="O14" s="145" t="n">
        <v>4.72</v>
      </c>
      <c r="P14" s="168" t="s">
        <v>45</v>
      </c>
      <c r="Q14" s="146" t="n">
        <f aca="false">M14/O14</f>
        <v>3.03513051748096</v>
      </c>
      <c r="R14" s="53"/>
      <c r="S14" s="147" t="n">
        <v>3.43</v>
      </c>
      <c r="T14" s="146" t="n">
        <f aca="false">E14/S14</f>
        <v>20.6325163994169</v>
      </c>
      <c r="U14" s="148"/>
      <c r="V14" s="149" t="n">
        <f aca="false">(S14-K14)/K14</f>
        <v>-0.305668016194332</v>
      </c>
      <c r="W14" s="150"/>
      <c r="X14" s="147" t="n">
        <v>4.06</v>
      </c>
      <c r="Y14" s="151"/>
      <c r="Z14" s="146" t="n">
        <f aca="false">E14/X14</f>
        <v>17.4309190270936</v>
      </c>
      <c r="AA14" s="148"/>
      <c r="AB14" s="147" t="n">
        <v>4.51</v>
      </c>
      <c r="AC14" s="151"/>
      <c r="AD14" s="146" t="n">
        <f aca="false">E14/AB14</f>
        <v>15.6916920731707</v>
      </c>
      <c r="AE14" s="148"/>
      <c r="AF14" s="149" t="n">
        <f aca="false">(X14-S14)/S14</f>
        <v>0.183673469387755</v>
      </c>
      <c r="AG14" s="150"/>
      <c r="AH14" s="117" t="n">
        <f aca="false">((+AS14+E14-AT14)/AT14)</f>
        <v>0.00616461179606798</v>
      </c>
      <c r="AI14" s="150"/>
      <c r="AJ14" s="150" t="n">
        <f aca="false">((+AU14+E14-AV14)/AV14)</f>
        <v>0.0818214285714285</v>
      </c>
      <c r="AK14" s="150"/>
      <c r="AL14" s="152" t="n">
        <f aca="false">((+AW14+E14-AX14)/AX14)</f>
        <v>0.129557806324111</v>
      </c>
      <c r="AM14" s="136"/>
      <c r="AN14" s="169" t="n">
        <f aca="false">AP14/E14</f>
        <v>0.0127173373075012</v>
      </c>
      <c r="AO14" s="170"/>
      <c r="AP14" s="118" t="n">
        <f aca="false">DDE("REUTER","IDN","CG,DIVIDEND")</f>
        <v>0.9</v>
      </c>
      <c r="AQ14" s="171" t="n">
        <v>36762</v>
      </c>
      <c r="AR14" s="120" t="n">
        <v>0.225</v>
      </c>
      <c r="AS14" s="141"/>
      <c r="AT14" s="157" t="n">
        <v>70.3359375</v>
      </c>
      <c r="AU14" s="141" t="n">
        <v>0.225</v>
      </c>
      <c r="AV14" s="157" t="n">
        <v>65.625</v>
      </c>
      <c r="AW14" s="141" t="n">
        <f aca="false">0.225+0.225+0.225</f>
        <v>0.675</v>
      </c>
      <c r="AX14" s="157" t="n">
        <v>63.25</v>
      </c>
    </row>
    <row r="15" customFormat="false" ht="15" hidden="false" customHeight="false" outlineLevel="0" collapsed="false">
      <c r="A15" s="142" t="s">
        <v>57</v>
      </c>
      <c r="B15" s="53"/>
      <c r="C15" s="167" t="s">
        <v>58</v>
      </c>
      <c r="D15" s="53"/>
      <c r="E15" s="143" t="n">
        <f aca="false">DDE("REUTER","IDN","CGP")</f>
        <v>79</v>
      </c>
      <c r="F15" s="53"/>
      <c r="G15" s="145" t="n">
        <v>2.88</v>
      </c>
      <c r="H15" s="168" t="s">
        <v>45</v>
      </c>
      <c r="I15" s="146" t="n">
        <f aca="false">E15/G15</f>
        <v>27.4305555555556</v>
      </c>
      <c r="J15" s="53"/>
      <c r="K15" s="145" t="n">
        <v>3.48</v>
      </c>
      <c r="L15" s="54"/>
      <c r="M15" s="146" t="n">
        <f aca="false">E15/K15</f>
        <v>22.7011494252874</v>
      </c>
      <c r="N15" s="53"/>
      <c r="O15" s="145" t="n">
        <v>2.88</v>
      </c>
      <c r="P15" s="168" t="s">
        <v>45</v>
      </c>
      <c r="Q15" s="146" t="n">
        <f aca="false">M15/O15</f>
        <v>7.882343550447</v>
      </c>
      <c r="R15" s="53"/>
      <c r="S15" s="147" t="n">
        <v>2.02</v>
      </c>
      <c r="T15" s="146" t="n">
        <f aca="false">E15/S15</f>
        <v>39.1089108910891</v>
      </c>
      <c r="U15" s="148"/>
      <c r="V15" s="149" t="n">
        <f aca="false">(S15-K15)/K15</f>
        <v>-0.419540229885057</v>
      </c>
      <c r="W15" s="150"/>
      <c r="X15" s="147" t="n">
        <v>2.96</v>
      </c>
      <c r="Y15" s="151"/>
      <c r="Z15" s="146" t="n">
        <f aca="false">E15/X15</f>
        <v>26.6891891891892</v>
      </c>
      <c r="AA15" s="148"/>
      <c r="AB15" s="147" t="n">
        <v>3.45</v>
      </c>
      <c r="AC15" s="151"/>
      <c r="AD15" s="146" t="n">
        <f aca="false">E15/AB15</f>
        <v>22.8985507246377</v>
      </c>
      <c r="AE15" s="148"/>
      <c r="AF15" s="149" t="n">
        <f aca="false">(X15-S15)/S15</f>
        <v>0.465346534653465</v>
      </c>
      <c r="AG15" s="150"/>
      <c r="AH15" s="117" t="n">
        <f aca="false">((+AS15+E15-AT15)/AT15)</f>
        <v>0.0635813831185906</v>
      </c>
      <c r="AI15" s="150"/>
      <c r="AJ15" s="150" t="n">
        <f aca="false">((+AU15+E15-AV15)/AV15)</f>
        <v>0.298767967145791</v>
      </c>
      <c r="AK15" s="150"/>
      <c r="AL15" s="152" t="n">
        <f aca="false">((+AW15+E15-AX15)/AX15)</f>
        <v>1.23456790123457</v>
      </c>
      <c r="AM15" s="136"/>
      <c r="AN15" s="169" t="n">
        <f aca="false">AP15/E15</f>
        <v>0.00316455696202532</v>
      </c>
      <c r="AO15" s="170"/>
      <c r="AP15" s="118" t="n">
        <f aca="false">DDE("REUTER","IDN","CGP,DIVIDEND")</f>
        <v>0.25</v>
      </c>
      <c r="AQ15" s="171" t="n">
        <v>36767</v>
      </c>
      <c r="AR15" s="120" t="n">
        <f aca="false">0.125/2</f>
        <v>0.0625</v>
      </c>
      <c r="AS15" s="141"/>
      <c r="AT15" s="157" t="n">
        <v>74.27734375</v>
      </c>
      <c r="AU15" s="141" t="n">
        <v>0.0625</v>
      </c>
      <c r="AV15" s="157" t="n">
        <v>60.875</v>
      </c>
      <c r="AW15" s="141" t="n">
        <f aca="false">0.0625+0.0625+0.0625</f>
        <v>0.1875</v>
      </c>
      <c r="AX15" s="157" t="n">
        <v>35.4375</v>
      </c>
    </row>
    <row r="16" customFormat="false" ht="15" hidden="false" customHeight="false" outlineLevel="0" collapsed="false">
      <c r="A16" s="142" t="s">
        <v>59</v>
      </c>
      <c r="B16" s="53"/>
      <c r="C16" s="167" t="s">
        <v>60</v>
      </c>
      <c r="D16" s="53"/>
      <c r="E16" s="172" t="n">
        <f aca="false">DDE("REUTER","IDN","D")</f>
        <v>58.89453125</v>
      </c>
      <c r="F16" s="53"/>
      <c r="G16" s="145" t="n">
        <v>3.24</v>
      </c>
      <c r="H16" s="127"/>
      <c r="I16" s="146" t="n">
        <f aca="false">E16/G16</f>
        <v>18.1773244598765</v>
      </c>
      <c r="J16" s="53"/>
      <c r="K16" s="145" t="n">
        <v>3.34</v>
      </c>
      <c r="L16" s="54"/>
      <c r="M16" s="146" t="n">
        <f aca="false">E16/K16</f>
        <v>17.6330931886228</v>
      </c>
      <c r="N16" s="53"/>
      <c r="O16" s="145" t="n">
        <v>3.24</v>
      </c>
      <c r="P16" s="127"/>
      <c r="Q16" s="146" t="n">
        <f aca="false">M16/O16</f>
        <v>5.44231271253789</v>
      </c>
      <c r="R16" s="53"/>
      <c r="S16" s="147" t="n">
        <v>2.87</v>
      </c>
      <c r="T16" s="146" t="n">
        <f aca="false">E16/S16</f>
        <v>20.5207425958188</v>
      </c>
      <c r="U16" s="148"/>
      <c r="V16" s="149" t="n">
        <f aca="false">(S16-K16)/K16</f>
        <v>-0.140718562874251</v>
      </c>
      <c r="W16" s="150"/>
      <c r="X16" s="147" t="n">
        <v>3.3</v>
      </c>
      <c r="Y16" s="151"/>
      <c r="Z16" s="146" t="n">
        <f aca="false">E16/X16</f>
        <v>17.8468276515152</v>
      </c>
      <c r="AA16" s="148"/>
      <c r="AB16" s="147" t="n">
        <v>3.81</v>
      </c>
      <c r="AC16" s="151"/>
      <c r="AD16" s="146" t="n">
        <f aca="false">E16/AB16</f>
        <v>15.4578822178478</v>
      </c>
      <c r="AE16" s="148"/>
      <c r="AF16" s="149" t="n">
        <f aca="false">(X16-S16)/S16</f>
        <v>0.149825783972125</v>
      </c>
      <c r="AG16" s="150"/>
      <c r="AH16" s="117" t="n">
        <f aca="false">((+AS16+E16-AT16)/AT16)</f>
        <v>0.0305536568694463</v>
      </c>
      <c r="AI16" s="150"/>
      <c r="AJ16" s="150" t="n">
        <f aca="false">((+AU16+E16-AV16)/AV16)</f>
        <v>0.388677113702624</v>
      </c>
      <c r="AK16" s="150"/>
      <c r="AL16" s="152" t="n">
        <f aca="false">((+AW16+E16-AX16)/AX16)</f>
        <v>0.549796974522293</v>
      </c>
      <c r="AM16" s="136"/>
      <c r="AN16" s="169" t="n">
        <f aca="false">AP16/E16</f>
        <v>0.0438071234330437</v>
      </c>
      <c r="AO16" s="170"/>
      <c r="AP16" s="118" t="n">
        <f aca="false">DDE("REUTER","IDN","D,DIVIDEND")</f>
        <v>2.58</v>
      </c>
      <c r="AQ16" s="171" t="n">
        <v>36761</v>
      </c>
      <c r="AR16" s="120" t="n">
        <v>0.645</v>
      </c>
      <c r="AS16" s="141"/>
      <c r="AT16" s="157" t="n">
        <v>57.1484375</v>
      </c>
      <c r="AU16" s="141" t="n">
        <v>0.645</v>
      </c>
      <c r="AV16" s="157" t="n">
        <v>42.875</v>
      </c>
      <c r="AW16" s="141" t="n">
        <f aca="false">0.645+0.645+0.645</f>
        <v>1.935</v>
      </c>
      <c r="AX16" s="157" t="n">
        <v>39.25</v>
      </c>
    </row>
    <row r="17" customFormat="false" ht="15" hidden="false" customHeight="false" outlineLevel="0" collapsed="false">
      <c r="A17" s="142" t="s">
        <v>61</v>
      </c>
      <c r="B17" s="53"/>
      <c r="C17" s="167" t="s">
        <v>62</v>
      </c>
      <c r="D17" s="53"/>
      <c r="E17" s="143" t="n">
        <f aca="false">DDE("REUTER","IDN","DUK")</f>
        <v>81.26953125</v>
      </c>
      <c r="F17" s="53"/>
      <c r="G17" s="145"/>
      <c r="H17" s="168"/>
      <c r="I17" s="146"/>
      <c r="J17" s="53"/>
      <c r="K17" s="145" t="n">
        <v>2.95</v>
      </c>
      <c r="L17" s="54"/>
      <c r="M17" s="146" t="n">
        <f aca="false">E17/K17</f>
        <v>27.5489936440678</v>
      </c>
      <c r="N17" s="53"/>
      <c r="O17" s="145"/>
      <c r="P17" s="168"/>
      <c r="Q17" s="146"/>
      <c r="R17" s="53"/>
      <c r="S17" s="147" t="n">
        <v>3.38</v>
      </c>
      <c r="T17" s="146" t="n">
        <f aca="false">E17/S17</f>
        <v>24.0442400147929</v>
      </c>
      <c r="U17" s="148"/>
      <c r="V17" s="149" t="n">
        <f aca="false">(S17-K17)/K17</f>
        <v>0.145762711864407</v>
      </c>
      <c r="W17" s="150"/>
      <c r="X17" s="147" t="n">
        <v>4.07</v>
      </c>
      <c r="Y17" s="151"/>
      <c r="Z17" s="146" t="n">
        <f aca="false">E17/X17</f>
        <v>19.9679437960688</v>
      </c>
      <c r="AA17" s="148"/>
      <c r="AB17" s="147" t="n">
        <v>4.47</v>
      </c>
      <c r="AC17" s="151"/>
      <c r="AD17" s="146" t="n">
        <f aca="false">E17/AB17</f>
        <v>18.1811031879195</v>
      </c>
      <c r="AE17" s="148"/>
      <c r="AF17" s="149" t="n">
        <f aca="false">(X17-S17)/S17</f>
        <v>0.20414201183432</v>
      </c>
      <c r="AG17" s="150"/>
      <c r="AH17" s="117" t="n">
        <f aca="false">((+AS17+E17-AT17)/AT17)</f>
        <v>0.0116211222405913</v>
      </c>
      <c r="AI17" s="150"/>
      <c r="AJ17" s="150" t="n">
        <f aca="false">((+AU17+E17-AV17)/AV17)</f>
        <v>0.451344235033259</v>
      </c>
      <c r="AK17" s="150"/>
      <c r="AL17" s="152" t="n">
        <f aca="false">((+AW17+E17-AX17)/AX17)</f>
        <v>0.654254987531172</v>
      </c>
      <c r="AM17" s="136"/>
      <c r="AN17" s="169" t="n">
        <f aca="false">AP17/E17</f>
        <v>0.027070415765441</v>
      </c>
      <c r="AO17" s="170"/>
      <c r="AP17" s="118" t="n">
        <f aca="false">DDE("REUTER","IDN","DUK,DIVIDEND")</f>
        <v>2.2</v>
      </c>
      <c r="AQ17" s="171" t="s">
        <v>63</v>
      </c>
      <c r="AR17" s="120" t="n">
        <v>0.55</v>
      </c>
      <c r="AS17" s="141"/>
      <c r="AT17" s="157" t="n">
        <v>80.3359375</v>
      </c>
      <c r="AU17" s="141" t="n">
        <v>0.55</v>
      </c>
      <c r="AV17" s="157" t="n">
        <v>56.375</v>
      </c>
      <c r="AW17" s="141" t="n">
        <f aca="false">0.55+0.55+0.55</f>
        <v>1.65</v>
      </c>
      <c r="AX17" s="157" t="n">
        <v>50.125</v>
      </c>
    </row>
    <row r="18" customFormat="false" ht="15.75" hidden="false" customHeight="false" outlineLevel="0" collapsed="false">
      <c r="A18" s="142" t="s">
        <v>64</v>
      </c>
      <c r="B18" s="53"/>
      <c r="C18" s="167" t="s">
        <v>65</v>
      </c>
      <c r="D18" s="53"/>
      <c r="E18" s="143" t="n">
        <f aca="false">DDE("REUTER","IDN","DYN")</f>
        <v>56</v>
      </c>
      <c r="F18" s="53"/>
      <c r="G18" s="145"/>
      <c r="H18" s="168"/>
      <c r="I18" s="146"/>
      <c r="J18" s="53"/>
      <c r="K18" s="145" t="n">
        <v>0.7</v>
      </c>
      <c r="L18" s="54"/>
      <c r="M18" s="146" t="n">
        <f aca="false">E18/K18</f>
        <v>80</v>
      </c>
      <c r="N18" s="53"/>
      <c r="O18" s="145"/>
      <c r="P18" s="168"/>
      <c r="Q18" s="146"/>
      <c r="R18" s="53"/>
      <c r="S18" s="147" t="n">
        <v>0.58</v>
      </c>
      <c r="T18" s="146" t="n">
        <f aca="false">E18/S18</f>
        <v>96.5517241379311</v>
      </c>
      <c r="U18" s="148"/>
      <c r="V18" s="149" t="n">
        <f aca="false">(S18-K18)/K18</f>
        <v>-0.171428571428571</v>
      </c>
      <c r="W18" s="150"/>
      <c r="X18" s="147" t="n">
        <v>1.3</v>
      </c>
      <c r="Y18" s="151"/>
      <c r="Z18" s="146" t="n">
        <f aca="false">E18/X18</f>
        <v>43.0769230769231</v>
      </c>
      <c r="AA18" s="148"/>
      <c r="AB18" s="147" t="n">
        <v>1.62</v>
      </c>
      <c r="AC18" s="173"/>
      <c r="AD18" s="146" t="n">
        <f aca="false">E18/AB18</f>
        <v>34.5679012345679</v>
      </c>
      <c r="AE18" s="148"/>
      <c r="AF18" s="149" t="n">
        <f aca="false">(X18-S18)/S18</f>
        <v>1.24137931034483</v>
      </c>
      <c r="AG18" s="150"/>
      <c r="AH18" s="117" t="n">
        <f aca="false">((+AS18+E18-AT18)/AT18)</f>
        <v>0.115294849852186</v>
      </c>
      <c r="AI18" s="150"/>
      <c r="AJ18" s="150" t="n">
        <f aca="false">((+AU18+E18-AV18)/AV18)</f>
        <v>0.641813918911191</v>
      </c>
      <c r="AK18" s="150"/>
      <c r="AL18" s="152" t="n">
        <f aca="false">((+AW18+E18-AX18)/AX18)</f>
        <v>2.18838917840617</v>
      </c>
      <c r="AM18" s="136"/>
      <c r="AN18" s="169" t="n">
        <f aca="false">AP18/E18</f>
        <v>0.00535714285714286</v>
      </c>
      <c r="AO18" s="170"/>
      <c r="AP18" s="118" t="n">
        <f aca="false">DDE("REUTER","IDN","DYN,DIVIDEND")</f>
        <v>0.3</v>
      </c>
      <c r="AQ18" s="171" t="n">
        <v>36767</v>
      </c>
      <c r="AR18" s="120" t="n">
        <v>0.075</v>
      </c>
      <c r="AS18" s="141"/>
      <c r="AT18" s="174" t="n">
        <v>50.2109375</v>
      </c>
      <c r="AU18" s="141" t="n">
        <v>0.075</v>
      </c>
      <c r="AV18" s="157" t="n">
        <f aca="false">68.30859375/2</f>
        <v>34.154296875</v>
      </c>
      <c r="AW18" s="141" t="n">
        <f aca="false">(0.04451+0.15)/2+0.075</f>
        <v>0.172255</v>
      </c>
      <c r="AX18" s="157" t="n">
        <f aca="false">24.3125/0.69/2</f>
        <v>17.6177536231884</v>
      </c>
    </row>
    <row r="19" customFormat="false" ht="15" hidden="false" customHeight="false" outlineLevel="0" collapsed="false">
      <c r="A19" s="142" t="s">
        <v>66</v>
      </c>
      <c r="B19" s="53"/>
      <c r="C19" s="167" t="s">
        <v>67</v>
      </c>
      <c r="D19" s="53"/>
      <c r="E19" s="143" t="n">
        <f aca="false">DDE("REUTER","IDN","EPG")</f>
        <v>66</v>
      </c>
      <c r="F19" s="53"/>
      <c r="G19" s="145" t="n">
        <v>2.85</v>
      </c>
      <c r="H19" s="168" t="s">
        <v>45</v>
      </c>
      <c r="I19" s="146" t="n">
        <f aca="false">E19/G19</f>
        <v>23.1578947368421</v>
      </c>
      <c r="J19" s="53"/>
      <c r="K19" s="145" t="n">
        <v>3.18</v>
      </c>
      <c r="L19" s="54"/>
      <c r="M19" s="146" t="n">
        <f aca="false">E19/K19</f>
        <v>20.7547169811321</v>
      </c>
      <c r="N19" s="53"/>
      <c r="O19" s="145" t="n">
        <v>2.85</v>
      </c>
      <c r="P19" s="168" t="s">
        <v>45</v>
      </c>
      <c r="Q19" s="146" t="n">
        <f aca="false">M19/O19</f>
        <v>7.28235683548494</v>
      </c>
      <c r="R19" s="53"/>
      <c r="S19" s="147" t="n">
        <v>1.83</v>
      </c>
      <c r="T19" s="146" t="n">
        <f aca="false">E19/S19</f>
        <v>36.0655737704918</v>
      </c>
      <c r="U19" s="148"/>
      <c r="V19" s="149" t="n">
        <f aca="false">(S19-K19)/K19</f>
        <v>-0.424528301886792</v>
      </c>
      <c r="W19" s="150"/>
      <c r="X19" s="147" t="n">
        <v>2.58</v>
      </c>
      <c r="Y19" s="151"/>
      <c r="Z19" s="146" t="n">
        <f aca="false">E19/X19</f>
        <v>25.5813953488372</v>
      </c>
      <c r="AA19" s="148"/>
      <c r="AB19" s="147" t="n">
        <v>3.15</v>
      </c>
      <c r="AC19" s="151"/>
      <c r="AD19" s="146" t="n">
        <f aca="false">E19/AB19</f>
        <v>20.952380952381</v>
      </c>
      <c r="AE19" s="148"/>
      <c r="AF19" s="149" t="n">
        <f aca="false">(X19-S19)/S19</f>
        <v>0.409836065573771</v>
      </c>
      <c r="AG19" s="150"/>
      <c r="AH19" s="117" t="n">
        <f aca="false">((+AS19+E19-AT19)/AT19)</f>
        <v>0.0538922155688623</v>
      </c>
      <c r="AI19" s="150"/>
      <c r="AJ19" s="150" t="n">
        <f aca="false">((+AU19+E19-AV19)/AV19)</f>
        <v>0.299749693251534</v>
      </c>
      <c r="AK19" s="150"/>
      <c r="AL19" s="152" t="n">
        <f aca="false">((+AW19+E19-AX19)/AX19)</f>
        <v>0.716405797101449</v>
      </c>
      <c r="AM19" s="136"/>
      <c r="AN19" s="169" t="n">
        <f aca="false">AP19/E19</f>
        <v>0.0124242424242424</v>
      </c>
      <c r="AO19" s="170"/>
      <c r="AP19" s="118" t="n">
        <f aca="false">DDE("REUTER","IDN","EPG,DIVIDEND")</f>
        <v>0.82</v>
      </c>
      <c r="AQ19" s="171" t="n">
        <v>36768</v>
      </c>
      <c r="AR19" s="120" t="n">
        <v>0.206</v>
      </c>
      <c r="AS19" s="141"/>
      <c r="AT19" s="157" t="n">
        <v>62.625</v>
      </c>
      <c r="AU19" s="141" t="n">
        <v>0.206</v>
      </c>
      <c r="AV19" s="157" t="n">
        <v>50.9375</v>
      </c>
      <c r="AW19" s="141" t="n">
        <f aca="false">0.206+0.206+0.206</f>
        <v>0.618</v>
      </c>
      <c r="AX19" s="157" t="n">
        <v>38.8125</v>
      </c>
    </row>
    <row r="20" customFormat="false" ht="15" hidden="false" customHeight="false" outlineLevel="0" collapsed="false">
      <c r="A20" s="142" t="s">
        <v>68</v>
      </c>
      <c r="B20" s="53"/>
      <c r="C20" s="167" t="s">
        <v>69</v>
      </c>
      <c r="D20" s="53"/>
      <c r="E20" s="143" t="n">
        <f aca="false">DDE("REUTER","IDN","KMI")</f>
        <v>40.875</v>
      </c>
      <c r="F20" s="53"/>
      <c r="G20" s="145"/>
      <c r="H20" s="168"/>
      <c r="I20" s="146"/>
      <c r="J20" s="53"/>
      <c r="K20" s="145" t="n">
        <v>2.43</v>
      </c>
      <c r="L20" s="54"/>
      <c r="M20" s="146" t="n">
        <f aca="false">E20/K20</f>
        <v>16.820987654321</v>
      </c>
      <c r="N20" s="53"/>
      <c r="O20" s="145"/>
      <c r="P20" s="168"/>
      <c r="Q20" s="146"/>
      <c r="R20" s="53"/>
      <c r="S20" s="147" t="n">
        <v>1.17</v>
      </c>
      <c r="T20" s="146" t="n">
        <f aca="false">E20/S20</f>
        <v>34.9358974358974</v>
      </c>
      <c r="U20" s="148"/>
      <c r="V20" s="149"/>
      <c r="W20" s="150"/>
      <c r="X20" s="147" t="n">
        <v>1.24</v>
      </c>
      <c r="Y20" s="151"/>
      <c r="Z20" s="146" t="n">
        <f aca="false">E20/X20</f>
        <v>32.9637096774194</v>
      </c>
      <c r="AA20" s="148"/>
      <c r="AB20" s="147" t="n">
        <v>1.56</v>
      </c>
      <c r="AC20" s="151"/>
      <c r="AD20" s="146" t="n">
        <f aca="false">E20/AB20</f>
        <v>26.2019230769231</v>
      </c>
      <c r="AE20" s="148"/>
      <c r="AF20" s="149" t="n">
        <f aca="false">(X20-S20)/S20</f>
        <v>0.0598290598290599</v>
      </c>
      <c r="AG20" s="150"/>
      <c r="AH20" s="117" t="n">
        <f aca="false">((+AS20+E20-AT20)/AT20)</f>
        <v>0.0283018867924528</v>
      </c>
      <c r="AI20" s="150"/>
      <c r="AJ20" s="150" t="n">
        <f aca="false">((+AU20+E20-AV20)/AV20)</f>
        <v>0.183551739719837</v>
      </c>
      <c r="AK20" s="150"/>
      <c r="AL20" s="152" t="n">
        <f aca="false">((+AW20+E20-AX20)/AX20)</f>
        <v>1.03219814241486</v>
      </c>
      <c r="AM20" s="136"/>
      <c r="AN20" s="169" t="n">
        <f aca="false">AP20/E20</f>
        <v>0.00489296636085627</v>
      </c>
      <c r="AO20" s="170"/>
      <c r="AP20" s="118" t="n">
        <f aca="false">DDE("REUTER","IDN","KMI,DIVIDEND")</f>
        <v>0.2</v>
      </c>
      <c r="AQ20" s="171" t="n">
        <v>36734</v>
      </c>
      <c r="AR20" s="120" t="n">
        <v>0.05</v>
      </c>
      <c r="AS20" s="141"/>
      <c r="AT20" s="157" t="n">
        <v>39.75</v>
      </c>
      <c r="AU20" s="141" t="n">
        <v>0.05</v>
      </c>
      <c r="AV20" s="157" t="n">
        <v>34.578125</v>
      </c>
      <c r="AW20" s="141" t="n">
        <f aca="false">0.05+0.05+0.05</f>
        <v>0.15</v>
      </c>
      <c r="AX20" s="157" t="n">
        <v>20.1875</v>
      </c>
    </row>
    <row r="21" customFormat="false" ht="15" hidden="false" customHeight="false" outlineLevel="0" collapsed="false">
      <c r="A21" s="53" t="s">
        <v>70</v>
      </c>
      <c r="B21" s="53"/>
      <c r="C21" s="167" t="s">
        <v>71</v>
      </c>
      <c r="D21" s="53"/>
      <c r="E21" s="143" t="n">
        <f aca="false">DDE("REUTER","IDN","PCG")</f>
        <v>28.3125</v>
      </c>
      <c r="F21" s="53"/>
      <c r="G21" s="145" t="n">
        <v>2.88</v>
      </c>
      <c r="H21" s="168" t="s">
        <v>45</v>
      </c>
      <c r="I21" s="146" t="n">
        <f aca="false">E21/G21</f>
        <v>9.83072916666667</v>
      </c>
      <c r="J21" s="53"/>
      <c r="K21" s="145" t="n">
        <v>3.48</v>
      </c>
      <c r="L21" s="54"/>
      <c r="M21" s="146" t="n">
        <f aca="false">E21/K21</f>
        <v>8.13577586206897</v>
      </c>
      <c r="N21" s="53"/>
      <c r="O21" s="145" t="n">
        <v>2.88</v>
      </c>
      <c r="P21" s="168" t="s">
        <v>45</v>
      </c>
      <c r="Q21" s="146" t="n">
        <f aca="false">M21/O21</f>
        <v>2.8249221743295</v>
      </c>
      <c r="R21" s="53"/>
      <c r="S21" s="147" t="n">
        <v>1.79</v>
      </c>
      <c r="T21" s="146" t="n">
        <f aca="false">E21/S21</f>
        <v>15.8170391061453</v>
      </c>
      <c r="U21" s="148"/>
      <c r="V21" s="149" t="n">
        <f aca="false">(S21-K21)/K21</f>
        <v>-0.485632183908046</v>
      </c>
      <c r="W21" s="150"/>
      <c r="X21" s="147" t="n">
        <v>2.54</v>
      </c>
      <c r="Y21" s="151"/>
      <c r="Z21" s="146" t="n">
        <f aca="false">E21/X21</f>
        <v>11.1466535433071</v>
      </c>
      <c r="AA21" s="148"/>
      <c r="AB21" s="147" t="n">
        <v>2.75</v>
      </c>
      <c r="AC21" s="151"/>
      <c r="AD21" s="146" t="n">
        <f aca="false">E21/AB21</f>
        <v>10.2954545454545</v>
      </c>
      <c r="AE21" s="148"/>
      <c r="AF21" s="149" t="n">
        <f aca="false">(X21-S21)/S21</f>
        <v>0.418994413407821</v>
      </c>
      <c r="AG21" s="150"/>
      <c r="AH21" s="117" t="n">
        <f aca="false">((+AS21+E21-AT21)/AT21)</f>
        <v>-0.0626055797286921</v>
      </c>
      <c r="AI21" s="150"/>
      <c r="AJ21" s="150" t="n">
        <f aca="false">((+AU21+E21-AV21)/AV21)</f>
        <v>0.161928934010152</v>
      </c>
      <c r="AK21" s="150"/>
      <c r="AL21" s="152" t="n">
        <f aca="false">((+AW21+E21-AX21)/AX21)</f>
        <v>0.425</v>
      </c>
      <c r="AM21" s="136"/>
      <c r="AN21" s="169" t="n">
        <f aca="false">AP21/E21</f>
        <v>0.0423841059602649</v>
      </c>
      <c r="AO21" s="170"/>
      <c r="AP21" s="118" t="n">
        <f aca="false">DDE("REUTER","IDN","PCG,DIVIDEND")</f>
        <v>1.2</v>
      </c>
      <c r="AQ21" s="171" t="n">
        <v>36782</v>
      </c>
      <c r="AR21" s="120" t="n">
        <v>0.3</v>
      </c>
      <c r="AS21" s="141" t="n">
        <v>0.3</v>
      </c>
      <c r="AT21" s="157" t="n">
        <v>30.5234375</v>
      </c>
      <c r="AU21" s="141" t="n">
        <v>0.3</v>
      </c>
      <c r="AV21" s="157" t="n">
        <v>24.625</v>
      </c>
      <c r="AW21" s="141" t="n">
        <f aca="false">0.3+0.3+0.3</f>
        <v>0.9</v>
      </c>
      <c r="AX21" s="157" t="n">
        <v>20.5</v>
      </c>
    </row>
    <row r="22" customFormat="false" ht="15" hidden="false" customHeight="false" outlineLevel="0" collapsed="false">
      <c r="A22" s="142" t="s">
        <v>72</v>
      </c>
      <c r="B22" s="53"/>
      <c r="C22" s="167" t="s">
        <v>73</v>
      </c>
      <c r="D22" s="53"/>
      <c r="E22" s="143" t="n">
        <f aca="false">DDE("REUTER","IDN","TRP")</f>
        <v>9.3125</v>
      </c>
      <c r="F22" s="53"/>
      <c r="G22" s="145"/>
      <c r="H22" s="168"/>
      <c r="I22" s="146"/>
      <c r="J22" s="53"/>
      <c r="K22" s="145"/>
      <c r="L22" s="54"/>
      <c r="M22" s="146"/>
      <c r="N22" s="53"/>
      <c r="O22" s="145"/>
      <c r="P22" s="168"/>
      <c r="Q22" s="146"/>
      <c r="R22" s="53"/>
      <c r="S22" s="147" t="n">
        <v>1.15</v>
      </c>
      <c r="T22" s="146" t="n">
        <f aca="false">E22/S22</f>
        <v>8.09782608695652</v>
      </c>
      <c r="U22" s="148"/>
      <c r="V22" s="149"/>
      <c r="W22" s="150"/>
      <c r="X22" s="147" t="n">
        <v>0.77</v>
      </c>
      <c r="Y22" s="151"/>
      <c r="Z22" s="146" t="n">
        <f aca="false">E22/X22</f>
        <v>12.0941558441558</v>
      </c>
      <c r="AA22" s="148"/>
      <c r="AB22" s="147" t="n">
        <v>0.82</v>
      </c>
      <c r="AC22" s="151"/>
      <c r="AD22" s="146" t="n">
        <f aca="false">E22/AB22</f>
        <v>11.3567073170732</v>
      </c>
      <c r="AE22" s="148"/>
      <c r="AF22" s="149" t="n">
        <f aca="false">(X22-S22)/S22</f>
        <v>-0.330434782608696</v>
      </c>
      <c r="AG22" s="150"/>
      <c r="AH22" s="117" t="n">
        <f aca="false">((+AS22+E22-AT22)/AT22)</f>
        <v>-0.00666666666666667</v>
      </c>
      <c r="AI22" s="150"/>
      <c r="AJ22" s="150" t="n">
        <f aca="false">((+AU22+E22-AV22)/AV22)</f>
        <v>0.221311475409836</v>
      </c>
      <c r="AK22" s="150"/>
      <c r="AL22" s="152" t="n">
        <f aca="false">((+AW22+E22-AX22)/AX22)</f>
        <v>0.11</v>
      </c>
      <c r="AM22" s="136"/>
      <c r="AN22" s="169" t="n">
        <f aca="false">AP22/E22</f>
        <v>0.0859060402684564</v>
      </c>
      <c r="AO22" s="170"/>
      <c r="AP22" s="175" t="n">
        <f aca="false">AR22*4</f>
        <v>0.8</v>
      </c>
      <c r="AQ22" s="171" t="n">
        <v>36797</v>
      </c>
      <c r="AR22" s="120" t="n">
        <v>0.2</v>
      </c>
      <c r="AS22" s="141"/>
      <c r="AT22" s="157" t="n">
        <v>9.375</v>
      </c>
      <c r="AU22" s="141"/>
      <c r="AV22" s="157" t="n">
        <v>7.625</v>
      </c>
      <c r="AW22" s="141" t="n">
        <f aca="false">0.2+0.2</f>
        <v>0.4</v>
      </c>
      <c r="AX22" s="157" t="n">
        <v>8.75</v>
      </c>
    </row>
    <row r="23" customFormat="false" ht="15" hidden="false" customHeight="false" outlineLevel="0" collapsed="false">
      <c r="A23" s="142" t="s">
        <v>74</v>
      </c>
      <c r="B23" s="53"/>
      <c r="C23" s="167" t="s">
        <v>75</v>
      </c>
      <c r="D23" s="53"/>
      <c r="E23" s="143" t="n">
        <f aca="false">DDE("REUTER","IDN","WMB")</f>
        <v>45.9375</v>
      </c>
      <c r="F23" s="53"/>
      <c r="G23" s="145" t="n">
        <v>2.08</v>
      </c>
      <c r="H23" s="168" t="s">
        <v>45</v>
      </c>
      <c r="I23" s="146" t="n">
        <f aca="false">E23/G23</f>
        <v>22.0853365384615</v>
      </c>
      <c r="J23" s="53"/>
      <c r="K23" s="145" t="n">
        <v>1.04</v>
      </c>
      <c r="L23" s="54"/>
      <c r="M23" s="146" t="n">
        <f aca="false">E23/K23</f>
        <v>44.1706730769231</v>
      </c>
      <c r="N23" s="53"/>
      <c r="O23" s="145" t="n">
        <v>2.08</v>
      </c>
      <c r="P23" s="168" t="s">
        <v>45</v>
      </c>
      <c r="Q23" s="146" t="n">
        <f aca="false">M23/O23</f>
        <v>21.2359005177515</v>
      </c>
      <c r="R23" s="53"/>
      <c r="S23" s="147" t="n">
        <v>0.82</v>
      </c>
      <c r="T23" s="146" t="n">
        <f aca="false">E23/S23</f>
        <v>56.0213414634146</v>
      </c>
      <c r="U23" s="148"/>
      <c r="V23" s="149" t="n">
        <f aca="false">(S23-K23)/K23</f>
        <v>-0.211538461538462</v>
      </c>
      <c r="W23" s="150"/>
      <c r="X23" s="147" t="n">
        <v>1.09</v>
      </c>
      <c r="Y23" s="151"/>
      <c r="Z23" s="146" t="n">
        <f aca="false">E23/X23</f>
        <v>42.144495412844</v>
      </c>
      <c r="AA23" s="148"/>
      <c r="AB23" s="147" t="n">
        <v>1.16</v>
      </c>
      <c r="AC23" s="151"/>
      <c r="AD23" s="146" t="n">
        <f aca="false">E23/AB23</f>
        <v>39.6012931034483</v>
      </c>
      <c r="AE23" s="148"/>
      <c r="AF23" s="149" t="n">
        <f aca="false">(X23-S23)/S23</f>
        <v>0.329268292682927</v>
      </c>
      <c r="AG23" s="150"/>
      <c r="AH23" s="117" t="n">
        <f aca="false">((+AS23+E23-AT23)/AT23)</f>
        <v>0</v>
      </c>
      <c r="AI23" s="150"/>
      <c r="AJ23" s="150" t="n">
        <f aca="false">((+AU23+E23-AV23)/AV23)</f>
        <v>0.105443642837065</v>
      </c>
      <c r="AK23" s="150"/>
      <c r="AL23" s="152" t="n">
        <f aca="false">((+AW23+E23-AX23)/AX23)</f>
        <v>0.517791411042945</v>
      </c>
      <c r="AM23" s="136"/>
      <c r="AN23" s="169" t="n">
        <f aca="false">AP23/E23</f>
        <v>0.0130612244897959</v>
      </c>
      <c r="AO23" s="170"/>
      <c r="AP23" s="118" t="n">
        <f aca="false">DDE("REUTER","IDN","WMB,DIVIDEND")</f>
        <v>0.6</v>
      </c>
      <c r="AQ23" s="171" t="n">
        <v>36761</v>
      </c>
      <c r="AR23" s="120" t="n">
        <v>0.15</v>
      </c>
      <c r="AS23" s="141"/>
      <c r="AT23" s="157" t="n">
        <v>45.9375</v>
      </c>
      <c r="AU23" s="141" t="n">
        <v>0.15</v>
      </c>
      <c r="AV23" s="157" t="n">
        <v>41.69140625</v>
      </c>
      <c r="AW23" s="141" t="n">
        <f aca="false">0.15+0.15+0.15</f>
        <v>0.45</v>
      </c>
      <c r="AX23" s="157" t="n">
        <v>30.5625</v>
      </c>
    </row>
    <row r="24" customFormat="false" ht="10.5" hidden="false" customHeight="true" outlineLevel="0" collapsed="false">
      <c r="A24" s="176"/>
      <c r="B24" s="176"/>
      <c r="C24" s="177"/>
      <c r="D24" s="176"/>
      <c r="E24" s="143"/>
      <c r="F24" s="176"/>
      <c r="G24" s="178"/>
      <c r="H24" s="179"/>
      <c r="I24" s="160"/>
      <c r="J24" s="53"/>
      <c r="K24" s="178"/>
      <c r="L24" s="40"/>
      <c r="M24" s="160"/>
      <c r="N24" s="176"/>
      <c r="O24" s="178"/>
      <c r="P24" s="179"/>
      <c r="Q24" s="160"/>
      <c r="R24" s="53"/>
      <c r="S24" s="178"/>
      <c r="T24" s="160"/>
      <c r="U24" s="40"/>
      <c r="V24" s="149"/>
      <c r="W24" s="150"/>
      <c r="X24" s="178"/>
      <c r="Y24" s="40"/>
      <c r="Z24" s="160"/>
      <c r="AA24" s="40"/>
      <c r="AB24" s="178"/>
      <c r="AC24" s="40"/>
      <c r="AD24" s="161"/>
      <c r="AE24" s="40"/>
      <c r="AF24" s="149"/>
      <c r="AG24" s="150"/>
      <c r="AH24" s="117"/>
      <c r="AI24" s="150"/>
      <c r="AJ24" s="150"/>
      <c r="AK24" s="150"/>
      <c r="AL24" s="152"/>
      <c r="AM24" s="136"/>
      <c r="AN24" s="149"/>
      <c r="AO24" s="117"/>
      <c r="AP24" s="180"/>
      <c r="AQ24" s="181"/>
      <c r="AR24" s="182"/>
      <c r="AS24" s="183"/>
      <c r="AT24" s="166"/>
      <c r="AU24" s="164"/>
      <c r="AV24" s="184"/>
      <c r="AW24" s="185"/>
      <c r="AX24" s="184"/>
    </row>
    <row r="25" customFormat="false" ht="15" hidden="false" customHeight="false" outlineLevel="0" collapsed="false">
      <c r="A25" s="142" t="s">
        <v>76</v>
      </c>
      <c r="B25" s="53"/>
      <c r="C25" s="124"/>
      <c r="D25" s="53"/>
      <c r="E25" s="143"/>
      <c r="F25" s="53"/>
      <c r="G25" s="186"/>
      <c r="H25" s="187"/>
      <c r="I25" s="188" t="n">
        <f aca="false">AVERAGE(I13:I23)</f>
        <v>18.5680332387694</v>
      </c>
      <c r="J25" s="54"/>
      <c r="K25" s="186"/>
      <c r="L25" s="187"/>
      <c r="M25" s="188" t="n">
        <f aca="false">AVERAGE(M13:M23)</f>
        <v>26.5755173486269</v>
      </c>
      <c r="N25" s="53"/>
      <c r="O25" s="186"/>
      <c r="P25" s="187"/>
      <c r="Q25" s="188" t="n">
        <f aca="false">AVERAGE(Q13:Q23)</f>
        <v>7.22826781432342</v>
      </c>
      <c r="R25" s="54"/>
      <c r="S25" s="186"/>
      <c r="T25" s="188" t="n">
        <f aca="false">AVERAGE(T13:T23)</f>
        <v>33.7704647448636</v>
      </c>
      <c r="U25" s="148"/>
      <c r="V25" s="189" t="n">
        <f aca="false">AVERAGE(V13:V23)</f>
        <v>-0.257662181338382</v>
      </c>
      <c r="W25" s="150"/>
      <c r="X25" s="190"/>
      <c r="Y25" s="191"/>
      <c r="Z25" s="188" t="n">
        <f aca="false">AVERAGE(Z13:Z23)</f>
        <v>26.7494750900157</v>
      </c>
      <c r="AA25" s="148"/>
      <c r="AB25" s="192"/>
      <c r="AC25" s="193"/>
      <c r="AD25" s="188" t="n">
        <f aca="false">AVERAGE(AD13:AD23)</f>
        <v>22.7601034939476</v>
      </c>
      <c r="AE25" s="148"/>
      <c r="AF25" s="189" t="n">
        <f aca="false">AVERAGE(AF13:AF23)</f>
        <v>0.233296590130808</v>
      </c>
      <c r="AG25" s="150"/>
      <c r="AH25" s="194" t="n">
        <f aca="false">AVERAGE(AH13:AH23)</f>
        <v>0.0314790779326639</v>
      </c>
      <c r="AI25" s="195"/>
      <c r="AJ25" s="195" t="n">
        <f aca="false">AVERAGE(AJ13:AJ23)</f>
        <v>0.301260200307931</v>
      </c>
      <c r="AK25" s="195"/>
      <c r="AL25" s="196" t="n">
        <f aca="false">AVERAGE(AL13:AL23)</f>
        <v>0.760362024133382</v>
      </c>
      <c r="AM25" s="136"/>
      <c r="AN25" s="189" t="n">
        <f aca="false">AVERAGE(AN13:AN23)</f>
        <v>0.0227986505298882</v>
      </c>
      <c r="AO25" s="194"/>
      <c r="AP25" s="197"/>
      <c r="AQ25" s="198"/>
      <c r="AR25" s="199"/>
      <c r="AS25" s="200"/>
      <c r="AT25" s="201"/>
      <c r="AU25" s="200"/>
      <c r="AV25" s="202"/>
      <c r="AW25" s="201"/>
      <c r="AX25" s="202"/>
    </row>
    <row r="26" customFormat="false" ht="15" hidden="true" customHeight="false" outlineLevel="0" collapsed="false">
      <c r="A26" s="203" t="s">
        <v>77</v>
      </c>
      <c r="B26" s="176"/>
      <c r="C26" s="177"/>
      <c r="D26" s="176"/>
      <c r="E26" s="176"/>
      <c r="F26" s="176"/>
      <c r="G26" s="53"/>
      <c r="H26" s="53"/>
      <c r="I26" s="53"/>
      <c r="J26" s="53"/>
      <c r="K26" s="53"/>
      <c r="L26" s="53"/>
      <c r="M26" s="53"/>
      <c r="N26" s="176"/>
      <c r="O26" s="53"/>
      <c r="P26" s="53"/>
      <c r="Q26" s="53"/>
      <c r="R26" s="53"/>
      <c r="S26" s="53"/>
      <c r="T26" s="53"/>
      <c r="U26" s="54"/>
      <c r="V26" s="204"/>
      <c r="W26" s="130"/>
      <c r="X26" s="53"/>
      <c r="Y26" s="53"/>
      <c r="Z26" s="53"/>
      <c r="AA26" s="53"/>
      <c r="AB26" s="53"/>
      <c r="AC26" s="53"/>
      <c r="AD26" s="205"/>
      <c r="AE26" s="53"/>
      <c r="AF26" s="204"/>
      <c r="AG26" s="130"/>
      <c r="AH26" s="130"/>
      <c r="AI26" s="130"/>
      <c r="AJ26" s="130"/>
      <c r="AK26" s="130"/>
      <c r="AL26" s="204"/>
      <c r="AM26" s="136"/>
      <c r="AN26" s="136"/>
      <c r="AO26" s="136"/>
      <c r="AP26" s="206"/>
      <c r="AQ26" s="207"/>
      <c r="AS26" s="33"/>
    </row>
    <row r="27" customFormat="false" ht="15" hidden="false" customHeight="false" outlineLevel="0" collapsed="false">
      <c r="A27" s="203"/>
      <c r="B27" s="176"/>
      <c r="C27" s="177"/>
      <c r="D27" s="176"/>
      <c r="E27" s="176"/>
      <c r="F27" s="176"/>
      <c r="G27" s="53"/>
      <c r="H27" s="53"/>
      <c r="I27" s="53"/>
      <c r="J27" s="53"/>
      <c r="K27" s="53"/>
      <c r="L27" s="53"/>
      <c r="M27" s="53"/>
      <c r="N27" s="176"/>
      <c r="O27" s="53"/>
      <c r="P27" s="53"/>
      <c r="Q27" s="53"/>
      <c r="R27" s="53"/>
      <c r="S27" s="53"/>
      <c r="T27" s="53"/>
      <c r="U27" s="54"/>
      <c r="V27" s="204"/>
      <c r="W27" s="130"/>
      <c r="X27" s="53"/>
      <c r="Y27" s="53"/>
      <c r="Z27" s="53"/>
      <c r="AA27" s="53"/>
      <c r="AB27" s="53"/>
      <c r="AC27" s="53"/>
      <c r="AD27" s="205"/>
      <c r="AE27" s="53"/>
      <c r="AF27" s="204"/>
      <c r="AG27" s="130"/>
      <c r="AH27" s="130"/>
      <c r="AI27" s="130"/>
      <c r="AJ27" s="130"/>
      <c r="AK27" s="130"/>
      <c r="AL27" s="204"/>
      <c r="AM27" s="136"/>
      <c r="AN27" s="136"/>
      <c r="AO27" s="136"/>
      <c r="AP27" s="206"/>
      <c r="AQ27" s="207"/>
      <c r="AS27" s="33"/>
    </row>
    <row r="28" customFormat="false" ht="15" hidden="false" customHeight="false" outlineLevel="0" collapsed="false">
      <c r="B28" s="176"/>
      <c r="C28" s="177"/>
      <c r="D28" s="176"/>
      <c r="E28" s="176"/>
      <c r="F28" s="176"/>
      <c r="G28" s="53"/>
      <c r="H28" s="53"/>
      <c r="I28" s="53"/>
      <c r="J28" s="53"/>
      <c r="K28" s="53"/>
      <c r="L28" s="53"/>
      <c r="M28" s="53"/>
      <c r="N28" s="176"/>
      <c r="O28" s="53"/>
      <c r="P28" s="53"/>
      <c r="Q28" s="53"/>
      <c r="R28" s="53"/>
      <c r="S28" s="53"/>
      <c r="T28" s="53"/>
      <c r="U28" s="54"/>
      <c r="V28" s="204"/>
      <c r="W28" s="130"/>
      <c r="X28" s="55" t="n">
        <v>2000</v>
      </c>
      <c r="Y28" s="55"/>
      <c r="Z28" s="55"/>
      <c r="AA28" s="53"/>
      <c r="AB28" s="55" t="n">
        <v>2001</v>
      </c>
      <c r="AC28" s="55"/>
      <c r="AD28" s="55"/>
      <c r="AE28" s="53"/>
      <c r="AF28" s="204"/>
      <c r="AG28" s="130"/>
      <c r="AH28" s="58" t="s">
        <v>16</v>
      </c>
      <c r="AI28" s="58"/>
      <c r="AJ28" s="58"/>
      <c r="AK28" s="58"/>
      <c r="AL28" s="58"/>
      <c r="AN28" s="59"/>
      <c r="AO28" s="136"/>
      <c r="AP28" s="206"/>
      <c r="AQ28" s="207"/>
      <c r="AS28" s="33"/>
    </row>
    <row r="29" customFormat="false" ht="15" hidden="false" customHeight="false" outlineLevel="0" collapsed="false">
      <c r="B29" s="176"/>
      <c r="C29" s="177"/>
      <c r="D29" s="176"/>
      <c r="E29" s="176"/>
      <c r="F29" s="176"/>
      <c r="G29" s="53"/>
      <c r="H29" s="53"/>
      <c r="I29" s="53"/>
      <c r="J29" s="53"/>
      <c r="K29" s="53"/>
      <c r="L29" s="53"/>
      <c r="M29" s="53"/>
      <c r="N29" s="176"/>
      <c r="O29" s="53"/>
      <c r="P29" s="53"/>
      <c r="Q29" s="53"/>
      <c r="R29" s="53"/>
      <c r="S29" s="53"/>
      <c r="T29" s="53"/>
      <c r="U29" s="54"/>
      <c r="V29" s="204"/>
      <c r="W29" s="130"/>
      <c r="X29" s="73" t="s">
        <v>19</v>
      </c>
      <c r="Y29" s="54"/>
      <c r="Z29" s="128"/>
      <c r="AA29" s="53"/>
      <c r="AB29" s="73" t="s">
        <v>19</v>
      </c>
      <c r="AC29" s="54"/>
      <c r="AD29" s="128"/>
      <c r="AE29" s="53"/>
      <c r="AF29" s="204"/>
      <c r="AG29" s="130"/>
      <c r="AH29" s="70" t="s">
        <v>21</v>
      </c>
      <c r="AI29" s="66"/>
      <c r="AJ29" s="66" t="s">
        <v>22</v>
      </c>
      <c r="AK29" s="66"/>
      <c r="AL29" s="71" t="s">
        <v>23</v>
      </c>
      <c r="AN29" s="72" t="s">
        <v>24</v>
      </c>
      <c r="AO29" s="136"/>
      <c r="AP29" s="206"/>
      <c r="AQ29" s="207"/>
      <c r="AS29" s="33"/>
      <c r="AT29" s="208" t="n">
        <v>36777</v>
      </c>
      <c r="AV29" s="208" t="n">
        <f aca="false">+AV5</f>
        <v>36707</v>
      </c>
      <c r="AX29" s="208" t="str">
        <f aca="false">+AX6</f>
        <v>12/31/99 Closing </v>
      </c>
    </row>
    <row r="30" customFormat="false" ht="15.75" hidden="false" customHeight="false" outlineLevel="0" collapsed="false">
      <c r="A30" s="209" t="s">
        <v>78</v>
      </c>
      <c r="B30" s="176"/>
      <c r="C30" s="177"/>
      <c r="D30" s="176"/>
      <c r="E30" s="176"/>
      <c r="F30" s="176"/>
      <c r="G30" s="53"/>
      <c r="H30" s="53"/>
      <c r="I30" s="53"/>
      <c r="J30" s="53"/>
      <c r="K30" s="53"/>
      <c r="L30" s="53"/>
      <c r="M30" s="53"/>
      <c r="N30" s="176"/>
      <c r="O30" s="53"/>
      <c r="P30" s="53"/>
      <c r="Q30" s="53"/>
      <c r="R30" s="53"/>
      <c r="S30" s="53"/>
      <c r="T30" s="53"/>
      <c r="U30" s="54"/>
      <c r="V30" s="204"/>
      <c r="W30" s="130"/>
      <c r="X30" s="210" t="s">
        <v>79</v>
      </c>
      <c r="Y30" s="211"/>
      <c r="Z30" s="212" t="s">
        <v>80</v>
      </c>
      <c r="AA30" s="213"/>
      <c r="AB30" s="210" t="s">
        <v>79</v>
      </c>
      <c r="AC30" s="211"/>
      <c r="AD30" s="212" t="s">
        <v>80</v>
      </c>
      <c r="AE30" s="211"/>
      <c r="AF30" s="214"/>
      <c r="AG30" s="214"/>
      <c r="AH30" s="215" t="s">
        <v>32</v>
      </c>
      <c r="AI30" s="216"/>
      <c r="AJ30" s="216" t="s">
        <v>33</v>
      </c>
      <c r="AK30" s="216"/>
      <c r="AL30" s="217" t="s">
        <v>33</v>
      </c>
      <c r="AM30" s="218"/>
      <c r="AN30" s="219" t="s">
        <v>34</v>
      </c>
      <c r="AO30" s="136"/>
      <c r="AP30" s="206"/>
      <c r="AQ30" s="207"/>
      <c r="AS30" s="33"/>
      <c r="AT30" s="95"/>
      <c r="AV30" s="95" t="s">
        <v>40</v>
      </c>
    </row>
    <row r="31" customFormat="false" ht="15" hidden="false" customHeight="false" outlineLevel="0" collapsed="false">
      <c r="A31" s="220" t="str">
        <f aca="false">'[1]7-07-00'!$A$17</f>
        <v>Akamai*</v>
      </c>
      <c r="B31" s="53"/>
      <c r="C31" s="124" t="str">
        <f aca="false">'[1]7-07-00'!$B$17</f>
        <v>AKAM</v>
      </c>
      <c r="D31" s="53"/>
      <c r="E31" s="143" t="n">
        <f aca="false">DDE("REUTER","IDN","AKAM.O")</f>
        <v>61.125</v>
      </c>
      <c r="F31" s="176"/>
      <c r="G31" s="53"/>
      <c r="H31" s="53"/>
      <c r="I31" s="53"/>
      <c r="J31" s="53"/>
      <c r="K31" s="53"/>
      <c r="L31" s="53"/>
      <c r="M31" s="53"/>
      <c r="N31" s="176"/>
      <c r="O31" s="53"/>
      <c r="P31" s="53"/>
      <c r="Q31" s="53"/>
      <c r="R31" s="53"/>
      <c r="S31" s="53"/>
      <c r="T31" s="53"/>
      <c r="U31" s="54"/>
      <c r="V31" s="204"/>
      <c r="W31" s="130"/>
      <c r="X31" s="221" t="n">
        <v>81.136</v>
      </c>
      <c r="Y31" s="54"/>
      <c r="Z31" s="222" t="n">
        <f aca="false">'[1]7-07-00'!$G$17</f>
        <v>154.664406779661</v>
      </c>
      <c r="AA31" s="53"/>
      <c r="AB31" s="221" t="n">
        <v>184.5</v>
      </c>
      <c r="AC31" s="54"/>
      <c r="AD31" s="222" t="n">
        <f aca="false">'[1]7-07-00'!$J$17</f>
        <v>70.6116666666667</v>
      </c>
      <c r="AE31" s="53"/>
      <c r="AF31" s="204"/>
      <c r="AG31" s="130"/>
      <c r="AH31" s="117" t="n">
        <f aca="false">((+AS31+E31-AT31)/AT31)</f>
        <v>-0.0944444444444444</v>
      </c>
      <c r="AI31" s="223"/>
      <c r="AJ31" s="150" t="n">
        <f aca="false">((+AU31+E31-AV31)/AV31)</f>
        <v>-0.485176450770656</v>
      </c>
      <c r="AK31" s="130"/>
      <c r="AL31" s="152" t="n">
        <f aca="false">((+AW31+E31-AX31)/AX31)</f>
        <v>-0.813429988553987</v>
      </c>
      <c r="AM31" s="136"/>
      <c r="AN31" s="169" t="n">
        <f aca="false">AP31/E31</f>
        <v>0</v>
      </c>
      <c r="AO31" s="136"/>
      <c r="AP31" s="206" t="n">
        <v>0</v>
      </c>
      <c r="AQ31" s="207"/>
      <c r="AS31" s="33"/>
      <c r="AT31" s="224" t="n">
        <v>67.5</v>
      </c>
      <c r="AV31" s="31" t="n">
        <v>118.73</v>
      </c>
      <c r="AX31" s="157" t="n">
        <v>327.625</v>
      </c>
    </row>
    <row r="32" customFormat="false" ht="15" hidden="false" customHeight="false" outlineLevel="0" collapsed="false">
      <c r="A32" s="220" t="str">
        <f aca="false">'[1]7-07-00'!$A$19</f>
        <v>Digital Island*</v>
      </c>
      <c r="B32" s="53"/>
      <c r="C32" s="124" t="str">
        <f aca="false">'[1]7-07-00'!$B$19</f>
        <v>ISLD</v>
      </c>
      <c r="D32" s="53"/>
      <c r="E32" s="143" t="n">
        <f aca="false">DDE("REUTER","IDN","ISLD.O")</f>
        <v>23.5</v>
      </c>
      <c r="F32" s="176"/>
      <c r="G32" s="53"/>
      <c r="H32" s="53"/>
      <c r="I32" s="53"/>
      <c r="J32" s="53"/>
      <c r="K32" s="53"/>
      <c r="L32" s="53"/>
      <c r="M32" s="53"/>
      <c r="N32" s="176"/>
      <c r="O32" s="53"/>
      <c r="P32" s="53"/>
      <c r="Q32" s="53"/>
      <c r="R32" s="53"/>
      <c r="S32" s="53"/>
      <c r="T32" s="53"/>
      <c r="U32" s="54"/>
      <c r="V32" s="204"/>
      <c r="W32" s="130"/>
      <c r="X32" s="221" t="n">
        <v>55.639</v>
      </c>
      <c r="Y32" s="54"/>
      <c r="Z32" s="222" t="n">
        <f aca="false">'[1]7-07-00'!$G$19</f>
        <v>54.394945155393</v>
      </c>
      <c r="AA32" s="53"/>
      <c r="AB32" s="221" t="n">
        <v>171.875</v>
      </c>
      <c r="AC32" s="54"/>
      <c r="AD32" s="222" t="n">
        <f aca="false">'[1]7-07-00'!$J$19</f>
        <v>18.8078603034134</v>
      </c>
      <c r="AE32" s="53"/>
      <c r="AF32" s="204"/>
      <c r="AG32" s="130"/>
      <c r="AH32" s="117" t="n">
        <f aca="false">((+AS32+E32-AT32)/AT32)</f>
        <v>-0.137614678899083</v>
      </c>
      <c r="AI32" s="223"/>
      <c r="AJ32" s="150" t="n">
        <f aca="false">((+AU32+E32-AV32)/AV32)</f>
        <v>-0.516759202138598</v>
      </c>
      <c r="AK32" s="130"/>
      <c r="AL32" s="152" t="n">
        <f aca="false">((+AW32+E32-AX32)/AX32)</f>
        <v>-0.752956636005256</v>
      </c>
      <c r="AM32" s="136"/>
      <c r="AN32" s="169" t="n">
        <f aca="false">AP32/E32</f>
        <v>0</v>
      </c>
      <c r="AO32" s="136"/>
      <c r="AP32" s="206" t="n">
        <v>0</v>
      </c>
      <c r="AQ32" s="207"/>
      <c r="AS32" s="33"/>
      <c r="AT32" s="224" t="n">
        <v>27.25</v>
      </c>
      <c r="AV32" s="31" t="n">
        <v>48.63</v>
      </c>
      <c r="AX32" s="157" t="n">
        <v>95.125</v>
      </c>
    </row>
    <row r="33" customFormat="false" ht="15" hidden="false" customHeight="false" outlineLevel="0" collapsed="false">
      <c r="A33" s="220" t="str">
        <f aca="false">'[1]7-07-00'!$A$22</f>
        <v>InterNap</v>
      </c>
      <c r="B33" s="53"/>
      <c r="C33" s="124" t="str">
        <f aca="false">'[1]7-07-00'!$B$22</f>
        <v>INAP</v>
      </c>
      <c r="D33" s="53"/>
      <c r="E33" s="143" t="n">
        <f aca="false">DDE("REUTER","IDN","INAP.O")</f>
        <v>29.375</v>
      </c>
      <c r="F33" s="176"/>
      <c r="G33" s="53"/>
      <c r="H33" s="53"/>
      <c r="I33" s="53"/>
      <c r="J33" s="53"/>
      <c r="K33" s="53"/>
      <c r="L33" s="53"/>
      <c r="M33" s="53"/>
      <c r="N33" s="176"/>
      <c r="O33" s="53"/>
      <c r="P33" s="53"/>
      <c r="Q33" s="53"/>
      <c r="R33" s="53"/>
      <c r="S33" s="53"/>
      <c r="T33" s="53"/>
      <c r="U33" s="54"/>
      <c r="V33" s="204"/>
      <c r="W33" s="130"/>
      <c r="X33" s="221" t="n">
        <v>67.5</v>
      </c>
      <c r="Y33" s="54"/>
      <c r="Z33" s="222" t="n">
        <f aca="false">'[1]7-07-00'!$G$22</f>
        <v>86.0696457654723</v>
      </c>
      <c r="AA33" s="53"/>
      <c r="AB33" s="221" t="n">
        <v>204</v>
      </c>
      <c r="AC33" s="54"/>
      <c r="AD33" s="222" t="n">
        <f aca="false">'[1]7-07-00'!$J$22</f>
        <v>30.8684360397196</v>
      </c>
      <c r="AE33" s="53"/>
      <c r="AF33" s="204"/>
      <c r="AG33" s="130"/>
      <c r="AH33" s="117" t="n">
        <f aca="false">((+AS33+E33-AT33)/AT33)</f>
        <v>-0.172535211267606</v>
      </c>
      <c r="AI33" s="223"/>
      <c r="AJ33" s="150" t="n">
        <f aca="false">((+AU33+E33-AV33)/AV33)</f>
        <v>-0.292509633911368</v>
      </c>
      <c r="AK33" s="130"/>
      <c r="AL33" s="152" t="n">
        <f aca="false">((+AW33+E33-AX33)/AX33)</f>
        <v>-0.660404624277457</v>
      </c>
      <c r="AM33" s="136"/>
      <c r="AN33" s="169" t="n">
        <f aca="false">AP33/E33</f>
        <v>0</v>
      </c>
      <c r="AO33" s="136"/>
      <c r="AP33" s="206" t="n">
        <v>0</v>
      </c>
      <c r="AQ33" s="207"/>
      <c r="AS33" s="33"/>
      <c r="AT33" s="224" t="n">
        <v>35.5</v>
      </c>
      <c r="AV33" s="31" t="n">
        <v>41.52</v>
      </c>
      <c r="AX33" s="157" t="n">
        <v>86.5</v>
      </c>
    </row>
    <row r="34" customFormat="false" ht="15" hidden="false" customHeight="false" outlineLevel="0" collapsed="false">
      <c r="A34" s="220" t="str">
        <f aca="false">'[1]7-07-00'!$A$33</f>
        <v>Williams Communications**</v>
      </c>
      <c r="B34" s="53"/>
      <c r="C34" s="124" t="str">
        <f aca="false">'[1]7-07-00'!$B$33</f>
        <v>WCG</v>
      </c>
      <c r="D34" s="53"/>
      <c r="E34" s="143" t="n">
        <f aca="false">DDE("REUTER","IDN","WCG")</f>
        <v>24.6875</v>
      </c>
      <c r="F34" s="176"/>
      <c r="G34" s="53"/>
      <c r="H34" s="53"/>
      <c r="I34" s="53"/>
      <c r="J34" s="53"/>
      <c r="K34" s="53"/>
      <c r="L34" s="53"/>
      <c r="M34" s="53"/>
      <c r="N34" s="176"/>
      <c r="O34" s="53"/>
      <c r="P34" s="53"/>
      <c r="Q34" s="53"/>
      <c r="R34" s="53"/>
      <c r="S34" s="53"/>
      <c r="T34" s="53"/>
      <c r="U34" s="54"/>
      <c r="V34" s="204"/>
      <c r="W34" s="130"/>
      <c r="X34" s="225" t="n">
        <v>2258.878</v>
      </c>
      <c r="Y34" s="54"/>
      <c r="Z34" s="222" t="n">
        <f aca="false">'[1]7-07-00'!$J$33</f>
        <v>5.77133963541667</v>
      </c>
      <c r="AA34" s="53"/>
      <c r="AB34" s="221" t="s">
        <v>50</v>
      </c>
      <c r="AC34" s="54"/>
      <c r="AD34" s="222" t="s">
        <v>50</v>
      </c>
      <c r="AE34" s="53"/>
      <c r="AF34" s="204"/>
      <c r="AG34" s="130"/>
      <c r="AH34" s="117" t="n">
        <f aca="false">((+AS34+E34-AT34)/AT34)</f>
        <v>-0.0856481481481482</v>
      </c>
      <c r="AI34" s="223"/>
      <c r="AJ34" s="150" t="n">
        <f aca="false">((+AU34+E34-AV34)/AV34)</f>
        <v>-0.253928679359323</v>
      </c>
      <c r="AK34" s="130"/>
      <c r="AL34" s="152" t="n">
        <f aca="false">((+AW34+E34-AX34)/AX34)</f>
        <v>-0.146868250539957</v>
      </c>
      <c r="AM34" s="136"/>
      <c r="AN34" s="169" t="n">
        <f aca="false">AP34/E34</f>
        <v>0</v>
      </c>
      <c r="AO34" s="136"/>
      <c r="AP34" s="206" t="n">
        <v>0</v>
      </c>
      <c r="AQ34" s="207"/>
      <c r="AS34" s="33"/>
      <c r="AT34" s="224" t="n">
        <v>27</v>
      </c>
      <c r="AV34" s="31" t="n">
        <v>33.09</v>
      </c>
      <c r="AX34" s="157" t="n">
        <v>28.9375</v>
      </c>
    </row>
    <row r="35" customFormat="false" ht="15" hidden="false" customHeight="false" outlineLevel="0" collapsed="false">
      <c r="A35" s="220" t="str">
        <f aca="false">'[1]7-07-00'!$A$34</f>
        <v>Level3**</v>
      </c>
      <c r="B35" s="53"/>
      <c r="C35" s="124" t="str">
        <f aca="false">'[1]7-07-00'!$B$34</f>
        <v>LVLT</v>
      </c>
      <c r="D35" s="53"/>
      <c r="E35" s="143" t="n">
        <f aca="false">DDE("REUTER","IDN","LVLT.O")</f>
        <v>74.5625</v>
      </c>
      <c r="F35" s="176"/>
      <c r="G35" s="53"/>
      <c r="H35" s="53"/>
      <c r="I35" s="53"/>
      <c r="J35" s="53"/>
      <c r="K35" s="53"/>
      <c r="L35" s="53"/>
      <c r="M35" s="53"/>
      <c r="N35" s="176"/>
      <c r="O35" s="53"/>
      <c r="P35" s="53"/>
      <c r="Q35" s="53"/>
      <c r="R35" s="53"/>
      <c r="S35" s="53"/>
      <c r="T35" s="53"/>
      <c r="U35" s="54"/>
      <c r="V35" s="204"/>
      <c r="W35" s="130"/>
      <c r="X35" s="225" t="n">
        <v>1132.5</v>
      </c>
      <c r="Y35" s="54"/>
      <c r="Z35" s="222" t="n">
        <f aca="false">'[1]7-07-00'!$J$34</f>
        <v>34.5587998680534</v>
      </c>
      <c r="AA35" s="53"/>
      <c r="AB35" s="221" t="n">
        <v>2066.7</v>
      </c>
      <c r="AC35" s="54"/>
      <c r="AD35" s="222" t="s">
        <v>50</v>
      </c>
      <c r="AE35" s="53"/>
      <c r="AF35" s="204"/>
      <c r="AG35" s="130"/>
      <c r="AH35" s="117" t="n">
        <f aca="false">((+AS35+E35-AT35)/AT35)</f>
        <v>-0.0598896769109535</v>
      </c>
      <c r="AI35" s="223"/>
      <c r="AJ35" s="150" t="n">
        <f aca="false">((+AU35+E35-AV35)/AV35)</f>
        <v>-0.152698863636364</v>
      </c>
      <c r="AK35" s="130"/>
      <c r="AL35" s="152" t="n">
        <f aca="false">((+AW35+E35-AX35)/AX35)</f>
        <v>-0.0893129770992366</v>
      </c>
      <c r="AM35" s="136"/>
      <c r="AN35" s="169" t="n">
        <f aca="false">AP35/E35</f>
        <v>0</v>
      </c>
      <c r="AO35" s="136"/>
      <c r="AP35" s="206" t="n">
        <v>0</v>
      </c>
      <c r="AQ35" s="207"/>
      <c r="AS35" s="33"/>
      <c r="AT35" s="224" t="n">
        <v>79.3125</v>
      </c>
      <c r="AV35" s="31" t="n">
        <v>88</v>
      </c>
      <c r="AX35" s="157" t="n">
        <v>81.875</v>
      </c>
    </row>
    <row r="36" customFormat="false" ht="15" hidden="false" customHeight="false" outlineLevel="0" collapsed="false">
      <c r="A36" s="220" t="str">
        <f aca="false">'[1]7-07-00'!$A$35</f>
        <v>Global Crossing**</v>
      </c>
      <c r="B36" s="53"/>
      <c r="C36" s="124" t="str">
        <f aca="false">'[1]7-07-00'!$B$35</f>
        <v>GBLX</v>
      </c>
      <c r="D36" s="53"/>
      <c r="E36" s="143" t="n">
        <f aca="false">DDE("REUTER","IDN","GBLX.O")</f>
        <v>29.796875</v>
      </c>
      <c r="F36" s="176"/>
      <c r="G36" s="53"/>
      <c r="H36" s="53"/>
      <c r="I36" s="53"/>
      <c r="J36" s="53"/>
      <c r="K36" s="53"/>
      <c r="L36" s="53"/>
      <c r="M36" s="53"/>
      <c r="N36" s="176"/>
      <c r="O36" s="53"/>
      <c r="P36" s="53"/>
      <c r="Q36" s="53"/>
      <c r="R36" s="53"/>
      <c r="S36" s="53"/>
      <c r="T36" s="53"/>
      <c r="U36" s="54"/>
      <c r="V36" s="204"/>
      <c r="W36" s="130"/>
      <c r="X36" s="225" t="n">
        <f aca="false">'[1]7-07-00'!$I$35</f>
        <v>4650</v>
      </c>
      <c r="Y36" s="54"/>
      <c r="Z36" s="222" t="n">
        <f aca="false">'[1]7-07-00'!$J$35</f>
        <v>4.78063830645161</v>
      </c>
      <c r="AA36" s="53"/>
      <c r="AB36" s="221" t="s">
        <v>50</v>
      </c>
      <c r="AC36" s="54"/>
      <c r="AD36" s="222" t="s">
        <v>50</v>
      </c>
      <c r="AE36" s="53"/>
      <c r="AF36" s="204"/>
      <c r="AG36" s="130"/>
      <c r="AH36" s="117" t="n">
        <f aca="false">((+AS36+E36-AT36)/AT36)</f>
        <v>-0.0970643939393939</v>
      </c>
      <c r="AI36" s="223"/>
      <c r="AJ36" s="150" t="n">
        <f aca="false">((+AU36+E36-AV36)/AV36)</f>
        <v>0.132530406689472</v>
      </c>
      <c r="AK36" s="130"/>
      <c r="AL36" s="152" t="n">
        <f aca="false">((+AW36+E36-AX36)/AX36)</f>
        <v>-0.4040625</v>
      </c>
      <c r="AM36" s="136"/>
      <c r="AN36" s="169" t="n">
        <f aca="false">AP36/E36</f>
        <v>0</v>
      </c>
      <c r="AO36" s="136"/>
      <c r="AP36" s="206" t="n">
        <v>0</v>
      </c>
      <c r="AQ36" s="207"/>
      <c r="AS36" s="33"/>
      <c r="AT36" s="224" t="n">
        <v>33</v>
      </c>
      <c r="AV36" s="31" t="n">
        <v>26.31</v>
      </c>
      <c r="AX36" s="157" t="n">
        <v>50</v>
      </c>
    </row>
    <row r="37" customFormat="false" ht="15" hidden="false" customHeight="false" outlineLevel="0" collapsed="false">
      <c r="A37" s="220" t="str">
        <f aca="false">'[1]7-07-00'!$A$36</f>
        <v>Qwest</v>
      </c>
      <c r="B37" s="53"/>
      <c r="C37" s="124" t="str">
        <f aca="false">'[1]7-07-00'!$B$36</f>
        <v>Q</v>
      </c>
      <c r="D37" s="53"/>
      <c r="E37" s="143" t="n">
        <f aca="false">DDE("REUTER","IDN","Q")</f>
        <v>47.3359375</v>
      </c>
      <c r="F37" s="176"/>
      <c r="G37" s="53"/>
      <c r="H37" s="53"/>
      <c r="I37" s="53"/>
      <c r="J37" s="53"/>
      <c r="K37" s="53"/>
      <c r="L37" s="53"/>
      <c r="M37" s="53"/>
      <c r="N37" s="176"/>
      <c r="O37" s="53"/>
      <c r="P37" s="53"/>
      <c r="Q37" s="53"/>
      <c r="R37" s="53"/>
      <c r="S37" s="53"/>
      <c r="T37" s="53"/>
      <c r="U37" s="54"/>
      <c r="V37" s="204"/>
      <c r="W37" s="130"/>
      <c r="X37" s="225" t="n">
        <v>8649.775</v>
      </c>
      <c r="Y37" s="54"/>
      <c r="Z37" s="222" t="n">
        <f aca="false">'[1]7-07-00'!$J$36</f>
        <v>17.5178488394622</v>
      </c>
      <c r="AA37" s="53"/>
      <c r="AB37" s="221" t="n">
        <v>10213.5</v>
      </c>
      <c r="AC37" s="54"/>
      <c r="AD37" s="222" t="s">
        <v>50</v>
      </c>
      <c r="AE37" s="53"/>
      <c r="AF37" s="204"/>
      <c r="AG37" s="130"/>
      <c r="AH37" s="117" t="n">
        <f aca="false">((+AS37+E37-AT37)/AT37)</f>
        <v>-0.0290064102564103</v>
      </c>
      <c r="AI37" s="223"/>
      <c r="AJ37" s="150" t="n">
        <f aca="false">((+AU37+E37-AV37)/AV37)</f>
        <v>-0.047374974844033</v>
      </c>
      <c r="AK37" s="130"/>
      <c r="AL37" s="152" t="n">
        <f aca="false">((+AW37+E37-AX37)/AX37)</f>
        <v>0.100835755813953</v>
      </c>
      <c r="AM37" s="136"/>
      <c r="AN37" s="169" t="n">
        <f aca="false">AP37/E37</f>
        <v>0</v>
      </c>
      <c r="AO37" s="136"/>
      <c r="AP37" s="206" t="n">
        <v>0</v>
      </c>
      <c r="AQ37" s="207"/>
      <c r="AS37" s="33"/>
      <c r="AT37" s="224" t="n">
        <v>48.75</v>
      </c>
      <c r="AV37" s="31" t="n">
        <v>49.69</v>
      </c>
      <c r="AX37" s="157" t="n">
        <v>43</v>
      </c>
    </row>
    <row r="38" customFormat="false" ht="15" hidden="false" customHeight="false" outlineLevel="0" collapsed="false">
      <c r="A38" s="220" t="str">
        <f aca="false">'[1]7-07-00'!$A$56</f>
        <v>Ariba</v>
      </c>
      <c r="B38" s="53"/>
      <c r="C38" s="124" t="str">
        <f aca="false">'[1]7-07-00'!$B$56</f>
        <v>ARBA</v>
      </c>
      <c r="D38" s="53"/>
      <c r="E38" s="143" t="n">
        <f aca="false">DDE("REUTER","IDN","ARBA.O")</f>
        <v>152.4375</v>
      </c>
      <c r="F38" s="176"/>
      <c r="G38" s="53"/>
      <c r="H38" s="53"/>
      <c r="I38" s="53"/>
      <c r="J38" s="53"/>
      <c r="K38" s="53"/>
      <c r="L38" s="53"/>
      <c r="M38" s="53"/>
      <c r="N38" s="176"/>
      <c r="O38" s="53"/>
      <c r="P38" s="53"/>
      <c r="Q38" s="53"/>
      <c r="R38" s="53"/>
      <c r="S38" s="53"/>
      <c r="T38" s="53"/>
      <c r="U38" s="54"/>
      <c r="V38" s="204"/>
      <c r="W38" s="130"/>
      <c r="X38" s="221" t="n">
        <v>244.75</v>
      </c>
      <c r="Y38" s="54"/>
      <c r="Z38" s="222" t="n">
        <f aca="false">'[1]7-07-00'!$G$56</f>
        <v>127.345894303065</v>
      </c>
      <c r="AA38" s="53"/>
      <c r="AB38" s="221" t="n">
        <v>550.55</v>
      </c>
      <c r="AC38" s="54"/>
      <c r="AD38" s="222" t="n">
        <f aca="false">'[1]7-07-00'!$J$56</f>
        <v>66.1601716496394</v>
      </c>
      <c r="AE38" s="53"/>
      <c r="AF38" s="204"/>
      <c r="AG38" s="130"/>
      <c r="AH38" s="117" t="n">
        <f aca="false">((+AS38+E38-AT38)/AT38)</f>
        <v>-0.00853658536585366</v>
      </c>
      <c r="AI38" s="223"/>
      <c r="AJ38" s="150" t="n">
        <f aca="false">((+AU38+E38-AV38)/AV38)</f>
        <v>0.554691483936767</v>
      </c>
      <c r="AK38" s="130"/>
      <c r="AL38" s="152" t="n">
        <f aca="false">((+AW38+E38-AX38)/AX38)</f>
        <v>0.718816067653277</v>
      </c>
      <c r="AM38" s="136"/>
      <c r="AN38" s="169" t="n">
        <f aca="false">AP38/E38</f>
        <v>0</v>
      </c>
      <c r="AO38" s="136"/>
      <c r="AP38" s="206" t="n">
        <v>0</v>
      </c>
      <c r="AQ38" s="207"/>
      <c r="AS38" s="33"/>
      <c r="AT38" s="224" t="n">
        <v>153.75</v>
      </c>
      <c r="AV38" s="31" t="n">
        <v>98.05</v>
      </c>
      <c r="AX38" s="157" t="n">
        <v>88.6875</v>
      </c>
    </row>
    <row r="39" customFormat="false" ht="15" hidden="false" customHeight="false" outlineLevel="0" collapsed="false">
      <c r="A39" s="220" t="str">
        <f aca="false">'[1]7-07-00'!$A$57</f>
        <v>Commerce One</v>
      </c>
      <c r="B39" s="53"/>
      <c r="C39" s="124" t="str">
        <f aca="false">'[1]7-07-00'!$B$57</f>
        <v>CMRC</v>
      </c>
      <c r="D39" s="53"/>
      <c r="E39" s="143" t="n">
        <f aca="false">DDE("REUTER","IDN","CMRC.O")</f>
        <v>70.1875</v>
      </c>
      <c r="F39" s="176"/>
      <c r="G39" s="53"/>
      <c r="H39" s="53"/>
      <c r="I39" s="53"/>
      <c r="J39" s="53"/>
      <c r="K39" s="53"/>
      <c r="L39" s="53"/>
      <c r="M39" s="53"/>
      <c r="N39" s="176"/>
      <c r="O39" s="53"/>
      <c r="P39" s="53"/>
      <c r="Q39" s="53"/>
      <c r="R39" s="53"/>
      <c r="S39" s="53"/>
      <c r="T39" s="53"/>
      <c r="U39" s="54"/>
      <c r="V39" s="204"/>
      <c r="W39" s="130"/>
      <c r="X39" s="221" t="n">
        <v>267.721</v>
      </c>
      <c r="Y39" s="54"/>
      <c r="Z39" s="222" t="n">
        <f aca="false">'[1]7-07-00'!$G$57</f>
        <v>28.1157665585919</v>
      </c>
      <c r="AA39" s="53"/>
      <c r="AB39" s="221" t="n">
        <v>449.838</v>
      </c>
      <c r="AC39" s="54"/>
      <c r="AD39" s="222" t="n">
        <f aca="false">'[1]7-07-00'!$J$57</f>
        <v>15.175485</v>
      </c>
      <c r="AE39" s="53"/>
      <c r="AF39" s="204"/>
      <c r="AG39" s="130"/>
      <c r="AH39" s="117" t="n">
        <f aca="false">((+AS39+E39-AT39)/AT39)</f>
        <v>-0.0166374781085814</v>
      </c>
      <c r="AI39" s="223"/>
      <c r="AJ39" s="150" t="n">
        <f aca="false">((+AU39+E39-AV39)/AV39)</f>
        <v>0.546661524900837</v>
      </c>
      <c r="AK39" s="130"/>
      <c r="AL39" s="152" t="n">
        <f aca="false">((+AW39+E39-AX39)/AX39)</f>
        <v>-0.285623409669211</v>
      </c>
      <c r="AM39" s="136"/>
      <c r="AN39" s="169" t="n">
        <f aca="false">AP39/E39</f>
        <v>0</v>
      </c>
      <c r="AO39" s="136"/>
      <c r="AP39" s="206" t="n">
        <v>0</v>
      </c>
      <c r="AQ39" s="207"/>
      <c r="AS39" s="33"/>
      <c r="AT39" s="224" t="n">
        <v>71.375</v>
      </c>
      <c r="AV39" s="31" t="n">
        <v>45.38</v>
      </c>
      <c r="AX39" s="157" t="n">
        <v>98.25</v>
      </c>
    </row>
    <row r="40" customFormat="false" ht="15" hidden="false" customHeight="false" outlineLevel="0" collapsed="false">
      <c r="A40" s="220" t="str">
        <f aca="false">'[1]7-07-00'!$A$58</f>
        <v>i2</v>
      </c>
      <c r="B40" s="53"/>
      <c r="C40" s="124" t="str">
        <f aca="false">'[1]7-07-00'!$B$58</f>
        <v>ITWO</v>
      </c>
      <c r="D40" s="53"/>
      <c r="E40" s="143" t="n">
        <f aca="false">DDE("REUTER","IDN","ITWO.O")</f>
        <v>172.1875</v>
      </c>
      <c r="F40" s="176"/>
      <c r="G40" s="53"/>
      <c r="H40" s="53"/>
      <c r="I40" s="53"/>
      <c r="J40" s="53"/>
      <c r="K40" s="53"/>
      <c r="L40" s="53"/>
      <c r="M40" s="53"/>
      <c r="N40" s="176"/>
      <c r="O40" s="53"/>
      <c r="P40" s="53"/>
      <c r="Q40" s="53"/>
      <c r="R40" s="53"/>
      <c r="S40" s="53"/>
      <c r="T40" s="53"/>
      <c r="U40" s="54"/>
      <c r="V40" s="204"/>
      <c r="W40" s="130"/>
      <c r="X40" s="221" t="n">
        <v>1016.863</v>
      </c>
      <c r="Y40" s="54"/>
      <c r="Z40" s="222" t="n">
        <f aca="false">'[1]7-07-00'!$G$58</f>
        <v>22.4705361338716</v>
      </c>
      <c r="AA40" s="53"/>
      <c r="AB40" s="221" t="n">
        <v>1471.788</v>
      </c>
      <c r="AC40" s="54"/>
      <c r="AD40" s="222" t="n">
        <f aca="false">'[1]7-07-00'!$J$58</f>
        <v>16.7942164422731</v>
      </c>
      <c r="AE40" s="53"/>
      <c r="AF40" s="204"/>
      <c r="AG40" s="130"/>
      <c r="AH40" s="117" t="n">
        <f aca="false">((+AS40+E40-AT40)/AT40)</f>
        <v>0.0728193146417445</v>
      </c>
      <c r="AI40" s="223"/>
      <c r="AJ40" s="150" t="n">
        <f aca="false">((+AU40+E40-AV40)/AV40)</f>
        <v>0.651361849045747</v>
      </c>
      <c r="AK40" s="130"/>
      <c r="AL40" s="152" t="n">
        <f aca="false">((+AW40+E40-AX40)/AX40)</f>
        <v>0.766025641025641</v>
      </c>
      <c r="AM40" s="136"/>
      <c r="AN40" s="169" t="n">
        <f aca="false">AP40/E40</f>
        <v>0</v>
      </c>
      <c r="AO40" s="136"/>
      <c r="AP40" s="206" t="n">
        <v>0</v>
      </c>
      <c r="AQ40" s="207"/>
      <c r="AS40" s="33"/>
      <c r="AT40" s="224" t="n">
        <v>160.5</v>
      </c>
      <c r="AV40" s="31" t="n">
        <v>104.27</v>
      </c>
      <c r="AX40" s="157" t="n">
        <v>97.5</v>
      </c>
    </row>
    <row r="41" customFormat="false" ht="15" hidden="false" customHeight="false" outlineLevel="0" collapsed="false">
      <c r="A41" s="220"/>
      <c r="B41" s="53"/>
      <c r="C41" s="124"/>
      <c r="D41" s="53"/>
      <c r="E41" s="226"/>
      <c r="F41" s="176"/>
      <c r="G41" s="53"/>
      <c r="H41" s="53"/>
      <c r="I41" s="53"/>
      <c r="J41" s="53"/>
      <c r="K41" s="53"/>
      <c r="L41" s="53"/>
      <c r="M41" s="53"/>
      <c r="N41" s="176"/>
      <c r="O41" s="53"/>
      <c r="P41" s="53"/>
      <c r="Q41" s="53"/>
      <c r="R41" s="53"/>
      <c r="S41" s="53"/>
      <c r="T41" s="53"/>
      <c r="U41" s="54"/>
      <c r="V41" s="204"/>
      <c r="W41" s="130"/>
      <c r="X41" s="227"/>
      <c r="Y41" s="54"/>
      <c r="Z41" s="222"/>
      <c r="AA41" s="53"/>
      <c r="AB41" s="228"/>
      <c r="AC41" s="54"/>
      <c r="AD41" s="222"/>
      <c r="AE41" s="53"/>
      <c r="AF41" s="204"/>
      <c r="AG41" s="130"/>
      <c r="AH41" s="229"/>
      <c r="AI41" s="223"/>
      <c r="AJ41" s="230"/>
      <c r="AK41" s="130"/>
      <c r="AL41" s="231"/>
      <c r="AM41" s="136"/>
      <c r="AN41" s="169"/>
      <c r="AO41" s="136"/>
      <c r="AP41" s="206"/>
      <c r="AQ41" s="207"/>
      <c r="AS41" s="33"/>
    </row>
    <row r="42" customFormat="false" ht="15" hidden="false" customHeight="false" outlineLevel="0" collapsed="false">
      <c r="A42" s="220" t="s">
        <v>81</v>
      </c>
      <c r="B42" s="53"/>
      <c r="C42" s="124"/>
      <c r="D42" s="53"/>
      <c r="E42" s="226"/>
      <c r="F42" s="176"/>
      <c r="G42" s="53"/>
      <c r="H42" s="53"/>
      <c r="I42" s="53"/>
      <c r="J42" s="53"/>
      <c r="K42" s="53"/>
      <c r="L42" s="53"/>
      <c r="M42" s="53"/>
      <c r="N42" s="176"/>
      <c r="O42" s="53"/>
      <c r="P42" s="53"/>
      <c r="Q42" s="53"/>
      <c r="R42" s="53"/>
      <c r="S42" s="53"/>
      <c r="T42" s="53"/>
      <c r="U42" s="54"/>
      <c r="V42" s="204"/>
      <c r="W42" s="130"/>
      <c r="X42" s="232"/>
      <c r="Y42" s="187"/>
      <c r="Z42" s="233"/>
      <c r="AA42" s="53"/>
      <c r="AB42" s="190"/>
      <c r="AC42" s="187"/>
      <c r="AD42" s="234"/>
      <c r="AE42" s="53"/>
      <c r="AF42" s="204"/>
      <c r="AG42" s="130"/>
      <c r="AH42" s="235" t="n">
        <f aca="false">AVERAGE(AH31:AH40)</f>
        <v>-0.0628557712698729</v>
      </c>
      <c r="AI42" s="236"/>
      <c r="AJ42" s="237" t="n">
        <f aca="false">AVERAGE(AJ31:AJ40)</f>
        <v>0.0136797459912481</v>
      </c>
      <c r="AK42" s="238"/>
      <c r="AL42" s="239" t="n">
        <f aca="false">AVERAGE(AL31:AL40)</f>
        <v>-0.156698092165223</v>
      </c>
      <c r="AM42" s="136"/>
      <c r="AN42" s="240" t="n">
        <f aca="false">AVERAGE(AN31:AN40)</f>
        <v>0</v>
      </c>
      <c r="AO42" s="136"/>
      <c r="AP42" s="206"/>
      <c r="AQ42" s="207"/>
      <c r="AS42" s="33"/>
    </row>
    <row r="43" customFormat="false" ht="15" hidden="false" customHeight="false" outlineLevel="0" collapsed="false">
      <c r="A43" s="220"/>
      <c r="B43" s="53"/>
      <c r="C43" s="124"/>
      <c r="D43" s="53"/>
      <c r="E43" s="226"/>
      <c r="F43" s="176"/>
      <c r="G43" s="53"/>
      <c r="H43" s="53"/>
      <c r="I43" s="53"/>
      <c r="J43" s="53"/>
      <c r="K43" s="53"/>
      <c r="L43" s="53"/>
      <c r="M43" s="53"/>
      <c r="N43" s="176"/>
      <c r="O43" s="53"/>
      <c r="P43" s="53"/>
      <c r="Q43" s="53"/>
      <c r="R43" s="53"/>
      <c r="S43" s="53"/>
      <c r="T43" s="53"/>
      <c r="U43" s="54"/>
      <c r="V43" s="204"/>
      <c r="W43" s="130"/>
      <c r="X43" s="241"/>
      <c r="Y43" s="53"/>
      <c r="Z43" s="242"/>
      <c r="AA43" s="53"/>
      <c r="AB43" s="226"/>
      <c r="AC43" s="53"/>
      <c r="AD43" s="226"/>
      <c r="AE43" s="53"/>
      <c r="AF43" s="204"/>
      <c r="AG43" s="130"/>
      <c r="AH43" s="223"/>
      <c r="AI43" s="223"/>
      <c r="AJ43" s="230"/>
      <c r="AK43" s="130"/>
      <c r="AL43" s="230"/>
      <c r="AM43" s="136"/>
      <c r="AN43" s="243"/>
      <c r="AO43" s="136"/>
      <c r="AP43" s="206"/>
      <c r="AQ43" s="207"/>
      <c r="AS43" s="33"/>
    </row>
    <row r="44" customFormat="false" ht="15" hidden="false" customHeight="false" outlineLevel="0" collapsed="false">
      <c r="A44" s="244"/>
      <c r="B44" s="176"/>
      <c r="C44" s="177"/>
      <c r="D44" s="176"/>
      <c r="E44" s="176"/>
      <c r="F44" s="176"/>
      <c r="G44" s="53"/>
      <c r="H44" s="53"/>
      <c r="I44" s="53"/>
      <c r="J44" s="53"/>
      <c r="K44" s="53"/>
      <c r="L44" s="53"/>
      <c r="M44" s="53"/>
      <c r="N44" s="176"/>
      <c r="O44" s="53"/>
      <c r="P44" s="53"/>
      <c r="Q44" s="53"/>
      <c r="R44" s="176"/>
      <c r="S44" s="176"/>
      <c r="T44" s="176"/>
      <c r="U44" s="176"/>
      <c r="V44" s="176"/>
      <c r="W44" s="176"/>
      <c r="X44" s="58" t="s">
        <v>82</v>
      </c>
      <c r="Y44" s="58"/>
      <c r="Z44" s="58"/>
      <c r="AA44" s="58"/>
      <c r="AB44" s="58"/>
      <c r="AC44" s="54"/>
      <c r="AD44" s="205"/>
      <c r="AE44" s="53"/>
      <c r="AF44" s="204"/>
      <c r="AG44" s="130"/>
      <c r="AH44" s="130"/>
      <c r="AI44" s="130"/>
      <c r="AJ44" s="130"/>
      <c r="AK44" s="130"/>
      <c r="AL44" s="204"/>
      <c r="AM44" s="136"/>
      <c r="AN44" s="136"/>
      <c r="AO44" s="136"/>
      <c r="AP44" s="206"/>
      <c r="AQ44" s="207"/>
      <c r="AS44" s="33"/>
    </row>
    <row r="45" customFormat="false" ht="16.5" hidden="false" customHeight="false" outlineLevel="0" collapsed="false">
      <c r="A45" s="245" t="s">
        <v>83</v>
      </c>
      <c r="B45" s="176"/>
      <c r="C45" s="177"/>
      <c r="D45" s="176"/>
      <c r="E45" s="176"/>
      <c r="F45" s="176"/>
      <c r="G45" s="53"/>
      <c r="H45" s="53"/>
      <c r="I45" s="53"/>
      <c r="J45" s="53"/>
      <c r="K45" s="53"/>
      <c r="L45" s="53"/>
      <c r="M45" s="53"/>
      <c r="N45" s="176"/>
      <c r="O45" s="53"/>
      <c r="P45" s="53"/>
      <c r="Q45" s="53"/>
      <c r="R45" s="53"/>
      <c r="S45" s="53"/>
      <c r="T45" s="53"/>
      <c r="U45" s="54"/>
      <c r="V45" s="204"/>
      <c r="W45" s="130"/>
      <c r="X45" s="246" t="s">
        <v>84</v>
      </c>
      <c r="Y45" s="247"/>
      <c r="Z45" s="248"/>
      <c r="AA45" s="248"/>
      <c r="AB45" s="246" t="s">
        <v>85</v>
      </c>
      <c r="AC45" s="54"/>
      <c r="AD45" s="205"/>
      <c r="AE45" s="53"/>
      <c r="AF45" s="204"/>
      <c r="AG45" s="130"/>
      <c r="AH45" s="130"/>
      <c r="AI45" s="130"/>
      <c r="AJ45" s="130"/>
      <c r="AK45" s="130"/>
      <c r="AL45" s="204"/>
      <c r="AM45" s="136"/>
      <c r="AN45" s="136"/>
      <c r="AO45" s="136"/>
      <c r="AP45" s="206"/>
      <c r="AQ45" s="207"/>
      <c r="AS45" s="33"/>
    </row>
    <row r="46" customFormat="false" ht="15" hidden="false" customHeight="false" outlineLevel="0" collapsed="false">
      <c r="A46" s="203" t="s">
        <v>86</v>
      </c>
      <c r="B46" s="176"/>
      <c r="C46" s="177"/>
      <c r="D46" s="176"/>
      <c r="E46" s="176"/>
      <c r="F46" s="176"/>
      <c r="G46" s="53"/>
      <c r="H46" s="53"/>
      <c r="I46" s="53"/>
      <c r="J46" s="53"/>
      <c r="K46" s="53"/>
      <c r="L46" s="53"/>
      <c r="M46" s="53"/>
      <c r="N46" s="176"/>
      <c r="O46" s="53"/>
      <c r="P46" s="53"/>
      <c r="Q46" s="53"/>
      <c r="R46" s="53"/>
      <c r="S46" s="53"/>
      <c r="T46" s="53"/>
      <c r="U46" s="54"/>
      <c r="V46" s="204"/>
      <c r="W46" s="130"/>
      <c r="X46" s="249" t="n">
        <f aca="false">AVERAGE(X64:X83)</f>
        <v>1.4105</v>
      </c>
      <c r="Y46" s="53"/>
      <c r="Z46" s="53"/>
      <c r="AA46" s="53"/>
      <c r="AB46" s="249" t="n">
        <f aca="false">AVERAGE(AB64:AB83)</f>
        <v>1.638</v>
      </c>
      <c r="AC46" s="53"/>
      <c r="AD46" s="205"/>
      <c r="AE46" s="53"/>
      <c r="AF46" s="204"/>
      <c r="AG46" s="130"/>
      <c r="AH46" s="130"/>
      <c r="AI46" s="130"/>
      <c r="AJ46" s="130"/>
      <c r="AK46" s="130"/>
      <c r="AL46" s="204"/>
      <c r="AM46" s="136"/>
      <c r="AN46" s="136"/>
      <c r="AO46" s="136"/>
      <c r="AP46" s="206"/>
      <c r="AQ46" s="207"/>
      <c r="AS46" s="33"/>
    </row>
    <row r="47" customFormat="false" ht="15" hidden="false" customHeight="false" outlineLevel="0" collapsed="false">
      <c r="A47" s="203" t="s">
        <v>87</v>
      </c>
      <c r="B47" s="176"/>
      <c r="C47" s="177"/>
      <c r="D47" s="176"/>
      <c r="E47" s="176"/>
      <c r="F47" s="176"/>
      <c r="G47" s="53"/>
      <c r="H47" s="53"/>
      <c r="I47" s="53"/>
      <c r="J47" s="53"/>
      <c r="K47" s="53"/>
      <c r="L47" s="53"/>
      <c r="M47" s="53"/>
      <c r="N47" s="176"/>
      <c r="O47" s="53"/>
      <c r="P47" s="53"/>
      <c r="Q47" s="53"/>
      <c r="R47" s="53"/>
      <c r="S47" s="53"/>
      <c r="T47" s="53"/>
      <c r="U47" s="54"/>
      <c r="V47" s="204"/>
      <c r="W47" s="130"/>
      <c r="X47" s="249" t="n">
        <f aca="false">MAX(X64:X83)</f>
        <v>1.5</v>
      </c>
      <c r="Y47" s="53"/>
      <c r="Z47" s="53"/>
      <c r="AA47" s="53"/>
      <c r="AB47" s="249" t="n">
        <f aca="false">MAX(AB64:AB83)</f>
        <v>1.75</v>
      </c>
      <c r="AC47" s="53"/>
      <c r="AD47" s="205"/>
      <c r="AE47" s="53"/>
      <c r="AF47" s="204"/>
      <c r="AG47" s="130"/>
      <c r="AH47" s="130"/>
      <c r="AI47" s="130"/>
      <c r="AJ47" s="130"/>
      <c r="AK47" s="130"/>
      <c r="AL47" s="204"/>
      <c r="AM47" s="136"/>
      <c r="AN47" s="136"/>
      <c r="AO47" s="136"/>
      <c r="AP47" s="206"/>
      <c r="AQ47" s="207"/>
      <c r="AS47" s="33"/>
    </row>
    <row r="48" customFormat="false" ht="15" hidden="false" customHeight="false" outlineLevel="0" collapsed="false">
      <c r="A48" s="203" t="s">
        <v>88</v>
      </c>
      <c r="B48" s="176"/>
      <c r="C48" s="177"/>
      <c r="D48" s="176"/>
      <c r="E48" s="176"/>
      <c r="F48" s="176"/>
      <c r="G48" s="53"/>
      <c r="H48" s="53"/>
      <c r="I48" s="53"/>
      <c r="J48" s="53"/>
      <c r="K48" s="53"/>
      <c r="L48" s="53"/>
      <c r="M48" s="53"/>
      <c r="N48" s="176"/>
      <c r="O48" s="53"/>
      <c r="P48" s="53"/>
      <c r="Q48" s="53"/>
      <c r="R48" s="53"/>
      <c r="S48" s="53"/>
      <c r="T48" s="53"/>
      <c r="U48" s="54"/>
      <c r="V48" s="204"/>
      <c r="W48" s="130"/>
      <c r="X48" s="250" t="n">
        <f aca="false">MIN(X64:X83)</f>
        <v>1.38</v>
      </c>
      <c r="Y48" s="53"/>
      <c r="Z48" s="53"/>
      <c r="AA48" s="53"/>
      <c r="AB48" s="250" t="n">
        <f aca="false">MIN(AB64:AB83)</f>
        <v>1.53</v>
      </c>
      <c r="AC48" s="53"/>
      <c r="AD48" s="205"/>
      <c r="AE48" s="53"/>
      <c r="AF48" s="204"/>
      <c r="AG48" s="130"/>
      <c r="AH48" s="130"/>
      <c r="AI48" s="130"/>
      <c r="AJ48" s="130"/>
      <c r="AK48" s="130"/>
      <c r="AL48" s="204"/>
      <c r="AM48" s="136"/>
      <c r="AN48" s="136"/>
      <c r="AO48" s="136"/>
      <c r="AP48" s="206"/>
      <c r="AQ48" s="207"/>
      <c r="AS48" s="33"/>
    </row>
    <row r="49" customFormat="false" ht="10.5" hidden="false" customHeight="true" outlineLevel="0" collapsed="false">
      <c r="A49" s="176"/>
      <c r="B49" s="176"/>
      <c r="C49" s="177"/>
      <c r="D49" s="176"/>
      <c r="E49" s="143"/>
      <c r="F49" s="176"/>
      <c r="G49" s="178"/>
      <c r="H49" s="179"/>
      <c r="I49" s="160"/>
      <c r="J49" s="53"/>
      <c r="K49" s="178"/>
      <c r="L49" s="40"/>
      <c r="M49" s="160"/>
      <c r="N49" s="176"/>
      <c r="O49" s="178"/>
      <c r="P49" s="179"/>
      <c r="Q49" s="40"/>
      <c r="R49" s="54"/>
      <c r="S49" s="40"/>
      <c r="T49" s="40"/>
      <c r="U49" s="40"/>
      <c r="V49" s="150"/>
      <c r="W49" s="150"/>
      <c r="X49" s="40"/>
      <c r="Y49" s="40"/>
      <c r="Z49" s="40"/>
      <c r="AA49" s="40"/>
      <c r="AB49" s="40"/>
      <c r="AC49" s="40"/>
      <c r="AD49" s="251"/>
      <c r="AE49" s="40"/>
      <c r="AF49" s="150"/>
      <c r="AG49" s="150"/>
      <c r="AH49" s="150"/>
      <c r="AI49" s="150"/>
      <c r="AJ49" s="150"/>
      <c r="AK49" s="150"/>
      <c r="AL49" s="150"/>
      <c r="AM49" s="33"/>
      <c r="AN49" s="150"/>
      <c r="AO49" s="150"/>
      <c r="AP49" s="252"/>
      <c r="AQ49" s="181"/>
      <c r="AR49" s="182"/>
      <c r="AS49" s="183"/>
      <c r="AT49" s="166"/>
      <c r="AU49" s="164"/>
      <c r="AV49" s="184"/>
      <c r="AW49" s="185"/>
      <c r="AX49" s="184"/>
    </row>
    <row r="50" customFormat="false" ht="15" hidden="false" customHeight="false" outlineLevel="0" collapsed="false">
      <c r="A50" s="253" t="s">
        <v>89</v>
      </c>
      <c r="B50" s="176"/>
      <c r="C50" s="177"/>
      <c r="D50" s="176"/>
      <c r="E50" s="176"/>
      <c r="F50" s="176"/>
      <c r="G50" s="53"/>
      <c r="H50" s="53"/>
      <c r="I50" s="53"/>
      <c r="J50" s="53"/>
      <c r="K50" s="53"/>
      <c r="L50" s="53"/>
      <c r="M50" s="53"/>
      <c r="N50" s="176"/>
      <c r="O50" s="53"/>
      <c r="P50" s="53"/>
      <c r="Q50" s="53"/>
      <c r="R50" s="53"/>
      <c r="S50" s="53"/>
      <c r="T50" s="53"/>
      <c r="U50" s="54"/>
      <c r="V50" s="204"/>
      <c r="W50" s="130"/>
      <c r="X50" s="226"/>
      <c r="Y50" s="53"/>
      <c r="Z50" s="53"/>
      <c r="AA50" s="53"/>
      <c r="AB50" s="226"/>
      <c r="AC50" s="53"/>
      <c r="AD50" s="205"/>
      <c r="AE50" s="53"/>
      <c r="AF50" s="204"/>
      <c r="AG50" s="130"/>
      <c r="AH50" s="130"/>
      <c r="AI50" s="130"/>
      <c r="AJ50" s="130"/>
      <c r="AK50" s="130"/>
      <c r="AL50" s="204"/>
      <c r="AM50" s="136"/>
      <c r="AN50" s="136"/>
      <c r="AO50" s="136"/>
      <c r="AP50" s="206"/>
      <c r="AQ50" s="207"/>
      <c r="AS50" s="33"/>
    </row>
    <row r="51" customFormat="false" ht="15" hidden="false" customHeight="false" outlineLevel="0" collapsed="false">
      <c r="A51" s="253" t="s">
        <v>90</v>
      </c>
      <c r="B51" s="176"/>
      <c r="C51" s="177"/>
      <c r="D51" s="176"/>
      <c r="E51" s="176"/>
      <c r="F51" s="176"/>
      <c r="G51" s="53"/>
      <c r="H51" s="53"/>
      <c r="I51" s="53"/>
      <c r="J51" s="53"/>
      <c r="K51" s="53"/>
      <c r="L51" s="53"/>
      <c r="M51" s="53"/>
      <c r="N51" s="176"/>
      <c r="O51" s="53"/>
      <c r="P51" s="53"/>
      <c r="Q51" s="53"/>
      <c r="R51" s="53"/>
      <c r="S51" s="53"/>
      <c r="T51" s="53"/>
      <c r="U51" s="54"/>
      <c r="V51" s="204"/>
      <c r="W51" s="130"/>
      <c r="X51" s="226"/>
      <c r="Y51" s="53"/>
      <c r="Z51" s="53"/>
      <c r="AA51" s="53"/>
      <c r="AB51" s="226"/>
      <c r="AC51" s="53"/>
      <c r="AD51" s="205"/>
      <c r="AE51" s="53"/>
      <c r="AF51" s="204"/>
      <c r="AG51" s="130"/>
      <c r="AH51" s="130"/>
      <c r="AI51" s="130"/>
      <c r="AJ51" s="130"/>
      <c r="AK51" s="130"/>
      <c r="AL51" s="204"/>
      <c r="AM51" s="136"/>
      <c r="AN51" s="136"/>
      <c r="AO51" s="136"/>
      <c r="AP51" s="206"/>
      <c r="AQ51" s="207"/>
      <c r="AS51" s="33"/>
    </row>
    <row r="52" customFormat="false" ht="15" hidden="false" customHeight="false" outlineLevel="0" collapsed="false">
      <c r="A52" s="253" t="s">
        <v>91</v>
      </c>
      <c r="B52" s="176"/>
      <c r="C52" s="177"/>
      <c r="D52" s="176"/>
      <c r="E52" s="176"/>
      <c r="F52" s="176"/>
      <c r="G52" s="53"/>
      <c r="H52" s="53"/>
      <c r="I52" s="53"/>
      <c r="J52" s="53"/>
      <c r="K52" s="53"/>
      <c r="L52" s="53"/>
      <c r="M52" s="53"/>
      <c r="N52" s="176"/>
      <c r="O52" s="53"/>
      <c r="P52" s="53"/>
      <c r="Q52" s="53"/>
      <c r="R52" s="53"/>
      <c r="S52" s="53"/>
      <c r="T52" s="53"/>
      <c r="U52" s="54"/>
      <c r="V52" s="204"/>
      <c r="W52" s="130"/>
      <c r="X52" s="226"/>
      <c r="Y52" s="53"/>
      <c r="Z52" s="53"/>
      <c r="AA52" s="53"/>
      <c r="AB52" s="226"/>
      <c r="AC52" s="53"/>
      <c r="AD52" s="205"/>
      <c r="AE52" s="53"/>
      <c r="AF52" s="204"/>
      <c r="AG52" s="130"/>
      <c r="AH52" s="130"/>
      <c r="AI52" s="130"/>
      <c r="AJ52" s="130"/>
      <c r="AK52" s="130"/>
      <c r="AL52" s="204"/>
      <c r="AM52" s="136"/>
      <c r="AN52" s="136"/>
      <c r="AO52" s="136"/>
      <c r="AP52" s="206"/>
      <c r="AQ52" s="207"/>
      <c r="AS52" s="33"/>
    </row>
    <row r="53" customFormat="false" ht="15" hidden="false" customHeight="false" outlineLevel="0" collapsed="false">
      <c r="A53" s="253" t="s">
        <v>92</v>
      </c>
      <c r="B53" s="176"/>
      <c r="C53" s="177"/>
      <c r="D53" s="176"/>
      <c r="E53" s="176"/>
      <c r="F53" s="176"/>
      <c r="G53" s="53"/>
      <c r="H53" s="53"/>
      <c r="I53" s="53"/>
      <c r="J53" s="53"/>
      <c r="K53" s="53"/>
      <c r="L53" s="53"/>
      <c r="M53" s="53"/>
      <c r="N53" s="176"/>
      <c r="O53" s="53"/>
      <c r="P53" s="53"/>
      <c r="Q53" s="53"/>
      <c r="R53" s="53"/>
      <c r="S53" s="53"/>
      <c r="T53" s="53"/>
      <c r="U53" s="54"/>
      <c r="V53" s="204"/>
      <c r="W53" s="130"/>
      <c r="X53" s="53"/>
      <c r="Y53" s="53"/>
      <c r="Z53" s="53"/>
      <c r="AA53" s="53"/>
      <c r="AB53" s="53"/>
      <c r="AC53" s="53"/>
      <c r="AD53" s="205"/>
      <c r="AE53" s="53"/>
      <c r="AF53" s="204"/>
      <c r="AG53" s="130"/>
      <c r="AH53" s="130"/>
      <c r="AI53" s="130"/>
      <c r="AJ53" s="130"/>
      <c r="AK53" s="130"/>
      <c r="AL53" s="204"/>
      <c r="AM53" s="136"/>
      <c r="AN53" s="136"/>
      <c r="AO53" s="136"/>
      <c r="AP53" s="206"/>
      <c r="AQ53" s="207"/>
      <c r="AS53" s="33"/>
    </row>
    <row r="54" customFormat="false" ht="15" hidden="false" customHeight="false" outlineLevel="0" collapsed="false">
      <c r="A54" s="203"/>
      <c r="B54" s="176"/>
      <c r="C54" s="177"/>
      <c r="D54" s="176"/>
      <c r="E54" s="176"/>
      <c r="F54" s="176"/>
      <c r="G54" s="53"/>
      <c r="H54" s="53"/>
      <c r="I54" s="53"/>
      <c r="J54" s="53"/>
      <c r="K54" s="53"/>
      <c r="L54" s="53"/>
      <c r="M54" s="53"/>
      <c r="N54" s="176"/>
      <c r="O54" s="53"/>
      <c r="P54" s="53"/>
      <c r="Q54" s="53"/>
      <c r="R54" s="53"/>
      <c r="S54" s="53"/>
      <c r="T54" s="53"/>
      <c r="U54" s="54"/>
      <c r="V54" s="204"/>
      <c r="W54" s="130"/>
      <c r="X54" s="53"/>
      <c r="Y54" s="53"/>
      <c r="Z54" s="53"/>
      <c r="AA54" s="53"/>
      <c r="AB54" s="53"/>
      <c r="AC54" s="53"/>
      <c r="AD54" s="205"/>
      <c r="AE54" s="53"/>
      <c r="AF54" s="204"/>
      <c r="AG54" s="130"/>
      <c r="AH54" s="130"/>
      <c r="AI54" s="130"/>
      <c r="AJ54" s="130"/>
      <c r="AK54" s="130"/>
      <c r="AL54" s="204"/>
      <c r="AM54" s="136"/>
      <c r="AN54" s="136"/>
      <c r="AO54" s="136"/>
      <c r="AP54" s="206"/>
      <c r="AQ54" s="207"/>
      <c r="AS54" s="33"/>
    </row>
    <row r="55" customFormat="false" ht="15" hidden="false" customHeight="false" outlineLevel="0" collapsed="false">
      <c r="A55" s="203"/>
      <c r="B55" s="176"/>
      <c r="C55" s="177"/>
      <c r="D55" s="176"/>
      <c r="E55" s="176"/>
      <c r="F55" s="176"/>
      <c r="G55" s="53"/>
      <c r="H55" s="53"/>
      <c r="I55" s="53"/>
      <c r="J55" s="53"/>
      <c r="K55" s="53"/>
      <c r="L55" s="53"/>
      <c r="M55" s="53"/>
      <c r="N55" s="176"/>
      <c r="O55" s="53"/>
      <c r="P55" s="53"/>
      <c r="Q55" s="53"/>
      <c r="R55" s="53"/>
      <c r="S55" s="53"/>
      <c r="T55" s="53"/>
      <c r="U55" s="54"/>
      <c r="V55" s="204"/>
      <c r="W55" s="130"/>
      <c r="X55" s="53"/>
      <c r="Y55" s="53"/>
      <c r="Z55" s="53"/>
      <c r="AA55" s="53"/>
      <c r="AB55" s="53"/>
      <c r="AC55" s="53"/>
      <c r="AD55" s="205"/>
      <c r="AE55" s="53"/>
      <c r="AF55" s="204"/>
      <c r="AG55" s="130"/>
      <c r="AH55" s="130"/>
      <c r="AI55" s="130"/>
      <c r="AJ55" s="130"/>
      <c r="AK55" s="130"/>
      <c r="AL55" s="204"/>
      <c r="AM55" s="136"/>
      <c r="AN55" s="136"/>
      <c r="AO55" s="136"/>
      <c r="AP55" s="206"/>
      <c r="AQ55" s="207"/>
      <c r="AS55" s="33"/>
    </row>
    <row r="56" customFormat="false" ht="15" hidden="false" customHeight="false" outlineLevel="0" collapsed="false">
      <c r="A56" s="203"/>
      <c r="B56" s="176"/>
      <c r="C56" s="177"/>
      <c r="D56" s="176"/>
      <c r="E56" s="176"/>
      <c r="F56" s="176"/>
      <c r="G56" s="53"/>
      <c r="H56" s="53"/>
      <c r="I56" s="53"/>
      <c r="J56" s="53"/>
      <c r="K56" s="53"/>
      <c r="L56" s="53"/>
      <c r="M56" s="53"/>
      <c r="N56" s="176"/>
      <c r="O56" s="53"/>
      <c r="P56" s="53"/>
      <c r="Q56" s="53"/>
      <c r="R56" s="53"/>
      <c r="S56" s="53"/>
      <c r="T56" s="53"/>
      <c r="U56" s="54"/>
      <c r="V56" s="204"/>
      <c r="W56" s="130"/>
      <c r="X56" s="53"/>
      <c r="Y56" s="53"/>
      <c r="Z56" s="53"/>
      <c r="AA56" s="53"/>
      <c r="AB56" s="53"/>
      <c r="AC56" s="53"/>
      <c r="AD56" s="205"/>
      <c r="AE56" s="53"/>
      <c r="AF56" s="204"/>
      <c r="AG56" s="130"/>
      <c r="AH56" s="130"/>
      <c r="AI56" s="130"/>
      <c r="AJ56" s="130"/>
      <c r="AK56" s="130"/>
      <c r="AL56" s="204"/>
      <c r="AM56" s="136"/>
      <c r="AN56" s="136"/>
      <c r="AO56" s="136"/>
      <c r="AP56" s="206"/>
      <c r="AQ56" s="207"/>
      <c r="AS56" s="33"/>
    </row>
    <row r="57" customFormat="false" ht="15" hidden="false" customHeight="false" outlineLevel="0" collapsed="false">
      <c r="A57" s="203"/>
      <c r="B57" s="176"/>
      <c r="C57" s="177"/>
      <c r="D57" s="176"/>
      <c r="E57" s="176"/>
      <c r="F57" s="176"/>
      <c r="G57" s="53"/>
      <c r="H57" s="53"/>
      <c r="I57" s="53"/>
      <c r="J57" s="53"/>
      <c r="K57" s="53"/>
      <c r="L57" s="53"/>
      <c r="M57" s="53"/>
      <c r="N57" s="176"/>
      <c r="O57" s="53"/>
      <c r="P57" s="53"/>
      <c r="Q57" s="53"/>
      <c r="R57" s="53"/>
      <c r="S57" s="53"/>
      <c r="T57" s="53"/>
      <c r="U57" s="54"/>
      <c r="V57" s="204"/>
      <c r="W57" s="130"/>
      <c r="X57" s="53"/>
      <c r="Y57" s="53"/>
      <c r="Z57" s="53"/>
      <c r="AA57" s="53"/>
      <c r="AB57" s="53"/>
      <c r="AC57" s="53"/>
      <c r="AD57" s="205"/>
      <c r="AE57" s="53"/>
      <c r="AF57" s="204"/>
      <c r="AG57" s="130"/>
      <c r="AH57" s="130"/>
      <c r="AI57" s="130"/>
      <c r="AJ57" s="130"/>
      <c r="AK57" s="130"/>
      <c r="AL57" s="204"/>
      <c r="AM57" s="136"/>
      <c r="AN57" s="136"/>
      <c r="AO57" s="136"/>
      <c r="AP57" s="206"/>
      <c r="AQ57" s="207"/>
      <c r="AS57" s="33"/>
    </row>
    <row r="58" customFormat="false" ht="15" hidden="false" customHeight="false" outlineLevel="0" collapsed="false">
      <c r="A58" s="203"/>
      <c r="B58" s="176"/>
      <c r="C58" s="177"/>
      <c r="D58" s="176"/>
      <c r="E58" s="176"/>
      <c r="F58" s="176"/>
      <c r="G58" s="53"/>
      <c r="H58" s="53"/>
      <c r="I58" s="53"/>
      <c r="J58" s="53"/>
      <c r="K58" s="53"/>
      <c r="L58" s="53"/>
      <c r="M58" s="53"/>
      <c r="N58" s="176"/>
      <c r="O58" s="53"/>
      <c r="P58" s="53"/>
      <c r="Q58" s="53"/>
      <c r="R58" s="53"/>
      <c r="S58" s="53"/>
      <c r="T58" s="53"/>
      <c r="U58" s="54"/>
      <c r="V58" s="204"/>
      <c r="W58" s="130"/>
      <c r="X58" s="53"/>
      <c r="Y58" s="53"/>
      <c r="Z58" s="53"/>
      <c r="AA58" s="53"/>
      <c r="AB58" s="53"/>
      <c r="AC58" s="53"/>
      <c r="AD58" s="205"/>
      <c r="AE58" s="53"/>
      <c r="AF58" s="204"/>
      <c r="AG58" s="130"/>
      <c r="AH58" s="130"/>
      <c r="AI58" s="130"/>
      <c r="AJ58" s="130"/>
      <c r="AK58" s="130"/>
      <c r="AL58" s="204"/>
      <c r="AM58" s="136"/>
      <c r="AN58" s="136"/>
      <c r="AO58" s="136"/>
      <c r="AP58" s="206"/>
      <c r="AQ58" s="207"/>
      <c r="AS58" s="33"/>
    </row>
    <row r="59" customFormat="false" ht="15" hidden="false" customHeight="false" outlineLevel="0" collapsed="false">
      <c r="A59" s="203"/>
      <c r="B59" s="176"/>
      <c r="C59" s="177"/>
      <c r="D59" s="176"/>
      <c r="E59" s="176"/>
      <c r="F59" s="176"/>
      <c r="G59" s="53"/>
      <c r="H59" s="53"/>
      <c r="I59" s="53"/>
      <c r="J59" s="53"/>
      <c r="K59" s="53"/>
      <c r="L59" s="53"/>
      <c r="M59" s="53"/>
      <c r="N59" s="176"/>
      <c r="O59" s="53"/>
      <c r="P59" s="53"/>
      <c r="Q59" s="53"/>
      <c r="R59" s="53"/>
      <c r="S59" s="53"/>
      <c r="T59" s="53"/>
      <c r="U59" s="54"/>
      <c r="V59" s="204"/>
      <c r="W59" s="130"/>
      <c r="X59" s="53"/>
      <c r="Y59" s="53"/>
      <c r="Z59" s="53"/>
      <c r="AA59" s="53"/>
      <c r="AB59" s="53"/>
      <c r="AC59" s="53"/>
      <c r="AD59" s="205"/>
      <c r="AE59" s="53"/>
      <c r="AF59" s="204"/>
      <c r="AG59" s="130"/>
      <c r="AH59" s="130"/>
      <c r="AI59" s="130"/>
      <c r="AJ59" s="130"/>
      <c r="AK59" s="130"/>
      <c r="AL59" s="204"/>
      <c r="AM59" s="136"/>
      <c r="AN59" s="136"/>
      <c r="AO59" s="136"/>
      <c r="AP59" s="206"/>
      <c r="AQ59" s="207"/>
      <c r="AS59" s="33"/>
    </row>
    <row r="60" customFormat="false" ht="18" hidden="false" customHeight="true" outlineLevel="0" collapsed="false">
      <c r="A60" s="142"/>
      <c r="B60" s="176"/>
      <c r="C60" s="177"/>
      <c r="D60" s="176"/>
      <c r="E60" s="176"/>
      <c r="F60" s="176"/>
      <c r="G60" s="53"/>
      <c r="H60" s="53"/>
      <c r="I60" s="53"/>
      <c r="J60" s="53"/>
      <c r="K60" s="53"/>
      <c r="L60" s="53"/>
      <c r="M60" s="53"/>
      <c r="N60" s="176"/>
      <c r="O60" s="53"/>
      <c r="P60" s="53"/>
      <c r="Q60" s="53"/>
      <c r="R60" s="53"/>
      <c r="S60" s="53"/>
      <c r="T60" s="53"/>
      <c r="U60" s="54"/>
      <c r="V60" s="204"/>
      <c r="W60" s="130"/>
      <c r="X60" s="53"/>
      <c r="Y60" s="53"/>
      <c r="Z60" s="242"/>
      <c r="AA60" s="53"/>
      <c r="AB60" s="53"/>
      <c r="AC60" s="53"/>
      <c r="AD60" s="205"/>
      <c r="AE60" s="53"/>
      <c r="AF60" s="204"/>
      <c r="AG60" s="130"/>
      <c r="AH60" s="130"/>
      <c r="AI60" s="130"/>
      <c r="AJ60" s="130"/>
      <c r="AK60" s="130"/>
      <c r="AL60" s="204"/>
      <c r="AM60" s="136"/>
      <c r="AN60" s="136"/>
      <c r="AO60" s="136"/>
      <c r="AP60" s="206"/>
      <c r="AQ60" s="207"/>
      <c r="AS60" s="33"/>
    </row>
    <row r="61" customFormat="false" ht="9.75" hidden="false" customHeight="true" outlineLevel="0" collapsed="false">
      <c r="A61" s="48"/>
      <c r="B61" s="176"/>
      <c r="C61" s="177"/>
      <c r="D61" s="176"/>
      <c r="E61" s="176"/>
      <c r="F61" s="176"/>
      <c r="G61" s="53"/>
      <c r="H61" s="53"/>
      <c r="I61" s="53"/>
      <c r="J61" s="53"/>
      <c r="K61" s="53"/>
      <c r="L61" s="53"/>
      <c r="M61" s="53"/>
      <c r="N61" s="176"/>
      <c r="O61" s="53"/>
      <c r="P61" s="53"/>
      <c r="Q61" s="53"/>
      <c r="R61" s="53"/>
      <c r="S61" s="53"/>
      <c r="T61" s="54"/>
      <c r="U61" s="54"/>
      <c r="V61" s="130"/>
      <c r="W61" s="130"/>
      <c r="X61" s="54"/>
      <c r="Y61" s="54"/>
      <c r="Z61" s="53"/>
      <c r="AA61" s="53"/>
      <c r="AB61" s="187"/>
      <c r="AC61" s="54"/>
      <c r="AD61" s="53"/>
      <c r="AE61" s="53"/>
      <c r="AF61" s="204"/>
      <c r="AG61" s="130"/>
      <c r="AH61" s="130"/>
      <c r="AI61" s="130"/>
      <c r="AJ61" s="130"/>
      <c r="AK61" s="130"/>
      <c r="AL61" s="204"/>
      <c r="AM61" s="136"/>
      <c r="AN61" s="136"/>
      <c r="AO61" s="136"/>
      <c r="AP61" s="206"/>
      <c r="AQ61" s="207"/>
      <c r="AS61" s="33"/>
    </row>
    <row r="62" customFormat="false" ht="15.75" hidden="false" customHeight="false" outlineLevel="0" collapsed="false">
      <c r="A62" s="254" t="s">
        <v>83</v>
      </c>
      <c r="B62" s="255"/>
      <c r="C62" s="256"/>
      <c r="D62" s="64"/>
      <c r="E62" s="255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257" t="s">
        <v>93</v>
      </c>
      <c r="T62" s="258"/>
      <c r="U62" s="258"/>
      <c r="V62" s="258"/>
      <c r="W62" s="258"/>
      <c r="X62" s="257" t="s">
        <v>94</v>
      </c>
      <c r="Y62" s="257"/>
      <c r="Z62" s="258"/>
      <c r="AA62" s="258"/>
      <c r="AB62" s="259" t="s">
        <v>95</v>
      </c>
      <c r="AC62" s="260"/>
      <c r="AD62" s="261"/>
      <c r="AE62" s="261"/>
      <c r="AF62" s="261"/>
      <c r="AG62" s="248"/>
      <c r="AH62" s="248"/>
      <c r="AI62" s="248"/>
      <c r="AJ62" s="48"/>
      <c r="AK62" s="248"/>
      <c r="AL62" s="48"/>
      <c r="AM62" s="48"/>
      <c r="AN62" s="48"/>
      <c r="AR62" s="262"/>
    </row>
    <row r="63" customFormat="false" ht="12.75" hidden="false" customHeight="true" outlineLevel="0" collapsed="false">
      <c r="A63" s="263" t="s">
        <v>96</v>
      </c>
      <c r="B63" s="264"/>
      <c r="C63" s="264"/>
      <c r="D63" s="264"/>
      <c r="E63" s="264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247" t="s">
        <v>97</v>
      </c>
      <c r="T63" s="248"/>
      <c r="U63" s="248"/>
      <c r="V63" s="248"/>
      <c r="W63" s="248"/>
      <c r="X63" s="247" t="s">
        <v>97</v>
      </c>
      <c r="Y63" s="247"/>
      <c r="Z63" s="248"/>
      <c r="AA63" s="248"/>
      <c r="AB63" s="265" t="s">
        <v>97</v>
      </c>
      <c r="AC63" s="247"/>
      <c r="AD63" s="261"/>
      <c r="AE63" s="261"/>
      <c r="AF63" s="261"/>
      <c r="AG63" s="248"/>
      <c r="AH63" s="248"/>
      <c r="AI63" s="248"/>
      <c r="AJ63" s="266"/>
      <c r="AK63" s="248"/>
      <c r="AL63" s="266"/>
      <c r="AM63" s="266"/>
      <c r="AN63" s="266"/>
    </row>
    <row r="64" customFormat="false" ht="15.75" hidden="false" customHeight="false" outlineLevel="0" collapsed="false">
      <c r="A64" s="267" t="s">
        <v>98</v>
      </c>
      <c r="B64" s="264"/>
      <c r="C64" s="264"/>
      <c r="D64" s="264"/>
      <c r="E64" s="264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268" t="n">
        <v>2</v>
      </c>
      <c r="T64" s="248"/>
      <c r="U64" s="248"/>
      <c r="V64" s="248"/>
      <c r="W64" s="248"/>
      <c r="X64" s="269" t="n">
        <v>1.4</v>
      </c>
      <c r="Y64" s="270"/>
      <c r="Z64" s="248"/>
      <c r="AA64" s="248"/>
      <c r="AB64" s="271" t="n">
        <v>1.65</v>
      </c>
      <c r="AC64" s="272"/>
      <c r="AD64" s="261"/>
      <c r="AE64" s="261"/>
      <c r="AF64" s="261"/>
      <c r="AG64" s="248"/>
      <c r="AH64" s="248"/>
      <c r="AI64" s="248"/>
      <c r="AJ64" s="266"/>
      <c r="AK64" s="248"/>
      <c r="AL64" s="266"/>
      <c r="AM64" s="266"/>
      <c r="AN64" s="266"/>
    </row>
    <row r="65" customFormat="false" ht="15.75" hidden="false" customHeight="false" outlineLevel="0" collapsed="false">
      <c r="A65" s="267" t="s">
        <v>99</v>
      </c>
      <c r="B65" s="264"/>
      <c r="C65" s="264"/>
      <c r="D65" s="264"/>
      <c r="E65" s="264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68" t="n">
        <v>2</v>
      </c>
      <c r="T65" s="248"/>
      <c r="U65" s="248"/>
      <c r="V65" s="248"/>
      <c r="W65" s="248"/>
      <c r="X65" s="272" t="n">
        <v>1.4</v>
      </c>
      <c r="Y65" s="272"/>
      <c r="Z65" s="248"/>
      <c r="AA65" s="248"/>
      <c r="AB65" s="271" t="n">
        <v>1.6</v>
      </c>
      <c r="AC65" s="272"/>
      <c r="AD65" s="261"/>
      <c r="AE65" s="261"/>
      <c r="AF65" s="261"/>
      <c r="AG65" s="248"/>
      <c r="AH65" s="248"/>
      <c r="AI65" s="248"/>
      <c r="AJ65" s="266"/>
      <c r="AK65" s="248"/>
      <c r="AL65" s="266"/>
      <c r="AM65" s="266"/>
      <c r="AN65" s="266"/>
    </row>
    <row r="66" customFormat="false" ht="15.75" hidden="false" customHeight="false" outlineLevel="0" collapsed="false">
      <c r="A66" s="267" t="s">
        <v>100</v>
      </c>
      <c r="B66" s="264"/>
      <c r="C66" s="264"/>
      <c r="D66" s="264"/>
      <c r="E66" s="264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268" t="n">
        <v>2</v>
      </c>
      <c r="T66" s="248"/>
      <c r="U66" s="248"/>
      <c r="V66" s="248"/>
      <c r="W66" s="248"/>
      <c r="X66" s="272" t="n">
        <v>1.42</v>
      </c>
      <c r="Y66" s="272"/>
      <c r="Z66" s="248"/>
      <c r="AA66" s="248"/>
      <c r="AB66" s="271" t="n">
        <v>1.62</v>
      </c>
      <c r="AC66" s="272"/>
      <c r="AD66" s="261"/>
      <c r="AE66" s="261"/>
      <c r="AF66" s="261"/>
      <c r="AG66" s="248"/>
      <c r="AH66" s="248"/>
      <c r="AI66" s="248"/>
      <c r="AJ66" s="266"/>
      <c r="AK66" s="248"/>
      <c r="AL66" s="266"/>
      <c r="AM66" s="266"/>
      <c r="AN66" s="266"/>
    </row>
    <row r="67" customFormat="false" ht="15.75" hidden="false" customHeight="false" outlineLevel="0" collapsed="false">
      <c r="A67" s="267" t="s">
        <v>101</v>
      </c>
      <c r="B67" s="264"/>
      <c r="C67" s="264"/>
      <c r="D67" s="264"/>
      <c r="E67" s="264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268"/>
      <c r="T67" s="248"/>
      <c r="U67" s="248"/>
      <c r="V67" s="248"/>
      <c r="W67" s="248"/>
      <c r="X67" s="273" t="n">
        <v>1.4</v>
      </c>
      <c r="Y67" s="272"/>
      <c r="Z67" s="248"/>
      <c r="AA67" s="248"/>
      <c r="AB67" s="274" t="n">
        <v>1.6</v>
      </c>
      <c r="AC67" s="272"/>
      <c r="AD67" s="261"/>
      <c r="AE67" s="261"/>
      <c r="AF67" s="261"/>
      <c r="AG67" s="248"/>
      <c r="AH67" s="248"/>
      <c r="AI67" s="248"/>
      <c r="AJ67" s="266"/>
      <c r="AK67" s="248"/>
      <c r="AL67" s="266"/>
      <c r="AM67" s="266"/>
      <c r="AN67" s="266"/>
    </row>
    <row r="68" customFormat="false" ht="15.75" hidden="false" customHeight="false" outlineLevel="0" collapsed="false">
      <c r="A68" s="267" t="s">
        <v>102</v>
      </c>
      <c r="B68" s="264"/>
      <c r="C68" s="264"/>
      <c r="D68" s="264"/>
      <c r="E68" s="264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268" t="n">
        <v>1.95</v>
      </c>
      <c r="T68" s="275"/>
      <c r="U68" s="248"/>
      <c r="V68" s="248"/>
      <c r="W68" s="248"/>
      <c r="X68" s="272" t="n">
        <v>1.44</v>
      </c>
      <c r="Y68" s="272"/>
      <c r="Z68" s="275"/>
      <c r="AA68" s="275"/>
      <c r="AB68" s="274" t="n">
        <v>1.75</v>
      </c>
      <c r="AC68" s="272"/>
      <c r="AD68" s="276"/>
      <c r="AE68" s="276"/>
      <c r="AF68" s="261"/>
      <c r="AG68" s="248"/>
      <c r="AH68" s="248"/>
      <c r="AI68" s="248"/>
      <c r="AJ68" s="266"/>
      <c r="AK68" s="248"/>
      <c r="AL68" s="266"/>
      <c r="AM68" s="266"/>
      <c r="AN68" s="266"/>
    </row>
    <row r="69" customFormat="false" ht="15.75" hidden="false" customHeight="false" outlineLevel="0" collapsed="false">
      <c r="A69" s="267" t="s">
        <v>103</v>
      </c>
      <c r="B69" s="264"/>
      <c r="C69" s="264"/>
      <c r="D69" s="264"/>
      <c r="E69" s="264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268"/>
      <c r="T69" s="275"/>
      <c r="U69" s="248"/>
      <c r="V69" s="248"/>
      <c r="W69" s="248"/>
      <c r="X69" s="272" t="n">
        <v>1.4</v>
      </c>
      <c r="Y69" s="272"/>
      <c r="Z69" s="275"/>
      <c r="AA69" s="275"/>
      <c r="AB69" s="274" t="n">
        <v>1.65</v>
      </c>
      <c r="AC69" s="272"/>
      <c r="AD69" s="276"/>
      <c r="AE69" s="276"/>
      <c r="AF69" s="261"/>
      <c r="AG69" s="248"/>
      <c r="AH69" s="248"/>
      <c r="AI69" s="248"/>
      <c r="AJ69" s="266"/>
      <c r="AK69" s="248"/>
      <c r="AL69" s="266"/>
      <c r="AM69" s="266"/>
      <c r="AN69" s="266"/>
    </row>
    <row r="70" customFormat="false" ht="15.75" hidden="false" customHeight="false" outlineLevel="0" collapsed="false">
      <c r="A70" s="267" t="s">
        <v>104</v>
      </c>
      <c r="B70" s="264"/>
      <c r="C70" s="264"/>
      <c r="D70" s="264"/>
      <c r="E70" s="264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268"/>
      <c r="T70" s="275"/>
      <c r="U70" s="248"/>
      <c r="V70" s="248"/>
      <c r="W70" s="248"/>
      <c r="X70" s="272" t="n">
        <v>1.38</v>
      </c>
      <c r="Y70" s="272"/>
      <c r="Z70" s="275"/>
      <c r="AA70" s="275"/>
      <c r="AB70" s="274" t="n">
        <v>1.58</v>
      </c>
      <c r="AC70" s="272"/>
      <c r="AD70" s="276"/>
      <c r="AE70" s="276"/>
      <c r="AF70" s="261"/>
      <c r="AG70" s="248"/>
      <c r="AH70" s="248"/>
      <c r="AI70" s="248"/>
      <c r="AJ70" s="266"/>
      <c r="AK70" s="248"/>
      <c r="AL70" s="266"/>
      <c r="AM70" s="266"/>
      <c r="AN70" s="266"/>
    </row>
    <row r="71" customFormat="false" ht="15.75" hidden="false" customHeight="false" outlineLevel="0" collapsed="false">
      <c r="A71" s="267" t="s">
        <v>105</v>
      </c>
      <c r="B71" s="264"/>
      <c r="C71" s="264"/>
      <c r="D71" s="264"/>
      <c r="E71" s="264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268" t="n">
        <v>2</v>
      </c>
      <c r="T71" s="275"/>
      <c r="U71" s="248"/>
      <c r="V71" s="248"/>
      <c r="W71" s="248"/>
      <c r="X71" s="272" t="n">
        <v>1.5</v>
      </c>
      <c r="Y71" s="272"/>
      <c r="Z71" s="275"/>
      <c r="AA71" s="275"/>
      <c r="AB71" s="274" t="n">
        <v>1.75</v>
      </c>
      <c r="AC71" s="272"/>
      <c r="AD71" s="276"/>
      <c r="AE71" s="276"/>
      <c r="AF71" s="261"/>
      <c r="AG71" s="248"/>
      <c r="AH71" s="248"/>
      <c r="AI71" s="248"/>
      <c r="AJ71" s="266"/>
      <c r="AK71" s="248"/>
      <c r="AL71" s="266"/>
      <c r="AM71" s="266"/>
      <c r="AN71" s="266"/>
    </row>
    <row r="72" customFormat="false" ht="15.75" hidden="false" customHeight="false" outlineLevel="0" collapsed="false">
      <c r="A72" s="267" t="s">
        <v>106</v>
      </c>
      <c r="B72" s="264"/>
      <c r="C72" s="264"/>
      <c r="D72" s="264"/>
      <c r="E72" s="264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268" t="n">
        <v>2</v>
      </c>
      <c r="T72" s="275"/>
      <c r="U72" s="248"/>
      <c r="V72" s="248"/>
      <c r="W72" s="248"/>
      <c r="X72" s="272" t="n">
        <v>1.4</v>
      </c>
      <c r="Y72" s="272"/>
      <c r="Z72" s="275"/>
      <c r="AA72" s="275"/>
      <c r="AB72" s="274" t="n">
        <v>1.59</v>
      </c>
      <c r="AC72" s="272"/>
      <c r="AD72" s="276"/>
      <c r="AE72" s="276"/>
      <c r="AF72" s="261"/>
      <c r="AG72" s="248"/>
      <c r="AH72" s="248"/>
      <c r="AI72" s="248"/>
      <c r="AJ72" s="266"/>
      <c r="AK72" s="248"/>
      <c r="AL72" s="266"/>
      <c r="AM72" s="266"/>
      <c r="AN72" s="266"/>
    </row>
    <row r="73" customFormat="false" ht="15.75" hidden="false" customHeight="false" outlineLevel="0" collapsed="false">
      <c r="A73" s="277" t="s">
        <v>107</v>
      </c>
      <c r="B73" s="264"/>
      <c r="C73" s="264"/>
      <c r="D73" s="264"/>
      <c r="E73" s="264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268" t="n">
        <v>2</v>
      </c>
      <c r="T73" s="278"/>
      <c r="U73" s="279"/>
      <c r="V73" s="279"/>
      <c r="W73" s="279"/>
      <c r="X73" s="272" t="n">
        <v>1.4</v>
      </c>
      <c r="Y73" s="272"/>
      <c r="Z73" s="278"/>
      <c r="AA73" s="278"/>
      <c r="AB73" s="274" t="n">
        <v>1.65</v>
      </c>
      <c r="AC73" s="272"/>
      <c r="AD73" s="280"/>
      <c r="AE73" s="280"/>
      <c r="AF73" s="281"/>
      <c r="AG73" s="279"/>
      <c r="AH73" s="279"/>
      <c r="AI73" s="282"/>
      <c r="AJ73" s="283"/>
      <c r="AK73" s="282"/>
      <c r="AL73" s="283"/>
      <c r="AM73" s="283"/>
      <c r="AN73" s="283"/>
      <c r="AO73" s="284"/>
      <c r="AP73" s="284"/>
      <c r="AQ73" s="285"/>
      <c r="AR73" s="286"/>
      <c r="AS73" s="284"/>
      <c r="AT73" s="284"/>
      <c r="AU73" s="284"/>
      <c r="AV73" s="284"/>
      <c r="AW73" s="284"/>
      <c r="AX73" s="284"/>
      <c r="AY73" s="284"/>
      <c r="AZ73" s="284"/>
      <c r="BA73" s="284"/>
      <c r="BB73" s="284"/>
      <c r="BC73" s="284"/>
      <c r="BD73" s="284"/>
      <c r="BE73" s="284"/>
      <c r="BF73" s="284"/>
      <c r="BG73" s="284"/>
      <c r="BH73" s="284"/>
      <c r="BI73" s="284"/>
      <c r="BJ73" s="284"/>
      <c r="BK73" s="284"/>
      <c r="BL73" s="284"/>
      <c r="BM73" s="284"/>
      <c r="BN73" s="284"/>
      <c r="BO73" s="284"/>
      <c r="BP73" s="284"/>
      <c r="BQ73" s="284"/>
      <c r="BR73" s="284"/>
      <c r="BS73" s="284"/>
      <c r="BT73" s="284"/>
      <c r="BU73" s="284"/>
      <c r="BV73" s="284"/>
      <c r="BW73" s="284"/>
      <c r="BX73" s="284"/>
      <c r="BY73" s="284"/>
      <c r="BZ73" s="284"/>
      <c r="CA73" s="284"/>
      <c r="CB73" s="284"/>
      <c r="CC73" s="284"/>
      <c r="CD73" s="284"/>
      <c r="CE73" s="284"/>
      <c r="CF73" s="284"/>
      <c r="CG73" s="284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  <c r="CS73" s="284"/>
      <c r="CT73" s="284"/>
      <c r="CU73" s="284"/>
      <c r="CV73" s="284"/>
      <c r="CW73" s="284"/>
      <c r="CX73" s="284"/>
      <c r="CY73" s="284"/>
      <c r="CZ73" s="284"/>
      <c r="DA73" s="284"/>
      <c r="DB73" s="284"/>
      <c r="DC73" s="284"/>
      <c r="DD73" s="284"/>
      <c r="DE73" s="284"/>
      <c r="DF73" s="284"/>
      <c r="DG73" s="284"/>
      <c r="DH73" s="284"/>
      <c r="DI73" s="284"/>
      <c r="DJ73" s="284"/>
      <c r="DK73" s="284"/>
      <c r="DL73" s="284"/>
      <c r="DM73" s="284"/>
      <c r="DN73" s="284"/>
      <c r="DO73" s="284"/>
      <c r="DP73" s="284"/>
      <c r="DQ73" s="284"/>
      <c r="DR73" s="284"/>
      <c r="DS73" s="284"/>
      <c r="DT73" s="284"/>
      <c r="DU73" s="284"/>
      <c r="DV73" s="284"/>
      <c r="DW73" s="284"/>
      <c r="DX73" s="284"/>
      <c r="DY73" s="284"/>
      <c r="DZ73" s="284"/>
      <c r="EA73" s="284"/>
      <c r="EB73" s="284"/>
      <c r="EC73" s="284"/>
      <c r="ED73" s="284"/>
      <c r="EE73" s="284"/>
      <c r="EF73" s="284"/>
      <c r="EG73" s="284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E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</row>
    <row r="74" customFormat="false" ht="15.75" hidden="false" customHeight="false" outlineLevel="0" collapsed="false">
      <c r="A74" s="277" t="s">
        <v>108</v>
      </c>
      <c r="B74" s="264"/>
      <c r="C74" s="264"/>
      <c r="D74" s="264"/>
      <c r="E74" s="264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268"/>
      <c r="T74" s="278"/>
      <c r="U74" s="279"/>
      <c r="V74" s="279"/>
      <c r="W74" s="279"/>
      <c r="X74" s="272" t="n">
        <v>1.43</v>
      </c>
      <c r="Y74" s="272"/>
      <c r="Z74" s="278"/>
      <c r="AA74" s="278"/>
      <c r="AB74" s="274" t="n">
        <v>1.53</v>
      </c>
      <c r="AC74" s="272"/>
      <c r="AD74" s="280"/>
      <c r="AE74" s="280"/>
      <c r="AF74" s="281"/>
      <c r="AG74" s="279"/>
      <c r="AH74" s="279"/>
      <c r="AI74" s="282"/>
      <c r="AJ74" s="283"/>
      <c r="AK74" s="282"/>
      <c r="AL74" s="283"/>
      <c r="AM74" s="283"/>
      <c r="AN74" s="283"/>
      <c r="AO74" s="284"/>
      <c r="AP74" s="284"/>
      <c r="AQ74" s="285"/>
      <c r="AR74" s="286"/>
      <c r="AS74" s="284"/>
      <c r="AT74" s="284"/>
      <c r="AU74" s="284"/>
      <c r="AV74" s="284"/>
      <c r="AW74" s="284"/>
      <c r="AX74" s="284"/>
      <c r="AY74" s="284"/>
      <c r="AZ74" s="284"/>
      <c r="BA74" s="284"/>
      <c r="BB74" s="284"/>
      <c r="BC74" s="284"/>
      <c r="BD74" s="284"/>
      <c r="BE74" s="284"/>
      <c r="BF74" s="284"/>
      <c r="BG74" s="284"/>
      <c r="BH74" s="284"/>
      <c r="BI74" s="284"/>
      <c r="BJ74" s="284"/>
      <c r="BK74" s="284"/>
      <c r="BL74" s="284"/>
      <c r="BM74" s="284"/>
      <c r="BN74" s="284"/>
      <c r="BO74" s="284"/>
      <c r="BP74" s="284"/>
      <c r="BQ74" s="284"/>
      <c r="BR74" s="284"/>
      <c r="BS74" s="284"/>
      <c r="BT74" s="284"/>
      <c r="BU74" s="284"/>
      <c r="BV74" s="284"/>
      <c r="BW74" s="284"/>
      <c r="BX74" s="284"/>
      <c r="BY74" s="284"/>
      <c r="BZ74" s="284"/>
      <c r="CA74" s="284"/>
      <c r="CB74" s="284"/>
      <c r="CC74" s="284"/>
      <c r="CD74" s="284"/>
      <c r="CE74" s="284"/>
      <c r="CF74" s="284"/>
      <c r="CG74" s="284"/>
      <c r="CH74" s="284"/>
      <c r="CI74" s="284"/>
      <c r="CJ74" s="284"/>
      <c r="CK74" s="284"/>
      <c r="CL74" s="284"/>
      <c r="CM74" s="284"/>
      <c r="CN74" s="284"/>
      <c r="CO74" s="284"/>
      <c r="CP74" s="284"/>
      <c r="CQ74" s="284"/>
      <c r="CR74" s="284"/>
      <c r="CS74" s="284"/>
      <c r="CT74" s="284"/>
      <c r="CU74" s="284"/>
      <c r="CV74" s="284"/>
      <c r="CW74" s="284"/>
      <c r="CX74" s="284"/>
      <c r="CY74" s="284"/>
      <c r="CZ74" s="284"/>
      <c r="DA74" s="284"/>
      <c r="DB74" s="284"/>
      <c r="DC74" s="284"/>
      <c r="DD74" s="284"/>
      <c r="DE74" s="284"/>
      <c r="DF74" s="284"/>
      <c r="DG74" s="284"/>
      <c r="DH74" s="284"/>
      <c r="DI74" s="284"/>
      <c r="DJ74" s="284"/>
      <c r="DK74" s="284"/>
      <c r="DL74" s="284"/>
      <c r="DM74" s="284"/>
      <c r="DN74" s="284"/>
      <c r="DO74" s="284"/>
      <c r="DP74" s="284"/>
      <c r="DQ74" s="284"/>
      <c r="DR74" s="284"/>
      <c r="DS74" s="284"/>
      <c r="DT74" s="284"/>
      <c r="DU74" s="284"/>
      <c r="DV74" s="284"/>
      <c r="DW74" s="284"/>
      <c r="DX74" s="284"/>
      <c r="DY74" s="284"/>
      <c r="DZ74" s="284"/>
      <c r="EA74" s="284"/>
      <c r="EB74" s="284"/>
      <c r="EC74" s="284"/>
      <c r="ED74" s="284"/>
      <c r="EE74" s="284"/>
      <c r="EF74" s="284"/>
      <c r="EG74" s="284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E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</row>
    <row r="75" customFormat="false" ht="15.75" hidden="false" customHeight="false" outlineLevel="0" collapsed="false">
      <c r="A75" s="277" t="s">
        <v>109</v>
      </c>
      <c r="B75" s="264"/>
      <c r="C75" s="264"/>
      <c r="D75" s="264"/>
      <c r="E75" s="264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268"/>
      <c r="T75" s="278"/>
      <c r="U75" s="279"/>
      <c r="V75" s="279"/>
      <c r="W75" s="279"/>
      <c r="X75" s="272" t="n">
        <v>1.41</v>
      </c>
      <c r="Y75" s="272"/>
      <c r="Z75" s="278"/>
      <c r="AA75" s="278"/>
      <c r="AB75" s="271" t="n">
        <v>1.69</v>
      </c>
      <c r="AC75" s="272"/>
      <c r="AD75" s="280"/>
      <c r="AE75" s="280"/>
      <c r="AF75" s="281"/>
      <c r="AG75" s="279"/>
      <c r="AH75" s="279"/>
      <c r="AI75" s="282"/>
      <c r="AJ75" s="283"/>
      <c r="AK75" s="282"/>
      <c r="AL75" s="283"/>
      <c r="AM75" s="283"/>
      <c r="AN75" s="283"/>
      <c r="AO75" s="284"/>
      <c r="AP75" s="284"/>
      <c r="AQ75" s="285"/>
      <c r="AR75" s="286"/>
      <c r="AS75" s="284"/>
      <c r="AT75" s="284"/>
      <c r="AU75" s="284"/>
      <c r="AV75" s="284"/>
      <c r="AW75" s="284"/>
      <c r="AX75" s="284"/>
      <c r="AY75" s="284"/>
      <c r="AZ75" s="284"/>
      <c r="BA75" s="284"/>
      <c r="BB75" s="284"/>
      <c r="BC75" s="284"/>
      <c r="BD75" s="284"/>
      <c r="BE75" s="284"/>
      <c r="BF75" s="284"/>
      <c r="BG75" s="284"/>
      <c r="BH75" s="284"/>
      <c r="BI75" s="284"/>
      <c r="BJ75" s="284"/>
      <c r="BK75" s="284"/>
      <c r="BL75" s="284"/>
      <c r="BM75" s="284"/>
      <c r="BN75" s="284"/>
      <c r="BO75" s="284"/>
      <c r="BP75" s="284"/>
      <c r="BQ75" s="284"/>
      <c r="BR75" s="284"/>
      <c r="BS75" s="284"/>
      <c r="BT75" s="284"/>
      <c r="BU75" s="284"/>
      <c r="BV75" s="284"/>
      <c r="BW75" s="284"/>
      <c r="BX75" s="284"/>
      <c r="BY75" s="284"/>
      <c r="BZ75" s="284"/>
      <c r="CA75" s="284"/>
      <c r="CB75" s="284"/>
      <c r="CC75" s="284"/>
      <c r="CD75" s="284"/>
      <c r="CE75" s="284"/>
      <c r="CF75" s="284"/>
      <c r="CG75" s="284"/>
      <c r="CH75" s="284"/>
      <c r="CI75" s="284"/>
      <c r="CJ75" s="284"/>
      <c r="CK75" s="284"/>
      <c r="CL75" s="284"/>
      <c r="CM75" s="284"/>
      <c r="CN75" s="284"/>
      <c r="CO75" s="284"/>
      <c r="CP75" s="284"/>
      <c r="CQ75" s="284"/>
      <c r="CR75" s="284"/>
      <c r="CS75" s="284"/>
      <c r="CT75" s="284"/>
      <c r="CU75" s="284"/>
      <c r="CV75" s="284"/>
      <c r="CW75" s="284"/>
      <c r="CX75" s="284"/>
      <c r="CY75" s="284"/>
      <c r="CZ75" s="284"/>
      <c r="DA75" s="284"/>
      <c r="DB75" s="284"/>
      <c r="DC75" s="284"/>
      <c r="DD75" s="284"/>
      <c r="DE75" s="284"/>
      <c r="DF75" s="284"/>
      <c r="DG75" s="284"/>
      <c r="DH75" s="284"/>
      <c r="DI75" s="284"/>
      <c r="DJ75" s="284"/>
      <c r="DK75" s="284"/>
      <c r="DL75" s="284"/>
      <c r="DM75" s="284"/>
      <c r="DN75" s="284"/>
      <c r="DO75" s="284"/>
      <c r="DP75" s="284"/>
      <c r="DQ75" s="284"/>
      <c r="DR75" s="284"/>
      <c r="DS75" s="284"/>
      <c r="DT75" s="284"/>
      <c r="DU75" s="284"/>
      <c r="DV75" s="284"/>
      <c r="DW75" s="284"/>
      <c r="DX75" s="284"/>
      <c r="DY75" s="284"/>
      <c r="DZ75" s="284"/>
      <c r="EA75" s="284"/>
      <c r="EB75" s="284"/>
      <c r="EC75" s="284"/>
      <c r="ED75" s="284"/>
      <c r="EE75" s="284"/>
      <c r="EF75" s="284"/>
      <c r="EG75" s="284"/>
      <c r="EH75" s="284"/>
      <c r="EI75" s="284"/>
      <c r="EJ75" s="284"/>
      <c r="EK75" s="284"/>
      <c r="EL75" s="284"/>
      <c r="EM75" s="284"/>
      <c r="EN75" s="284"/>
      <c r="EO75" s="284"/>
      <c r="EP75" s="284"/>
      <c r="EQ75" s="284"/>
      <c r="ER75" s="284"/>
      <c r="ES75" s="284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E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</row>
    <row r="76" customFormat="false" ht="15.75" hidden="false" customHeight="false" outlineLevel="0" collapsed="false">
      <c r="A76" s="277" t="s">
        <v>110</v>
      </c>
      <c r="B76" s="264"/>
      <c r="C76" s="264"/>
      <c r="D76" s="264"/>
      <c r="E76" s="264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268"/>
      <c r="T76" s="278"/>
      <c r="U76" s="279"/>
      <c r="V76" s="279"/>
      <c r="W76" s="279"/>
      <c r="X76" s="272" t="n">
        <v>1.41</v>
      </c>
      <c r="Y76" s="272"/>
      <c r="Z76" s="278"/>
      <c r="AA76" s="278"/>
      <c r="AB76" s="271" t="n">
        <v>1.65</v>
      </c>
      <c r="AC76" s="272"/>
      <c r="AD76" s="280"/>
      <c r="AE76" s="280"/>
      <c r="AF76" s="281"/>
      <c r="AG76" s="279"/>
      <c r="AH76" s="279"/>
      <c r="AI76" s="282"/>
      <c r="AJ76" s="282"/>
      <c r="AK76" s="282"/>
      <c r="AL76" s="283"/>
      <c r="AM76" s="283"/>
      <c r="AN76" s="283"/>
      <c r="AO76" s="284"/>
      <c r="AP76" s="284"/>
      <c r="AQ76" s="285"/>
      <c r="AR76" s="286"/>
      <c r="AS76" s="284"/>
      <c r="AT76" s="284"/>
      <c r="AU76" s="284"/>
      <c r="AV76" s="284"/>
      <c r="AW76" s="284"/>
      <c r="AX76" s="284"/>
      <c r="AY76" s="284"/>
      <c r="AZ76" s="284"/>
      <c r="BA76" s="284"/>
      <c r="BB76" s="284"/>
      <c r="BC76" s="284"/>
      <c r="BD76" s="284"/>
      <c r="BE76" s="284"/>
      <c r="BF76" s="284"/>
      <c r="BG76" s="284"/>
      <c r="BH76" s="284"/>
      <c r="BI76" s="284"/>
      <c r="BJ76" s="284"/>
      <c r="BK76" s="284"/>
      <c r="BL76" s="284"/>
      <c r="BM76" s="284"/>
      <c r="BN76" s="284"/>
      <c r="BO76" s="284"/>
      <c r="BP76" s="284"/>
      <c r="BQ76" s="284"/>
      <c r="BR76" s="284"/>
      <c r="BS76" s="284"/>
      <c r="BT76" s="284"/>
      <c r="BU76" s="284"/>
      <c r="BV76" s="284"/>
      <c r="BW76" s="284"/>
      <c r="BX76" s="284"/>
      <c r="BY76" s="284"/>
      <c r="BZ76" s="284"/>
      <c r="CA76" s="284"/>
      <c r="CB76" s="284"/>
      <c r="CC76" s="284"/>
      <c r="CD76" s="284"/>
      <c r="CE76" s="284"/>
      <c r="CF76" s="284"/>
      <c r="CG76" s="284"/>
      <c r="CH76" s="284"/>
      <c r="CI76" s="284"/>
      <c r="CJ76" s="284"/>
      <c r="CK76" s="284"/>
      <c r="CL76" s="284"/>
      <c r="CM76" s="284"/>
      <c r="CN76" s="284"/>
      <c r="CO76" s="284"/>
      <c r="CP76" s="284"/>
      <c r="CQ76" s="284"/>
      <c r="CR76" s="284"/>
      <c r="CS76" s="284"/>
      <c r="CT76" s="284"/>
      <c r="CU76" s="284"/>
      <c r="CV76" s="284"/>
      <c r="CW76" s="284"/>
      <c r="CX76" s="284"/>
      <c r="CY76" s="284"/>
      <c r="CZ76" s="284"/>
      <c r="DA76" s="284"/>
      <c r="DB76" s="284"/>
      <c r="DC76" s="284"/>
      <c r="DD76" s="284"/>
      <c r="DE76" s="284"/>
      <c r="DF76" s="284"/>
      <c r="DG76" s="284"/>
      <c r="DH76" s="284"/>
      <c r="DI76" s="284"/>
      <c r="DJ76" s="284"/>
      <c r="DK76" s="284"/>
      <c r="DL76" s="284"/>
      <c r="DM76" s="284"/>
      <c r="DN76" s="284"/>
      <c r="DO76" s="284"/>
      <c r="DP76" s="284"/>
      <c r="DQ76" s="284"/>
      <c r="DR76" s="284"/>
      <c r="DS76" s="284"/>
      <c r="DT76" s="284"/>
      <c r="DU76" s="284"/>
      <c r="DV76" s="284"/>
      <c r="DW76" s="284"/>
      <c r="DX76" s="284"/>
      <c r="DY76" s="284"/>
      <c r="DZ76" s="284"/>
      <c r="EA76" s="284"/>
      <c r="EB76" s="284"/>
      <c r="EC76" s="284"/>
      <c r="ED76" s="284"/>
      <c r="EE76" s="284"/>
      <c r="EF76" s="284"/>
      <c r="EG76" s="284"/>
      <c r="EH76" s="284"/>
      <c r="EI76" s="284"/>
      <c r="EJ76" s="284"/>
      <c r="EK76" s="284"/>
      <c r="EL76" s="284"/>
      <c r="EM76" s="284"/>
      <c r="EN76" s="284"/>
      <c r="EO76" s="284"/>
      <c r="EP76" s="284"/>
      <c r="EQ76" s="284"/>
      <c r="ER76" s="284"/>
      <c r="ES76" s="284"/>
      <c r="ET76" s="284"/>
      <c r="EU76" s="284"/>
      <c r="EV76" s="284"/>
      <c r="EW76" s="284"/>
      <c r="EX76" s="284"/>
      <c r="EY76" s="284"/>
      <c r="EZ76" s="284"/>
      <c r="FA76" s="284"/>
      <c r="FB76" s="284"/>
      <c r="FC76" s="284"/>
      <c r="FD76" s="284"/>
      <c r="FE76" s="284"/>
      <c r="FF76" s="284"/>
      <c r="FG76" s="284"/>
      <c r="FH76" s="284"/>
      <c r="FI76" s="284"/>
      <c r="FJ76" s="284"/>
      <c r="FK76" s="284"/>
      <c r="FL76" s="284"/>
      <c r="FM76" s="284"/>
      <c r="FN76" s="284"/>
      <c r="FO76" s="284"/>
      <c r="FP76" s="284"/>
      <c r="FQ76" s="284"/>
      <c r="FR76" s="284"/>
      <c r="FS76" s="284"/>
      <c r="FT76" s="284"/>
      <c r="FU76" s="284"/>
      <c r="FV76" s="284"/>
      <c r="FW76" s="284"/>
      <c r="FX76" s="284"/>
      <c r="FY76" s="284"/>
      <c r="FZ76" s="284"/>
      <c r="GA76" s="284"/>
      <c r="GB76" s="284"/>
      <c r="GC76" s="284"/>
      <c r="GD76" s="284"/>
      <c r="GE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</row>
    <row r="77" customFormat="false" ht="15.75" hidden="false" customHeight="false" outlineLevel="0" collapsed="false">
      <c r="A77" s="277" t="s">
        <v>111</v>
      </c>
      <c r="B77" s="264"/>
      <c r="C77" s="264"/>
      <c r="D77" s="264"/>
      <c r="E77" s="264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268" t="n">
        <v>2</v>
      </c>
      <c r="T77" s="278"/>
      <c r="U77" s="279"/>
      <c r="V77" s="279"/>
      <c r="W77" s="279"/>
      <c r="X77" s="272" t="n">
        <v>1.4</v>
      </c>
      <c r="Y77" s="272"/>
      <c r="Z77" s="278"/>
      <c r="AA77" s="278"/>
      <c r="AB77" s="271" t="n">
        <v>1.61</v>
      </c>
      <c r="AC77" s="272"/>
      <c r="AD77" s="280"/>
      <c r="AE77" s="280"/>
      <c r="AF77" s="281"/>
      <c r="AG77" s="279"/>
      <c r="AH77" s="279"/>
      <c r="AI77" s="282"/>
      <c r="AJ77" s="282"/>
      <c r="AK77" s="282"/>
      <c r="AL77" s="283"/>
      <c r="AM77" s="283"/>
      <c r="AN77" s="283"/>
      <c r="AO77" s="284"/>
      <c r="AP77" s="284"/>
      <c r="AQ77" s="285"/>
      <c r="AR77" s="286"/>
      <c r="AS77" s="284"/>
      <c r="AT77" s="284"/>
      <c r="AU77" s="284"/>
      <c r="AV77" s="284"/>
      <c r="AW77" s="284"/>
      <c r="AX77" s="284"/>
      <c r="AY77" s="284"/>
      <c r="AZ77" s="284"/>
      <c r="BA77" s="284"/>
      <c r="BB77" s="284"/>
      <c r="BC77" s="284"/>
      <c r="BD77" s="284"/>
      <c r="BE77" s="284"/>
      <c r="BF77" s="284"/>
      <c r="BG77" s="284"/>
      <c r="BH77" s="284"/>
      <c r="BI77" s="284"/>
      <c r="BJ77" s="284"/>
      <c r="BK77" s="284"/>
      <c r="BL77" s="284"/>
      <c r="BM77" s="284"/>
      <c r="BN77" s="284"/>
      <c r="BO77" s="284"/>
      <c r="BP77" s="284"/>
      <c r="BQ77" s="284"/>
      <c r="BR77" s="284"/>
      <c r="BS77" s="284"/>
      <c r="BT77" s="284"/>
      <c r="BU77" s="284"/>
      <c r="BV77" s="284"/>
      <c r="BW77" s="284"/>
      <c r="BX77" s="284"/>
      <c r="BY77" s="284"/>
      <c r="BZ77" s="284"/>
      <c r="CA77" s="284"/>
      <c r="CB77" s="284"/>
      <c r="CC77" s="284"/>
      <c r="CD77" s="284"/>
      <c r="CE77" s="284"/>
      <c r="CF77" s="284"/>
      <c r="CG77" s="284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  <c r="CS77" s="284"/>
      <c r="CT77" s="284"/>
      <c r="CU77" s="284"/>
      <c r="CV77" s="284"/>
      <c r="CW77" s="284"/>
      <c r="CX77" s="284"/>
      <c r="CY77" s="284"/>
      <c r="CZ77" s="284"/>
      <c r="DA77" s="284"/>
      <c r="DB77" s="284"/>
      <c r="DC77" s="284"/>
      <c r="DD77" s="284"/>
      <c r="DE77" s="284"/>
      <c r="DF77" s="284"/>
      <c r="DG77" s="284"/>
      <c r="DH77" s="284"/>
      <c r="DI77" s="284"/>
      <c r="DJ77" s="284"/>
      <c r="DK77" s="284"/>
      <c r="DL77" s="284"/>
      <c r="DM77" s="284"/>
      <c r="DN77" s="284"/>
      <c r="DO77" s="284"/>
      <c r="DP77" s="284"/>
      <c r="DQ77" s="284"/>
      <c r="DR77" s="284"/>
      <c r="DS77" s="284"/>
      <c r="DT77" s="284"/>
      <c r="DU77" s="284"/>
      <c r="DV77" s="284"/>
      <c r="DW77" s="284"/>
      <c r="DX77" s="284"/>
      <c r="DY77" s="284"/>
      <c r="DZ77" s="284"/>
      <c r="EA77" s="284"/>
      <c r="EB77" s="284"/>
      <c r="EC77" s="284"/>
      <c r="ED77" s="284"/>
      <c r="EE77" s="284"/>
      <c r="EF77" s="284"/>
      <c r="EG77" s="284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E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</row>
    <row r="78" customFormat="false" ht="15.75" hidden="false" customHeight="false" outlineLevel="0" collapsed="false">
      <c r="A78" s="277" t="s">
        <v>112</v>
      </c>
      <c r="B78" s="264"/>
      <c r="C78" s="264"/>
      <c r="D78" s="264"/>
      <c r="E78" s="264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268" t="n">
        <v>1.98</v>
      </c>
      <c r="T78" s="275"/>
      <c r="U78" s="287"/>
      <c r="V78" s="287"/>
      <c r="W78" s="287"/>
      <c r="X78" s="272" t="n">
        <v>1.41</v>
      </c>
      <c r="Y78" s="272"/>
      <c r="Z78" s="275"/>
      <c r="AA78" s="275"/>
      <c r="AB78" s="271" t="n">
        <v>1.65</v>
      </c>
      <c r="AC78" s="272"/>
      <c r="AD78" s="276"/>
      <c r="AE78" s="276"/>
      <c r="AF78" s="288"/>
      <c r="AG78" s="287"/>
      <c r="AH78" s="287"/>
      <c r="AI78" s="289"/>
      <c r="AJ78" s="289"/>
      <c r="AK78" s="289"/>
      <c r="AL78" s="266"/>
      <c r="AM78" s="266"/>
      <c r="AN78" s="266"/>
      <c r="AP78" s="31"/>
      <c r="AQ78" s="32"/>
      <c r="AR78" s="290"/>
    </row>
    <row r="79" customFormat="false" ht="15.75" hidden="false" customHeight="false" outlineLevel="0" collapsed="false">
      <c r="A79" s="277" t="s">
        <v>113</v>
      </c>
      <c r="B79" s="264"/>
      <c r="C79" s="264"/>
      <c r="D79" s="264"/>
      <c r="E79" s="264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268" t="n">
        <v>2</v>
      </c>
      <c r="T79" s="275"/>
      <c r="U79" s="287"/>
      <c r="V79" s="287"/>
      <c r="W79" s="287"/>
      <c r="X79" s="272" t="n">
        <v>1.4</v>
      </c>
      <c r="Y79" s="272"/>
      <c r="Z79" s="275"/>
      <c r="AA79" s="275"/>
      <c r="AB79" s="271" t="n">
        <v>1.65</v>
      </c>
      <c r="AC79" s="272"/>
      <c r="AD79" s="276"/>
      <c r="AE79" s="276"/>
      <c r="AF79" s="288"/>
      <c r="AG79" s="287"/>
      <c r="AH79" s="287"/>
      <c r="AI79" s="289"/>
      <c r="AJ79" s="289"/>
      <c r="AK79" s="289"/>
      <c r="AL79" s="266"/>
      <c r="AM79" s="266"/>
      <c r="AN79" s="266"/>
      <c r="AP79" s="31"/>
      <c r="AQ79" s="32"/>
      <c r="AR79" s="290"/>
    </row>
    <row r="80" customFormat="false" ht="15.75" hidden="false" customHeight="false" outlineLevel="0" collapsed="false">
      <c r="A80" s="277" t="s">
        <v>114</v>
      </c>
      <c r="B80" s="264"/>
      <c r="C80" s="264"/>
      <c r="D80" s="264"/>
      <c r="E80" s="264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268" t="n">
        <v>2.01</v>
      </c>
      <c r="T80" s="275"/>
      <c r="U80" s="287"/>
      <c r="V80" s="287"/>
      <c r="W80" s="287"/>
      <c r="X80" s="272" t="n">
        <v>1.4</v>
      </c>
      <c r="Y80" s="272"/>
      <c r="Z80" s="275"/>
      <c r="AA80" s="275"/>
      <c r="AB80" s="274" t="n">
        <v>1.65</v>
      </c>
      <c r="AC80" s="272"/>
      <c r="AD80" s="276"/>
      <c r="AE80" s="276"/>
      <c r="AF80" s="288"/>
      <c r="AG80" s="287"/>
      <c r="AH80" s="287"/>
      <c r="AI80" s="289"/>
      <c r="AJ80" s="289"/>
      <c r="AK80" s="289"/>
      <c r="AL80" s="266"/>
      <c r="AM80" s="266"/>
      <c r="AN80" s="266"/>
      <c r="AP80" s="31"/>
      <c r="AQ80" s="32"/>
      <c r="AR80" s="290"/>
    </row>
    <row r="81" customFormat="false" ht="15.75" hidden="false" customHeight="false" outlineLevel="0" collapsed="false">
      <c r="A81" s="277" t="s">
        <v>115</v>
      </c>
      <c r="B81" s="264"/>
      <c r="C81" s="264"/>
      <c r="D81" s="264"/>
      <c r="E81" s="264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268"/>
      <c r="T81" s="275"/>
      <c r="U81" s="287"/>
      <c r="V81" s="287"/>
      <c r="W81" s="287"/>
      <c r="X81" s="272" t="n">
        <v>1.43</v>
      </c>
      <c r="Y81" s="272"/>
      <c r="Z81" s="275"/>
      <c r="AA81" s="275"/>
      <c r="AB81" s="271" t="n">
        <v>1.7</v>
      </c>
      <c r="AC81" s="272"/>
      <c r="AD81" s="276"/>
      <c r="AE81" s="276"/>
      <c r="AF81" s="288"/>
      <c r="AG81" s="287"/>
      <c r="AH81" s="287"/>
      <c r="AI81" s="289"/>
      <c r="AJ81" s="289"/>
      <c r="AK81" s="289"/>
      <c r="AL81" s="266"/>
      <c r="AM81" s="266"/>
      <c r="AN81" s="266"/>
      <c r="AP81" s="31"/>
      <c r="AQ81" s="32"/>
      <c r="AR81" s="290"/>
    </row>
    <row r="82" customFormat="false" ht="15.75" hidden="false" customHeight="false" outlineLevel="0" collapsed="false">
      <c r="A82" s="277" t="s">
        <v>116</v>
      </c>
      <c r="B82" s="264"/>
      <c r="C82" s="264"/>
      <c r="D82" s="264"/>
      <c r="E82" s="264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268" t="n">
        <v>2</v>
      </c>
      <c r="T82" s="275"/>
      <c r="U82" s="287"/>
      <c r="V82" s="287"/>
      <c r="W82" s="287"/>
      <c r="X82" s="272" t="n">
        <v>1.38</v>
      </c>
      <c r="Y82" s="272"/>
      <c r="Z82" s="275"/>
      <c r="AA82" s="275"/>
      <c r="AB82" s="274" t="n">
        <v>1.57</v>
      </c>
      <c r="AC82" s="272"/>
      <c r="AD82" s="276"/>
      <c r="AE82" s="276"/>
      <c r="AF82" s="288"/>
      <c r="AG82" s="287"/>
      <c r="AH82" s="287"/>
      <c r="AI82" s="289"/>
      <c r="AJ82" s="289"/>
      <c r="AK82" s="289"/>
      <c r="AL82" s="266"/>
      <c r="AM82" s="266"/>
      <c r="AN82" s="266"/>
      <c r="AP82" s="31"/>
      <c r="AQ82" s="32"/>
      <c r="AR82" s="290"/>
    </row>
    <row r="83" customFormat="false" ht="15.75" hidden="false" customHeight="false" outlineLevel="0" collapsed="false">
      <c r="A83" s="277" t="s">
        <v>117</v>
      </c>
      <c r="B83" s="264"/>
      <c r="C83" s="264"/>
      <c r="D83" s="264"/>
      <c r="E83" s="264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268"/>
      <c r="T83" s="275"/>
      <c r="U83" s="287"/>
      <c r="V83" s="287"/>
      <c r="W83" s="287"/>
      <c r="X83" s="272" t="n">
        <v>1.4</v>
      </c>
      <c r="Y83" s="272"/>
      <c r="Z83" s="275"/>
      <c r="AA83" s="275"/>
      <c r="AB83" s="271" t="n">
        <v>1.62</v>
      </c>
      <c r="AC83" s="272"/>
      <c r="AD83" s="276"/>
      <c r="AE83" s="276"/>
      <c r="AF83" s="288"/>
      <c r="AG83" s="287"/>
      <c r="AH83" s="287"/>
      <c r="AI83" s="289"/>
      <c r="AJ83" s="289"/>
      <c r="AK83" s="289"/>
      <c r="AL83" s="266"/>
      <c r="AM83" s="266"/>
      <c r="AN83" s="266"/>
      <c r="AP83" s="31"/>
      <c r="AQ83" s="32"/>
      <c r="AR83" s="290"/>
    </row>
    <row r="84" customFormat="false" ht="15.75" hidden="false" customHeight="false" outlineLevel="0" collapsed="false">
      <c r="A84" s="291"/>
      <c r="B84" s="264"/>
      <c r="C84" s="264"/>
      <c r="D84" s="264"/>
      <c r="E84" s="264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268"/>
      <c r="T84" s="275"/>
      <c r="U84" s="287"/>
      <c r="V84" s="287"/>
      <c r="W84" s="287"/>
      <c r="X84" s="272"/>
      <c r="Y84" s="272"/>
      <c r="Z84" s="275"/>
      <c r="AA84" s="275"/>
      <c r="AB84" s="271"/>
      <c r="AC84" s="272"/>
      <c r="AD84" s="276"/>
      <c r="AE84" s="276"/>
      <c r="AF84" s="288"/>
      <c r="AG84" s="287"/>
      <c r="AH84" s="287"/>
      <c r="AI84" s="289"/>
      <c r="AJ84" s="289"/>
      <c r="AK84" s="289"/>
      <c r="AL84" s="266"/>
      <c r="AM84" s="266"/>
      <c r="AN84" s="266"/>
      <c r="AP84" s="206"/>
      <c r="AQ84" s="207"/>
    </row>
    <row r="85" customFormat="false" ht="15.75" hidden="false" customHeight="false" outlineLevel="0" collapsed="false">
      <c r="A85" s="292" t="s">
        <v>118</v>
      </c>
      <c r="B85" s="293"/>
      <c r="C85" s="293"/>
      <c r="D85" s="293"/>
      <c r="E85" s="293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5" t="n">
        <f aca="false">AVERAGE(S64:S83)</f>
        <v>1.995</v>
      </c>
      <c r="T85" s="296"/>
      <c r="U85" s="297"/>
      <c r="V85" s="297"/>
      <c r="W85" s="297"/>
      <c r="X85" s="298" t="n">
        <f aca="false">AVERAGE(X64:X83)</f>
        <v>1.4105</v>
      </c>
      <c r="Y85" s="298"/>
      <c r="Z85" s="296"/>
      <c r="AA85" s="296"/>
      <c r="AB85" s="299" t="n">
        <f aca="false">AVERAGE(AB64:AB83)</f>
        <v>1.638</v>
      </c>
      <c r="AC85" s="272"/>
      <c r="AD85" s="276"/>
      <c r="AE85" s="276"/>
      <c r="AF85" s="288"/>
      <c r="AG85" s="287"/>
      <c r="AH85" s="287"/>
      <c r="AI85" s="289"/>
      <c r="AJ85" s="289"/>
      <c r="AK85" s="289"/>
      <c r="AL85" s="266"/>
      <c r="AM85" s="266"/>
      <c r="AN85" s="266"/>
      <c r="AP85" s="206"/>
      <c r="AQ85" s="207"/>
    </row>
    <row r="86" customFormat="false" ht="15.75" hidden="false" customHeight="false" outlineLevel="0" collapsed="false">
      <c r="C86" s="31"/>
      <c r="U86" s="31"/>
      <c r="W86" s="31"/>
      <c r="AC86" s="272"/>
      <c r="AD86" s="276"/>
      <c r="AE86" s="276"/>
      <c r="AF86" s="288"/>
      <c r="AG86" s="287"/>
      <c r="AH86" s="287"/>
      <c r="AI86" s="289"/>
      <c r="AJ86" s="289"/>
      <c r="AK86" s="289"/>
      <c r="AL86" s="266"/>
      <c r="AM86" s="266"/>
      <c r="AN86" s="266"/>
      <c r="AP86" s="206"/>
      <c r="AQ86" s="207"/>
    </row>
    <row r="87" customFormat="false" ht="15.75" hidden="false" customHeight="false" outlineLevel="0" collapsed="false">
      <c r="A87" s="46"/>
      <c r="C87" s="31"/>
      <c r="U87" s="31"/>
      <c r="W87" s="31"/>
      <c r="AC87" s="272"/>
      <c r="AD87" s="276"/>
      <c r="AE87" s="276"/>
      <c r="AF87" s="288"/>
      <c r="AG87" s="287"/>
      <c r="AH87" s="287"/>
      <c r="AI87" s="289"/>
      <c r="AJ87" s="289"/>
      <c r="AK87" s="289"/>
      <c r="AL87" s="266"/>
      <c r="AM87" s="266"/>
      <c r="AN87" s="266"/>
      <c r="AP87" s="206"/>
      <c r="AQ87" s="207"/>
    </row>
    <row r="88" customFormat="false" ht="15.75" hidden="false" customHeight="false" outlineLevel="0" collapsed="false">
      <c r="A88" s="46"/>
      <c r="B88" s="46"/>
      <c r="C88" s="300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301"/>
      <c r="T88" s="301"/>
      <c r="U88" s="302"/>
      <c r="V88" s="303"/>
      <c r="W88" s="302"/>
      <c r="X88" s="301"/>
      <c r="Y88" s="301"/>
      <c r="Z88" s="301"/>
      <c r="AA88" s="301"/>
      <c r="AB88" s="301"/>
      <c r="AC88" s="301"/>
      <c r="AD88" s="301"/>
      <c r="AE88" s="301"/>
      <c r="AF88" s="303"/>
      <c r="AG88" s="302"/>
      <c r="AH88" s="302"/>
      <c r="AP88" s="206"/>
      <c r="AQ88" s="207"/>
    </row>
    <row r="89" customFormat="false" ht="15.75" hidden="true" customHeight="false" outlineLevel="0" collapsed="false">
      <c r="A89" s="220" t="s">
        <v>119</v>
      </c>
      <c r="B89" s="46"/>
      <c r="C89" s="300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301"/>
      <c r="T89" s="301"/>
      <c r="U89" s="302"/>
      <c r="V89" s="303"/>
      <c r="W89" s="302"/>
      <c r="X89" s="301"/>
      <c r="Y89" s="301"/>
      <c r="Z89" s="301"/>
      <c r="AA89" s="301"/>
      <c r="AB89" s="301"/>
      <c r="AC89" s="301"/>
      <c r="AD89" s="301"/>
      <c r="AE89" s="301"/>
      <c r="AF89" s="303"/>
      <c r="AG89" s="302"/>
      <c r="AH89" s="302"/>
    </row>
    <row r="90" customFormat="false" ht="15.75" hidden="false" customHeight="false" outlineLevel="0" collapsed="false">
      <c r="B90" s="46"/>
      <c r="C90" s="300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302"/>
      <c r="V90" s="303"/>
      <c r="W90" s="302"/>
      <c r="X90" s="46"/>
      <c r="Y90" s="46"/>
      <c r="Z90" s="46"/>
      <c r="AA90" s="46"/>
      <c r="AB90" s="46"/>
      <c r="AC90" s="46"/>
      <c r="AD90" s="46"/>
      <c r="AE90" s="46"/>
      <c r="AF90" s="303"/>
      <c r="AG90" s="302"/>
      <c r="AH90" s="302"/>
    </row>
    <row r="91" customFormat="false" ht="15.75" hidden="false" customHeight="false" outlineLevel="0" collapsed="false">
      <c r="A91" s="46"/>
      <c r="B91" s="46"/>
      <c r="C91" s="300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302"/>
      <c r="V91" s="303"/>
      <c r="W91" s="302"/>
      <c r="X91" s="46"/>
      <c r="Y91" s="46"/>
      <c r="Z91" s="46"/>
      <c r="AA91" s="46"/>
      <c r="AB91" s="46"/>
      <c r="AC91" s="46"/>
      <c r="AD91" s="46"/>
      <c r="AE91" s="46"/>
      <c r="AF91" s="303"/>
      <c r="AG91" s="302"/>
      <c r="AH91" s="302"/>
    </row>
    <row r="92" customFormat="false" ht="15" hidden="false" customHeight="false" outlineLevel="0" collapsed="false">
      <c r="A92" s="38"/>
      <c r="B92" s="38"/>
      <c r="C92" s="304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X92" s="38"/>
      <c r="Y92" s="38"/>
      <c r="Z92" s="38"/>
      <c r="AA92" s="38"/>
      <c r="AB92" s="38"/>
      <c r="AC92" s="38"/>
      <c r="AD92" s="38"/>
      <c r="AE92" s="38"/>
    </row>
    <row r="93" customFormat="false" ht="15" hidden="false" customHeight="false" outlineLevel="0" collapsed="false">
      <c r="A93" s="38"/>
      <c r="B93" s="38"/>
      <c r="C93" s="304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X93" s="38"/>
      <c r="Y93" s="38"/>
      <c r="Z93" s="38"/>
      <c r="AA93" s="38"/>
      <c r="AB93" s="38"/>
      <c r="AC93" s="38"/>
      <c r="AD93" s="38"/>
      <c r="AE93" s="38"/>
    </row>
    <row r="94" customFormat="false" ht="15" hidden="false" customHeight="false" outlineLevel="0" collapsed="false">
      <c r="A94" s="38"/>
      <c r="B94" s="38"/>
      <c r="C94" s="304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X94" s="38"/>
      <c r="Y94" s="38"/>
      <c r="Z94" s="38"/>
      <c r="AA94" s="38"/>
      <c r="AB94" s="38"/>
      <c r="AC94" s="38"/>
      <c r="AD94" s="38"/>
      <c r="AE94" s="38"/>
    </row>
    <row r="95" customFormat="false" ht="15" hidden="false" customHeight="false" outlineLevel="0" collapsed="false">
      <c r="A95" s="38"/>
      <c r="B95" s="38"/>
      <c r="C95" s="304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X95" s="38"/>
      <c r="Y95" s="38"/>
      <c r="Z95" s="38"/>
      <c r="AA95" s="38"/>
      <c r="AB95" s="38"/>
      <c r="AC95" s="38"/>
      <c r="AD95" s="38"/>
      <c r="AE95" s="38"/>
    </row>
    <row r="96" customFormat="false" ht="15" hidden="false" customHeight="false" outlineLevel="0" collapsed="false">
      <c r="A96" s="38"/>
      <c r="B96" s="38"/>
      <c r="C96" s="304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X96" s="38"/>
      <c r="Y96" s="38"/>
      <c r="Z96" s="38"/>
      <c r="AA96" s="38"/>
      <c r="AB96" s="38"/>
      <c r="AC96" s="38"/>
      <c r="AD96" s="38"/>
      <c r="AE96" s="38"/>
    </row>
    <row r="97" customFormat="false" ht="15" hidden="false" customHeight="false" outlineLevel="0" collapsed="false">
      <c r="A97" s="38"/>
      <c r="B97" s="38"/>
      <c r="C97" s="304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X97" s="38"/>
      <c r="Y97" s="38"/>
      <c r="Z97" s="38"/>
      <c r="AA97" s="38"/>
      <c r="AB97" s="38"/>
      <c r="AC97" s="38"/>
      <c r="AD97" s="38"/>
      <c r="AE97" s="38"/>
    </row>
    <row r="98" customFormat="false" ht="15" hidden="false" customHeight="false" outlineLevel="0" collapsed="false">
      <c r="A98" s="38"/>
      <c r="B98" s="38"/>
      <c r="C98" s="304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X98" s="38"/>
      <c r="Y98" s="38"/>
      <c r="Z98" s="38"/>
      <c r="AA98" s="38"/>
      <c r="AB98" s="38"/>
      <c r="AC98" s="38"/>
      <c r="AD98" s="38"/>
      <c r="AE98" s="38"/>
    </row>
    <row r="99" customFormat="false" ht="15" hidden="false" customHeight="false" outlineLevel="0" collapsed="false">
      <c r="A99" s="38"/>
      <c r="B99" s="38"/>
      <c r="C99" s="304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X99" s="38"/>
      <c r="Y99" s="38"/>
      <c r="Z99" s="38"/>
      <c r="AA99" s="38"/>
      <c r="AB99" s="38"/>
      <c r="AC99" s="38"/>
      <c r="AD99" s="38"/>
      <c r="AE99" s="38"/>
    </row>
    <row r="100" customFormat="false" ht="15" hidden="false" customHeight="false" outlineLevel="0" collapsed="false">
      <c r="A100" s="38"/>
      <c r="B100" s="38"/>
      <c r="C100" s="304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X100" s="38"/>
      <c r="Y100" s="38"/>
      <c r="Z100" s="38"/>
      <c r="AA100" s="38"/>
      <c r="AB100" s="38"/>
      <c r="AC100" s="38"/>
      <c r="AD100" s="38"/>
      <c r="AE100" s="38"/>
    </row>
    <row r="101" customFormat="false" ht="15" hidden="false" customHeight="false" outlineLevel="0" collapsed="false">
      <c r="A101" s="38"/>
      <c r="B101" s="38"/>
      <c r="C101" s="304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X101" s="38"/>
      <c r="Y101" s="38"/>
      <c r="Z101" s="38"/>
      <c r="AA101" s="38"/>
      <c r="AB101" s="38"/>
      <c r="AC101" s="38"/>
      <c r="AD101" s="38"/>
      <c r="AE101" s="38"/>
    </row>
    <row r="102" customFormat="false" ht="15" hidden="false" customHeight="false" outlineLevel="0" collapsed="false">
      <c r="A102" s="38"/>
      <c r="B102" s="38"/>
      <c r="C102" s="304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X102" s="38"/>
      <c r="Y102" s="38"/>
      <c r="Z102" s="38"/>
      <c r="AA102" s="38"/>
      <c r="AB102" s="38"/>
      <c r="AC102" s="38"/>
      <c r="AD102" s="38"/>
      <c r="AE102" s="38"/>
    </row>
    <row r="103" customFormat="false" ht="15" hidden="false" customHeight="false" outlineLevel="0" collapsed="false">
      <c r="A103" s="38"/>
      <c r="B103" s="38"/>
      <c r="C103" s="304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X103" s="38"/>
      <c r="Y103" s="38"/>
      <c r="Z103" s="38"/>
      <c r="AA103" s="38"/>
      <c r="AB103" s="38"/>
      <c r="AC103" s="38"/>
      <c r="AD103" s="38"/>
      <c r="AE103" s="38"/>
    </row>
    <row r="104" customFormat="false" ht="15" hidden="false" customHeight="false" outlineLevel="0" collapsed="false">
      <c r="A104" s="38"/>
      <c r="B104" s="38"/>
      <c r="C104" s="304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X104" s="38"/>
      <c r="Y104" s="38"/>
      <c r="Z104" s="38"/>
      <c r="AA104" s="38"/>
      <c r="AB104" s="38"/>
      <c r="AC104" s="38"/>
      <c r="AD104" s="38"/>
      <c r="AE104" s="38"/>
    </row>
    <row r="105" customFormat="false" ht="15" hidden="false" customHeight="false" outlineLevel="0" collapsed="false">
      <c r="A105" s="38"/>
      <c r="B105" s="38"/>
      <c r="C105" s="304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X105" s="38"/>
      <c r="Y105" s="38"/>
      <c r="Z105" s="38"/>
      <c r="AA105" s="38"/>
      <c r="AB105" s="38"/>
      <c r="AC105" s="38"/>
      <c r="AD105" s="38"/>
      <c r="AE105" s="38"/>
    </row>
    <row r="106" customFormat="false" ht="15" hidden="false" customHeight="false" outlineLevel="0" collapsed="false">
      <c r="A106" s="38"/>
      <c r="B106" s="38"/>
      <c r="C106" s="304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X106" s="38"/>
      <c r="Y106" s="38"/>
      <c r="Z106" s="38"/>
      <c r="AA106" s="38"/>
      <c r="AB106" s="38"/>
      <c r="AC106" s="38"/>
      <c r="AD106" s="38"/>
      <c r="AE106" s="38"/>
    </row>
    <row r="107" customFormat="false" ht="15" hidden="false" customHeight="false" outlineLevel="0" collapsed="false">
      <c r="A107" s="38"/>
      <c r="B107" s="38"/>
      <c r="C107" s="304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X107" s="38"/>
      <c r="Y107" s="38"/>
      <c r="Z107" s="38"/>
      <c r="AA107" s="38"/>
      <c r="AB107" s="38"/>
      <c r="AC107" s="38"/>
      <c r="AD107" s="38"/>
      <c r="AE107" s="38"/>
    </row>
    <row r="108" customFormat="false" ht="15" hidden="false" customHeight="false" outlineLevel="0" collapsed="false">
      <c r="A108" s="38"/>
      <c r="B108" s="38"/>
      <c r="C108" s="304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X108" s="38"/>
      <c r="Y108" s="38"/>
      <c r="Z108" s="38"/>
      <c r="AA108" s="38"/>
      <c r="AB108" s="38"/>
      <c r="AC108" s="38"/>
      <c r="AD108" s="38"/>
      <c r="AE108" s="38"/>
    </row>
    <row r="109" customFormat="false" ht="15" hidden="false" customHeight="false" outlineLevel="0" collapsed="false">
      <c r="C109" s="305"/>
    </row>
    <row r="110" customFormat="false" ht="15" hidden="false" customHeight="false" outlineLevel="0" collapsed="false">
      <c r="C110" s="305"/>
    </row>
    <row r="111" customFormat="false" ht="15" hidden="false" customHeight="false" outlineLevel="0" collapsed="false">
      <c r="C111" s="305"/>
    </row>
    <row r="112" customFormat="false" ht="15" hidden="false" customHeight="false" outlineLevel="0" collapsed="false">
      <c r="C112" s="305"/>
    </row>
    <row r="113" customFormat="false" ht="15" hidden="false" customHeight="false" outlineLevel="0" collapsed="false">
      <c r="C113" s="305"/>
    </row>
    <row r="114" customFormat="false" ht="15" hidden="false" customHeight="false" outlineLevel="0" collapsed="false">
      <c r="C114" s="305"/>
    </row>
    <row r="115" customFormat="false" ht="15" hidden="false" customHeight="false" outlineLevel="0" collapsed="false">
      <c r="C115" s="305"/>
    </row>
    <row r="116" customFormat="false" ht="15" hidden="false" customHeight="false" outlineLevel="0" collapsed="false">
      <c r="C116" s="305"/>
    </row>
    <row r="117" customFormat="false" ht="15" hidden="false" customHeight="false" outlineLevel="0" collapsed="false">
      <c r="C117" s="305"/>
    </row>
    <row r="118" customFormat="false" ht="15" hidden="false" customHeight="false" outlineLevel="0" collapsed="false">
      <c r="C118" s="305"/>
    </row>
    <row r="119" customFormat="false" ht="15" hidden="false" customHeight="false" outlineLevel="0" collapsed="false">
      <c r="C119" s="305"/>
    </row>
    <row r="120" customFormat="false" ht="15" hidden="false" customHeight="false" outlineLevel="0" collapsed="false">
      <c r="C120" s="305"/>
    </row>
    <row r="121" customFormat="false" ht="15" hidden="false" customHeight="false" outlineLevel="0" collapsed="false">
      <c r="C121" s="305"/>
    </row>
    <row r="122" customFormat="false" ht="15" hidden="false" customHeight="false" outlineLevel="0" collapsed="false">
      <c r="C122" s="305"/>
    </row>
    <row r="123" customFormat="false" ht="15" hidden="false" customHeight="false" outlineLevel="0" collapsed="false">
      <c r="C123" s="305"/>
    </row>
    <row r="124" customFormat="false" ht="15" hidden="false" customHeight="false" outlineLevel="0" collapsed="false">
      <c r="C124" s="305"/>
    </row>
    <row r="125" customFormat="false" ht="15" hidden="false" customHeight="false" outlineLevel="0" collapsed="false">
      <c r="C125" s="305"/>
    </row>
    <row r="126" customFormat="false" ht="15" hidden="false" customHeight="false" outlineLevel="0" collapsed="false">
      <c r="C126" s="305"/>
    </row>
    <row r="127" customFormat="false" ht="15" hidden="false" customHeight="false" outlineLevel="0" collapsed="false">
      <c r="C127" s="305"/>
    </row>
    <row r="128" customFormat="false" ht="15" hidden="false" customHeight="false" outlineLevel="0" collapsed="false">
      <c r="C128" s="305"/>
    </row>
    <row r="129" customFormat="false" ht="15" hidden="false" customHeight="false" outlineLevel="0" collapsed="false">
      <c r="C129" s="305"/>
    </row>
    <row r="130" customFormat="false" ht="15" hidden="false" customHeight="false" outlineLevel="0" collapsed="false">
      <c r="C130" s="305"/>
    </row>
    <row r="131" customFormat="false" ht="15" hidden="false" customHeight="false" outlineLevel="0" collapsed="false">
      <c r="C131" s="305"/>
    </row>
  </sheetData>
  <mergeCells count="13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8:Z28"/>
    <mergeCell ref="AB28:AD28"/>
    <mergeCell ref="AH28:AL28"/>
    <mergeCell ref="X44:AB44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kcorbal</cp:lastModifiedBy>
  <cp:lastPrinted>2000-09-15T19:36:06Z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