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" sheetId="1" state="visible" r:id="rId3"/>
    <sheet name="Top Pages" sheetId="2" state="visible" r:id="rId4"/>
    <sheet name="Intra-EMWNSS1" sheetId="3" state="visible" r:id="rId5"/>
    <sheet name="Intra-EMWNSS2" sheetId="4" state="visible" r:id="rId6"/>
    <sheet name="Intra-EMWMEH" sheetId="5" state="visible" r:id="rId7"/>
    <sheet name="TP-EMWNSS" sheetId="6" state="visible" r:id="rId8"/>
    <sheet name="Total Financial" sheetId="7" state="visible" r:id="rId9"/>
    <sheet name="Physical" sheetId="8" state="visible" r:id="rId10"/>
    <sheet name="Other" sheetId="9" state="visible" r:id="rId11"/>
    <sheet name="DPR" sheetId="10" state="visible" r:id="rId12"/>
    <sheet name="Prior DPR" sheetId="11" state="visible" r:id="rId13"/>
    <sheet name="P&amp;L Without Sharing" sheetId="12" state="visible" r:id="rId14"/>
    <sheet name="Prior P&amp;L Without Sharing" sheetId="13" state="visible" r:id="rId15"/>
    <sheet name="P&amp;L" sheetId="14" state="visible" r:id="rId16"/>
    <sheet name="Prior P&amp;L" sheetId="15" state="visible" r:id="rId17"/>
    <sheet name="ENRON MIDWEST P&amp;L" sheetId="16" state="visible" r:id="rId18"/>
    <sheet name="NSS1" sheetId="17" state="visible" r:id="rId19"/>
    <sheet name="NSS2" sheetId="18" state="visible" r:id="rId20"/>
    <sheet name="MEH" sheetId="19" state="visible" r:id="rId21"/>
    <sheet name="OA Flash" sheetId="20" state="visible" r:id="rId22"/>
    <sheet name="Daily Macro" sheetId="21" state="hidden" r:id="rId23"/>
    <sheet name="Monthly Macro" sheetId="22" state="hidden" r:id="rId24"/>
    <sheet name="TopPageMacro" sheetId="23" state="hidden" r:id="rId25"/>
  </sheets>
  <externalReferences>
    <externalReference r:id="rId26"/>
    <externalReference r:id="rId27"/>
    <externalReference r:id="rId28"/>
  </externalReferences>
  <definedNames>
    <definedName function="false" hidden="false" localSheetId="15" name="_xlnm.Print_Area" vbProcedure="false">'ENRON MIDWEST P&amp;L'!$A$1:$J$114</definedName>
    <definedName function="false" hidden="false" localSheetId="0" name="_xlnm.Print_Area" vbProcedure="false">Input!$A$2:$D$28</definedName>
    <definedName function="false" hidden="false" localSheetId="18" name="_xlnm.Print_Area" vbProcedure="false">MEH!$A$1:$M$32</definedName>
    <definedName function="false" hidden="false" localSheetId="16" name="_xlnm.Print_Area" vbProcedure="false">NSS1!$B$1:$M$32</definedName>
    <definedName function="false" hidden="false" localSheetId="19" name="_xlnm.Print_Area" vbProcedure="false">'OA Flash'!$A$1:$F$87</definedName>
    <definedName function="false" hidden="false" localSheetId="8" name="_xlnm.Print_Area" vbProcedure="false">Other!$A$29:$F$43</definedName>
    <definedName function="false" hidden="false" localSheetId="7" name="_xlnm.Print_Area" vbProcedure="false">Physical!$A$1:$M$69</definedName>
    <definedName function="false" hidden="false" localSheetId="1" name="_xlnm.Print_Area" vbProcedure="false">'Top Pages'!$A$1:$S$61</definedName>
    <definedName function="false" hidden="false" localSheetId="1" name="_xlnm.Print_Titles" vbProcedure="false">'Top Pages'!$1:$1</definedName>
    <definedName function="false" hidden="false" localSheetId="6" name="_xlnm.Print_Area" vbProcedure="false">'Total Financial'!$A$1:$F$42</definedName>
    <definedName function="false" hidden="false" name="DTITLE" vbProcedure="false">#REF!</definedName>
    <definedName function="false" hidden="false" name="eff_dt" vbProcedure="false">'Top Pages'!$B$5</definedName>
    <definedName function="false" hidden="false" name="PostIDs" vbProcedure="false">'Top Pages'!$B$6:$B$17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PW" vbProcedure="false">'Top Pages'!$B$4</definedName>
    <definedName function="false" hidden="false" name="TITLE" vbProcedure="false">#REF!</definedName>
    <definedName function="false" hidden="false" name="UID" vbProcedure="false">'Top Pages'!$B$3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9" name="wrn_RollDetail_" vbProcedure="false">{"BookBal",#N/A,FALSE,"Roll-1";"DailyChange",#N/A,FALSE,"Roll-1";"Schedules",#N/A,FALSE,"Roll-1"}</definedName>
    <definedName function="false" hidden="false" localSheetId="10" name="wrn_RollDetail_" vbProcedure="false">{"BookBal",#N/A,FALSE,"Roll-1";"DailyChange",#N/A,FALSE,"Roll-1";"Schedules",#N/A,FALSE,"Roll-1"}</definedName>
    <definedName function="false" hidden="false" localSheetId="11" name="wrn_RollDetail_" vbProcedure="false">{"BookBal",#N/A,FALSE,"Roll-1";"DailyChange",#N/A,FALSE,"Roll-1";"Schedules",#N/A,FALSE,"Roll-1"}</definedName>
    <definedName function="false" hidden="false" localSheetId="12" name="wrn_RollDetail_" vbProcedure="false">{"BookBal",#N/A,FALSE,"Roll-1";"DailyChange",#N/A,FALSE,"Roll-1";"Schedules",#N/A,FALSE,"Roll-1"}</definedName>
    <definedName function="false" hidden="false" localSheetId="14" name="wrn_RollDetail_" vbProcedure="false">{"BookBal",#N/A,FALSE,"Roll-1";"DailyChange",#N/A,FALSE,"Roll-1";"Schedules",#N/A,FALSE,"Roll-1"}</definedName>
    <definedName function="false" hidden="false" localSheetId="19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16" authorId="0">
      <text>
        <r>
          <rPr>
            <b val="true"/>
            <sz val="12"/>
            <color rgb="FF000000"/>
            <rFont val="Tahoma"/>
            <family val="2"/>
          </rPr>
          <t xml:space="preserve">kradous: </t>
        </r>
        <r>
          <rPr>
            <b val="true"/>
            <sz val="8"/>
            <color rgb="FF000000"/>
            <rFont val="Tahoma"/>
            <family val="0"/>
          </rPr>
          <t xml:space="preserve"> </t>
        </r>
        <r>
          <rPr>
            <b val="true"/>
            <sz val="10"/>
            <color rgb="FF000000"/>
            <rFont val="Tahoma"/>
            <family val="2"/>
          </rPr>
          <t xml:space="preserve">IN JUNE, 30,000 OF MANAGEMENT FEES WERE BOOKED TO GO TO ENA; THE OBLIGATION THAT PGLC OWES TO ITS PARENT COMPANY (30,000) WAS  NOT RECORDED.  THE 30,000 OWED PEC, THEREFORE, IS NOT REFLECTED IN 
THE "SHARED" ENOVATE YTD NUMBER.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114</xdr:row>
                <xdr:rowOff>8</xdr:rowOff>
              </xdr:from>
              <xdr:to>
                <xdr:col>14</xdr:col>
                <xdr:colOff>17</xdr:colOff>
                <xdr:row>123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<sst xmlns="http://schemas.openxmlformats.org/spreadsheetml/2006/main" count="1417" uniqueCount="349">
  <si>
    <t xml:space="preserve">Price-NSS1</t>
  </si>
  <si>
    <t xml:space="preserve">ignore this</t>
  </si>
  <si>
    <t xml:space="preserve">Basis-NSS1</t>
  </si>
  <si>
    <t xml:space="preserve">Index-NSS1</t>
  </si>
  <si>
    <t xml:space="preserve">Price-NSS2</t>
  </si>
  <si>
    <t xml:space="preserve">Basis-NSS2</t>
  </si>
  <si>
    <t xml:space="preserve">Index-NSS2</t>
  </si>
  <si>
    <t xml:space="preserve">Price-MEH</t>
  </si>
  <si>
    <t xml:space="preserve">Basis-MEH</t>
  </si>
  <si>
    <t xml:space="preserve">Index-MEH</t>
  </si>
  <si>
    <t xml:space="preserve">TP-EMWNSS</t>
  </si>
  <si>
    <t xml:space="preserve">POST ID</t>
  </si>
  <si>
    <t xml:space="preserve">DATE</t>
  </si>
  <si>
    <t xml:space="preserve">TEST</t>
  </si>
  <si>
    <t xml:space="preserve">Today</t>
  </si>
  <si>
    <t xml:space="preserve">Prior Day</t>
  </si>
  <si>
    <t xml:space="preserve">Net NPV</t>
  </si>
  <si>
    <t xml:space="preserve">New Deals</t>
  </si>
  <si>
    <t xml:space="preserve">Curve Shift</t>
  </si>
  <si>
    <t xml:space="preserve">Gamma</t>
  </si>
  <si>
    <t xml:space="preserve">Vega</t>
  </si>
  <si>
    <t xml:space="preserve">Theta</t>
  </si>
  <si>
    <t xml:space="preserve">Rho</t>
  </si>
  <si>
    <t xml:space="preserve">Drift</t>
  </si>
  <si>
    <t xml:space="preserve">Origination</t>
  </si>
  <si>
    <t xml:space="preserve">Liquidation</t>
  </si>
  <si>
    <t xml:space="preserve">2nd Order</t>
  </si>
  <si>
    <t xml:space="preserve">Adjustment</t>
  </si>
  <si>
    <t xml:space="preserve">   </t>
  </si>
  <si>
    <t xml:space="preserve">SWAPS</t>
  </si>
  <si>
    <t xml:space="preserve">User ID:</t>
  </si>
  <si>
    <t xml:space="preserve">OTCOPTIONS</t>
  </si>
  <si>
    <t xml:space="preserve">Password:</t>
  </si>
  <si>
    <t xml:space="preserve">EXGOPTIONS</t>
  </si>
  <si>
    <t xml:space="preserve">Date</t>
  </si>
  <si>
    <t xml:space="preserve">FUTURES</t>
  </si>
  <si>
    <t xml:space="preserve">ACCRUED</t>
  </si>
  <si>
    <t xml:space="preserve">Intra-EMWNSS1 - FINANCIAL</t>
  </si>
  <si>
    <t xml:space="preserve">Financial Values (May-out)</t>
  </si>
  <si>
    <t xml:space="preserve">Price Positions</t>
  </si>
  <si>
    <t xml:space="preserve"> </t>
  </si>
  <si>
    <t xml:space="preserve">New Price Positions</t>
  </si>
  <si>
    <t xml:space="preserve">Basis Positions</t>
  </si>
  <si>
    <t xml:space="preserve">Index Positions </t>
  </si>
  <si>
    <t xml:space="preserve">Gas Daily Swaps</t>
  </si>
  <si>
    <t xml:space="preserve">Price Option</t>
  </si>
  <si>
    <t xml:space="preserve">Basis Option</t>
  </si>
  <si>
    <t xml:space="preserve">Gas Daily Option</t>
  </si>
  <si>
    <t xml:space="preserve">Reversal Values - Recognized in the previous month</t>
  </si>
  <si>
    <t xml:space="preserve">Financial Liquidations - August only (Enter liquidations at end of month)</t>
  </si>
  <si>
    <t xml:space="preserve">MTM Values (Sept-out)</t>
  </si>
  <si>
    <t xml:space="preserve">Index Positions</t>
  </si>
  <si>
    <t xml:space="preserve">Intra-EMWNSS2 - FINANCIAL</t>
  </si>
  <si>
    <t xml:space="preserve">Financial Values</t>
  </si>
  <si>
    <t xml:space="preserve">Intra-EMWMEH - FINANCIAL</t>
  </si>
  <si>
    <t xml:space="preserve">TL</t>
  </si>
  <si>
    <t xml:space="preserve">TP-EMWNSS - FINANCIAL</t>
  </si>
  <si>
    <t xml:space="preserve">ENRON MIDWEST DESK - FINANCIAL</t>
  </si>
  <si>
    <t xml:space="preserve">Financial Liquidations - (Enter liquidations at end of month)</t>
  </si>
  <si>
    <t xml:space="preserve">MTM Values</t>
  </si>
  <si>
    <t xml:space="preserve">CENTRAL DESK - PHYSICAL</t>
  </si>
  <si>
    <t xml:space="preserve">NSS1</t>
  </si>
  <si>
    <t xml:space="preserve">NSS2</t>
  </si>
  <si>
    <t xml:space="preserve">Desk Level Summary</t>
  </si>
  <si>
    <t xml:space="preserve">Amount</t>
  </si>
  <si>
    <t xml:space="preserve">Volumes</t>
  </si>
  <si>
    <t xml:space="preserve">ACCRUED PHYSICAL</t>
  </si>
  <si>
    <t xml:space="preserve">NSS1 Third Party Sales </t>
  </si>
  <si>
    <t xml:space="preserve">Sales Amount</t>
  </si>
  <si>
    <t xml:space="preserve">Sales Quantity</t>
  </si>
  <si>
    <t xml:space="preserve">NSS1 Third Party Purchases</t>
  </si>
  <si>
    <t xml:space="preserve">Purchase Amount</t>
  </si>
  <si>
    <t xml:space="preserve">Purchase Quantity</t>
  </si>
  <si>
    <t xml:space="preserve">NSS1 Affiliated Sales</t>
  </si>
  <si>
    <t xml:space="preserve">NSS1 Affiliated Purchases</t>
  </si>
  <si>
    <t xml:space="preserve">Transport Commodity</t>
  </si>
  <si>
    <t xml:space="preserve">MTM Transport Commodity</t>
  </si>
  <si>
    <t xml:space="preserve">Variance</t>
  </si>
  <si>
    <t xml:space="preserve">Accrued Transport Commodity</t>
  </si>
  <si>
    <t xml:space="preserve">Oracle Reports</t>
  </si>
  <si>
    <t xml:space="preserve">Transport Fuel</t>
  </si>
  <si>
    <t xml:space="preserve">MTM Transport Fuel</t>
  </si>
  <si>
    <t xml:space="preserve">Accrued Transport Fuel</t>
  </si>
  <si>
    <t xml:space="preserve">NSS2 Third Party Sales </t>
  </si>
  <si>
    <t xml:space="preserve">Unaccounted For Value</t>
  </si>
  <si>
    <t xml:space="preserve">WACOG</t>
  </si>
  <si>
    <t xml:space="preserve">NSS2 Third Party Purchases</t>
  </si>
  <si>
    <t xml:space="preserve">NSS2 Affiliated Sales</t>
  </si>
  <si>
    <t xml:space="preserve">Transport Revenue</t>
  </si>
  <si>
    <t xml:space="preserve">NSS2 Affiliated Purchases</t>
  </si>
  <si>
    <t xml:space="preserve">MTM Transport Revenue</t>
  </si>
  <si>
    <t xml:space="preserve">Accrued Transport Revenue</t>
  </si>
  <si>
    <t xml:space="preserve">Omicron Value</t>
  </si>
  <si>
    <t xml:space="preserve">Physical Accrued Value</t>
  </si>
  <si>
    <t xml:space="preserve">Physical MTM Value</t>
  </si>
  <si>
    <t xml:space="preserve">Prompt Month MTM</t>
  </si>
  <si>
    <t xml:space="preserve">MEH Third Party Sales </t>
  </si>
  <si>
    <t xml:space="preserve">Prompt Month Fuel Exp</t>
  </si>
  <si>
    <t xml:space="preserve">MEH Third Party Purchases</t>
  </si>
  <si>
    <t xml:space="preserve">Prompt Month Transport Rev</t>
  </si>
  <si>
    <t xml:space="preserve">MEH Affiliated Sales</t>
  </si>
  <si>
    <t xml:space="preserve">Prompt Month Value</t>
  </si>
  <si>
    <t xml:space="preserve">MEH Affiliated Purchases</t>
  </si>
  <si>
    <t xml:space="preserve">Physical Reversals</t>
  </si>
  <si>
    <t xml:space="preserve">Broker Fees</t>
  </si>
  <si>
    <t xml:space="preserve">MEH</t>
  </si>
  <si>
    <t xml:space="preserve">TP-NSS</t>
  </si>
  <si>
    <t xml:space="preserve">TP-NSS Third Party Sales </t>
  </si>
  <si>
    <t xml:space="preserve">TP-NSS Third Party Purchases</t>
  </si>
  <si>
    <t xml:space="preserve">TP-NSS Affiliated Sales</t>
  </si>
  <si>
    <t xml:space="preserve">TP-NSS Affiliated Purchases</t>
  </si>
  <si>
    <t xml:space="preserve">Total Third Party Sales </t>
  </si>
  <si>
    <t xml:space="preserve">Total Third Party Purchases</t>
  </si>
  <si>
    <t xml:space="preserve">Total Affiliated Sales</t>
  </si>
  <si>
    <t xml:space="preserve">Total Affiliated Purchases</t>
  </si>
  <si>
    <t xml:space="preserve">Transport</t>
  </si>
  <si>
    <t xml:space="preserve">Transport Revenue </t>
  </si>
  <si>
    <t xml:space="preserve">Commodity Expense </t>
  </si>
  <si>
    <t xml:space="preserve">Fuel-Accrued</t>
  </si>
  <si>
    <t xml:space="preserve">Fuel-MTM</t>
  </si>
  <si>
    <t xml:space="preserve">Demand Charges</t>
  </si>
  <si>
    <t xml:space="preserve">Demand Reimbursement</t>
  </si>
  <si>
    <t xml:space="preserve">Transport P&amp;L</t>
  </si>
  <si>
    <t xml:space="preserve">Other</t>
  </si>
  <si>
    <t xml:space="preserve">Peoples Share of Storage</t>
  </si>
  <si>
    <t xml:space="preserve">PEC Share of MEH Book</t>
  </si>
  <si>
    <t xml:space="preserve">EMW Share of Management Fee</t>
  </si>
  <si>
    <t xml:space="preserve">Prior Months Unrecognized P/L</t>
  </si>
  <si>
    <t xml:space="preserve">April </t>
  </si>
  <si>
    <t xml:space="preserve">May</t>
  </si>
  <si>
    <t xml:space="preserve">People's Share of P&amp;L-NSS1</t>
  </si>
  <si>
    <t xml:space="preserve">People's Share of P&amp;L-NSS2</t>
  </si>
  <si>
    <t xml:space="preserve">People's Share of P&amp;L-MEH</t>
  </si>
  <si>
    <t xml:space="preserve">People's Share of P&amp;L-TP-NSS</t>
  </si>
  <si>
    <t xml:space="preserve">Origination's Share of P&amp;L-NSS1</t>
  </si>
  <si>
    <t xml:space="preserve">Origination's Share of P&amp;L-NSS2</t>
  </si>
  <si>
    <t xml:space="preserve">Origination's Share of P&amp;L-MEH</t>
  </si>
  <si>
    <t xml:space="preserve">Origination's Share of P&amp;L-TP-NSS</t>
  </si>
  <si>
    <t xml:space="preserve">Backouts for DPR</t>
  </si>
  <si>
    <t xml:space="preserve">TP</t>
  </si>
  <si>
    <t xml:space="preserve">enovate P/L</t>
  </si>
  <si>
    <t xml:space="preserve">EMW Total</t>
  </si>
  <si>
    <t xml:space="preserve">CURRENT BOOK VALUE</t>
  </si>
  <si>
    <t xml:space="preserve">Physical</t>
  </si>
  <si>
    <t xml:space="preserve">Prompt</t>
  </si>
  <si>
    <t xml:space="preserve">Reversal</t>
  </si>
  <si>
    <t xml:space="preserve">TOTAL</t>
  </si>
  <si>
    <t xml:space="preserve">Financial</t>
  </si>
  <si>
    <t xml:space="preserve">Price Swaps</t>
  </si>
  <si>
    <t xml:space="preserve">Options</t>
  </si>
  <si>
    <t xml:space="preserve">Basis</t>
  </si>
  <si>
    <t xml:space="preserve">Index</t>
  </si>
  <si>
    <t xml:space="preserve">Gas Daily</t>
  </si>
  <si>
    <t xml:space="preserve">Gas Daily Options</t>
  </si>
  <si>
    <t xml:space="preserve">Omicron</t>
  </si>
  <si>
    <t xml:space="preserve">Transport - Accrued</t>
  </si>
  <si>
    <t xml:space="preserve">Revenue (Gas Daily Spreads)</t>
  </si>
  <si>
    <t xml:space="preserve">Commodity Expense</t>
  </si>
  <si>
    <t xml:space="preserve">Fuel Expense</t>
  </si>
  <si>
    <t xml:space="preserve">3rd Party Demand Charges</t>
  </si>
  <si>
    <t xml:space="preserve">3rd Party Demand Reimbursements</t>
  </si>
  <si>
    <t xml:space="preserve">Transport Book Demand Charges</t>
  </si>
  <si>
    <t xml:space="preserve">Transport Book Demand Reimbursements</t>
  </si>
  <si>
    <t xml:space="preserve">Transport - MTM</t>
  </si>
  <si>
    <t xml:space="preserve">People's Share of P&amp;L</t>
  </si>
  <si>
    <t xml:space="preserve">Flash to Actual</t>
  </si>
  <si>
    <t xml:space="preserve">Origination's Share of P&amp;L</t>
  </si>
  <si>
    <t xml:space="preserve">NET CURRENT MONTH P&amp;L</t>
  </si>
  <si>
    <t xml:space="preserve">DAILY CHANGE</t>
  </si>
  <si>
    <t xml:space="preserve">NET DAILY CHANGE P&amp;L</t>
  </si>
  <si>
    <t xml:space="preserve">MONTH TO DATE</t>
  </si>
  <si>
    <t xml:space="preserve">YEAR TO DATE</t>
  </si>
  <si>
    <t xml:space="preserve">Physical:</t>
  </si>
  <si>
    <t xml:space="preserve">     Curve Shift</t>
  </si>
  <si>
    <t xml:space="preserve">     New Deals</t>
  </si>
  <si>
    <t xml:space="preserve">     Changed Deals</t>
  </si>
  <si>
    <t xml:space="preserve">     Trans. Reversal</t>
  </si>
  <si>
    <t xml:space="preserve">     Liquidated Day</t>
  </si>
  <si>
    <t xml:space="preserve">New Financial Deals:</t>
  </si>
  <si>
    <t xml:space="preserve">     Price</t>
  </si>
  <si>
    <t xml:space="preserve">     Basis</t>
  </si>
  <si>
    <t xml:space="preserve">     Index</t>
  </si>
  <si>
    <t xml:space="preserve">     Gas Daily</t>
  </si>
  <si>
    <t xml:space="preserve">Enron Midwest P&amp;L Without Sharing</t>
  </si>
  <si>
    <t xml:space="preserve">Weather</t>
  </si>
  <si>
    <t xml:space="preserve">Enron Midwest P&amp;L With Sharing</t>
  </si>
  <si>
    <t xml:space="preserve"># of days</t>
  </si>
  <si>
    <t xml:space="preserve">MTM</t>
  </si>
  <si>
    <t xml:space="preserve">Accrued</t>
  </si>
  <si>
    <t xml:space="preserve">ENRON MIDWEST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</si>
  <si>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</si>
  <si>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</si>
  <si>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</si>
  <si>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</si>
  <si>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</si>
  <si>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</si>
  <si>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</si>
  <si>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</si>
  <si>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Intra-Desk Sales</t>
  </si>
  <si>
    <t xml:space="preserve">NET SALES</t>
  </si>
  <si>
    <t xml:space="preserve">Third Party Purchases</t>
  </si>
  <si>
    <t xml:space="preserve">Affiliate &amp; Intra-Desk Purchases</t>
  </si>
  <si>
    <t xml:space="preserve">NET PURCHASES</t>
  </si>
  <si>
    <t xml:space="preserve">**CPR ACCRUAL</t>
  </si>
  <si>
    <t xml:space="preserve">Unaccounted for Sales/Purchases</t>
  </si>
  <si>
    <t xml:space="preserve">     ACCRUED VALUE THRU </t>
  </si>
  <si>
    <t xml:space="preserve">MTM </t>
  </si>
  <si>
    <t xml:space="preserve">Physical Prompt Month Value</t>
  </si>
  <si>
    <t xml:space="preserve">Imbalance Book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</si>
  <si>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INTRA-MONTH PHYSICAL   P/L   ---&gt;</t>
    </r>
  </si>
  <si>
    <t xml:space="preserve">TRANSPORT P/L</t>
  </si>
  <si>
    <t xml:space="preserve">ACCRUED:</t>
  </si>
  <si>
    <t xml:space="preserve">    Transport Revenue</t>
  </si>
  <si>
    <t xml:space="preserve">    Commodity Expense</t>
  </si>
  <si>
    <t xml:space="preserve">    Fuel</t>
  </si>
  <si>
    <t xml:space="preserve">    Demand Charges</t>
  </si>
  <si>
    <t xml:space="preserve">    Demand Reimbursements</t>
  </si>
  <si>
    <t xml:space="preserve">    Affiliate Demand Charges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</si>
  <si>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ACCRUED   P/L   ---&gt;</t>
    </r>
  </si>
  <si>
    <t xml:space="preserve">MTM: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</si>
  <si>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MTM   P/L   ---&gt;</t>
    </r>
  </si>
  <si>
    <t xml:space="preserve">CAPACITY HEDGES:</t>
  </si>
  <si>
    <t xml:space="preserve">    Capacity Hedges-Price</t>
  </si>
  <si>
    <t xml:space="preserve">    Capacity Hedges-Basis</t>
  </si>
  <si>
    <t xml:space="preserve">     NET CAPACITY HEDGES P/L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</si>
  <si>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TRANSPORT   P/L   ---&gt;</t>
    </r>
  </si>
  <si>
    <t xml:space="preserve">OMICRON P/L (not used)</t>
  </si>
  <si>
    <t xml:space="preserve">PHYSICAL:</t>
  </si>
  <si>
    <t xml:space="preserve">   Option Premium</t>
  </si>
  <si>
    <t xml:space="preserve">   Option Accrued Value</t>
  </si>
  <si>
    <t xml:space="preserve">   Option MTM Value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</si>
  <si>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P/L   ---&gt;</t>
    </r>
  </si>
  <si>
    <t xml:space="preserve">FINANCIAL: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</si>
  <si>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OMICRON   P/L   ---&gt;</t>
    </r>
  </si>
  <si>
    <t xml:space="preserve">Prior Month Physical Reversals</t>
  </si>
  <si>
    <t xml:space="preserve">Originations</t>
  </si>
  <si>
    <t xml:space="preserve">FINANCIAL   TRADING   P/L:</t>
  </si>
  <si>
    <t xml:space="preserve">Price Swaps &amp; Options</t>
  </si>
  <si>
    <t xml:space="preserve">Basis Swaps &amp; Options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</si>
  <si>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</si>
  <si>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STORAGE</t>
  </si>
  <si>
    <t xml:space="preserve">Physical Storage</t>
  </si>
  <si>
    <t xml:space="preserve">Synthetic Storage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</si>
  <si>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STORAGE   P/L   ---&gt;</t>
    </r>
  </si>
  <si>
    <t xml:space="preserve">OTHER</t>
  </si>
  <si>
    <t xml:space="preserve">Peoples Share of P&amp;L</t>
  </si>
  <si>
    <t xml:space="preserve">Prior Month's P/L not Recognized</t>
  </si>
  <si>
    <t xml:space="preserve">     Total Other Charges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</si>
  <si>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INTRA-MONTH   P/L   ---&gt;</t>
    </r>
  </si>
  <si>
    <t xml:space="preserve">ENRON MIDWEST DESK - PHYSICAL</t>
  </si>
  <si>
    <t xml:space="preserve">VARIANCE</t>
  </si>
  <si>
    <t xml:space="preserve">$</t>
  </si>
  <si>
    <t xml:space="preserve">Volume</t>
  </si>
  <si>
    <t xml:space="preserve">Variance Impact</t>
  </si>
  <si>
    <t xml:space="preserve">West to West:</t>
  </si>
  <si>
    <t xml:space="preserve">THIRD PARTY SALES</t>
  </si>
  <si>
    <t xml:space="preserve">TOTAL $'s</t>
  </si>
  <si>
    <t xml:space="preserve">MMBTU</t>
  </si>
  <si>
    <t xml:space="preserve">WASP</t>
  </si>
  <si>
    <t xml:space="preserve">THIRD PARTY PURCHASES</t>
  </si>
  <si>
    <t xml:space="preserve">Sales</t>
  </si>
  <si>
    <t xml:space="preserve">Purchases</t>
  </si>
  <si>
    <t xml:space="preserve">AFFILIATE &amp;</t>
  </si>
  <si>
    <t xml:space="preserve">INTERDESK SALES</t>
  </si>
  <si>
    <t xml:space="preserve">AVG PRICE</t>
  </si>
  <si>
    <t xml:space="preserve">INTERDESK PURCHASES</t>
  </si>
  <si>
    <t xml:space="preserve">  BUG Desk</t>
  </si>
  <si>
    <t xml:space="preserve">  Central</t>
  </si>
  <si>
    <t xml:space="preserve">  ECT</t>
  </si>
  <si>
    <t xml:space="preserve">  SITHE</t>
  </si>
  <si>
    <t xml:space="preserve">  HPLR-Texas Desk</t>
  </si>
  <si>
    <t xml:space="preserve">  LGM-LRC</t>
  </si>
  <si>
    <t xml:space="preserve">  Market East</t>
  </si>
  <si>
    <t xml:space="preserve">  Northeast</t>
  </si>
  <si>
    <t xml:space="preserve">  CPR Pipeline Exchange</t>
  </si>
  <si>
    <t xml:space="preserve">  Storage Desk</t>
  </si>
  <si>
    <t xml:space="preserve">  Texas-ECT</t>
  </si>
  <si>
    <t xml:space="preserve">  CPR Cash Out</t>
  </si>
  <si>
    <t xml:space="preserve">  CPR Fuels</t>
  </si>
  <si>
    <t xml:space="preserve">  CPR Imbalance</t>
  </si>
  <si>
    <t xml:space="preserve">  Ontario</t>
  </si>
  <si>
    <t xml:space="preserve">  CPR Storage</t>
  </si>
  <si>
    <t xml:space="preserve">  Transport Book</t>
  </si>
  <si>
    <t xml:space="preserve">Gross Affilliate Purchases</t>
  </si>
  <si>
    <t xml:space="preserve">Gross Affilliate Sales</t>
  </si>
  <si>
    <t xml:space="preserve">TOTAL PURCHASES</t>
  </si>
  <si>
    <t xml:space="preserve">TOTAL SALES</t>
  </si>
  <si>
    <t xml:space="preserve">This line is used exclusively for calculating Unaccounted For</t>
  </si>
  <si>
    <t xml:space="preserve">PHYSICAL MTM VALUE</t>
  </si>
  <si>
    <t xml:space="preserve">Long Term Firm WACOG</t>
  </si>
  <si>
    <t xml:space="preserve">PROMPT MONTH VALUE</t>
  </si>
  <si>
    <t xml:space="preserve">PHYSICAL REVERSAL</t>
  </si>
  <si>
    <t xml:space="preserve">ENRON CAPITAL &amp; TRADE RESOURCES </t>
  </si>
  <si>
    <t xml:space="preserve">OPERATIONAL ANALYSIS - REPORTED</t>
  </si>
  <si>
    <t xml:space="preserve">COMPANY:  ECTR (EGM)</t>
  </si>
  <si>
    <t xml:space="preserve">REGION: MIDWEST</t>
  </si>
  <si>
    <t xml:space="preserve">PRODUCTION MONTH:  0600</t>
  </si>
  <si>
    <t xml:space="preserve">Original Flash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</si>
  <si>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</si>
  <si>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</si>
  <si>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</si>
  <si>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</si>
  <si>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</si>
  <si>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</si>
  <si>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</si>
  <si>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</si>
  <si>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</si>
  <si>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</si>
  <si>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</si>
  <si>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</si>
  <si>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Total Intra CTS Sales / Purchases</t>
  </si>
  <si>
    <t xml:space="preserve">Imbalances: </t>
  </si>
  <si>
    <t xml:space="preserve">In Kind </t>
  </si>
  <si>
    <t xml:space="preserve">Cash In</t>
  </si>
  <si>
    <t xml:space="preserve">Cash Out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</si>
  <si>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</si>
  <si>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</si>
  <si>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</si>
  <si>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</si>
  <si>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</si>
  <si>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</si>
  <si>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</si>
  <si>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</si>
  <si>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</si>
  <si>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</si>
  <si>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</si>
  <si>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</si>
  <si>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</si>
  <si>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</si>
  <si>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</si>
  <si>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</si>
  <si>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</si>
  <si>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</si>
  <si>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</si>
  <si>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</si>
  <si>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</si>
  <si>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</si>
  <si>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</si>
  <si>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</si>
  <si>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</si>
  <si>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</si>
  <si>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</si>
  <si>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</si>
  <si>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Asset Group Demand Charges</t>
  </si>
  <si>
    <t xml:space="preserve">Citrus Mgmt Fees</t>
  </si>
  <si>
    <t xml:space="preserve">Demand Reimbursements</t>
  </si>
  <si>
    <t xml:space="preserve">Canada</t>
  </si>
  <si>
    <t xml:space="preserve">Miscellaneous</t>
  </si>
  <si>
    <t xml:space="preserve">Midwest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</si>
</sst>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General_)"/>
    <numFmt numFmtId="174" formatCode="mmmm\ dd&quot;, &quot;yyyy"/>
    <numFmt numFmtId="175" formatCode="0"/>
    <numFmt numFmtId="176" formatCode="[$-409]#,##0_);\(#,##0\)"/>
    <numFmt numFmtId="177" formatCode="[$-409]mmm\-yy"/>
    <numFmt numFmtId="178" formatCode="0.00"/>
    <numFmt numFmtId="179" formatCode="@"/>
    <numFmt numFmtId="180" formatCode="d\-mmm\-yyyy"/>
    <numFmt numFmtId="181" formatCode="[$-409]m/d/yyyy"/>
    <numFmt numFmtId="182" formatCode="\$#,##0"/>
    <numFmt numFmtId="183" formatCode="_(* #,##0_);_(* \(#,##0\);_(* \-??_);_(@_)"/>
    <numFmt numFmtId="184" formatCode="#,##0"/>
    <numFmt numFmtId="185" formatCode="_(\$* #,##0_);_(\$* \(#,##0\);_(\$* \-??_);_(@_)"/>
    <numFmt numFmtId="186" formatCode="\$#,##0;[RED]\$#,##0"/>
    <numFmt numFmtId="187" formatCode="#,##0;[RED]#,##0"/>
    <numFmt numFmtId="188" formatCode="\$#,##0.000_);[RED]&quot;($&quot;#,##0.000\)"/>
    <numFmt numFmtId="189" formatCode="mmmm\ d&quot;, &quot;yyyy"/>
    <numFmt numFmtId="190" formatCode="dd\-mmm\-yy"/>
    <numFmt numFmtId="191" formatCode="\$#,##0.00_);&quot;($&quot;#,##0.00\)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10"/>
      <name val="MS Sans Serif"/>
      <family val="0"/>
    </font>
    <font>
      <b val="true"/>
      <sz val="8"/>
      <name val="Times New Roman"/>
      <family val="1"/>
    </font>
    <font>
      <sz val="8"/>
      <name val="Times New Roman"/>
      <family val="1"/>
    </font>
    <font>
      <b val="true"/>
      <sz val="9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color rgb="FF000000"/>
      <name val="Times New Roman"/>
      <family val="1"/>
    </font>
    <font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name val="Times New Roman"/>
      <family val="1"/>
    </font>
    <font>
      <sz val="10"/>
      <color rgb="FF3333CC"/>
      <name val="Times New Roman"/>
      <family val="1"/>
    </font>
    <font>
      <b val="true"/>
      <sz val="14"/>
      <name val="Times New Roman"/>
      <family val="1"/>
    </font>
    <font>
      <b val="true"/>
      <u val="single"/>
      <sz val="11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b val="true"/>
      <sz val="11"/>
      <name val="Times New Roman"/>
      <family val="1"/>
    </font>
    <font>
      <b val="true"/>
      <sz val="12"/>
      <name val="Times New Roman"/>
      <family val="1"/>
    </font>
    <font>
      <sz val="10"/>
      <color rgb="FF0000FF"/>
      <name val="Times New Roman"/>
      <family val="1"/>
    </font>
    <font>
      <sz val="24"/>
      <name val="Comic Sans MS"/>
      <family val="4"/>
    </font>
    <font>
      <b val="true"/>
      <sz val="10"/>
      <name val="Arial"/>
      <family val="2"/>
    </font>
    <font>
      <b val="true"/>
      <sz val="12"/>
      <color rgb="FF000000"/>
      <name val="Tahoma"/>
      <family val="2"/>
    </font>
    <font>
      <b val="true"/>
      <sz val="8"/>
      <color rgb="FF000000"/>
      <name val="Tahoma"/>
      <family val="0"/>
    </font>
    <font>
      <b val="true"/>
      <sz val="10"/>
      <color rgb="FF000000"/>
      <name val="Tahoma"/>
      <family val="2"/>
    </font>
    <font>
      <b val="true"/>
      <i val="true"/>
      <sz val="11"/>
      <name val="Times New Roman"/>
      <family val="1"/>
    </font>
    <font>
      <sz val="12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u val="singl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sz val="12"/>
      <color rgb="FF000080"/>
      <name val="Times New Roman"/>
      <family val="1"/>
    </font>
    <font>
      <sz val="12"/>
      <color rgb="FF000000"/>
      <name val="Times New Roman"/>
      <family val="1"/>
    </font>
    <font>
      <u val="single"/>
      <sz val="10"/>
      <name val="Times New Roman"/>
      <family val="1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sz val="12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A6CAF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A6CAF0"/>
      </patternFill>
    </fill>
    <fill>
      <patternFill patternType="solid">
        <fgColor rgb="FF339933"/>
        <bgColor rgb="FF008000"/>
      </patternFill>
    </fill>
    <fill>
      <patternFill patternType="solid">
        <fgColor rgb="FFFF0000"/>
        <bgColor rgb="FF993300"/>
      </patternFill>
    </fill>
    <fill>
      <patternFill patternType="solid">
        <fgColor rgb="FF69FFFF"/>
        <bgColor rgb="FFA6CAF0"/>
      </patternFill>
    </fill>
    <fill>
      <patternFill patternType="solid">
        <fgColor rgb="FF00FF00"/>
        <bgColor rgb="FF00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15" fillId="0" borderId="0" xfId="18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5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7" fillId="0" borderId="0" xfId="18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2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1" fontId="17" fillId="5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6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17" fillId="7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6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0" fontId="15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6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2" fontId="15" fillId="0" borderId="0" xfId="18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2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5" fillId="0" borderId="0" xfId="18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15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17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7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5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5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3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5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1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1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44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9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AUG 1998" xfId="22"/>
    <cellStyle name="Comma [0]_conrep" xfId="23"/>
    <cellStyle name="Comma [0]_conversion" xfId="24"/>
    <cellStyle name="Comma [0]_Crude Origination" xfId="25"/>
    <cellStyle name="Comma [0]_Crude Prod Report" xfId="26"/>
    <cellStyle name="Comma [0]_Crude Prod Roll" xfId="27"/>
    <cellStyle name="Comma [0]_DAILY POSITION REPORT" xfId="28"/>
    <cellStyle name="Comma [0]_DAILY POSITION REPORT_1" xfId="29"/>
    <cellStyle name="Comma [0]_EXPLAIN" xfId="30"/>
    <cellStyle name="Comma [0]_G" xfId="31"/>
    <cellStyle name="Comma [0]_H" xfId="32"/>
    <cellStyle name="Comma [0]_HEAT DAILY POSITION" xfId="33"/>
    <cellStyle name="Comma [0]_HEAT ROLL" xfId="34"/>
    <cellStyle name="Comma [0]_JET DAILY POSITION" xfId="35"/>
    <cellStyle name="Comma [0]_JET ROLL" xfId="36"/>
    <cellStyle name="Comma [0]_L" xfId="37"/>
    <cellStyle name="Comma [0]_N" xfId="38"/>
    <cellStyle name="Comma [0]_New and Improved Rollforward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Post_ID" xfId="46"/>
    <cellStyle name="Comma [0]_Post_ID (2)" xfId="47"/>
    <cellStyle name="Comma [0]_Products" xfId="48"/>
    <cellStyle name="Comma [0]_RESID DAILY POSITION" xfId="49"/>
    <cellStyle name="Comma [0]_RESID ORIGINATION" xfId="50"/>
    <cellStyle name="Comma [0]_RESID ROLL" xfId="51"/>
    <cellStyle name="Comma [0]_ROLL" xfId="52"/>
    <cellStyle name="Comma [0]_Roll-1" xfId="53"/>
    <cellStyle name="Comma [0]_Sheet1" xfId="54"/>
    <cellStyle name="Comma [0]_TopPage multi Post ID" xfId="55"/>
    <cellStyle name="Comma [0]_WPRD DAILY POSITION" xfId="56"/>
    <cellStyle name="Comma [0]_WPRD ROLL" xfId="57"/>
    <cellStyle name="Comma [0]_WTI DAILY POSITION" xfId="58"/>
    <cellStyle name="Comma [0]_WTI DAILY POSITION (2)" xfId="59"/>
    <cellStyle name="Comma [0]_WTI Origination" xfId="60"/>
    <cellStyle name="Comma [0]_WTI ROLL" xfId="61"/>
    <cellStyle name="Comma [0]_WTI ROLL (2)" xfId="62"/>
    <cellStyle name="Comma_0731" xfId="63"/>
    <cellStyle name="Comma_0894PlantBks" xfId="64"/>
    <cellStyle name="Comma_AUG 1998" xfId="65"/>
    <cellStyle name="Comma_conrep" xfId="66"/>
    <cellStyle name="Comma_conversion" xfId="67"/>
    <cellStyle name="Comma_Crude Origination" xfId="68"/>
    <cellStyle name="Comma_Crude Prod Report" xfId="69"/>
    <cellStyle name="Comma_Crude Prod Roll" xfId="70"/>
    <cellStyle name="Comma_DAILY POSITION REPORT" xfId="71"/>
    <cellStyle name="Comma_DAILY POSITION REPORT_1" xfId="72"/>
    <cellStyle name="Comma_EXPLAIN" xfId="73"/>
    <cellStyle name="Comma_G" xfId="74"/>
    <cellStyle name="Comma_H" xfId="75"/>
    <cellStyle name="Comma_HEAT DAILY POSITION" xfId="76"/>
    <cellStyle name="Comma_HEAT ROLL" xfId="77"/>
    <cellStyle name="Comma_JET DAILY POSITION" xfId="78"/>
    <cellStyle name="Comma_JET ROLL" xfId="79"/>
    <cellStyle name="Comma_L" xfId="80"/>
    <cellStyle name="Comma_N" xfId="81"/>
    <cellStyle name="Comma_New and Improved Rollforward" xfId="82"/>
    <cellStyle name="Comma_NewDPR" xfId="83"/>
    <cellStyle name="Comma_NewDPR_1" xfId="84"/>
    <cellStyle name="Comma_NewRoll" xfId="85"/>
    <cellStyle name="Comma_NewRoll (2)" xfId="86"/>
    <cellStyle name="Comma_NewRoll (2)_0894PlantBks" xfId="87"/>
    <cellStyle name="Comma_NewRoll (2)_NewDPR" xfId="88"/>
    <cellStyle name="Comma_Post_ID" xfId="89"/>
    <cellStyle name="Comma_Post_ID (2)" xfId="90"/>
    <cellStyle name="Comma_Products" xfId="91"/>
    <cellStyle name="Comma_Report" xfId="92"/>
    <cellStyle name="Comma_RESID DAILY POSITION" xfId="93"/>
    <cellStyle name="Comma_RESID ORIGINATION" xfId="94"/>
    <cellStyle name="Comma_RESID ROLL" xfId="95"/>
    <cellStyle name="Comma_ROLL" xfId="96"/>
    <cellStyle name="Comma_Roll-1" xfId="97"/>
    <cellStyle name="Comma_Sheet1" xfId="98"/>
    <cellStyle name="Comma_TopPage multi Post ID" xfId="99"/>
    <cellStyle name="Comma_WPRD DAILY POSITION" xfId="100"/>
    <cellStyle name="Comma_WPRD ROLL" xfId="101"/>
    <cellStyle name="Comma_WTI DAILY POSITION" xfId="102"/>
    <cellStyle name="Comma_WTI DAILY POSITION (2)" xfId="103"/>
    <cellStyle name="Comma_WTI Origination" xfId="104"/>
    <cellStyle name="Comma_WTI ROLL" xfId="105"/>
    <cellStyle name="Comma_WTI ROLL (2)" xfId="106"/>
    <cellStyle name="Currency [0]_0731" xfId="107"/>
    <cellStyle name="Currency [0]_0894PlantBks" xfId="108"/>
    <cellStyle name="Currency [0]_AUG 1998" xfId="109"/>
    <cellStyle name="Currency [0]_conrep" xfId="110"/>
    <cellStyle name="Currency [0]_conversion" xfId="111"/>
    <cellStyle name="Currency [0]_Crude Origination" xfId="112"/>
    <cellStyle name="Currency [0]_Crude Prod Report" xfId="113"/>
    <cellStyle name="Currency [0]_Crude Prod Roll" xfId="114"/>
    <cellStyle name="Currency [0]_DAILY POSITION REPORT" xfId="115"/>
    <cellStyle name="Currency [0]_DAILY POSITION REPORT_1" xfId="116"/>
    <cellStyle name="Currency [0]_EXPLAIN" xfId="117"/>
    <cellStyle name="Currency [0]_G" xfId="118"/>
    <cellStyle name="Currency [0]_H" xfId="119"/>
    <cellStyle name="Currency [0]_HEAT DAILY POSITION" xfId="120"/>
    <cellStyle name="Currency [0]_HEAT ROLL" xfId="121"/>
    <cellStyle name="Currency [0]_JET DAILY POSITION" xfId="122"/>
    <cellStyle name="Currency [0]_JET ROLL" xfId="123"/>
    <cellStyle name="Currency [0]_L" xfId="124"/>
    <cellStyle name="Currency [0]_N" xfId="125"/>
    <cellStyle name="Currency [0]_New and Improved Rollforward" xfId="126"/>
    <cellStyle name="Currency [0]_NewDPR" xfId="127"/>
    <cellStyle name="Currency [0]_NewDPR_1" xfId="128"/>
    <cellStyle name="Currency [0]_NewRoll" xfId="129"/>
    <cellStyle name="Currency [0]_NewRoll (2)" xfId="130"/>
    <cellStyle name="Currency [0]_NewRoll (2)_0894PlantBks" xfId="131"/>
    <cellStyle name="Currency [0]_NewRoll (2)_NewDPR" xfId="132"/>
    <cellStyle name="Currency [0]_Post_ID" xfId="133"/>
    <cellStyle name="Currency [0]_Post_ID (2)" xfId="134"/>
    <cellStyle name="Currency [0]_Products" xfId="135"/>
    <cellStyle name="Currency [0]_RESID DAILY POSITION" xfId="136"/>
    <cellStyle name="Currency [0]_RESID ORIGINATION" xfId="137"/>
    <cellStyle name="Currency [0]_RESID ROLL" xfId="138"/>
    <cellStyle name="Currency [0]_ROLL" xfId="139"/>
    <cellStyle name="Currency [0]_Roll-1" xfId="140"/>
    <cellStyle name="Currency [0]_Sheet1" xfId="141"/>
    <cellStyle name="Currency [0]_TopPage multi Post ID" xfId="142"/>
    <cellStyle name="Currency [0]_WPRD DAILY POSITION" xfId="143"/>
    <cellStyle name="Currency [0]_WPRD ROLL" xfId="144"/>
    <cellStyle name="Currency [0]_WTI DAILY POSITION" xfId="145"/>
    <cellStyle name="Currency [0]_WTI DAILY POSITION (2)" xfId="146"/>
    <cellStyle name="Currency [0]_WTI Origination" xfId="147"/>
    <cellStyle name="Currency [0]_WTI ROLL" xfId="148"/>
    <cellStyle name="Currency [0]_WTI ROLL (2)" xfId="149"/>
    <cellStyle name="Currency_0731" xfId="150"/>
    <cellStyle name="Currency_0894PlantBks" xfId="151"/>
    <cellStyle name="Currency_AUG 1998" xfId="152"/>
    <cellStyle name="Currency_conrep" xfId="153"/>
    <cellStyle name="Currency_conversion" xfId="154"/>
    <cellStyle name="Currency_Crude Origination" xfId="155"/>
    <cellStyle name="Currency_Crude Prod Report" xfId="156"/>
    <cellStyle name="Currency_Crude Prod Roll" xfId="157"/>
    <cellStyle name="Currency_DAILY POSITION REPORT" xfId="158"/>
    <cellStyle name="Currency_DAILY POSITION REPORT_1" xfId="159"/>
    <cellStyle name="Currency_EXPLAIN" xfId="160"/>
    <cellStyle name="Currency_G" xfId="161"/>
    <cellStyle name="Currency_H" xfId="162"/>
    <cellStyle name="Currency_HEAT DAILY POSITION" xfId="163"/>
    <cellStyle name="Currency_HEAT ROLL" xfId="164"/>
    <cellStyle name="Currency_JET DAILY POSITION" xfId="165"/>
    <cellStyle name="Currency_JET ROLL" xfId="166"/>
    <cellStyle name="Currency_L" xfId="167"/>
    <cellStyle name="Currency_N" xfId="168"/>
    <cellStyle name="Currency_New and Improved Rollforward" xfId="169"/>
    <cellStyle name="Currency_NewDPR" xfId="170"/>
    <cellStyle name="Currency_NewDPR_1" xfId="171"/>
    <cellStyle name="Currency_NewRoll" xfId="172"/>
    <cellStyle name="Currency_NewRoll (2)" xfId="173"/>
    <cellStyle name="Currency_NewRoll (2)_0894PlantBks" xfId="174"/>
    <cellStyle name="Currency_NewRoll (2)_NewDPR" xfId="175"/>
    <cellStyle name="Currency_Post_ID" xfId="176"/>
    <cellStyle name="Currency_Post_ID (2)" xfId="177"/>
    <cellStyle name="Currency_Products" xfId="178"/>
    <cellStyle name="Currency_RESID DAILY POSITION" xfId="179"/>
    <cellStyle name="Currency_RESID ORIGINATION" xfId="180"/>
    <cellStyle name="Currency_RESID ROLL" xfId="181"/>
    <cellStyle name="Currency_ROLL" xfId="182"/>
    <cellStyle name="Currency_Roll-1" xfId="183"/>
    <cellStyle name="Currency_Sheet1" xfId="184"/>
    <cellStyle name="Currency_TopPage multi Post ID" xfId="185"/>
    <cellStyle name="Currency_WPRD DAILY POSITION" xfId="186"/>
    <cellStyle name="Currency_WPRD ROLL" xfId="187"/>
    <cellStyle name="Currency_WTI DAILY POSITION" xfId="188"/>
    <cellStyle name="Currency_WTI DAILY POSITION (2)" xfId="189"/>
    <cellStyle name="Currency_WTI Origination" xfId="190"/>
    <cellStyle name="Currency_WTI ROLL" xfId="191"/>
    <cellStyle name="Currency_WTI ROLL (2)" xfId="192"/>
    <cellStyle name="Normal_0294ORG.XLS" xfId="193"/>
    <cellStyle name="Normal_0594ORG" xfId="194"/>
    <cellStyle name="Normal_0694ORG" xfId="195"/>
    <cellStyle name="Normal_0731" xfId="196"/>
    <cellStyle name="Normal_B" xfId="197"/>
    <cellStyle name="Normal_Detail" xfId="198"/>
    <cellStyle name="Normal_G" xfId="199"/>
    <cellStyle name="Normal_GG1DL" xfId="200"/>
    <cellStyle name="Normal_GO_2DL" xfId="201"/>
    <cellStyle name="Normal_H" xfId="202"/>
    <cellStyle name="Normal_L" xfId="203"/>
    <cellStyle name="Normal_Liquids Book Origination" xfId="204"/>
    <cellStyle name="Normal_N" xfId="205"/>
    <cellStyle name="Normal_WTI Origination" xfId="20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1</xdr:row>
          <xdr:rowOff>0</xdr:rowOff>
        </xdr:from>
        <xdr:to>
          <xdr:col>12</xdr:col>
          <xdr:colOff>11880</xdr:colOff>
          <xdr:row>3</xdr:row>
          <xdr:rowOff>190440</xdr:rowOff>
        </xdr:to>
        <xdr:sp>
          <xdr:nvSpPr>
            <xdr:cNvPr id="1001" name="Button 2" descr="Copy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Prior Day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POSTID/2000/EMWPostI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2000%20P&amp;L&apos;s/0700/CE0705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OA%20Flash%20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W-May00"/>
      <sheetName val="EMW-Jun00"/>
      <sheetName val="EMW-Jul00"/>
      <sheetName val="EMW-Aug00"/>
      <sheetName val="EMW-Sep00"/>
    </sheetNames>
    <sheetDataSet>
      <sheetData sheetId="0"/>
      <sheetData sheetId="1"/>
      <sheetData sheetId="2"/>
      <sheetData sheetId="3">
        <row r="5">
          <cell r="A5">
            <v>36739</v>
          </cell>
          <cell r="B5">
            <v>1</v>
          </cell>
          <cell r="C5">
            <v>2</v>
          </cell>
          <cell r="D5">
            <v>3</v>
          </cell>
          <cell r="E5" t="str">
            <v>-1</v>
          </cell>
          <cell r="F5">
            <v>851708</v>
          </cell>
          <cell r="G5">
            <v>851711</v>
          </cell>
          <cell r="H5">
            <v>851713</v>
          </cell>
          <cell r="I5">
            <v>0</v>
          </cell>
          <cell r="J5">
            <v>851720</v>
          </cell>
          <cell r="K5">
            <v>851722</v>
          </cell>
          <cell r="L5">
            <v>851723</v>
          </cell>
          <cell r="M5">
            <v>0</v>
          </cell>
          <cell r="N5">
            <v>0</v>
          </cell>
          <cell r="O5">
            <v>61931</v>
          </cell>
          <cell r="P5">
            <v>851769</v>
          </cell>
          <cell r="Q5">
            <v>851770</v>
          </cell>
          <cell r="R5">
            <v>851771</v>
          </cell>
          <cell r="S5">
            <v>851772</v>
          </cell>
          <cell r="T5">
            <v>851773</v>
          </cell>
          <cell r="U5">
            <v>851774</v>
          </cell>
          <cell r="V5">
            <v>851775</v>
          </cell>
          <cell r="W5">
            <v>851776</v>
          </cell>
          <cell r="X5">
            <v>851777</v>
          </cell>
          <cell r="Y5">
            <v>851778</v>
          </cell>
          <cell r="Z5">
            <v>851779</v>
          </cell>
          <cell r="AA5">
            <v>851780</v>
          </cell>
          <cell r="AB5">
            <v>59506</v>
          </cell>
        </row>
        <row r="5">
          <cell r="AD5">
            <v>60253</v>
          </cell>
        </row>
        <row r="6">
          <cell r="A6">
            <v>36740</v>
          </cell>
          <cell r="B6">
            <v>2</v>
          </cell>
          <cell r="C6">
            <v>3</v>
          </cell>
          <cell r="D6">
            <v>4</v>
          </cell>
          <cell r="E6" t="str">
            <v>-1</v>
          </cell>
          <cell r="F6">
            <v>852332</v>
          </cell>
          <cell r="G6">
            <v>852334</v>
          </cell>
          <cell r="H6">
            <v>852339</v>
          </cell>
          <cell r="I6">
            <v>0</v>
          </cell>
          <cell r="J6">
            <v>853115</v>
          </cell>
          <cell r="K6">
            <v>852361</v>
          </cell>
          <cell r="L6">
            <v>852362</v>
          </cell>
          <cell r="M6">
            <v>0</v>
          </cell>
          <cell r="N6">
            <v>0</v>
          </cell>
          <cell r="O6">
            <v>61977</v>
          </cell>
          <cell r="P6">
            <v>852388</v>
          </cell>
          <cell r="Q6">
            <v>852389</v>
          </cell>
          <cell r="R6">
            <v>852390</v>
          </cell>
          <cell r="S6">
            <v>852391</v>
          </cell>
          <cell r="T6">
            <v>852392</v>
          </cell>
          <cell r="U6">
            <v>852393</v>
          </cell>
          <cell r="V6">
            <v>852394</v>
          </cell>
          <cell r="W6">
            <v>852395</v>
          </cell>
          <cell r="X6">
            <v>852396</v>
          </cell>
          <cell r="Y6">
            <v>852397</v>
          </cell>
          <cell r="Z6">
            <v>852398</v>
          </cell>
          <cell r="AA6">
            <v>852399</v>
          </cell>
          <cell r="AB6" t="str">
            <v>NSS1</v>
          </cell>
        </row>
        <row r="6">
          <cell r="AD6" t="str">
            <v>(P-833337)</v>
          </cell>
        </row>
        <row r="7">
          <cell r="A7">
            <v>36741</v>
          </cell>
          <cell r="B7">
            <v>3</v>
          </cell>
          <cell r="C7">
            <v>4</v>
          </cell>
          <cell r="D7">
            <v>5</v>
          </cell>
          <cell r="E7" t="str">
            <v>-1</v>
          </cell>
          <cell r="F7">
            <v>853397</v>
          </cell>
          <cell r="G7">
            <v>853398</v>
          </cell>
          <cell r="H7">
            <v>853405</v>
          </cell>
          <cell r="I7">
            <v>1</v>
          </cell>
          <cell r="J7">
            <v>853406</v>
          </cell>
          <cell r="K7">
            <v>853407</v>
          </cell>
          <cell r="L7">
            <v>853408</v>
          </cell>
          <cell r="M7">
            <v>1</v>
          </cell>
          <cell r="N7">
            <v>0</v>
          </cell>
          <cell r="O7">
            <v>62077</v>
          </cell>
          <cell r="P7">
            <v>853409</v>
          </cell>
          <cell r="Q7">
            <v>853410</v>
          </cell>
          <cell r="R7">
            <v>853411</v>
          </cell>
          <cell r="S7">
            <v>853412</v>
          </cell>
          <cell r="T7">
            <v>853413</v>
          </cell>
          <cell r="U7">
            <v>853414</v>
          </cell>
          <cell r="V7">
            <v>853415</v>
          </cell>
          <cell r="W7">
            <v>853416</v>
          </cell>
          <cell r="X7">
            <v>853417</v>
          </cell>
          <cell r="Y7">
            <v>853418</v>
          </cell>
          <cell r="Z7">
            <v>853419</v>
          </cell>
          <cell r="AA7">
            <v>853420</v>
          </cell>
          <cell r="AB7" t="str">
            <v>(P-824419)</v>
          </cell>
        </row>
        <row r="7">
          <cell r="AD7" t="str">
            <v>(B-833338)</v>
          </cell>
        </row>
        <row r="8">
          <cell r="A8">
            <v>36742</v>
          </cell>
          <cell r="B8">
            <v>4</v>
          </cell>
          <cell r="C8">
            <v>7</v>
          </cell>
          <cell r="D8">
            <v>8</v>
          </cell>
          <cell r="E8" t="str">
            <v>-1</v>
          </cell>
          <cell r="F8">
            <v>854812</v>
          </cell>
          <cell r="G8">
            <v>854816</v>
          </cell>
          <cell r="H8">
            <v>854817</v>
          </cell>
          <cell r="I8">
            <v>2</v>
          </cell>
          <cell r="J8">
            <v>854821</v>
          </cell>
          <cell r="K8">
            <v>854822</v>
          </cell>
          <cell r="L8">
            <v>854823</v>
          </cell>
          <cell r="M8">
            <v>2</v>
          </cell>
          <cell r="N8">
            <v>1</v>
          </cell>
          <cell r="O8">
            <v>62212</v>
          </cell>
          <cell r="P8">
            <v>854862</v>
          </cell>
          <cell r="Q8">
            <v>854863</v>
          </cell>
          <cell r="R8">
            <v>854864</v>
          </cell>
          <cell r="S8">
            <v>854865</v>
          </cell>
          <cell r="T8">
            <v>854866</v>
          </cell>
          <cell r="U8">
            <v>854867</v>
          </cell>
          <cell r="V8">
            <v>854868</v>
          </cell>
          <cell r="W8">
            <v>854869</v>
          </cell>
          <cell r="X8">
            <v>854870</v>
          </cell>
          <cell r="Y8">
            <v>854871</v>
          </cell>
          <cell r="Z8">
            <v>854872</v>
          </cell>
          <cell r="AA8">
            <v>854873</v>
          </cell>
          <cell r="AB8" t="str">
            <v>(B-824420)</v>
          </cell>
        </row>
        <row r="8">
          <cell r="AD8" t="str">
            <v>(I-833339)</v>
          </cell>
        </row>
        <row r="9">
          <cell r="A9">
            <v>36745</v>
          </cell>
          <cell r="B9">
            <v>7</v>
          </cell>
          <cell r="C9">
            <v>8</v>
          </cell>
          <cell r="D9">
            <v>9</v>
          </cell>
          <cell r="E9" t="str">
            <v>-1</v>
          </cell>
          <cell r="F9">
            <v>855765</v>
          </cell>
          <cell r="G9">
            <v>855766</v>
          </cell>
          <cell r="H9">
            <v>855767</v>
          </cell>
          <cell r="I9">
            <v>3</v>
          </cell>
          <cell r="J9">
            <v>855768</v>
          </cell>
          <cell r="K9">
            <v>855770</v>
          </cell>
          <cell r="L9">
            <v>855771</v>
          </cell>
          <cell r="M9">
            <v>3</v>
          </cell>
          <cell r="N9">
            <v>2</v>
          </cell>
          <cell r="O9">
            <v>62287</v>
          </cell>
          <cell r="P9">
            <v>855775</v>
          </cell>
          <cell r="Q9">
            <v>855776</v>
          </cell>
          <cell r="R9">
            <v>855777</v>
          </cell>
          <cell r="S9">
            <v>855778</v>
          </cell>
          <cell r="T9">
            <v>855779</v>
          </cell>
          <cell r="U9">
            <v>855780</v>
          </cell>
          <cell r="V9">
            <v>855781</v>
          </cell>
          <cell r="W9">
            <v>855782</v>
          </cell>
          <cell r="X9">
            <v>855783</v>
          </cell>
          <cell r="Y9">
            <v>855784</v>
          </cell>
          <cell r="Z9">
            <v>855785</v>
          </cell>
          <cell r="AA9">
            <v>855786</v>
          </cell>
          <cell r="AB9" t="str">
            <v>(I-824421)</v>
          </cell>
        </row>
        <row r="10">
          <cell r="A10">
            <v>36746</v>
          </cell>
          <cell r="B10">
            <v>8</v>
          </cell>
          <cell r="C10">
            <v>9</v>
          </cell>
          <cell r="D10">
            <v>10</v>
          </cell>
          <cell r="E10" t="str">
            <v>-1</v>
          </cell>
          <cell r="F10">
            <v>856760</v>
          </cell>
          <cell r="G10">
            <v>856761</v>
          </cell>
          <cell r="H10">
            <v>856762</v>
          </cell>
          <cell r="I10">
            <v>6</v>
          </cell>
          <cell r="J10">
            <v>856763</v>
          </cell>
          <cell r="K10">
            <v>856764</v>
          </cell>
          <cell r="L10">
            <v>856765</v>
          </cell>
          <cell r="M10">
            <v>6</v>
          </cell>
          <cell r="N10">
            <v>3</v>
          </cell>
          <cell r="O10">
            <v>62375</v>
          </cell>
          <cell r="P10">
            <v>856766</v>
          </cell>
          <cell r="Q10">
            <v>856767</v>
          </cell>
          <cell r="R10">
            <v>856768</v>
          </cell>
          <cell r="S10">
            <v>856769</v>
          </cell>
          <cell r="T10">
            <v>856770</v>
          </cell>
          <cell r="U10">
            <v>856771</v>
          </cell>
          <cell r="V10">
            <v>856772</v>
          </cell>
          <cell r="W10">
            <v>856773</v>
          </cell>
          <cell r="X10">
            <v>856774</v>
          </cell>
          <cell r="Y10">
            <v>856775</v>
          </cell>
          <cell r="Z10">
            <v>856776</v>
          </cell>
          <cell r="AA10">
            <v>856777</v>
          </cell>
          <cell r="AB10" t="str">
            <v>NSS2</v>
          </cell>
        </row>
        <row r="10">
          <cell r="AD10" t="str">
            <v>NSS FT Calc</v>
          </cell>
        </row>
        <row r="11">
          <cell r="A11">
            <v>36747</v>
          </cell>
          <cell r="B11">
            <v>9</v>
          </cell>
          <cell r="C11">
            <v>10</v>
          </cell>
          <cell r="D11">
            <v>11</v>
          </cell>
          <cell r="E11" t="str">
            <v>-1</v>
          </cell>
          <cell r="F11">
            <v>857844</v>
          </cell>
          <cell r="G11">
            <v>857846</v>
          </cell>
          <cell r="H11">
            <v>857847</v>
          </cell>
          <cell r="I11">
            <v>7</v>
          </cell>
          <cell r="J11">
            <v>857853</v>
          </cell>
          <cell r="K11">
            <v>857854</v>
          </cell>
          <cell r="L11">
            <v>857855</v>
          </cell>
          <cell r="M11">
            <v>7</v>
          </cell>
          <cell r="N11">
            <v>6</v>
          </cell>
          <cell r="O11">
            <v>62482</v>
          </cell>
          <cell r="P11">
            <v>857870</v>
          </cell>
          <cell r="Q11">
            <v>857871</v>
          </cell>
          <cell r="R11">
            <v>857872</v>
          </cell>
          <cell r="S11">
            <v>857873</v>
          </cell>
          <cell r="T11">
            <v>857874</v>
          </cell>
          <cell r="U11">
            <v>857875</v>
          </cell>
          <cell r="V11">
            <v>857876</v>
          </cell>
          <cell r="W11">
            <v>857877</v>
          </cell>
          <cell r="X11">
            <v>857878</v>
          </cell>
          <cell r="Y11">
            <v>857879</v>
          </cell>
          <cell r="Z11">
            <v>857880</v>
          </cell>
          <cell r="AA11">
            <v>857881</v>
          </cell>
          <cell r="AB11" t="str">
            <v>(P-824422)</v>
          </cell>
        </row>
        <row r="11">
          <cell r="AD11" t="str">
            <v>(Positions s/b 0)</v>
          </cell>
        </row>
        <row r="12">
          <cell r="A12">
            <v>36748</v>
          </cell>
          <cell r="B12">
            <v>10</v>
          </cell>
          <cell r="C12">
            <v>11</v>
          </cell>
          <cell r="D12">
            <v>12</v>
          </cell>
          <cell r="E12" t="str">
            <v>-1</v>
          </cell>
          <cell r="F12">
            <v>859592</v>
          </cell>
          <cell r="G12">
            <v>859593</v>
          </cell>
          <cell r="H12">
            <v>859594</v>
          </cell>
          <cell r="I12">
            <v>8</v>
          </cell>
          <cell r="J12">
            <v>859595</v>
          </cell>
          <cell r="K12">
            <v>859596</v>
          </cell>
          <cell r="L12">
            <v>859598</v>
          </cell>
          <cell r="M12">
            <v>8</v>
          </cell>
          <cell r="N12">
            <v>7</v>
          </cell>
          <cell r="O12">
            <v>0</v>
          </cell>
          <cell r="P12">
            <v>859656</v>
          </cell>
          <cell r="Q12">
            <v>859657</v>
          </cell>
          <cell r="R12">
            <v>859658</v>
          </cell>
          <cell r="S12">
            <v>859659</v>
          </cell>
          <cell r="T12">
            <v>859672</v>
          </cell>
          <cell r="U12">
            <v>859673</v>
          </cell>
          <cell r="V12">
            <v>859674</v>
          </cell>
          <cell r="W12">
            <v>859675</v>
          </cell>
          <cell r="X12">
            <v>859676</v>
          </cell>
          <cell r="Y12">
            <v>859677</v>
          </cell>
          <cell r="Z12">
            <v>859706</v>
          </cell>
          <cell r="AA12">
            <v>859707</v>
          </cell>
          <cell r="AB12" t="str">
            <v>(B-824423)</v>
          </cell>
        </row>
        <row r="12">
          <cell r="AD12">
            <v>60762</v>
          </cell>
        </row>
        <row r="13">
          <cell r="A13">
            <v>36749</v>
          </cell>
          <cell r="B13">
            <v>11</v>
          </cell>
          <cell r="C13">
            <v>14</v>
          </cell>
          <cell r="D13">
            <v>15</v>
          </cell>
          <cell r="E13" t="str">
            <v>-1</v>
          </cell>
          <cell r="F13">
            <v>860654</v>
          </cell>
          <cell r="G13">
            <v>860655</v>
          </cell>
          <cell r="H13">
            <v>860656</v>
          </cell>
          <cell r="I13">
            <v>9</v>
          </cell>
          <cell r="J13">
            <v>860657</v>
          </cell>
          <cell r="K13">
            <v>860658</v>
          </cell>
          <cell r="L13">
            <v>860659</v>
          </cell>
          <cell r="M13">
            <v>9</v>
          </cell>
          <cell r="N13">
            <v>8</v>
          </cell>
          <cell r="O13">
            <v>62750</v>
          </cell>
          <cell r="P13">
            <v>860667</v>
          </cell>
          <cell r="Q13">
            <v>860668</v>
          </cell>
          <cell r="R13">
            <v>860669</v>
          </cell>
          <cell r="S13">
            <v>860670</v>
          </cell>
          <cell r="T13">
            <v>860671</v>
          </cell>
          <cell r="U13">
            <v>860672</v>
          </cell>
          <cell r="V13">
            <v>860673</v>
          </cell>
          <cell r="W13">
            <v>860674</v>
          </cell>
          <cell r="X13">
            <v>860675</v>
          </cell>
          <cell r="Y13">
            <v>860676</v>
          </cell>
          <cell r="Z13">
            <v>860677</v>
          </cell>
          <cell r="AA13">
            <v>860678</v>
          </cell>
          <cell r="AB13" t="str">
            <v>(I-824424)</v>
          </cell>
        </row>
        <row r="13">
          <cell r="AD13" t="str">
            <v>(P-838596)</v>
          </cell>
        </row>
        <row r="14">
          <cell r="A14">
            <v>36752</v>
          </cell>
          <cell r="B14">
            <v>14</v>
          </cell>
          <cell r="C14">
            <v>15</v>
          </cell>
          <cell r="D14">
            <v>16</v>
          </cell>
          <cell r="E14" t="str">
            <v>-1</v>
          </cell>
          <cell r="F14">
            <v>861276</v>
          </cell>
          <cell r="G14">
            <v>861277</v>
          </cell>
          <cell r="H14">
            <v>861291</v>
          </cell>
          <cell r="I14">
            <v>10</v>
          </cell>
          <cell r="J14">
            <v>861292</v>
          </cell>
          <cell r="K14">
            <v>861293</v>
          </cell>
          <cell r="L14">
            <v>861300</v>
          </cell>
          <cell r="M14">
            <v>10</v>
          </cell>
          <cell r="N14">
            <v>9</v>
          </cell>
          <cell r="O14">
            <v>62814</v>
          </cell>
          <cell r="P14">
            <v>861309</v>
          </cell>
          <cell r="Q14">
            <v>861310</v>
          </cell>
          <cell r="R14">
            <v>861311</v>
          </cell>
          <cell r="S14">
            <v>861312</v>
          </cell>
          <cell r="T14">
            <v>861313</v>
          </cell>
          <cell r="U14">
            <v>861314</v>
          </cell>
          <cell r="V14">
            <v>861315</v>
          </cell>
          <cell r="W14">
            <v>861316</v>
          </cell>
          <cell r="X14">
            <v>861317</v>
          </cell>
          <cell r="Y14">
            <v>861318</v>
          </cell>
          <cell r="Z14">
            <v>861319</v>
          </cell>
          <cell r="AA14">
            <v>861320</v>
          </cell>
          <cell r="AB14" t="str">
            <v>MEH</v>
          </cell>
        </row>
        <row r="14">
          <cell r="AD14" t="str">
            <v>(B-838597)</v>
          </cell>
        </row>
        <row r="15">
          <cell r="A15">
            <v>36753</v>
          </cell>
          <cell r="B15">
            <v>15</v>
          </cell>
          <cell r="C15">
            <v>16</v>
          </cell>
          <cell r="D15">
            <v>17</v>
          </cell>
          <cell r="E15" t="str">
            <v>-1</v>
          </cell>
          <cell r="F15">
            <v>862414</v>
          </cell>
          <cell r="G15">
            <v>862415</v>
          </cell>
          <cell r="H15">
            <v>862416</v>
          </cell>
          <cell r="I15">
            <v>13</v>
          </cell>
          <cell r="J15">
            <v>862451</v>
          </cell>
          <cell r="K15">
            <v>862453</v>
          </cell>
          <cell r="L15">
            <v>862454</v>
          </cell>
          <cell r="M15">
            <v>13</v>
          </cell>
          <cell r="N15">
            <v>10</v>
          </cell>
          <cell r="O15">
            <v>62927</v>
          </cell>
          <cell r="P15">
            <v>862489</v>
          </cell>
          <cell r="Q15">
            <v>862490</v>
          </cell>
          <cell r="R15">
            <v>862491</v>
          </cell>
          <cell r="S15">
            <v>862492</v>
          </cell>
          <cell r="T15">
            <v>862493</v>
          </cell>
          <cell r="U15">
            <v>862494</v>
          </cell>
          <cell r="V15">
            <v>862495</v>
          </cell>
          <cell r="W15">
            <v>862496</v>
          </cell>
          <cell r="X15">
            <v>862497</v>
          </cell>
          <cell r="Y15">
            <v>862498</v>
          </cell>
          <cell r="Z15">
            <v>862499</v>
          </cell>
          <cell r="AA15">
            <v>862500</v>
          </cell>
          <cell r="AB15" t="str">
            <v>(P-824425)</v>
          </cell>
        </row>
        <row r="15">
          <cell r="AD15" t="str">
            <v>(I-838598)</v>
          </cell>
        </row>
        <row r="16">
          <cell r="A16">
            <v>36754</v>
          </cell>
          <cell r="B16">
            <v>16</v>
          </cell>
          <cell r="C16">
            <v>17</v>
          </cell>
          <cell r="D16">
            <v>18</v>
          </cell>
          <cell r="E16" t="str">
            <v>-1</v>
          </cell>
          <cell r="F16">
            <v>863604</v>
          </cell>
          <cell r="G16">
            <v>863605</v>
          </cell>
          <cell r="H16">
            <v>863606</v>
          </cell>
          <cell r="I16">
            <v>14</v>
          </cell>
          <cell r="J16">
            <v>863607</v>
          </cell>
          <cell r="K16">
            <v>863608</v>
          </cell>
          <cell r="L16">
            <v>863609</v>
          </cell>
          <cell r="M16">
            <v>14</v>
          </cell>
          <cell r="N16">
            <v>13</v>
          </cell>
          <cell r="O16">
            <v>63027</v>
          </cell>
          <cell r="P16">
            <v>863610</v>
          </cell>
          <cell r="Q16">
            <v>863611</v>
          </cell>
          <cell r="R16">
            <v>863612</v>
          </cell>
          <cell r="S16">
            <v>863613</v>
          </cell>
          <cell r="T16">
            <v>863614</v>
          </cell>
          <cell r="U16">
            <v>863615</v>
          </cell>
          <cell r="V16">
            <v>863616</v>
          </cell>
          <cell r="W16">
            <v>863617</v>
          </cell>
          <cell r="X16">
            <v>863618</v>
          </cell>
          <cell r="Y16">
            <v>863619</v>
          </cell>
          <cell r="Z16">
            <v>863620</v>
          </cell>
          <cell r="AA16">
            <v>863621</v>
          </cell>
          <cell r="AB16" t="str">
            <v>(B-824426)</v>
          </cell>
        </row>
        <row r="16">
          <cell r="AD16" t="str">
            <v>MEH FT Calc</v>
          </cell>
        </row>
        <row r="17">
          <cell r="A17">
            <v>36755</v>
          </cell>
          <cell r="B17">
            <v>17</v>
          </cell>
          <cell r="C17">
            <v>18</v>
          </cell>
          <cell r="D17">
            <v>19</v>
          </cell>
          <cell r="E17" t="str">
            <v>-1</v>
          </cell>
          <cell r="F17">
            <v>864919</v>
          </cell>
          <cell r="G17">
            <v>864922</v>
          </cell>
          <cell r="H17">
            <v>864925</v>
          </cell>
          <cell r="I17">
            <v>15</v>
          </cell>
          <cell r="J17">
            <v>864927</v>
          </cell>
          <cell r="K17">
            <v>864929</v>
          </cell>
          <cell r="L17">
            <v>864948</v>
          </cell>
          <cell r="M17">
            <v>15</v>
          </cell>
          <cell r="N17">
            <v>14</v>
          </cell>
          <cell r="O17">
            <v>63169</v>
          </cell>
          <cell r="P17">
            <v>864971</v>
          </cell>
          <cell r="Q17">
            <v>864972</v>
          </cell>
          <cell r="R17">
            <v>864973</v>
          </cell>
          <cell r="S17">
            <v>864974</v>
          </cell>
          <cell r="T17">
            <v>864975</v>
          </cell>
          <cell r="U17">
            <v>864976</v>
          </cell>
          <cell r="V17">
            <v>864977</v>
          </cell>
          <cell r="W17">
            <v>864978</v>
          </cell>
          <cell r="X17">
            <v>864979</v>
          </cell>
          <cell r="Y17">
            <v>864980</v>
          </cell>
          <cell r="Z17">
            <v>864981</v>
          </cell>
          <cell r="AA17">
            <v>864982</v>
          </cell>
          <cell r="AB17" t="str">
            <v>(I-824427)</v>
          </cell>
        </row>
        <row r="17">
          <cell r="AD17" t="str">
            <v>(Positions s/b 0)</v>
          </cell>
        </row>
        <row r="18">
          <cell r="A18">
            <v>36756</v>
          </cell>
          <cell r="B18">
            <v>18</v>
          </cell>
          <cell r="C18">
            <v>21</v>
          </cell>
          <cell r="D18">
            <v>22</v>
          </cell>
          <cell r="E18" t="str">
            <v>-1</v>
          </cell>
          <cell r="F18">
            <v>865635</v>
          </cell>
          <cell r="G18">
            <v>865636</v>
          </cell>
          <cell r="H18">
            <v>865637</v>
          </cell>
          <cell r="I18">
            <v>16</v>
          </cell>
          <cell r="J18">
            <v>865643</v>
          </cell>
          <cell r="K18">
            <v>865644</v>
          </cell>
          <cell r="L18">
            <v>865652</v>
          </cell>
          <cell r="M18">
            <v>16</v>
          </cell>
          <cell r="N18">
            <v>15</v>
          </cell>
          <cell r="O18">
            <v>63218</v>
          </cell>
          <cell r="P18">
            <v>865655</v>
          </cell>
          <cell r="Q18">
            <v>865656</v>
          </cell>
          <cell r="R18">
            <v>865657</v>
          </cell>
          <cell r="S18">
            <v>865658</v>
          </cell>
          <cell r="T18">
            <v>865659</v>
          </cell>
          <cell r="U18">
            <v>865660</v>
          </cell>
          <cell r="V18">
            <v>865661</v>
          </cell>
          <cell r="W18">
            <v>865662</v>
          </cell>
          <cell r="X18">
            <v>865663</v>
          </cell>
          <cell r="Y18">
            <v>865664</v>
          </cell>
          <cell r="Z18">
            <v>865665</v>
          </cell>
          <cell r="AA18">
            <v>865666</v>
          </cell>
          <cell r="AB18" t="str">
            <v>TP</v>
          </cell>
        </row>
        <row r="18">
          <cell r="AD18">
            <v>64053</v>
          </cell>
        </row>
        <row r="19">
          <cell r="A19">
            <v>36759</v>
          </cell>
          <cell r="B19">
            <v>21</v>
          </cell>
          <cell r="C19">
            <v>22</v>
          </cell>
          <cell r="D19">
            <v>23</v>
          </cell>
          <cell r="E19" t="str">
            <v>-1</v>
          </cell>
          <cell r="F19">
            <v>866902</v>
          </cell>
          <cell r="G19">
            <v>866903</v>
          </cell>
          <cell r="H19">
            <v>866904</v>
          </cell>
          <cell r="I19">
            <v>17</v>
          </cell>
          <cell r="J19">
            <v>866905</v>
          </cell>
          <cell r="K19">
            <v>866907</v>
          </cell>
          <cell r="L19">
            <v>866909</v>
          </cell>
          <cell r="M19">
            <v>17</v>
          </cell>
          <cell r="N19">
            <v>16</v>
          </cell>
          <cell r="O19">
            <v>63324</v>
          </cell>
          <cell r="P19">
            <v>866910</v>
          </cell>
          <cell r="Q19">
            <v>866911</v>
          </cell>
          <cell r="R19">
            <v>866912</v>
          </cell>
          <cell r="S19">
            <v>866913</v>
          </cell>
          <cell r="T19">
            <v>866914</v>
          </cell>
          <cell r="U19">
            <v>866915</v>
          </cell>
          <cell r="V19">
            <v>866916</v>
          </cell>
          <cell r="W19">
            <v>866917</v>
          </cell>
          <cell r="X19">
            <v>866918</v>
          </cell>
          <cell r="Y19">
            <v>866919</v>
          </cell>
          <cell r="Z19">
            <v>866920</v>
          </cell>
          <cell r="AA19">
            <v>866921</v>
          </cell>
          <cell r="AB19" t="str">
            <v>(P-824428)</v>
          </cell>
        </row>
        <row r="19">
          <cell r="AD19">
            <v>874095</v>
          </cell>
        </row>
        <row r="20">
          <cell r="A20">
            <v>36760</v>
          </cell>
          <cell r="B20">
            <v>22</v>
          </cell>
          <cell r="C20">
            <v>23</v>
          </cell>
          <cell r="D20">
            <v>24</v>
          </cell>
          <cell r="E20" t="str">
            <v>-1</v>
          </cell>
          <cell r="F20">
            <v>868303</v>
          </cell>
          <cell r="G20">
            <v>868306</v>
          </cell>
          <cell r="H20">
            <v>868307</v>
          </cell>
          <cell r="I20">
            <v>20</v>
          </cell>
          <cell r="J20">
            <v>868308</v>
          </cell>
          <cell r="K20">
            <v>868310</v>
          </cell>
          <cell r="L20">
            <v>868311</v>
          </cell>
          <cell r="M20">
            <v>20</v>
          </cell>
          <cell r="N20">
            <v>17</v>
          </cell>
          <cell r="O20">
            <v>63442</v>
          </cell>
          <cell r="P20">
            <v>868312</v>
          </cell>
          <cell r="Q20">
            <v>868313</v>
          </cell>
          <cell r="R20">
            <v>868314</v>
          </cell>
          <cell r="S20">
            <v>868315</v>
          </cell>
          <cell r="T20">
            <v>868316</v>
          </cell>
          <cell r="U20">
            <v>868317</v>
          </cell>
          <cell r="V20">
            <v>868318</v>
          </cell>
          <cell r="W20">
            <v>868319</v>
          </cell>
          <cell r="X20">
            <v>868320</v>
          </cell>
          <cell r="Y20">
            <v>868321</v>
          </cell>
          <cell r="Z20">
            <v>868322</v>
          </cell>
          <cell r="AA20">
            <v>868323</v>
          </cell>
          <cell r="AB20" t="str">
            <v>(B-824429)</v>
          </cell>
        </row>
        <row r="20">
          <cell r="AD20">
            <v>874096</v>
          </cell>
        </row>
        <row r="21">
          <cell r="A21">
            <v>36761</v>
          </cell>
          <cell r="B21">
            <v>23</v>
          </cell>
          <cell r="C21">
            <v>24</v>
          </cell>
          <cell r="D21">
            <v>25</v>
          </cell>
          <cell r="E21" t="str">
            <v>-1</v>
          </cell>
          <cell r="F21">
            <v>869269</v>
          </cell>
          <cell r="G21">
            <v>869270</v>
          </cell>
          <cell r="H21">
            <v>869271</v>
          </cell>
          <cell r="I21">
            <v>21</v>
          </cell>
          <cell r="J21">
            <v>869279</v>
          </cell>
          <cell r="K21">
            <v>869280</v>
          </cell>
          <cell r="L21">
            <v>869282</v>
          </cell>
          <cell r="M21">
            <v>21</v>
          </cell>
          <cell r="N21">
            <v>20</v>
          </cell>
          <cell r="O21">
            <v>63539</v>
          </cell>
          <cell r="P21">
            <v>869284</v>
          </cell>
          <cell r="Q21">
            <v>869285</v>
          </cell>
          <cell r="R21">
            <v>869286</v>
          </cell>
          <cell r="S21">
            <v>869287</v>
          </cell>
          <cell r="T21">
            <v>869288</v>
          </cell>
          <cell r="U21">
            <v>869289</v>
          </cell>
          <cell r="V21">
            <v>869290</v>
          </cell>
          <cell r="W21">
            <v>869291</v>
          </cell>
          <cell r="X21">
            <v>869292</v>
          </cell>
          <cell r="Y21">
            <v>869293</v>
          </cell>
          <cell r="Z21">
            <v>869294</v>
          </cell>
          <cell r="AA21">
            <v>869295</v>
          </cell>
          <cell r="AB21" t="str">
            <v>(I-824430)</v>
          </cell>
        </row>
        <row r="21">
          <cell r="AD21">
            <v>874097</v>
          </cell>
        </row>
        <row r="21">
          <cell r="AF21" t="str">
            <v> </v>
          </cell>
          <cell r="AG21" t="str">
            <v>Final</v>
          </cell>
        </row>
        <row r="22">
          <cell r="A22">
            <v>36762</v>
          </cell>
          <cell r="B22">
            <v>24</v>
          </cell>
          <cell r="C22">
            <v>25</v>
          </cell>
          <cell r="D22">
            <v>26</v>
          </cell>
          <cell r="E22" t="str">
            <v>-1</v>
          </cell>
          <cell r="F22">
            <v>870558</v>
          </cell>
          <cell r="G22">
            <v>870559</v>
          </cell>
          <cell r="H22">
            <v>870560</v>
          </cell>
          <cell r="I22">
            <v>22</v>
          </cell>
          <cell r="J22">
            <v>870561</v>
          </cell>
          <cell r="K22">
            <v>870562</v>
          </cell>
          <cell r="L22">
            <v>870563</v>
          </cell>
          <cell r="M22">
            <v>22</v>
          </cell>
          <cell r="N22">
            <v>21</v>
          </cell>
          <cell r="O22">
            <v>63694</v>
          </cell>
          <cell r="P22">
            <v>870564</v>
          </cell>
          <cell r="Q22">
            <v>870565</v>
          </cell>
          <cell r="R22">
            <v>870566</v>
          </cell>
          <cell r="S22">
            <v>870567</v>
          </cell>
          <cell r="T22">
            <v>870568</v>
          </cell>
          <cell r="U22">
            <v>870569</v>
          </cell>
          <cell r="V22">
            <v>870570</v>
          </cell>
          <cell r="W22">
            <v>870571</v>
          </cell>
          <cell r="X22">
            <v>870572</v>
          </cell>
          <cell r="Y22">
            <v>870573</v>
          </cell>
          <cell r="Z22">
            <v>870574</v>
          </cell>
          <cell r="AA22">
            <v>870575</v>
          </cell>
        </row>
        <row r="22">
          <cell r="AD22">
            <v>36765</v>
          </cell>
          <cell r="AE22">
            <v>36768</v>
          </cell>
          <cell r="AF22">
            <v>36769</v>
          </cell>
          <cell r="AG22">
            <v>36769</v>
          </cell>
        </row>
        <row r="23">
          <cell r="A23">
            <v>36763</v>
          </cell>
          <cell r="B23">
            <v>25</v>
          </cell>
          <cell r="C23">
            <v>28</v>
          </cell>
          <cell r="D23">
            <v>29</v>
          </cell>
          <cell r="E23" t="str">
            <v>-1</v>
          </cell>
          <cell r="F23">
            <v>871482</v>
          </cell>
          <cell r="G23">
            <v>871487</v>
          </cell>
          <cell r="H23">
            <v>871488</v>
          </cell>
          <cell r="I23">
            <v>23</v>
          </cell>
          <cell r="J23">
            <v>871489</v>
          </cell>
          <cell r="K23">
            <v>871490</v>
          </cell>
          <cell r="L23">
            <v>871491</v>
          </cell>
          <cell r="M23">
            <v>23</v>
          </cell>
          <cell r="N23">
            <v>22</v>
          </cell>
          <cell r="O23">
            <v>63823</v>
          </cell>
          <cell r="P23">
            <v>871492</v>
          </cell>
          <cell r="Q23">
            <v>871493</v>
          </cell>
          <cell r="R23">
            <v>871494</v>
          </cell>
          <cell r="S23">
            <v>871495</v>
          </cell>
          <cell r="T23">
            <v>871496</v>
          </cell>
          <cell r="U23">
            <v>871497</v>
          </cell>
          <cell r="V23">
            <v>871498</v>
          </cell>
          <cell r="W23">
            <v>871499</v>
          </cell>
          <cell r="X23">
            <v>871500</v>
          </cell>
          <cell r="Y23">
            <v>871501</v>
          </cell>
          <cell r="Z23">
            <v>871502</v>
          </cell>
          <cell r="AA23">
            <v>871503</v>
          </cell>
        </row>
        <row r="23">
          <cell r="AD23" t="str">
            <v>Month End</v>
          </cell>
          <cell r="AE23" t="str">
            <v>Month End</v>
          </cell>
          <cell r="AF23" t="str">
            <v>Month End</v>
          </cell>
          <cell r="AG23" t="str">
            <v>Month End</v>
          </cell>
        </row>
        <row r="24">
          <cell r="A24">
            <v>36766</v>
          </cell>
          <cell r="B24">
            <v>28</v>
          </cell>
          <cell r="C24">
            <v>29</v>
          </cell>
          <cell r="D24">
            <v>30</v>
          </cell>
          <cell r="E24">
            <v>36800</v>
          </cell>
          <cell r="F24">
            <v>872907</v>
          </cell>
          <cell r="G24">
            <v>872911</v>
          </cell>
          <cell r="H24">
            <v>872919</v>
          </cell>
          <cell r="I24">
            <v>24</v>
          </cell>
          <cell r="J24">
            <v>872926</v>
          </cell>
          <cell r="K24">
            <v>872929</v>
          </cell>
          <cell r="L24">
            <v>872931</v>
          </cell>
          <cell r="M24">
            <v>24</v>
          </cell>
          <cell r="N24">
            <v>23</v>
          </cell>
          <cell r="O24">
            <v>63945</v>
          </cell>
          <cell r="P24">
            <v>872938</v>
          </cell>
          <cell r="Q24">
            <v>872939</v>
          </cell>
          <cell r="R24">
            <v>872940</v>
          </cell>
          <cell r="S24">
            <v>872941</v>
          </cell>
          <cell r="T24">
            <v>872942</v>
          </cell>
          <cell r="U24">
            <v>872943</v>
          </cell>
          <cell r="V24">
            <v>872944</v>
          </cell>
          <cell r="W24">
            <v>872945</v>
          </cell>
          <cell r="X24">
            <v>872946</v>
          </cell>
          <cell r="Y24">
            <v>872947</v>
          </cell>
          <cell r="Z24">
            <v>872948</v>
          </cell>
          <cell r="AA24">
            <v>872949</v>
          </cell>
        </row>
        <row r="24">
          <cell r="AD24" t="str">
            <v>Physical Calcs</v>
          </cell>
          <cell r="AE24" t="str">
            <v>Physical Calcs</v>
          </cell>
          <cell r="AF24" t="str">
            <v>Physical Calcs</v>
          </cell>
          <cell r="AG24" t="str">
            <v>Physical Calcs</v>
          </cell>
        </row>
        <row r="25">
          <cell r="A25">
            <v>36767</v>
          </cell>
          <cell r="B25">
            <v>29</v>
          </cell>
          <cell r="C25">
            <v>30</v>
          </cell>
          <cell r="D25">
            <v>31</v>
          </cell>
          <cell r="E25">
            <v>36800</v>
          </cell>
          <cell r="F25">
            <v>873828</v>
          </cell>
          <cell r="G25">
            <v>873830</v>
          </cell>
          <cell r="H25">
            <v>873831</v>
          </cell>
          <cell r="I25">
            <v>27</v>
          </cell>
          <cell r="J25">
            <v>873832</v>
          </cell>
          <cell r="K25">
            <v>873833</v>
          </cell>
          <cell r="L25">
            <v>873835</v>
          </cell>
          <cell r="M25">
            <v>27</v>
          </cell>
          <cell r="N25">
            <v>24</v>
          </cell>
          <cell r="O25">
            <v>64037</v>
          </cell>
          <cell r="P25">
            <v>873848</v>
          </cell>
          <cell r="Q25">
            <v>873849</v>
          </cell>
          <cell r="R25">
            <v>873850</v>
          </cell>
          <cell r="S25">
            <v>873851</v>
          </cell>
          <cell r="T25">
            <v>873852</v>
          </cell>
          <cell r="U25">
            <v>873853</v>
          </cell>
          <cell r="V25">
            <v>873854</v>
          </cell>
          <cell r="W25">
            <v>873855</v>
          </cell>
          <cell r="X25">
            <v>873856</v>
          </cell>
          <cell r="Y25">
            <v>873857</v>
          </cell>
          <cell r="Z25">
            <v>873858</v>
          </cell>
          <cell r="AA25">
            <v>873859</v>
          </cell>
        </row>
        <row r="26">
          <cell r="A26">
            <v>36768</v>
          </cell>
          <cell r="B26">
            <v>30</v>
          </cell>
          <cell r="C26">
            <v>31</v>
          </cell>
          <cell r="D26">
            <v>36770</v>
          </cell>
          <cell r="E26">
            <v>36800</v>
          </cell>
          <cell r="F26">
            <v>876292</v>
          </cell>
          <cell r="G26">
            <v>876309</v>
          </cell>
          <cell r="H26">
            <v>876310</v>
          </cell>
          <cell r="I26">
            <v>28</v>
          </cell>
          <cell r="J26">
            <v>876312</v>
          </cell>
          <cell r="K26">
            <v>876314</v>
          </cell>
          <cell r="L26">
            <v>876316</v>
          </cell>
          <cell r="M26">
            <v>28</v>
          </cell>
          <cell r="N26">
            <v>27</v>
          </cell>
          <cell r="O26">
            <v>64164</v>
          </cell>
          <cell r="P26">
            <v>876321</v>
          </cell>
          <cell r="Q26">
            <v>876322</v>
          </cell>
          <cell r="R26">
            <v>876323</v>
          </cell>
          <cell r="S26">
            <v>876324</v>
          </cell>
          <cell r="T26">
            <v>876325</v>
          </cell>
          <cell r="U26">
            <v>876326</v>
          </cell>
          <cell r="V26">
            <v>876327</v>
          </cell>
          <cell r="W26">
            <v>876328</v>
          </cell>
          <cell r="X26">
            <v>876329</v>
          </cell>
          <cell r="Y26">
            <v>876330</v>
          </cell>
          <cell r="Z26">
            <v>876331</v>
          </cell>
          <cell r="AA26">
            <v>876332</v>
          </cell>
        </row>
        <row r="26">
          <cell r="AD26" t="str">
            <v>NSS 1 - 873928</v>
          </cell>
          <cell r="AE26" t="str">
            <v>NSS 1 - 876342</v>
          </cell>
          <cell r="AF26" t="str">
            <v>NSS 1 - 878238</v>
          </cell>
          <cell r="AG26" t="str">
            <v>NSS 1 - 879101</v>
          </cell>
          <cell r="AH26">
            <v>1</v>
          </cell>
        </row>
        <row r="27">
          <cell r="A27">
            <v>36769</v>
          </cell>
          <cell r="B27">
            <v>31</v>
          </cell>
          <cell r="C27">
            <v>36770</v>
          </cell>
          <cell r="D27">
            <v>36771</v>
          </cell>
          <cell r="E27">
            <v>36800</v>
          </cell>
          <cell r="F27">
            <v>877908</v>
          </cell>
          <cell r="G27">
            <v>877911</v>
          </cell>
          <cell r="H27">
            <v>877912</v>
          </cell>
          <cell r="I27">
            <v>31</v>
          </cell>
          <cell r="J27">
            <v>877915</v>
          </cell>
          <cell r="K27">
            <v>877916</v>
          </cell>
          <cell r="L27">
            <v>877918</v>
          </cell>
          <cell r="M27">
            <v>31</v>
          </cell>
          <cell r="N27">
            <v>28</v>
          </cell>
          <cell r="O27">
            <v>64286</v>
          </cell>
          <cell r="P27">
            <v>877920</v>
          </cell>
          <cell r="Q27">
            <v>877921</v>
          </cell>
          <cell r="R27">
            <v>877922</v>
          </cell>
          <cell r="S27">
            <v>877923</v>
          </cell>
          <cell r="T27">
            <v>877924</v>
          </cell>
          <cell r="U27">
            <v>877925</v>
          </cell>
          <cell r="V27">
            <v>877926</v>
          </cell>
          <cell r="W27">
            <v>877927</v>
          </cell>
          <cell r="X27">
            <v>877928</v>
          </cell>
          <cell r="Y27">
            <v>877929</v>
          </cell>
          <cell r="Z27">
            <v>877930</v>
          </cell>
          <cell r="AA27">
            <v>877931</v>
          </cell>
        </row>
        <row r="27">
          <cell r="AD27" t="str">
            <v>NSS 2- 873935</v>
          </cell>
          <cell r="AE27" t="str">
            <v>NSS 2- 876343</v>
          </cell>
          <cell r="AF27" t="str">
            <v>NSS 2- 878239</v>
          </cell>
          <cell r="AG27" t="str">
            <v>NSS 2- 879102</v>
          </cell>
          <cell r="AH27">
            <v>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Top Pages"/>
      <sheetName val="WeaponX"/>
      <sheetName val="Physical"/>
      <sheetName val="Demand"/>
      <sheetName val="Fin_Midcon"/>
      <sheetName val="Fin_Midcon2"/>
      <sheetName val="Fin_Mkt1"/>
      <sheetName val="Fin_Mkt2"/>
      <sheetName val="Fin_Trans"/>
      <sheetName val="GD-Transport"/>
      <sheetName val="Fin_Gulf"/>
      <sheetName val="Fin_Mgmt"/>
      <sheetName val="Fin_Orig"/>
      <sheetName val="Fin_Totals"/>
      <sheetName val="Origination"/>
      <sheetName val="Other"/>
      <sheetName val="P&amp;L"/>
      <sheetName val="Central P&amp;L"/>
      <sheetName val="P&amp;L Prior"/>
      <sheetName val="OA Flash"/>
      <sheetName val="DeskLevel"/>
      <sheetName val="Daily Macro"/>
      <sheetName val="Monthly Macro"/>
      <sheetName val="TopPage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E6">
            <v>0</v>
          </cell>
        </row>
        <row r="20">
          <cell r="E20">
            <v>0</v>
          </cell>
        </row>
        <row r="27">
          <cell r="E27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A Flash 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8.56"/>
    <col collapsed="false" customWidth="true" hidden="false" outlineLevel="0" max="2" min="2" style="2" width="16.42"/>
    <col collapsed="false" customWidth="true" hidden="false" outlineLevel="0" max="3" min="3" style="3" width="8.99"/>
    <col collapsed="false" customWidth="true" hidden="false" outlineLevel="0" max="4" min="4" style="3" width="2.42"/>
    <col collapsed="false" customWidth="true" hidden="false" outlineLevel="0" max="5" min="5" style="3" width="7.14"/>
    <col collapsed="false" customWidth="true" hidden="false" outlineLevel="0" max="13" min="6" style="3" width="12.28"/>
    <col collapsed="false" customWidth="true" hidden="false" outlineLevel="0" max="14" min="14" style="3" width="3.14"/>
    <col collapsed="false" customWidth="true" hidden="false" outlineLevel="0" max="15" min="15" style="3" width="11.7"/>
    <col collapsed="false" customWidth="true" hidden="false" outlineLevel="0" max="16" min="16" style="3" width="7.99"/>
    <col collapsed="false" customWidth="false" hidden="false" outlineLevel="0" max="19" min="17" style="3" width="9.14"/>
    <col collapsed="false" customWidth="true" hidden="false" outlineLevel="0" max="20" min="20" style="3" width="13.85"/>
    <col collapsed="false" customWidth="false" hidden="false" outlineLevel="0" max="257" min="21" style="3" width="9.14"/>
  </cols>
  <sheetData>
    <row r="1" customFormat="false" ht="12" hidden="false" customHeight="false" outlineLevel="0" collapsed="false">
      <c r="A1" s="4"/>
      <c r="B1" s="5"/>
      <c r="C1" s="5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false" outlineLevel="0" collapsed="false">
      <c r="A2" s="9" t="n">
        <v>36769</v>
      </c>
      <c r="B2" s="10" t="n">
        <f aca="false">VLOOKUP($A$2,'[1]EMW-Aug00'!$A$5:$BZ$27,16,FALSE())</f>
        <v>877920</v>
      </c>
      <c r="C2" s="11" t="s">
        <v>0</v>
      </c>
      <c r="D2" s="12"/>
      <c r="E2" s="13"/>
      <c r="F2" s="14"/>
      <c r="G2" s="14"/>
      <c r="H2" s="14"/>
      <c r="I2" s="14"/>
      <c r="J2" s="14"/>
      <c r="K2" s="14"/>
      <c r="L2" s="14"/>
      <c r="M2" s="14"/>
      <c r="N2" s="14"/>
      <c r="O2" s="15" t="s">
        <v>1</v>
      </c>
      <c r="P2" s="15"/>
      <c r="Q2" s="15"/>
      <c r="R2" s="15"/>
      <c r="S2" s="15"/>
      <c r="T2" s="15"/>
      <c r="U2" s="15"/>
    </row>
    <row r="3" customFormat="false" ht="12" hidden="false" customHeight="false" outlineLevel="0" collapsed="false">
      <c r="A3" s="4"/>
      <c r="B3" s="10" t="n">
        <f aca="false">VLOOKUP($A$2,'[1]EMW-Aug00'!$A$5:$BZ$27,17,FALSE())</f>
        <v>877921</v>
      </c>
      <c r="C3" s="16" t="s">
        <v>2</v>
      </c>
      <c r="D3" s="17"/>
      <c r="E3" s="13"/>
      <c r="F3" s="14"/>
      <c r="G3" s="18"/>
      <c r="H3" s="14"/>
      <c r="I3" s="14"/>
      <c r="J3" s="14"/>
      <c r="K3" s="14"/>
      <c r="L3" s="14"/>
      <c r="M3" s="14"/>
      <c r="N3" s="14"/>
    </row>
    <row r="4" customFormat="false" ht="12" hidden="false" customHeight="false" outlineLevel="0" collapsed="false">
      <c r="A4" s="4"/>
      <c r="B4" s="10" t="n">
        <f aca="false">VLOOKUP($A$2,'[1]EMW-Aug00'!$A$5:$BZ$27,18,FALSE())</f>
        <v>877922</v>
      </c>
      <c r="C4" s="19" t="s">
        <v>3</v>
      </c>
      <c r="D4" s="20"/>
      <c r="E4" s="13"/>
      <c r="F4" s="14"/>
      <c r="G4" s="18"/>
      <c r="H4" s="14"/>
      <c r="I4" s="14"/>
      <c r="J4" s="14"/>
      <c r="K4" s="14"/>
      <c r="L4" s="14"/>
      <c r="M4" s="14"/>
      <c r="N4" s="14"/>
      <c r="O4" s="21"/>
    </row>
    <row r="5" customFormat="false" ht="12" hidden="false" customHeight="false" outlineLevel="0" collapsed="false">
      <c r="A5" s="4"/>
      <c r="B5" s="10" t="n">
        <f aca="false">VLOOKUP($A$2,'[1]EMW-Aug00'!$A$5:$BZ$27,19,FALSE())</f>
        <v>877923</v>
      </c>
      <c r="C5" s="11" t="s">
        <v>4</v>
      </c>
      <c r="D5" s="20"/>
      <c r="E5" s="13"/>
      <c r="F5" s="14"/>
      <c r="G5" s="22"/>
      <c r="H5" s="14"/>
      <c r="I5" s="14"/>
      <c r="J5" s="14"/>
      <c r="K5" s="14"/>
      <c r="L5" s="14"/>
      <c r="M5" s="14"/>
      <c r="N5" s="14"/>
      <c r="O5" s="21"/>
    </row>
    <row r="6" customFormat="false" ht="12" hidden="false" customHeight="false" outlineLevel="0" collapsed="false">
      <c r="A6" s="4"/>
      <c r="B6" s="10" t="n">
        <f aca="false">VLOOKUP($A$2,'[1]EMW-Aug00'!$A$5:$BZ$27,20,FALSE())</f>
        <v>877924</v>
      </c>
      <c r="C6" s="16" t="s">
        <v>5</v>
      </c>
      <c r="D6" s="20"/>
      <c r="E6" s="13"/>
      <c r="F6" s="14"/>
      <c r="G6" s="18"/>
      <c r="H6" s="14"/>
      <c r="I6" s="14"/>
      <c r="J6" s="14"/>
      <c r="K6" s="14"/>
      <c r="L6" s="14"/>
      <c r="M6" s="14"/>
      <c r="N6" s="14"/>
      <c r="O6" s="21"/>
    </row>
    <row r="7" customFormat="false" ht="12" hidden="false" customHeight="false" outlineLevel="0" collapsed="false">
      <c r="A7" s="4"/>
      <c r="B7" s="10" t="n">
        <f aca="false">VLOOKUP($A$2,'[1]EMW-Aug00'!$A$5:$BZ$27,21,FALSE())</f>
        <v>877925</v>
      </c>
      <c r="C7" s="19" t="s">
        <v>6</v>
      </c>
      <c r="D7" s="20"/>
      <c r="E7" s="13"/>
      <c r="F7" s="14"/>
      <c r="G7" s="1"/>
      <c r="H7" s="14"/>
      <c r="I7" s="14"/>
      <c r="J7" s="14"/>
      <c r="K7" s="14"/>
      <c r="L7" s="14"/>
      <c r="M7" s="14"/>
      <c r="N7" s="14"/>
      <c r="O7" s="2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" hidden="false" customHeight="false" outlineLevel="0" collapsed="false">
      <c r="A8" s="4"/>
      <c r="B8" s="10" t="n">
        <f aca="false">VLOOKUP($A$2,'[1]EMW-Aug00'!$A$5:$BZ$27,22,FALSE())</f>
        <v>877926</v>
      </c>
      <c r="C8" s="11" t="s">
        <v>7</v>
      </c>
      <c r="D8" s="20"/>
      <c r="E8" s="13"/>
      <c r="F8" s="14"/>
      <c r="G8" s="18"/>
      <c r="H8" s="14"/>
      <c r="I8" s="14"/>
      <c r="J8" s="14"/>
      <c r="K8" s="14"/>
      <c r="L8" s="14"/>
      <c r="M8" s="14"/>
      <c r="N8" s="14"/>
      <c r="O8" s="24"/>
      <c r="P8" s="25"/>
      <c r="Q8" s="2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" hidden="false" customHeight="false" outlineLevel="0" collapsed="false">
      <c r="A9" s="4"/>
      <c r="B9" s="10" t="n">
        <f aca="false">VLOOKUP($A$2,'[1]EMW-Aug00'!$A$5:$BZ$27,23,FALSE())</f>
        <v>877927</v>
      </c>
      <c r="C9" s="16" t="s">
        <v>8</v>
      </c>
      <c r="D9" s="20"/>
      <c r="E9" s="13"/>
      <c r="F9" s="14"/>
      <c r="G9" s="18"/>
      <c r="H9" s="14"/>
      <c r="I9" s="14"/>
      <c r="J9" s="14"/>
      <c r="K9" s="14"/>
      <c r="L9" s="14"/>
      <c r="M9" s="14"/>
      <c r="N9" s="14"/>
      <c r="O9" s="26"/>
      <c r="P9" s="26"/>
      <c r="Q9" s="26"/>
    </row>
    <row r="10" customFormat="false" ht="12" hidden="false" customHeight="false" outlineLevel="0" collapsed="false">
      <c r="A10" s="4"/>
      <c r="B10" s="10" t="n">
        <f aca="false">VLOOKUP($A$2,'[1]EMW-Aug00'!$A$5:$BZ$27,24,FALSE())</f>
        <v>877928</v>
      </c>
      <c r="C10" s="16" t="s">
        <v>9</v>
      </c>
      <c r="D10" s="20"/>
      <c r="E10" s="13"/>
      <c r="F10" s="14"/>
      <c r="G10" s="18"/>
      <c r="H10" s="14"/>
      <c r="I10" s="14"/>
      <c r="J10" s="14"/>
      <c r="K10" s="14"/>
      <c r="L10" s="14"/>
      <c r="M10" s="14"/>
      <c r="N10" s="14"/>
      <c r="O10" s="27"/>
      <c r="P10" s="28"/>
      <c r="Q10" s="26"/>
    </row>
    <row r="11" customFormat="false" ht="12" hidden="false" customHeight="false" outlineLevel="0" collapsed="false">
      <c r="B11" s="10" t="n">
        <f aca="false">VLOOKUP($A$2,'[1]EMW-Aug00'!$A$5:$BZ$27,25,FALSE())</f>
        <v>877929</v>
      </c>
      <c r="C11" s="16" t="s">
        <v>10</v>
      </c>
      <c r="D11" s="20"/>
      <c r="E11" s="14"/>
      <c r="F11" s="14"/>
      <c r="G11" s="18"/>
      <c r="H11" s="14"/>
      <c r="I11" s="14"/>
      <c r="J11" s="14"/>
      <c r="K11" s="14"/>
      <c r="L11" s="14"/>
      <c r="M11" s="14"/>
      <c r="N11" s="14"/>
      <c r="O11" s="27"/>
      <c r="P11" s="28"/>
      <c r="Q11" s="26"/>
    </row>
    <row r="12" customFormat="false" ht="12" hidden="false" customHeight="false" outlineLevel="0" collapsed="false">
      <c r="B12" s="10" t="n">
        <f aca="false">VLOOKUP($A$2,'[1]EMW-Aug00'!$A$5:$BZ$27,26,FALSE())</f>
        <v>877930</v>
      </c>
      <c r="C12" s="16" t="s">
        <v>10</v>
      </c>
      <c r="D12" s="20"/>
      <c r="E12" s="14"/>
      <c r="F12" s="14"/>
      <c r="G12" s="18"/>
      <c r="H12" s="14"/>
      <c r="I12" s="14"/>
      <c r="J12" s="14"/>
      <c r="K12" s="14"/>
      <c r="L12" s="14"/>
      <c r="M12" s="14"/>
      <c r="N12" s="14"/>
      <c r="O12" s="27"/>
      <c r="P12" s="28"/>
      <c r="Q12" s="26"/>
    </row>
    <row r="13" customFormat="false" ht="12" hidden="false" customHeight="false" outlineLevel="0" collapsed="false">
      <c r="A13" s="29"/>
      <c r="B13" s="10" t="n">
        <f aca="false">VLOOKUP($A$2,'[1]EMW-Aug00'!$A$5:$BZ$27,27,FALSE())</f>
        <v>877931</v>
      </c>
      <c r="C13" s="16" t="s">
        <v>10</v>
      </c>
      <c r="D13" s="20"/>
      <c r="E13" s="14"/>
      <c r="F13" s="14"/>
      <c r="G13" s="18"/>
      <c r="H13" s="14"/>
      <c r="I13" s="14"/>
      <c r="J13" s="14"/>
      <c r="K13" s="14"/>
      <c r="L13" s="14"/>
      <c r="M13" s="14"/>
      <c r="N13" s="14"/>
      <c r="O13" s="27"/>
      <c r="P13" s="28"/>
      <c r="Q13" s="26"/>
    </row>
    <row r="14" customFormat="false" ht="11.25" hidden="false" customHeight="false" outlineLevel="0" collapsed="false">
      <c r="A14" s="29"/>
      <c r="B14" s="30"/>
      <c r="C14" s="18"/>
      <c r="D14" s="31"/>
      <c r="E14" s="14"/>
      <c r="F14" s="14"/>
      <c r="G14" s="18"/>
      <c r="H14" s="14"/>
      <c r="I14" s="14"/>
      <c r="J14" s="14"/>
      <c r="K14" s="14"/>
      <c r="L14" s="14"/>
      <c r="M14" s="14"/>
      <c r="N14" s="14"/>
      <c r="O14" s="27"/>
      <c r="P14" s="28"/>
      <c r="Q14" s="26"/>
    </row>
    <row r="15" customFormat="false" ht="11.25" hidden="false" customHeight="false" outlineLevel="0" collapsed="false">
      <c r="A15" s="29"/>
      <c r="B15" s="30"/>
      <c r="C15" s="18"/>
      <c r="D15" s="31"/>
      <c r="E15" s="14"/>
      <c r="F15" s="14"/>
      <c r="G15" s="18"/>
      <c r="H15" s="14"/>
      <c r="I15" s="14"/>
      <c r="J15" s="14"/>
      <c r="K15" s="14"/>
      <c r="L15" s="14"/>
      <c r="M15" s="14"/>
      <c r="N15" s="14"/>
      <c r="O15" s="27"/>
      <c r="P15" s="28"/>
      <c r="Q15" s="26"/>
    </row>
    <row r="16" customFormat="false" ht="11.25" hidden="false" customHeight="false" outlineLevel="0" collapsed="false">
      <c r="A16" s="29"/>
      <c r="B16" s="30"/>
      <c r="C16" s="18"/>
      <c r="D16" s="31"/>
      <c r="E16" s="14"/>
      <c r="F16" s="14"/>
      <c r="G16" s="18"/>
      <c r="H16" s="14"/>
      <c r="I16" s="14"/>
      <c r="J16" s="14"/>
      <c r="K16" s="14"/>
      <c r="L16" s="14"/>
      <c r="M16" s="14"/>
      <c r="N16" s="14"/>
      <c r="O16" s="32"/>
      <c r="P16" s="33"/>
      <c r="Q16" s="26"/>
    </row>
    <row r="17" customFormat="false" ht="11.25" hidden="false" customHeight="false" outlineLevel="0" collapsed="false">
      <c r="A17" s="29"/>
      <c r="B17" s="30"/>
      <c r="C17" s="18"/>
      <c r="D17" s="31"/>
      <c r="E17" s="14"/>
      <c r="F17" s="14"/>
      <c r="G17" s="18"/>
      <c r="H17" s="14"/>
      <c r="I17" s="14"/>
      <c r="J17" s="14"/>
      <c r="K17" s="14"/>
      <c r="L17" s="14"/>
      <c r="M17" s="14"/>
      <c r="N17" s="14"/>
      <c r="O17" s="32"/>
      <c r="P17" s="33"/>
      <c r="Q17" s="26"/>
    </row>
    <row r="18" customFormat="false" ht="11.25" hidden="false" customHeight="false" outlineLevel="0" collapsed="false">
      <c r="A18" s="29"/>
      <c r="B18" s="30"/>
      <c r="C18" s="18"/>
      <c r="D18" s="31"/>
      <c r="E18" s="14"/>
      <c r="F18" s="14"/>
      <c r="G18" s="18"/>
      <c r="H18" s="14"/>
      <c r="I18" s="14"/>
      <c r="J18" s="14"/>
      <c r="K18" s="14"/>
      <c r="L18" s="14"/>
      <c r="M18" s="14"/>
      <c r="N18" s="14"/>
      <c r="O18" s="32"/>
      <c r="P18" s="33"/>
      <c r="Q18" s="26"/>
    </row>
    <row r="19" customFormat="false" ht="11.25" hidden="false" customHeight="false" outlineLevel="0" collapsed="false">
      <c r="A19" s="29"/>
      <c r="B19" s="34"/>
      <c r="C19" s="35"/>
      <c r="D19" s="35"/>
      <c r="E19" s="14"/>
      <c r="F19" s="14"/>
      <c r="G19" s="18"/>
      <c r="H19" s="14"/>
      <c r="I19" s="14"/>
      <c r="J19" s="14"/>
      <c r="K19" s="14"/>
      <c r="L19" s="14"/>
      <c r="M19" s="14"/>
      <c r="N19" s="14"/>
      <c r="O19" s="32"/>
      <c r="P19" s="33"/>
      <c r="Q19" s="26"/>
    </row>
    <row r="20" customFormat="false" ht="11.25" hidden="false" customHeight="false" outlineLevel="0" collapsed="false">
      <c r="A20" s="29"/>
      <c r="B20" s="34"/>
      <c r="C20" s="35"/>
      <c r="D20" s="35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27"/>
      <c r="P20" s="28"/>
      <c r="Q20" s="26"/>
    </row>
    <row r="21" customFormat="false" ht="11.25" hidden="false" customHeight="false" outlineLevel="0" collapsed="false">
      <c r="A21" s="29"/>
      <c r="B21" s="36"/>
      <c r="C21" s="35"/>
      <c r="D21" s="35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/>
      <c r="P21" s="28"/>
      <c r="Q21" s="26"/>
    </row>
    <row r="22" customFormat="false" ht="11.25" hidden="false" customHeight="false" outlineLevel="0" collapsed="false">
      <c r="A22" s="29"/>
      <c r="B22" s="34"/>
      <c r="C22" s="35"/>
      <c r="D22" s="35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/>
      <c r="P22" s="28"/>
      <c r="Q22" s="26"/>
    </row>
    <row r="23" customFormat="false" ht="11.25" hidden="false" customHeight="false" outlineLevel="0" collapsed="false">
      <c r="A23" s="29"/>
      <c r="B23" s="34"/>
      <c r="C23" s="35"/>
      <c r="D23" s="35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/>
      <c r="P23" s="28"/>
      <c r="Q23" s="26"/>
    </row>
    <row r="24" customFormat="false" ht="11.25" hidden="false" customHeight="false" outlineLevel="0" collapsed="false">
      <c r="A24" s="29"/>
      <c r="B24" s="34"/>
      <c r="C24" s="35"/>
      <c r="D24" s="35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7"/>
      <c r="P24" s="28"/>
      <c r="Q24" s="26"/>
    </row>
    <row r="25" customFormat="false" ht="14.25" hidden="false" customHeight="true" outlineLevel="0" collapsed="false">
      <c r="A25" s="29"/>
      <c r="B25" s="37"/>
      <c r="C25" s="35"/>
      <c r="D25" s="35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8"/>
      <c r="P25" s="26"/>
      <c r="Q25" s="26"/>
    </row>
    <row r="26" customFormat="false" ht="11.25" hidden="false" customHeight="false" outlineLevel="0" collapsed="false">
      <c r="B26" s="36"/>
      <c r="C26" s="35"/>
      <c r="D26" s="3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6"/>
      <c r="P26" s="39"/>
      <c r="Q26" s="39"/>
      <c r="R26" s="26"/>
      <c r="S26" s="26"/>
      <c r="T26" s="26"/>
      <c r="U26" s="40"/>
      <c r="V26" s="26"/>
      <c r="W26" s="26"/>
    </row>
    <row r="27" customFormat="false" ht="11.25" hidden="false" customHeight="false" outlineLevel="0" collapsed="false">
      <c r="A27" s="25"/>
      <c r="B27" s="41"/>
      <c r="C27" s="42"/>
      <c r="D27" s="4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6"/>
      <c r="P27" s="39"/>
      <c r="Q27" s="39"/>
      <c r="R27" s="26"/>
      <c r="S27" s="26"/>
      <c r="T27" s="26"/>
      <c r="U27" s="40"/>
      <c r="V27" s="26"/>
      <c r="W27" s="26"/>
    </row>
    <row r="28" customFormat="false" ht="11.25" hidden="false" customHeight="false" outlineLevel="0" collapsed="false">
      <c r="A28" s="44"/>
      <c r="B28" s="41"/>
      <c r="C28" s="42"/>
      <c r="D28" s="43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6"/>
      <c r="P28" s="26"/>
      <c r="Q28" s="26"/>
      <c r="R28" s="26"/>
      <c r="S28" s="26"/>
      <c r="T28" s="26"/>
      <c r="U28" s="26"/>
      <c r="V28" s="26"/>
      <c r="W28" s="26"/>
    </row>
    <row r="29" customFormat="false" ht="11.25" hidden="false" customHeight="false" outlineLevel="0" collapsed="false">
      <c r="A29" s="25"/>
      <c r="B29" s="41"/>
      <c r="C29" s="42"/>
      <c r="D29" s="43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6"/>
      <c r="P29" s="26"/>
      <c r="Q29" s="26"/>
      <c r="R29" s="26"/>
      <c r="S29" s="26"/>
      <c r="T29" s="26"/>
      <c r="U29" s="26"/>
      <c r="V29" s="26"/>
      <c r="W29" s="26"/>
    </row>
    <row r="30" customFormat="false" ht="11.25" hidden="false" customHeight="false" outlineLevel="0" collapsed="false">
      <c r="A30" s="25"/>
      <c r="B30" s="45"/>
      <c r="C30" s="46"/>
      <c r="D30" s="46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6"/>
      <c r="P30" s="26"/>
      <c r="Q30" s="26"/>
      <c r="R30" s="26"/>
      <c r="S30" s="26"/>
      <c r="T30" s="26"/>
      <c r="U30" s="26"/>
      <c r="V30" s="26"/>
      <c r="W30" s="26"/>
    </row>
    <row r="31" customFormat="false" ht="11.25" hidden="false" customHeight="false" outlineLevel="0" collapsed="false">
      <c r="B31" s="47"/>
      <c r="C31" s="46"/>
      <c r="D31" s="35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9"/>
      <c r="P31" s="49"/>
      <c r="Q31" s="49"/>
      <c r="R31" s="49"/>
      <c r="S31" s="49"/>
      <c r="T31" s="49"/>
      <c r="U31" s="49"/>
      <c r="V31" s="26"/>
      <c r="W31" s="26"/>
    </row>
    <row r="32" customFormat="false" ht="11.25" hidden="false" customHeight="false" outlineLevel="0" collapsed="false">
      <c r="A32" s="50"/>
      <c r="B32" s="47"/>
      <c r="C32" s="51"/>
      <c r="D32" s="35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26"/>
      <c r="P32" s="39"/>
      <c r="Q32" s="39"/>
      <c r="R32" s="26"/>
      <c r="S32" s="26"/>
      <c r="T32" s="26"/>
      <c r="U32" s="40"/>
      <c r="V32" s="26"/>
      <c r="W32" s="26"/>
    </row>
    <row r="33" customFormat="false" ht="11.25" hidden="false" customHeight="false" outlineLevel="0" collapsed="false">
      <c r="B33" s="47"/>
      <c r="C33" s="51"/>
      <c r="D33" s="35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6"/>
      <c r="P33" s="39"/>
      <c r="Q33" s="39"/>
      <c r="R33" s="26"/>
      <c r="S33" s="26"/>
      <c r="T33" s="26"/>
      <c r="U33" s="40"/>
      <c r="V33" s="26"/>
      <c r="W33" s="26"/>
    </row>
    <row r="34" customFormat="false" ht="11.25" hidden="false" customHeight="false" outlineLevel="0" collapsed="false">
      <c r="B34" s="53"/>
      <c r="C34" s="54"/>
      <c r="D34" s="23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26"/>
      <c r="P34" s="39"/>
      <c r="Q34" s="39"/>
      <c r="R34" s="26"/>
      <c r="S34" s="26"/>
      <c r="T34" s="26"/>
      <c r="U34" s="40"/>
      <c r="V34" s="26"/>
      <c r="W34" s="26"/>
    </row>
    <row r="35" customFormat="false" ht="11.25" hidden="false" customHeight="false" outlineLevel="0" collapsed="false">
      <c r="B35" s="53"/>
      <c r="C35" s="54"/>
      <c r="D35" s="23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26"/>
      <c r="P35" s="39"/>
      <c r="Q35" s="39"/>
      <c r="R35" s="26"/>
      <c r="S35" s="26"/>
      <c r="T35" s="26"/>
      <c r="U35" s="40"/>
      <c r="V35" s="26"/>
      <c r="W35" s="26"/>
    </row>
    <row r="36" customFormat="false" ht="11.25" hidden="false" customHeight="false" outlineLevel="0" collapsed="false">
      <c r="B36" s="53"/>
      <c r="C36" s="54"/>
      <c r="D36" s="23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26"/>
      <c r="P36" s="39"/>
      <c r="Q36" s="39"/>
      <c r="R36" s="26"/>
      <c r="S36" s="26"/>
      <c r="T36" s="26"/>
      <c r="U36" s="40"/>
      <c r="V36" s="26"/>
      <c r="W36" s="26"/>
    </row>
    <row r="37" customFormat="false" ht="11.25" hidden="false" customHeight="false" outlineLevel="0" collapsed="false">
      <c r="B37" s="55"/>
      <c r="C37" s="56"/>
      <c r="D37" s="5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6"/>
      <c r="P37" s="26"/>
      <c r="Q37" s="26"/>
      <c r="R37" s="26"/>
      <c r="S37" s="26"/>
      <c r="T37" s="26"/>
      <c r="U37" s="26"/>
      <c r="V37" s="26"/>
      <c r="W37" s="26"/>
    </row>
    <row r="38" customFormat="false" ht="11.25" hidden="false" customHeight="false" outlineLevel="0" collapsed="false"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6"/>
      <c r="P38" s="26"/>
      <c r="Q38" s="26"/>
      <c r="R38" s="26"/>
      <c r="S38" s="26"/>
      <c r="T38" s="26"/>
      <c r="U38" s="26"/>
      <c r="V38" s="26"/>
      <c r="W38" s="26"/>
    </row>
    <row r="39" customFormat="false" ht="11.25" hidden="false" customHeight="false" outlineLevel="0" collapsed="false">
      <c r="A39" s="3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6"/>
      <c r="P39" s="26"/>
      <c r="Q39" s="26"/>
      <c r="R39" s="26"/>
      <c r="S39" s="26"/>
      <c r="T39" s="26"/>
      <c r="U39" s="26"/>
      <c r="V39" s="26"/>
      <c r="W39" s="26"/>
    </row>
    <row r="40" customFormat="false" ht="11.25" hidden="false" customHeight="false" outlineLevel="0" collapsed="false">
      <c r="A40" s="3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6"/>
      <c r="P40" s="26"/>
      <c r="Q40" s="26"/>
      <c r="R40" s="26"/>
      <c r="S40" s="26"/>
      <c r="T40" s="26"/>
      <c r="U40" s="26"/>
      <c r="V40" s="26"/>
      <c r="W40" s="26"/>
    </row>
    <row r="41" customFormat="false" ht="11.25" hidden="false" customHeight="false" outlineLevel="0" collapsed="false"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6"/>
      <c r="P41" s="26"/>
      <c r="Q41" s="26"/>
      <c r="R41" s="26"/>
      <c r="S41" s="26"/>
      <c r="T41" s="26"/>
      <c r="U41" s="26"/>
      <c r="V41" s="26"/>
      <c r="W41" s="26"/>
    </row>
    <row r="42" customFormat="false" ht="11.25" hidden="false" customHeight="false" outlineLevel="0" collapsed="false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6"/>
      <c r="P42" s="26"/>
      <c r="Q42" s="26"/>
      <c r="R42" s="26"/>
      <c r="S42" s="26"/>
      <c r="T42" s="26"/>
      <c r="U42" s="26"/>
      <c r="V42" s="26"/>
      <c r="W42" s="26"/>
    </row>
    <row r="43" customFormat="false" ht="11.25" hidden="false" customHeight="false" outlineLevel="0" collapsed="false"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6"/>
      <c r="P43" s="26"/>
      <c r="Q43" s="26"/>
      <c r="R43" s="26"/>
      <c r="S43" s="26"/>
      <c r="T43" s="26"/>
      <c r="U43" s="26"/>
      <c r="V43" s="26"/>
      <c r="W43" s="26"/>
    </row>
    <row r="44" customFormat="false" ht="11.25" hidden="false" customHeight="false" outlineLevel="0" collapsed="false"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6"/>
      <c r="P44" s="26"/>
      <c r="Q44" s="26"/>
      <c r="R44" s="26"/>
      <c r="S44" s="26"/>
      <c r="T44" s="26"/>
      <c r="U44" s="26"/>
      <c r="V44" s="26"/>
      <c r="W44" s="26"/>
    </row>
    <row r="45" customFormat="false" ht="11.25" hidden="false" customHeight="false" outlineLevel="0" collapsed="false"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6"/>
      <c r="P45" s="26"/>
      <c r="Q45" s="26"/>
      <c r="R45" s="26"/>
      <c r="S45" s="26"/>
      <c r="T45" s="26"/>
      <c r="U45" s="26"/>
      <c r="V45" s="26"/>
      <c r="W45" s="26"/>
    </row>
    <row r="46" customFormat="false" ht="11.25" hidden="false" customHeight="false" outlineLevel="0" collapsed="false">
      <c r="C46" s="2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6"/>
      <c r="P46" s="26"/>
      <c r="Q46" s="26"/>
      <c r="R46" s="26"/>
      <c r="S46" s="26"/>
      <c r="T46" s="26"/>
      <c r="U46" s="26"/>
      <c r="V46" s="26"/>
      <c r="W46" s="26"/>
    </row>
    <row r="47" customFormat="false" ht="11.25" hidden="false" customHeight="false" outlineLevel="0" collapsed="false"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6"/>
      <c r="P47" s="26"/>
      <c r="Q47" s="26"/>
      <c r="R47" s="26"/>
      <c r="S47" s="26"/>
      <c r="T47" s="26"/>
      <c r="U47" s="26"/>
      <c r="V47" s="26"/>
      <c r="W47" s="26"/>
    </row>
    <row r="48" customFormat="false" ht="11.25" hidden="false" customHeight="false" outlineLevel="0" collapsed="false"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6"/>
      <c r="P48" s="26"/>
      <c r="Q48" s="26"/>
      <c r="R48" s="26"/>
      <c r="S48" s="26"/>
      <c r="T48" s="26"/>
      <c r="U48" s="26"/>
      <c r="V48" s="26"/>
      <c r="W48" s="26"/>
    </row>
    <row r="49" customFormat="false" ht="11.25" hidden="false" customHeight="false" outlineLevel="0" collapsed="false"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6"/>
      <c r="P49" s="26"/>
      <c r="Q49" s="26"/>
      <c r="R49" s="26"/>
      <c r="S49" s="26"/>
      <c r="T49" s="26"/>
      <c r="U49" s="26"/>
      <c r="V49" s="26"/>
      <c r="W49" s="26"/>
    </row>
    <row r="50" customFormat="false" ht="11.25" hidden="false" customHeight="false" outlineLevel="0" collapsed="false"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6"/>
      <c r="P50" s="26"/>
      <c r="Q50" s="26"/>
      <c r="R50" s="26"/>
      <c r="S50" s="26"/>
      <c r="T50" s="26"/>
      <c r="U50" s="26"/>
      <c r="V50" s="26"/>
      <c r="W50" s="26"/>
    </row>
    <row r="51" customFormat="false" ht="11.25" hidden="false" customHeight="false" outlineLevel="0" collapsed="false"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6"/>
      <c r="P51" s="26"/>
      <c r="Q51" s="26"/>
      <c r="R51" s="26"/>
      <c r="S51" s="26"/>
      <c r="T51" s="26"/>
      <c r="U51" s="26"/>
      <c r="V51" s="26"/>
      <c r="W51" s="26"/>
    </row>
    <row r="52" customFormat="false" ht="11.25" hidden="false" customHeight="false" outlineLevel="0" collapsed="false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6"/>
      <c r="P52" s="26"/>
      <c r="Q52" s="26"/>
      <c r="R52" s="26"/>
      <c r="S52" s="26"/>
      <c r="T52" s="26"/>
      <c r="U52" s="26"/>
      <c r="V52" s="26"/>
      <c r="W52" s="26"/>
    </row>
    <row r="53" customFormat="false" ht="11.25" hidden="false" customHeight="false" outlineLevel="0" collapsed="false"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6"/>
      <c r="P53" s="26"/>
      <c r="Q53" s="26"/>
      <c r="R53" s="26"/>
      <c r="S53" s="26"/>
      <c r="T53" s="26"/>
      <c r="U53" s="26"/>
      <c r="V53" s="26"/>
      <c r="W53" s="26"/>
    </row>
    <row r="54" customFormat="false" ht="11.25" hidden="false" customHeight="false" outlineLevel="0" collapsed="false"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6"/>
      <c r="P54" s="26"/>
      <c r="Q54" s="26"/>
      <c r="R54" s="26"/>
      <c r="S54" s="26"/>
      <c r="T54" s="26"/>
      <c r="U54" s="26"/>
      <c r="V54" s="26"/>
      <c r="W54" s="26"/>
    </row>
    <row r="55" customFormat="false" ht="11.25" hidden="false" customHeight="false" outlineLevel="0" collapsed="false"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6"/>
      <c r="P55" s="26"/>
      <c r="Q55" s="26"/>
      <c r="R55" s="26"/>
      <c r="S55" s="26"/>
      <c r="T55" s="26"/>
      <c r="U55" s="26"/>
      <c r="V55" s="26"/>
      <c r="W55" s="26"/>
    </row>
    <row r="56" customFormat="false" ht="11.25" hidden="false" customHeight="false" outlineLevel="0" collapsed="false"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6"/>
      <c r="P56" s="26"/>
      <c r="Q56" s="26"/>
      <c r="R56" s="26"/>
      <c r="S56" s="26"/>
      <c r="T56" s="26"/>
      <c r="U56" s="26"/>
      <c r="V56" s="26"/>
      <c r="W56" s="26"/>
    </row>
    <row r="57" customFormat="false" ht="11.25" hidden="false" customHeight="false" outlineLevel="0" collapsed="false"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26"/>
      <c r="P57" s="26"/>
      <c r="Q57" s="26"/>
      <c r="R57" s="26"/>
      <c r="S57" s="26"/>
      <c r="T57" s="26"/>
      <c r="U57" s="26"/>
      <c r="V57" s="26"/>
      <c r="W57" s="26"/>
    </row>
    <row r="58" customFormat="false" ht="11.25" hidden="false" customHeight="false" outlineLevel="0" collapsed="false">
      <c r="O58" s="26"/>
      <c r="P58" s="26"/>
      <c r="Q58" s="26"/>
      <c r="R58" s="26"/>
      <c r="S58" s="26"/>
      <c r="T58" s="26"/>
      <c r="U58" s="26"/>
      <c r="V58" s="26"/>
      <c r="W58" s="26"/>
    </row>
    <row r="59" customFormat="false" ht="11.25" hidden="false" customHeight="false" outlineLevel="0" collapsed="false">
      <c r="O59" s="26"/>
      <c r="P59" s="26"/>
      <c r="Q59" s="26"/>
      <c r="R59" s="26"/>
      <c r="S59" s="26"/>
      <c r="T59" s="26"/>
      <c r="U59" s="26"/>
      <c r="V59" s="26"/>
      <c r="W59" s="26"/>
    </row>
    <row r="60" customFormat="false" ht="11.25" hidden="false" customHeight="false" outlineLevel="0" collapsed="false">
      <c r="O60" s="26"/>
      <c r="P60" s="26"/>
      <c r="Q60" s="26"/>
      <c r="R60" s="26"/>
      <c r="S60" s="26"/>
      <c r="T60" s="26"/>
      <c r="U60" s="26"/>
      <c r="V60" s="26"/>
      <c r="W60" s="26"/>
    </row>
    <row r="61" customFormat="false" ht="11.25" hidden="false" customHeight="false" outlineLevel="0" collapsed="false">
      <c r="O61" s="26"/>
      <c r="P61" s="26"/>
      <c r="Q61" s="26"/>
      <c r="R61" s="26"/>
      <c r="S61" s="26"/>
      <c r="T61" s="26"/>
      <c r="U61" s="26"/>
      <c r="V61" s="26"/>
      <c r="W61" s="26"/>
    </row>
    <row r="62" customFormat="false" ht="11.25" hidden="false" customHeight="false" outlineLevel="0" collapsed="false">
      <c r="O62" s="26"/>
      <c r="P62" s="26"/>
      <c r="Q62" s="26"/>
      <c r="R62" s="26"/>
      <c r="S62" s="26"/>
      <c r="T62" s="26"/>
      <c r="U62" s="26"/>
      <c r="V62" s="26"/>
      <c r="W62" s="26"/>
    </row>
    <row r="63" customFormat="false" ht="11.25" hidden="false" customHeight="false" outlineLevel="0" collapsed="false">
      <c r="O63" s="26"/>
      <c r="P63" s="26"/>
      <c r="Q63" s="26"/>
      <c r="R63" s="26"/>
      <c r="S63" s="26"/>
      <c r="T63" s="26"/>
      <c r="U63" s="26"/>
      <c r="V63" s="26"/>
      <c r="W63" s="26"/>
    </row>
    <row r="64" customFormat="false" ht="11.25" hidden="false" customHeight="false" outlineLevel="0" collapsed="false">
      <c r="O64" s="26"/>
      <c r="P64" s="26"/>
      <c r="Q64" s="26"/>
      <c r="R64" s="26"/>
      <c r="S64" s="26"/>
      <c r="T64" s="26"/>
      <c r="U64" s="26"/>
      <c r="V64" s="26"/>
      <c r="W64" s="26"/>
    </row>
    <row r="65" customFormat="false" ht="11.25" hidden="false" customHeight="false" outlineLevel="0" collapsed="false">
      <c r="O65" s="26"/>
      <c r="P65" s="26"/>
      <c r="Q65" s="26"/>
      <c r="R65" s="26"/>
      <c r="S65" s="26"/>
      <c r="T65" s="26"/>
      <c r="U65" s="26"/>
      <c r="V65" s="26"/>
      <c r="W65" s="26"/>
    </row>
    <row r="66" customFormat="false" ht="11.25" hidden="false" customHeight="false" outlineLevel="0" collapsed="false">
      <c r="A66" s="7"/>
      <c r="O66" s="26"/>
      <c r="P66" s="26"/>
      <c r="Q66" s="26"/>
      <c r="R66" s="26"/>
      <c r="S66" s="26"/>
      <c r="T66" s="26"/>
      <c r="U66" s="26"/>
      <c r="V66" s="26"/>
      <c r="W66" s="26"/>
    </row>
    <row r="67" customFormat="false" ht="11.25" hidden="false" customHeight="false" outlineLevel="0" collapsed="false">
      <c r="A67" s="57"/>
      <c r="O67" s="26"/>
      <c r="P67" s="26"/>
      <c r="Q67" s="26"/>
      <c r="R67" s="26"/>
      <c r="S67" s="26"/>
      <c r="T67" s="26"/>
      <c r="U67" s="26"/>
      <c r="V67" s="26"/>
      <c r="W67" s="26"/>
    </row>
    <row r="68" customFormat="false" ht="11.25" hidden="false" customHeight="false" outlineLevel="0" collapsed="false">
      <c r="A68" s="57"/>
      <c r="O68" s="26"/>
      <c r="P68" s="26"/>
      <c r="Q68" s="26"/>
      <c r="R68" s="26"/>
      <c r="S68" s="26"/>
      <c r="T68" s="26"/>
      <c r="U68" s="26"/>
      <c r="V68" s="26"/>
      <c r="W68" s="26"/>
    </row>
    <row r="69" customFormat="false" ht="11.25" hidden="false" customHeight="false" outlineLevel="0" collapsed="false">
      <c r="A69" s="57"/>
      <c r="O69" s="26"/>
      <c r="P69" s="26"/>
      <c r="Q69" s="26"/>
      <c r="R69" s="26"/>
      <c r="S69" s="26"/>
      <c r="T69" s="26"/>
      <c r="U69" s="26"/>
      <c r="V69" s="26"/>
      <c r="W69" s="26"/>
    </row>
    <row r="70" customFormat="false" ht="11.25" hidden="false" customHeight="false" outlineLevel="0" collapsed="false">
      <c r="A70" s="57"/>
      <c r="O70" s="26"/>
      <c r="P70" s="26"/>
      <c r="Q70" s="26"/>
      <c r="R70" s="26"/>
      <c r="S70" s="26"/>
      <c r="T70" s="26"/>
      <c r="U70" s="26"/>
      <c r="V70" s="26"/>
      <c r="W70" s="26"/>
    </row>
    <row r="71" customFormat="false" ht="11.25" hidden="false" customHeight="false" outlineLevel="0" collapsed="false">
      <c r="A71" s="57"/>
      <c r="O71" s="26"/>
      <c r="P71" s="26"/>
      <c r="Q71" s="26"/>
      <c r="R71" s="26"/>
      <c r="S71" s="26"/>
      <c r="T71" s="26"/>
      <c r="U71" s="26"/>
      <c r="V71" s="26"/>
      <c r="W71" s="26"/>
    </row>
    <row r="72" customFormat="false" ht="11.25" hidden="false" customHeight="false" outlineLevel="0" collapsed="false">
      <c r="O72" s="26"/>
      <c r="P72" s="26"/>
      <c r="Q72" s="26"/>
      <c r="R72" s="26"/>
      <c r="S72" s="26"/>
      <c r="T72" s="26"/>
      <c r="U72" s="26"/>
      <c r="V72" s="26"/>
      <c r="W72" s="26"/>
    </row>
    <row r="73" customFormat="false" ht="11.25" hidden="false" customHeight="false" outlineLevel="0" collapsed="false">
      <c r="O73" s="26"/>
      <c r="P73" s="26"/>
      <c r="Q73" s="26"/>
      <c r="R73" s="26"/>
      <c r="S73" s="26"/>
      <c r="T73" s="26"/>
      <c r="U73" s="26"/>
      <c r="V73" s="26"/>
      <c r="W73" s="26"/>
    </row>
    <row r="74" customFormat="false" ht="11.25" hidden="false" customHeight="false" outlineLevel="0" collapsed="false">
      <c r="O74" s="26"/>
      <c r="P74" s="26"/>
      <c r="Q74" s="26"/>
      <c r="R74" s="26"/>
      <c r="S74" s="26"/>
      <c r="T74" s="26"/>
      <c r="U74" s="26"/>
      <c r="V74" s="26"/>
      <c r="W74" s="26"/>
    </row>
    <row r="75" customFormat="false" ht="11.25" hidden="false" customHeight="false" outlineLevel="0" collapsed="false">
      <c r="O75" s="26"/>
      <c r="P75" s="26"/>
      <c r="Q75" s="26"/>
      <c r="R75" s="26"/>
      <c r="S75" s="26"/>
      <c r="T75" s="26"/>
      <c r="U75" s="26"/>
      <c r="V75" s="26"/>
      <c r="W75" s="26"/>
    </row>
    <row r="76" customFormat="false" ht="11.25" hidden="false" customHeight="false" outlineLevel="0" collapsed="false">
      <c r="O76" s="26"/>
      <c r="P76" s="26"/>
      <c r="Q76" s="26"/>
      <c r="R76" s="26"/>
      <c r="S76" s="26"/>
      <c r="T76" s="26"/>
      <c r="U76" s="26"/>
      <c r="V76" s="26"/>
      <c r="W76" s="26"/>
    </row>
    <row r="77" customFormat="false" ht="11.25" hidden="false" customHeight="false" outlineLevel="0" collapsed="false">
      <c r="O77" s="26"/>
      <c r="P77" s="26"/>
      <c r="Q77" s="26"/>
      <c r="R77" s="26"/>
      <c r="S77" s="26"/>
      <c r="T77" s="26"/>
      <c r="U77" s="26"/>
      <c r="V77" s="26"/>
      <c r="W77" s="26"/>
    </row>
    <row r="78" customFormat="false" ht="11.25" hidden="false" customHeight="false" outlineLevel="0" collapsed="false">
      <c r="O78" s="26"/>
      <c r="P78" s="26"/>
      <c r="Q78" s="26"/>
      <c r="R78" s="26"/>
      <c r="S78" s="26"/>
      <c r="T78" s="26"/>
      <c r="U78" s="26"/>
      <c r="V78" s="26"/>
      <c r="W78" s="26"/>
    </row>
    <row r="79" customFormat="false" ht="11.25" hidden="false" customHeight="false" outlineLevel="0" collapsed="false">
      <c r="O79" s="26"/>
      <c r="P79" s="26"/>
      <c r="Q79" s="26"/>
      <c r="R79" s="26"/>
      <c r="S79" s="26"/>
      <c r="T79" s="26"/>
      <c r="U79" s="26"/>
      <c r="V79" s="26"/>
      <c r="W79" s="26"/>
    </row>
    <row r="80" customFormat="false" ht="11.25" hidden="false" customHeight="false" outlineLevel="0" collapsed="false">
      <c r="O80" s="26"/>
      <c r="P80" s="26"/>
      <c r="Q80" s="26"/>
      <c r="R80" s="26"/>
      <c r="S80" s="26"/>
      <c r="T80" s="26"/>
      <c r="U80" s="26"/>
      <c r="V80" s="26"/>
      <c r="W80" s="26"/>
    </row>
    <row r="81" customFormat="false" ht="11.25" hidden="false" customHeight="false" outlineLevel="0" collapsed="false">
      <c r="O81" s="26"/>
      <c r="P81" s="26"/>
      <c r="Q81" s="26"/>
      <c r="R81" s="26"/>
      <c r="S81" s="26"/>
      <c r="T81" s="26"/>
      <c r="U81" s="26"/>
      <c r="V81" s="26"/>
      <c r="W81" s="26"/>
    </row>
    <row r="82" customFormat="false" ht="11.25" hidden="false" customHeight="false" outlineLevel="0" collapsed="false">
      <c r="O82" s="26"/>
      <c r="P82" s="26"/>
      <c r="Q82" s="26"/>
      <c r="R82" s="26"/>
      <c r="S82" s="26"/>
      <c r="T82" s="26"/>
      <c r="U82" s="26"/>
      <c r="V82" s="26"/>
      <c r="W82" s="26"/>
    </row>
    <row r="83" customFormat="false" ht="11.25" hidden="false" customHeight="false" outlineLevel="0" collapsed="false">
      <c r="O83" s="26"/>
      <c r="P83" s="26"/>
      <c r="Q83" s="26"/>
      <c r="R83" s="26"/>
      <c r="S83" s="26"/>
      <c r="T83" s="26"/>
      <c r="U83" s="26"/>
      <c r="V83" s="26"/>
      <c r="W83" s="26"/>
    </row>
    <row r="84" customFormat="false" ht="11.25" hidden="false" customHeight="false" outlineLevel="0" collapsed="false">
      <c r="O84" s="26"/>
      <c r="P84" s="26"/>
      <c r="Q84" s="26"/>
      <c r="R84" s="26"/>
      <c r="S84" s="26"/>
      <c r="T84" s="26"/>
      <c r="U84" s="26"/>
      <c r="V84" s="26"/>
      <c r="W84" s="26"/>
    </row>
    <row r="85" customFormat="false" ht="11.25" hidden="false" customHeight="false" outlineLevel="0" collapsed="false">
      <c r="O85" s="26"/>
      <c r="P85" s="26"/>
      <c r="Q85" s="26"/>
      <c r="R85" s="26"/>
      <c r="S85" s="26"/>
      <c r="T85" s="26"/>
      <c r="U85" s="26"/>
      <c r="V85" s="26"/>
      <c r="W85" s="26"/>
    </row>
    <row r="86" customFormat="false" ht="11.25" hidden="false" customHeight="false" outlineLevel="0" collapsed="false">
      <c r="O86" s="26"/>
      <c r="P86" s="26"/>
      <c r="Q86" s="26"/>
      <c r="R86" s="26"/>
      <c r="S86" s="26"/>
      <c r="T86" s="26"/>
      <c r="U86" s="26"/>
      <c r="V86" s="26"/>
      <c r="W86" s="26"/>
    </row>
    <row r="87" customFormat="false" ht="11.25" hidden="false" customHeight="false" outlineLevel="0" collapsed="false">
      <c r="O87" s="26"/>
      <c r="P87" s="26"/>
      <c r="Q87" s="26"/>
      <c r="R87" s="26"/>
      <c r="S87" s="26"/>
      <c r="T87" s="26"/>
      <c r="U87" s="26"/>
      <c r="V87" s="26"/>
      <c r="W87" s="26"/>
    </row>
    <row r="88" customFormat="false" ht="11.25" hidden="false" customHeight="false" outlineLevel="0" collapsed="false">
      <c r="O88" s="26"/>
      <c r="P88" s="26"/>
      <c r="Q88" s="26"/>
      <c r="R88" s="26"/>
      <c r="S88" s="26"/>
      <c r="T88" s="26"/>
      <c r="U88" s="26"/>
      <c r="V88" s="26"/>
      <c r="W88" s="26"/>
    </row>
    <row r="89" customFormat="false" ht="11.25" hidden="false" customHeight="false" outlineLevel="0" collapsed="false">
      <c r="O89" s="26"/>
      <c r="P89" s="26"/>
      <c r="Q89" s="26"/>
      <c r="R89" s="26"/>
      <c r="S89" s="26"/>
      <c r="T89" s="26"/>
      <c r="U89" s="26"/>
      <c r="V89" s="26"/>
      <c r="W89" s="26"/>
    </row>
    <row r="90" customFormat="false" ht="11.25" hidden="false" customHeight="false" outlineLevel="0" collapsed="false">
      <c r="O90" s="26"/>
      <c r="P90" s="26"/>
      <c r="Q90" s="26"/>
      <c r="R90" s="26"/>
      <c r="S90" s="26"/>
      <c r="T90" s="26"/>
      <c r="U90" s="26"/>
      <c r="V90" s="26"/>
      <c r="W90" s="26"/>
    </row>
    <row r="91" customFormat="false" ht="11.25" hidden="false" customHeight="false" outlineLevel="0" collapsed="false">
      <c r="O91" s="26"/>
      <c r="P91" s="26"/>
      <c r="Q91" s="26"/>
      <c r="R91" s="26"/>
      <c r="S91" s="26"/>
      <c r="T91" s="26"/>
      <c r="U91" s="26"/>
      <c r="V91" s="26"/>
      <c r="W91" s="26"/>
    </row>
    <row r="92" customFormat="false" ht="11.25" hidden="false" customHeight="false" outlineLevel="0" collapsed="false">
      <c r="O92" s="26"/>
      <c r="P92" s="26"/>
      <c r="Q92" s="26"/>
      <c r="R92" s="26"/>
      <c r="S92" s="26"/>
      <c r="T92" s="26"/>
      <c r="U92" s="26"/>
      <c r="V92" s="26"/>
      <c r="W92" s="26"/>
    </row>
    <row r="93" customFormat="false" ht="11.25" hidden="false" customHeight="false" outlineLevel="0" collapsed="false">
      <c r="O93" s="26"/>
      <c r="P93" s="26"/>
      <c r="Q93" s="26"/>
      <c r="R93" s="26"/>
      <c r="S93" s="26"/>
      <c r="T93" s="26"/>
      <c r="U93" s="26"/>
      <c r="V93" s="26"/>
      <c r="W93" s="26"/>
    </row>
    <row r="94" customFormat="false" ht="11.25" hidden="false" customHeight="false" outlineLevel="0" collapsed="false">
      <c r="O94" s="26"/>
      <c r="P94" s="26"/>
      <c r="Q94" s="26"/>
      <c r="R94" s="26"/>
      <c r="S94" s="26"/>
      <c r="T94" s="26"/>
      <c r="U94" s="26"/>
      <c r="V94" s="26"/>
      <c r="W94" s="26"/>
    </row>
    <row r="95" customFormat="false" ht="11.25" hidden="false" customHeight="false" outlineLevel="0" collapsed="false">
      <c r="O95" s="26"/>
      <c r="P95" s="26"/>
      <c r="Q95" s="26"/>
      <c r="R95" s="26"/>
      <c r="S95" s="26"/>
      <c r="T95" s="26"/>
      <c r="U95" s="26"/>
      <c r="V95" s="26"/>
      <c r="W95" s="26"/>
    </row>
    <row r="96" customFormat="false" ht="11.25" hidden="false" customHeight="false" outlineLevel="0" collapsed="false">
      <c r="O96" s="26"/>
      <c r="P96" s="26"/>
      <c r="Q96" s="26"/>
      <c r="R96" s="26"/>
      <c r="S96" s="26"/>
      <c r="T96" s="26"/>
      <c r="U96" s="26"/>
      <c r="V96" s="26"/>
      <c r="W96" s="26"/>
    </row>
    <row r="97" customFormat="false" ht="11.25" hidden="false" customHeight="false" outlineLevel="0" collapsed="false">
      <c r="O97" s="26"/>
      <c r="P97" s="26"/>
      <c r="Q97" s="26"/>
      <c r="R97" s="26"/>
      <c r="S97" s="26"/>
      <c r="T97" s="26"/>
      <c r="U97" s="26"/>
      <c r="V97" s="26"/>
      <c r="W97" s="26"/>
    </row>
    <row r="98" customFormat="false" ht="11.25" hidden="false" customHeight="false" outlineLevel="0" collapsed="false">
      <c r="O98" s="26"/>
      <c r="P98" s="26"/>
      <c r="Q98" s="26"/>
      <c r="R98" s="26"/>
      <c r="S98" s="26"/>
      <c r="T98" s="26"/>
      <c r="U98" s="26"/>
      <c r="V98" s="26"/>
      <c r="W98" s="26"/>
    </row>
    <row r="99" customFormat="false" ht="11.25" hidden="false" customHeight="false" outlineLevel="0" collapsed="false">
      <c r="O99" s="26"/>
      <c r="P99" s="26"/>
      <c r="Q99" s="26"/>
      <c r="R99" s="26"/>
      <c r="S99" s="26"/>
      <c r="T99" s="26"/>
      <c r="U99" s="26"/>
      <c r="V99" s="26"/>
      <c r="W99" s="26"/>
    </row>
    <row r="100" customFormat="false" ht="11.25" hidden="false" customHeight="false" outlineLevel="0" collapsed="false">
      <c r="O100" s="26"/>
      <c r="P100" s="26"/>
      <c r="Q100" s="26"/>
      <c r="R100" s="26"/>
      <c r="S100" s="26"/>
      <c r="T100" s="26"/>
      <c r="U100" s="26"/>
      <c r="V100" s="26"/>
      <c r="W100" s="26"/>
    </row>
    <row r="101" customFormat="false" ht="11.25" hidden="false" customHeight="false" outlineLevel="0" collapsed="false">
      <c r="O101" s="26"/>
      <c r="P101" s="26"/>
      <c r="Q101" s="26"/>
      <c r="R101" s="26"/>
      <c r="S101" s="26"/>
      <c r="T101" s="26"/>
      <c r="U101" s="26"/>
      <c r="V101" s="26"/>
      <c r="W101" s="26"/>
    </row>
    <row r="102" customFormat="false" ht="11.25" hidden="false" customHeight="false" outlineLevel="0" collapsed="false">
      <c r="O102" s="26"/>
      <c r="P102" s="26"/>
      <c r="Q102" s="26"/>
      <c r="R102" s="26"/>
      <c r="S102" s="26"/>
      <c r="T102" s="26"/>
      <c r="U102" s="26"/>
      <c r="V102" s="26"/>
      <c r="W102" s="26"/>
    </row>
    <row r="103" customFormat="false" ht="11.25" hidden="false" customHeight="false" outlineLevel="0" collapsed="false">
      <c r="O103" s="26"/>
      <c r="P103" s="26"/>
      <c r="Q103" s="26"/>
      <c r="R103" s="26"/>
      <c r="S103" s="26"/>
      <c r="T103" s="26"/>
      <c r="U103" s="26"/>
      <c r="V103" s="26"/>
      <c r="W103" s="26"/>
    </row>
    <row r="104" customFormat="false" ht="11.25" hidden="false" customHeight="false" outlineLevel="0" collapsed="false">
      <c r="O104" s="26"/>
      <c r="P104" s="26"/>
      <c r="Q104" s="26"/>
      <c r="R104" s="26"/>
      <c r="S104" s="26"/>
      <c r="T104" s="26"/>
      <c r="U104" s="26"/>
      <c r="V104" s="26"/>
      <c r="W104" s="26"/>
    </row>
    <row r="105" customFormat="false" ht="11.25" hidden="false" customHeight="false" outlineLevel="0" collapsed="false">
      <c r="O105" s="26"/>
      <c r="P105" s="26"/>
      <c r="Q105" s="26"/>
      <c r="R105" s="26"/>
      <c r="S105" s="26"/>
      <c r="T105" s="26"/>
      <c r="U105" s="26"/>
      <c r="V105" s="26"/>
      <c r="W105" s="26"/>
    </row>
    <row r="106" customFormat="false" ht="11.25" hidden="false" customHeight="false" outlineLevel="0" collapsed="false">
      <c r="O106" s="26"/>
      <c r="P106" s="26"/>
      <c r="Q106" s="26"/>
      <c r="R106" s="26"/>
      <c r="S106" s="26"/>
      <c r="T106" s="26"/>
      <c r="U106" s="26"/>
      <c r="V106" s="26"/>
      <c r="W106" s="26"/>
    </row>
    <row r="107" customFormat="false" ht="11.25" hidden="false" customHeight="false" outlineLevel="0" collapsed="false">
      <c r="O107" s="26"/>
      <c r="P107" s="26"/>
      <c r="Q107" s="26"/>
      <c r="R107" s="26"/>
      <c r="S107" s="26"/>
      <c r="T107" s="26"/>
      <c r="U107" s="26"/>
      <c r="V107" s="26"/>
      <c r="W107" s="26"/>
    </row>
    <row r="108" customFormat="false" ht="11.25" hidden="false" customHeight="false" outlineLevel="0" collapsed="false">
      <c r="O108" s="26"/>
      <c r="P108" s="26"/>
      <c r="Q108" s="26"/>
      <c r="R108" s="26"/>
      <c r="S108" s="26"/>
      <c r="T108" s="26"/>
      <c r="U108" s="26"/>
      <c r="V108" s="26"/>
      <c r="W108" s="26"/>
    </row>
    <row r="109" customFormat="false" ht="11.25" hidden="false" customHeight="false" outlineLevel="0" collapsed="false">
      <c r="O109" s="26"/>
      <c r="P109" s="26"/>
      <c r="Q109" s="26"/>
      <c r="R109" s="26"/>
      <c r="S109" s="26"/>
      <c r="T109" s="26"/>
      <c r="U109" s="26"/>
      <c r="V109" s="26"/>
      <c r="W109" s="26"/>
    </row>
    <row r="110" customFormat="false" ht="11.25" hidden="false" customHeight="false" outlineLevel="0" collapsed="false">
      <c r="O110" s="26"/>
      <c r="P110" s="26"/>
      <c r="Q110" s="26"/>
      <c r="R110" s="26"/>
      <c r="S110" s="26"/>
      <c r="T110" s="26"/>
      <c r="U110" s="26"/>
      <c r="V110" s="26"/>
      <c r="W110" s="26"/>
    </row>
    <row r="111" customFormat="false" ht="11.25" hidden="false" customHeight="false" outlineLevel="0" collapsed="false">
      <c r="O111" s="26"/>
      <c r="P111" s="26"/>
      <c r="Q111" s="26"/>
      <c r="R111" s="26"/>
      <c r="S111" s="26"/>
      <c r="T111" s="26"/>
      <c r="U111" s="26"/>
      <c r="V111" s="26"/>
      <c r="W111" s="26"/>
    </row>
    <row r="112" customFormat="false" ht="11.25" hidden="false" customHeight="false" outlineLevel="0" collapsed="false">
      <c r="O112" s="26"/>
      <c r="P112" s="26"/>
      <c r="Q112" s="26"/>
      <c r="R112" s="26"/>
      <c r="S112" s="26"/>
      <c r="T112" s="26"/>
      <c r="U112" s="26"/>
      <c r="V112" s="26"/>
      <c r="W112" s="26"/>
    </row>
    <row r="113" customFormat="false" ht="11.25" hidden="false" customHeight="false" outlineLevel="0" collapsed="false">
      <c r="O113" s="26"/>
      <c r="P113" s="26"/>
      <c r="Q113" s="26"/>
      <c r="R113" s="26"/>
      <c r="S113" s="26"/>
      <c r="T113" s="26"/>
      <c r="U113" s="26"/>
      <c r="V113" s="26"/>
      <c r="W113" s="26"/>
    </row>
    <row r="114" customFormat="false" ht="11.25" hidden="false" customHeight="false" outlineLevel="0" collapsed="false">
      <c r="O114" s="26"/>
      <c r="P114" s="26"/>
      <c r="Q114" s="26"/>
      <c r="R114" s="26"/>
      <c r="S114" s="26"/>
      <c r="T114" s="26"/>
      <c r="U114" s="26"/>
      <c r="V114" s="26"/>
      <c r="W114" s="26"/>
    </row>
    <row r="115" customFormat="false" ht="11.25" hidden="false" customHeight="false" outlineLevel="0" collapsed="false">
      <c r="O115" s="26"/>
      <c r="P115" s="26"/>
      <c r="Q115" s="26"/>
      <c r="R115" s="26"/>
      <c r="S115" s="26"/>
      <c r="T115" s="26"/>
      <c r="U115" s="26"/>
      <c r="V115" s="26"/>
      <c r="W115" s="26"/>
    </row>
    <row r="116" customFormat="false" ht="11.25" hidden="false" customHeight="false" outlineLevel="0" collapsed="false">
      <c r="O116" s="26"/>
      <c r="P116" s="26"/>
      <c r="Q116" s="26"/>
      <c r="R116" s="26"/>
      <c r="S116" s="26"/>
      <c r="T116" s="26"/>
      <c r="U116" s="26"/>
      <c r="V116" s="26"/>
      <c r="W116" s="26"/>
    </row>
    <row r="117" customFormat="false" ht="11.25" hidden="false" customHeight="false" outlineLevel="0" collapsed="false">
      <c r="O117" s="26"/>
      <c r="P117" s="26"/>
      <c r="Q117" s="26"/>
      <c r="R117" s="26"/>
      <c r="S117" s="26"/>
      <c r="T117" s="26"/>
      <c r="U117" s="26"/>
      <c r="V117" s="26"/>
      <c r="W117" s="26"/>
    </row>
    <row r="118" customFormat="false" ht="11.25" hidden="false" customHeight="false" outlineLevel="0" collapsed="false">
      <c r="O118" s="26"/>
      <c r="P118" s="26"/>
      <c r="Q118" s="26"/>
      <c r="R118" s="26"/>
      <c r="S118" s="26"/>
      <c r="T118" s="26"/>
      <c r="U118" s="26"/>
      <c r="V118" s="26"/>
      <c r="W118" s="26"/>
    </row>
    <row r="119" customFormat="false" ht="11.25" hidden="false" customHeight="false" outlineLevel="0" collapsed="false">
      <c r="O119" s="26"/>
      <c r="P119" s="26"/>
      <c r="Q119" s="26"/>
      <c r="R119" s="26"/>
      <c r="S119" s="26"/>
      <c r="T119" s="26"/>
      <c r="U119" s="26"/>
      <c r="V119" s="26"/>
      <c r="W119" s="26"/>
    </row>
    <row r="120" customFormat="false" ht="11.25" hidden="false" customHeight="false" outlineLevel="0" collapsed="false">
      <c r="O120" s="26"/>
      <c r="P120" s="26"/>
      <c r="Q120" s="26"/>
      <c r="R120" s="26"/>
      <c r="S120" s="26"/>
      <c r="T120" s="26"/>
      <c r="U120" s="26"/>
      <c r="V120" s="26"/>
      <c r="W120" s="26"/>
    </row>
    <row r="121" customFormat="false" ht="11.25" hidden="false" customHeight="false" outlineLevel="0" collapsed="false">
      <c r="O121" s="26"/>
      <c r="P121" s="26"/>
      <c r="Q121" s="26"/>
      <c r="R121" s="26"/>
      <c r="S121" s="26"/>
      <c r="T121" s="26"/>
      <c r="U121" s="26"/>
      <c r="V121" s="26"/>
      <c r="W121" s="26"/>
    </row>
    <row r="122" customFormat="false" ht="11.25" hidden="false" customHeight="false" outlineLevel="0" collapsed="false">
      <c r="O122" s="26"/>
      <c r="P122" s="26"/>
      <c r="Q122" s="26"/>
      <c r="R122" s="26"/>
      <c r="S122" s="26"/>
      <c r="T122" s="26"/>
      <c r="U122" s="26"/>
      <c r="V122" s="26"/>
      <c r="W122" s="26"/>
    </row>
    <row r="123" customFormat="false" ht="11.25" hidden="false" customHeight="false" outlineLevel="0" collapsed="false">
      <c r="O123" s="26"/>
      <c r="P123" s="26"/>
      <c r="Q123" s="26"/>
      <c r="R123" s="26"/>
      <c r="S123" s="26"/>
      <c r="T123" s="26"/>
      <c r="U123" s="26"/>
      <c r="V123" s="26"/>
      <c r="W123" s="26"/>
    </row>
    <row r="124" customFormat="false" ht="11.25" hidden="false" customHeight="false" outlineLevel="0" collapsed="false">
      <c r="O124" s="26"/>
      <c r="P124" s="26"/>
      <c r="Q124" s="26"/>
      <c r="R124" s="26"/>
      <c r="S124" s="26"/>
      <c r="T124" s="26"/>
      <c r="U124" s="26"/>
      <c r="V124" s="26"/>
      <c r="W124" s="26"/>
    </row>
    <row r="125" customFormat="false" ht="11.25" hidden="false" customHeight="false" outlineLevel="0" collapsed="false">
      <c r="O125" s="26"/>
      <c r="P125" s="26"/>
      <c r="Q125" s="26"/>
      <c r="R125" s="26"/>
      <c r="S125" s="26"/>
      <c r="T125" s="26"/>
      <c r="U125" s="26"/>
      <c r="V125" s="26"/>
      <c r="W125" s="26"/>
    </row>
    <row r="126" customFormat="false" ht="11.25" hidden="false" customHeight="false" outlineLevel="0" collapsed="false">
      <c r="O126" s="26"/>
      <c r="P126" s="26"/>
      <c r="Q126" s="26"/>
      <c r="R126" s="26"/>
      <c r="S126" s="26"/>
      <c r="T126" s="26"/>
      <c r="U126" s="26"/>
      <c r="V126" s="26"/>
      <c r="W126" s="26"/>
    </row>
    <row r="127" customFormat="false" ht="11.25" hidden="false" customHeight="false" outlineLevel="0" collapsed="false">
      <c r="O127" s="26"/>
      <c r="P127" s="26"/>
      <c r="Q127" s="26"/>
      <c r="R127" s="26"/>
      <c r="S127" s="26"/>
      <c r="T127" s="26"/>
      <c r="U127" s="26"/>
      <c r="V127" s="26"/>
      <c r="W127" s="26"/>
    </row>
    <row r="128" customFormat="false" ht="11.25" hidden="false" customHeight="false" outlineLevel="0" collapsed="false">
      <c r="O128" s="26"/>
      <c r="P128" s="26"/>
      <c r="Q128" s="26"/>
      <c r="R128" s="26"/>
      <c r="S128" s="26"/>
      <c r="T128" s="26"/>
      <c r="U128" s="26"/>
      <c r="V128" s="26"/>
      <c r="W128" s="26"/>
    </row>
    <row r="129" customFormat="false" ht="11.25" hidden="false" customHeight="false" outlineLevel="0" collapsed="false">
      <c r="O129" s="26"/>
      <c r="P129" s="26"/>
      <c r="Q129" s="26"/>
      <c r="R129" s="26"/>
      <c r="S129" s="26"/>
      <c r="T129" s="26"/>
      <c r="U129" s="26"/>
      <c r="V129" s="26"/>
      <c r="W129" s="26"/>
    </row>
    <row r="130" customFormat="false" ht="11.25" hidden="false" customHeight="false" outlineLevel="0" collapsed="false">
      <c r="O130" s="26"/>
      <c r="P130" s="26"/>
      <c r="Q130" s="26"/>
      <c r="R130" s="26"/>
      <c r="S130" s="26"/>
      <c r="T130" s="26"/>
      <c r="U130" s="26"/>
      <c r="V130" s="26"/>
      <c r="W130" s="26"/>
    </row>
    <row r="131" customFormat="false" ht="11.25" hidden="false" customHeight="false" outlineLevel="0" collapsed="false">
      <c r="O131" s="26"/>
      <c r="P131" s="26"/>
      <c r="Q131" s="26"/>
      <c r="R131" s="26"/>
      <c r="S131" s="26"/>
      <c r="T131" s="26"/>
      <c r="U131" s="26"/>
      <c r="V131" s="26"/>
      <c r="W131" s="26"/>
    </row>
    <row r="132" customFormat="false" ht="11.25" hidden="false" customHeight="false" outlineLevel="0" collapsed="false">
      <c r="O132" s="26"/>
      <c r="P132" s="26"/>
      <c r="Q132" s="26"/>
      <c r="R132" s="26"/>
      <c r="S132" s="26"/>
      <c r="T132" s="26"/>
      <c r="U132" s="26"/>
      <c r="V132" s="26"/>
      <c r="W132" s="26"/>
    </row>
    <row r="133" customFormat="false" ht="11.25" hidden="false" customHeight="false" outlineLevel="0" collapsed="false">
      <c r="O133" s="26"/>
      <c r="P133" s="26"/>
      <c r="Q133" s="26"/>
      <c r="R133" s="26"/>
      <c r="S133" s="26"/>
      <c r="T133" s="26"/>
      <c r="U133" s="26"/>
      <c r="V133" s="26"/>
      <c r="W133" s="26"/>
    </row>
    <row r="134" customFormat="false" ht="11.25" hidden="false" customHeight="false" outlineLevel="0" collapsed="false">
      <c r="O134" s="26"/>
      <c r="P134" s="26"/>
      <c r="Q134" s="26"/>
      <c r="R134" s="26"/>
      <c r="S134" s="26"/>
      <c r="T134" s="26"/>
      <c r="U134" s="26"/>
      <c r="V134" s="26"/>
      <c r="W134" s="26"/>
    </row>
    <row r="135" customFormat="false" ht="11.25" hidden="false" customHeight="false" outlineLevel="0" collapsed="false">
      <c r="O135" s="26"/>
      <c r="P135" s="26"/>
      <c r="Q135" s="26"/>
      <c r="R135" s="26"/>
      <c r="S135" s="26"/>
      <c r="T135" s="26"/>
      <c r="U135" s="26"/>
      <c r="V135" s="26"/>
      <c r="W135" s="26"/>
    </row>
    <row r="136" customFormat="false" ht="11.25" hidden="false" customHeight="false" outlineLevel="0" collapsed="false">
      <c r="O136" s="26"/>
      <c r="P136" s="26"/>
      <c r="Q136" s="26"/>
      <c r="R136" s="26"/>
      <c r="S136" s="26"/>
      <c r="T136" s="26"/>
      <c r="U136" s="26"/>
      <c r="V136" s="26"/>
      <c r="W136" s="26"/>
    </row>
    <row r="137" customFormat="false" ht="11.25" hidden="false" customHeight="false" outlineLevel="0" collapsed="false">
      <c r="O137" s="26"/>
      <c r="P137" s="26"/>
      <c r="Q137" s="26"/>
      <c r="R137" s="26"/>
      <c r="S137" s="26"/>
      <c r="T137" s="26"/>
      <c r="U137" s="26"/>
      <c r="V137" s="26"/>
      <c r="W137" s="26"/>
    </row>
    <row r="138" customFormat="false" ht="11.25" hidden="false" customHeight="false" outlineLevel="0" collapsed="false">
      <c r="O138" s="26"/>
      <c r="P138" s="26"/>
      <c r="Q138" s="26"/>
      <c r="R138" s="26"/>
      <c r="S138" s="26"/>
      <c r="T138" s="26"/>
      <c r="U138" s="26"/>
      <c r="V138" s="26"/>
      <c r="W138" s="26"/>
    </row>
    <row r="139" customFormat="false" ht="11.25" hidden="false" customHeight="false" outlineLevel="0" collapsed="false">
      <c r="O139" s="26"/>
      <c r="P139" s="26"/>
      <c r="Q139" s="26"/>
      <c r="R139" s="26"/>
      <c r="S139" s="26"/>
      <c r="T139" s="26"/>
      <c r="U139" s="26"/>
      <c r="V139" s="26"/>
      <c r="W139" s="26"/>
    </row>
    <row r="140" customFormat="false" ht="11.25" hidden="false" customHeight="false" outlineLevel="0" collapsed="false">
      <c r="O140" s="26"/>
      <c r="P140" s="26"/>
      <c r="Q140" s="26"/>
      <c r="R140" s="26"/>
      <c r="S140" s="26"/>
      <c r="T140" s="26"/>
      <c r="U140" s="26"/>
      <c r="V140" s="26"/>
      <c r="W140" s="26"/>
    </row>
    <row r="141" customFormat="false" ht="11.25" hidden="false" customHeight="false" outlineLevel="0" collapsed="false">
      <c r="O141" s="26"/>
      <c r="P141" s="26"/>
      <c r="Q141" s="26"/>
      <c r="R141" s="26"/>
      <c r="S141" s="26"/>
      <c r="T141" s="26"/>
      <c r="U141" s="26"/>
      <c r="V141" s="26"/>
      <c r="W141" s="26"/>
    </row>
    <row r="142" customFormat="false" ht="11.25" hidden="false" customHeight="false" outlineLevel="0" collapsed="false">
      <c r="O142" s="26"/>
      <c r="P142" s="26"/>
      <c r="Q142" s="26"/>
      <c r="R142" s="26"/>
      <c r="S142" s="26"/>
      <c r="T142" s="26"/>
      <c r="U142" s="26"/>
      <c r="V142" s="26"/>
      <c r="W142" s="26"/>
    </row>
    <row r="143" customFormat="false" ht="11.25" hidden="false" customHeight="false" outlineLevel="0" collapsed="false">
      <c r="O143" s="26"/>
      <c r="P143" s="26"/>
      <c r="Q143" s="26"/>
      <c r="R143" s="26"/>
      <c r="S143" s="26"/>
      <c r="T143" s="26"/>
      <c r="U143" s="26"/>
      <c r="V143" s="26"/>
      <c r="W143" s="26"/>
    </row>
    <row r="144" customFormat="false" ht="11.25" hidden="false" customHeight="false" outlineLevel="0" collapsed="false">
      <c r="O144" s="26"/>
      <c r="P144" s="26"/>
      <c r="Q144" s="26"/>
      <c r="R144" s="26"/>
      <c r="S144" s="26"/>
      <c r="T144" s="26"/>
      <c r="U144" s="26"/>
      <c r="V144" s="26"/>
      <c r="W144" s="26"/>
    </row>
    <row r="145" customFormat="false" ht="11.25" hidden="false" customHeight="false" outlineLevel="0" collapsed="false">
      <c r="O145" s="26"/>
      <c r="P145" s="26"/>
      <c r="Q145" s="26"/>
      <c r="R145" s="26"/>
      <c r="S145" s="26"/>
      <c r="T145" s="26"/>
      <c r="U145" s="26"/>
      <c r="V145" s="26"/>
      <c r="W145" s="26"/>
    </row>
    <row r="146" customFormat="false" ht="11.25" hidden="false" customHeight="false" outlineLevel="0" collapsed="false">
      <c r="O146" s="26"/>
      <c r="P146" s="26"/>
      <c r="Q146" s="26"/>
      <c r="R146" s="26"/>
      <c r="S146" s="26"/>
      <c r="T146" s="26"/>
      <c r="U146" s="26"/>
      <c r="V146" s="26"/>
      <c r="W146" s="26"/>
    </row>
    <row r="147" customFormat="false" ht="11.25" hidden="false" customHeight="false" outlineLevel="0" collapsed="false">
      <c r="O147" s="26"/>
      <c r="P147" s="26"/>
      <c r="Q147" s="26"/>
      <c r="R147" s="26"/>
      <c r="S147" s="26"/>
      <c r="T147" s="26"/>
      <c r="U147" s="26"/>
      <c r="V147" s="26"/>
      <c r="W147" s="26"/>
    </row>
    <row r="148" customFormat="false" ht="11.25" hidden="false" customHeight="false" outlineLevel="0" collapsed="false">
      <c r="O148" s="26"/>
      <c r="P148" s="26"/>
      <c r="Q148" s="26"/>
      <c r="R148" s="26"/>
      <c r="S148" s="26"/>
      <c r="T148" s="26"/>
      <c r="U148" s="26"/>
      <c r="V148" s="26"/>
      <c r="W148" s="26"/>
    </row>
    <row r="149" customFormat="false" ht="11.25" hidden="false" customHeight="false" outlineLevel="0" collapsed="false">
      <c r="O149" s="26"/>
      <c r="P149" s="26"/>
      <c r="Q149" s="26"/>
      <c r="R149" s="26"/>
      <c r="S149" s="26"/>
      <c r="T149" s="26"/>
      <c r="U149" s="26"/>
      <c r="V149" s="26"/>
      <c r="W149" s="26"/>
    </row>
    <row r="150" customFormat="false" ht="11.25" hidden="false" customHeight="false" outlineLevel="0" collapsed="false">
      <c r="O150" s="26"/>
      <c r="P150" s="26"/>
      <c r="Q150" s="26"/>
      <c r="R150" s="26"/>
      <c r="S150" s="26"/>
      <c r="T150" s="26"/>
      <c r="U150" s="26"/>
      <c r="V150" s="26"/>
      <c r="W150" s="26"/>
    </row>
    <row r="151" customFormat="false" ht="11.25" hidden="false" customHeight="false" outlineLevel="0" collapsed="false">
      <c r="O151" s="26"/>
      <c r="P151" s="26"/>
      <c r="Q151" s="26"/>
      <c r="R151" s="26"/>
      <c r="S151" s="26"/>
      <c r="T151" s="26"/>
      <c r="U151" s="26"/>
      <c r="V151" s="26"/>
      <c r="W151" s="26"/>
    </row>
    <row r="152" customFormat="false" ht="11.25" hidden="false" customHeight="false" outlineLevel="0" collapsed="false">
      <c r="O152" s="26"/>
      <c r="P152" s="26"/>
      <c r="Q152" s="26"/>
      <c r="R152" s="26"/>
      <c r="S152" s="26"/>
      <c r="T152" s="26"/>
      <c r="U152" s="26"/>
      <c r="V152" s="26"/>
      <c r="W152" s="26"/>
    </row>
    <row r="153" customFormat="false" ht="11.25" hidden="false" customHeight="false" outlineLevel="0" collapsed="false">
      <c r="O153" s="26"/>
      <c r="P153" s="26"/>
      <c r="Q153" s="26"/>
      <c r="R153" s="26"/>
      <c r="S153" s="26"/>
      <c r="T153" s="26"/>
      <c r="U153" s="26"/>
      <c r="V153" s="26"/>
      <c r="W153" s="26"/>
    </row>
    <row r="154" customFormat="false" ht="11.25" hidden="false" customHeight="false" outlineLevel="0" collapsed="false">
      <c r="O154" s="26"/>
      <c r="P154" s="26"/>
      <c r="Q154" s="26"/>
      <c r="R154" s="26"/>
      <c r="S154" s="26"/>
      <c r="T154" s="26"/>
      <c r="U154" s="26"/>
      <c r="V154" s="26"/>
      <c r="W154" s="26"/>
    </row>
    <row r="155" customFormat="false" ht="11.25" hidden="false" customHeight="false" outlineLevel="0" collapsed="false">
      <c r="O155" s="26"/>
      <c r="P155" s="26"/>
      <c r="Q155" s="26"/>
      <c r="R155" s="26"/>
      <c r="S155" s="26"/>
      <c r="T155" s="26"/>
      <c r="U155" s="26"/>
      <c r="V155" s="26"/>
      <c r="W155" s="26"/>
    </row>
    <row r="156" customFormat="false" ht="11.25" hidden="false" customHeight="false" outlineLevel="0" collapsed="false">
      <c r="O156" s="26"/>
      <c r="P156" s="26"/>
      <c r="Q156" s="26"/>
      <c r="R156" s="26"/>
      <c r="S156" s="26"/>
      <c r="T156" s="26"/>
      <c r="U156" s="26"/>
      <c r="V156" s="26"/>
      <c r="W156" s="26"/>
    </row>
    <row r="157" customFormat="false" ht="11.25" hidden="false" customHeight="false" outlineLevel="0" collapsed="false">
      <c r="O157" s="26"/>
      <c r="P157" s="26"/>
      <c r="Q157" s="26"/>
      <c r="R157" s="26"/>
      <c r="S157" s="26"/>
      <c r="T157" s="26"/>
      <c r="U157" s="26"/>
      <c r="V157" s="26"/>
      <c r="W157" s="26"/>
    </row>
    <row r="158" customFormat="false" ht="11.25" hidden="false" customHeight="false" outlineLevel="0" collapsed="false">
      <c r="O158" s="26"/>
      <c r="P158" s="26"/>
      <c r="Q158" s="26"/>
      <c r="R158" s="26"/>
      <c r="S158" s="26"/>
      <c r="T158" s="26"/>
      <c r="U158" s="26"/>
      <c r="V158" s="26"/>
      <c r="W158" s="26"/>
    </row>
    <row r="159" customFormat="false" ht="11.25" hidden="false" customHeight="false" outlineLevel="0" collapsed="false">
      <c r="O159" s="26"/>
      <c r="P159" s="26"/>
      <c r="Q159" s="26"/>
      <c r="R159" s="26"/>
      <c r="S159" s="26"/>
      <c r="T159" s="26"/>
      <c r="U159" s="26"/>
      <c r="V159" s="26"/>
      <c r="W159" s="26"/>
    </row>
    <row r="160" customFormat="false" ht="11.25" hidden="false" customHeight="false" outlineLevel="0" collapsed="false">
      <c r="O160" s="26"/>
      <c r="P160" s="26"/>
      <c r="Q160" s="26"/>
      <c r="R160" s="26"/>
      <c r="S160" s="26"/>
      <c r="T160" s="26"/>
      <c r="U160" s="26"/>
      <c r="V160" s="26"/>
      <c r="W160" s="26"/>
    </row>
    <row r="161" customFormat="false" ht="11.25" hidden="false" customHeight="false" outlineLevel="0" collapsed="false">
      <c r="O161" s="26"/>
      <c r="P161" s="26"/>
      <c r="Q161" s="26"/>
      <c r="R161" s="26"/>
      <c r="S161" s="26"/>
      <c r="T161" s="26"/>
      <c r="U161" s="26"/>
      <c r="V161" s="26"/>
      <c r="W161" s="26"/>
    </row>
    <row r="162" customFormat="false" ht="11.25" hidden="false" customHeight="false" outlineLevel="0" collapsed="false">
      <c r="O162" s="26"/>
      <c r="P162" s="26"/>
      <c r="Q162" s="26"/>
      <c r="R162" s="26"/>
      <c r="S162" s="26"/>
      <c r="T162" s="26"/>
      <c r="U162" s="26"/>
      <c r="V162" s="26"/>
      <c r="W162" s="26"/>
    </row>
    <row r="163" customFormat="false" ht="11.25" hidden="false" customHeight="false" outlineLevel="0" collapsed="false">
      <c r="O163" s="26"/>
      <c r="P163" s="26"/>
      <c r="Q163" s="26"/>
      <c r="R163" s="26"/>
      <c r="S163" s="26"/>
      <c r="T163" s="26"/>
      <c r="U163" s="26"/>
      <c r="V163" s="26"/>
      <c r="W163" s="26"/>
    </row>
    <row r="164" customFormat="false" ht="11.25" hidden="false" customHeight="false" outlineLevel="0" collapsed="false">
      <c r="O164" s="26"/>
      <c r="P164" s="26"/>
      <c r="Q164" s="26"/>
      <c r="R164" s="26"/>
      <c r="S164" s="26"/>
      <c r="T164" s="26"/>
      <c r="U164" s="26"/>
      <c r="V164" s="26"/>
      <c r="W164" s="26"/>
    </row>
    <row r="165" customFormat="false" ht="11.25" hidden="false" customHeight="false" outlineLevel="0" collapsed="false">
      <c r="O165" s="26"/>
      <c r="P165" s="26"/>
      <c r="Q165" s="26"/>
      <c r="R165" s="26"/>
      <c r="S165" s="26"/>
      <c r="T165" s="26"/>
      <c r="U165" s="26"/>
      <c r="V165" s="26"/>
      <c r="W165" s="26"/>
    </row>
    <row r="166" customFormat="false" ht="11.25" hidden="false" customHeight="false" outlineLevel="0" collapsed="false">
      <c r="O166" s="26"/>
      <c r="P166" s="26"/>
      <c r="Q166" s="26"/>
      <c r="R166" s="26"/>
      <c r="S166" s="26"/>
      <c r="T166" s="26"/>
      <c r="U166" s="26"/>
      <c r="V166" s="26"/>
      <c r="W166" s="26"/>
    </row>
    <row r="167" customFormat="false" ht="11.25" hidden="false" customHeight="false" outlineLevel="0" collapsed="false">
      <c r="O167" s="26"/>
      <c r="P167" s="26"/>
      <c r="Q167" s="26"/>
      <c r="R167" s="26"/>
      <c r="S167" s="26"/>
      <c r="T167" s="26"/>
      <c r="U167" s="26"/>
      <c r="V167" s="26"/>
      <c r="W167" s="26"/>
    </row>
    <row r="168" customFormat="false" ht="11.25" hidden="false" customHeight="false" outlineLevel="0" collapsed="false">
      <c r="O168" s="26"/>
      <c r="P168" s="26"/>
      <c r="Q168" s="26"/>
      <c r="R168" s="26"/>
      <c r="S168" s="26"/>
      <c r="T168" s="26"/>
      <c r="U168" s="26"/>
      <c r="V168" s="26"/>
      <c r="W168" s="26"/>
    </row>
    <row r="169" customFormat="false" ht="11.25" hidden="false" customHeight="false" outlineLevel="0" collapsed="false">
      <c r="O169" s="26"/>
      <c r="P169" s="26"/>
      <c r="Q169" s="26"/>
      <c r="R169" s="26"/>
      <c r="S169" s="26"/>
      <c r="T169" s="26"/>
      <c r="U169" s="26"/>
      <c r="V169" s="26"/>
      <c r="W169" s="26"/>
    </row>
    <row r="170" customFormat="false" ht="11.25" hidden="false" customHeight="false" outlineLevel="0" collapsed="false">
      <c r="O170" s="26"/>
      <c r="P170" s="26"/>
      <c r="Q170" s="26"/>
      <c r="R170" s="26"/>
      <c r="S170" s="26"/>
      <c r="T170" s="26"/>
      <c r="U170" s="26"/>
      <c r="V170" s="26"/>
      <c r="W170" s="26"/>
    </row>
    <row r="171" customFormat="false" ht="11.25" hidden="false" customHeight="false" outlineLevel="0" collapsed="false">
      <c r="O171" s="26"/>
      <c r="P171" s="26"/>
      <c r="Q171" s="26"/>
      <c r="R171" s="26"/>
      <c r="S171" s="26"/>
      <c r="T171" s="26"/>
      <c r="U171" s="26"/>
      <c r="V171" s="26"/>
      <c r="W171" s="26"/>
    </row>
    <row r="172" customFormat="false" ht="11.25" hidden="false" customHeight="false" outlineLevel="0" collapsed="false">
      <c r="O172" s="26"/>
      <c r="P172" s="26"/>
      <c r="Q172" s="26"/>
      <c r="R172" s="26"/>
      <c r="S172" s="26"/>
      <c r="T172" s="26"/>
      <c r="U172" s="26"/>
      <c r="V172" s="26"/>
      <c r="W172" s="26"/>
    </row>
    <row r="173" customFormat="false" ht="11.25" hidden="false" customHeight="false" outlineLevel="0" collapsed="false">
      <c r="O173" s="26"/>
      <c r="P173" s="26"/>
      <c r="Q173" s="26"/>
      <c r="R173" s="26"/>
      <c r="S173" s="26"/>
      <c r="T173" s="26"/>
      <c r="U173" s="26"/>
      <c r="V173" s="26"/>
      <c r="W173" s="26"/>
    </row>
    <row r="174" customFormat="false" ht="11.25" hidden="false" customHeight="false" outlineLevel="0" collapsed="false">
      <c r="O174" s="26"/>
      <c r="P174" s="26"/>
      <c r="Q174" s="26"/>
      <c r="R174" s="26"/>
      <c r="S174" s="26"/>
      <c r="T174" s="26"/>
      <c r="U174" s="26"/>
      <c r="V174" s="26"/>
      <c r="W174" s="26"/>
    </row>
    <row r="175" customFormat="false" ht="11.25" hidden="false" customHeight="false" outlineLevel="0" collapsed="false">
      <c r="O175" s="26"/>
      <c r="P175" s="26"/>
      <c r="Q175" s="26"/>
      <c r="R175" s="26"/>
      <c r="S175" s="26"/>
      <c r="T175" s="26"/>
      <c r="U175" s="26"/>
      <c r="V175" s="26"/>
      <c r="W175" s="26"/>
    </row>
    <row r="176" customFormat="false" ht="11.25" hidden="false" customHeight="false" outlineLevel="0" collapsed="false">
      <c r="O176" s="26"/>
      <c r="P176" s="26"/>
      <c r="Q176" s="26"/>
      <c r="R176" s="26"/>
      <c r="S176" s="26"/>
      <c r="T176" s="26"/>
      <c r="U176" s="26"/>
      <c r="V176" s="26"/>
      <c r="W176" s="26"/>
    </row>
    <row r="177" customFormat="false" ht="11.25" hidden="false" customHeight="false" outlineLevel="0" collapsed="false">
      <c r="O177" s="26"/>
      <c r="P177" s="26"/>
      <c r="Q177" s="26"/>
      <c r="R177" s="26"/>
      <c r="S177" s="26"/>
      <c r="T177" s="26"/>
      <c r="U177" s="26"/>
      <c r="V177" s="26"/>
      <c r="W177" s="26"/>
    </row>
    <row r="178" customFormat="false" ht="11.25" hidden="false" customHeight="false" outlineLevel="0" collapsed="false">
      <c r="O178" s="26"/>
      <c r="P178" s="26"/>
      <c r="Q178" s="26"/>
      <c r="R178" s="26"/>
      <c r="S178" s="26"/>
      <c r="T178" s="26"/>
      <c r="U178" s="26"/>
      <c r="V178" s="26"/>
      <c r="W178" s="26"/>
    </row>
    <row r="179" customFormat="false" ht="11.25" hidden="false" customHeight="false" outlineLevel="0" collapsed="false">
      <c r="O179" s="26"/>
      <c r="P179" s="26"/>
      <c r="Q179" s="26"/>
      <c r="R179" s="26"/>
      <c r="S179" s="26"/>
      <c r="T179" s="26"/>
      <c r="U179" s="26"/>
      <c r="V179" s="26"/>
      <c r="W179" s="26"/>
    </row>
    <row r="180" customFormat="false" ht="11.25" hidden="false" customHeight="false" outlineLevel="0" collapsed="false">
      <c r="O180" s="26"/>
      <c r="P180" s="26"/>
      <c r="Q180" s="26"/>
      <c r="R180" s="26"/>
      <c r="S180" s="26"/>
      <c r="T180" s="26"/>
      <c r="U180" s="26"/>
      <c r="V180" s="26"/>
      <c r="W180" s="26"/>
    </row>
    <row r="181" customFormat="false" ht="11.25" hidden="false" customHeight="false" outlineLevel="0" collapsed="false">
      <c r="O181" s="26"/>
      <c r="P181" s="26"/>
      <c r="Q181" s="26"/>
      <c r="R181" s="26"/>
      <c r="S181" s="26"/>
      <c r="T181" s="26"/>
      <c r="U181" s="26"/>
      <c r="V181" s="26"/>
      <c r="W181" s="26"/>
    </row>
    <row r="182" customFormat="false" ht="11.25" hidden="false" customHeight="false" outlineLevel="0" collapsed="false">
      <c r="O182" s="26"/>
      <c r="P182" s="26"/>
      <c r="Q182" s="26"/>
      <c r="R182" s="26"/>
      <c r="S182" s="26"/>
      <c r="T182" s="26"/>
      <c r="U182" s="26"/>
      <c r="V182" s="26"/>
      <c r="W182" s="26"/>
    </row>
    <row r="183" customFormat="false" ht="11.25" hidden="false" customHeight="false" outlineLevel="0" collapsed="false">
      <c r="O183" s="26"/>
      <c r="P183" s="26"/>
      <c r="Q183" s="26"/>
      <c r="R183" s="26"/>
      <c r="S183" s="26"/>
      <c r="T183" s="26"/>
      <c r="U183" s="26"/>
      <c r="V183" s="26"/>
      <c r="W183" s="26"/>
    </row>
    <row r="184" customFormat="false" ht="11.25" hidden="false" customHeight="false" outlineLevel="0" collapsed="false">
      <c r="O184" s="26"/>
      <c r="P184" s="26"/>
      <c r="Q184" s="26"/>
      <c r="R184" s="26"/>
      <c r="S184" s="26"/>
      <c r="T184" s="26"/>
      <c r="U184" s="26"/>
      <c r="V184" s="26"/>
      <c r="W184" s="26"/>
    </row>
    <row r="185" customFormat="false" ht="11.25" hidden="false" customHeight="false" outlineLevel="0" collapsed="false">
      <c r="O185" s="26"/>
      <c r="P185" s="26"/>
      <c r="Q185" s="26"/>
      <c r="R185" s="26"/>
      <c r="S185" s="26"/>
      <c r="T185" s="26"/>
      <c r="U185" s="26"/>
      <c r="V185" s="26"/>
      <c r="W185" s="26"/>
    </row>
    <row r="186" customFormat="false" ht="11.25" hidden="false" customHeight="false" outlineLevel="0" collapsed="false">
      <c r="O186" s="26"/>
      <c r="P186" s="26"/>
      <c r="Q186" s="26"/>
      <c r="R186" s="26"/>
      <c r="S186" s="26"/>
      <c r="T186" s="26"/>
      <c r="U186" s="26"/>
      <c r="V186" s="26"/>
      <c r="W186" s="26"/>
    </row>
    <row r="187" customFormat="false" ht="11.25" hidden="false" customHeight="false" outlineLevel="0" collapsed="false">
      <c r="O187" s="26"/>
      <c r="P187" s="26"/>
      <c r="Q187" s="26"/>
      <c r="R187" s="26"/>
      <c r="S187" s="26"/>
      <c r="T187" s="26"/>
      <c r="U187" s="26"/>
      <c r="V187" s="26"/>
      <c r="W187" s="26"/>
    </row>
    <row r="188" customFormat="false" ht="11.25" hidden="false" customHeight="false" outlineLevel="0" collapsed="false">
      <c r="O188" s="26"/>
      <c r="P188" s="26"/>
      <c r="Q188" s="26"/>
      <c r="R188" s="26"/>
      <c r="S188" s="26"/>
      <c r="T188" s="26"/>
      <c r="U188" s="26"/>
      <c r="V188" s="26"/>
      <c r="W188" s="26"/>
    </row>
    <row r="189" customFormat="false" ht="11.25" hidden="false" customHeight="false" outlineLevel="0" collapsed="false">
      <c r="O189" s="26"/>
      <c r="P189" s="26"/>
      <c r="Q189" s="26"/>
      <c r="R189" s="26"/>
      <c r="S189" s="26"/>
      <c r="T189" s="26"/>
      <c r="U189" s="26"/>
      <c r="V189" s="26"/>
      <c r="W189" s="26"/>
    </row>
    <row r="190" customFormat="false" ht="11.25" hidden="false" customHeight="false" outlineLevel="0" collapsed="false">
      <c r="O190" s="26"/>
      <c r="P190" s="26"/>
      <c r="Q190" s="26"/>
      <c r="R190" s="26"/>
      <c r="S190" s="26"/>
      <c r="T190" s="26"/>
      <c r="U190" s="26"/>
      <c r="V190" s="26"/>
      <c r="W190" s="26"/>
    </row>
    <row r="191" customFormat="false" ht="11.25" hidden="false" customHeight="false" outlineLevel="0" collapsed="false">
      <c r="O191" s="26"/>
      <c r="P191" s="26"/>
      <c r="Q191" s="26"/>
      <c r="R191" s="26"/>
      <c r="S191" s="26"/>
      <c r="T191" s="26"/>
      <c r="U191" s="26"/>
      <c r="V191" s="26"/>
      <c r="W191" s="26"/>
    </row>
    <row r="192" customFormat="false" ht="11.25" hidden="false" customHeight="false" outlineLevel="0" collapsed="false">
      <c r="O192" s="26"/>
      <c r="P192" s="26"/>
      <c r="Q192" s="26"/>
      <c r="R192" s="26"/>
      <c r="S192" s="26"/>
      <c r="T192" s="26"/>
      <c r="U192" s="26"/>
      <c r="V192" s="26"/>
      <c r="W192" s="26"/>
    </row>
    <row r="193" customFormat="false" ht="11.25" hidden="false" customHeight="false" outlineLevel="0" collapsed="false">
      <c r="O193" s="26"/>
      <c r="P193" s="26"/>
      <c r="Q193" s="26"/>
      <c r="R193" s="26"/>
      <c r="S193" s="26"/>
      <c r="T193" s="26"/>
      <c r="U193" s="26"/>
      <c r="V193" s="26"/>
      <c r="W193" s="26"/>
    </row>
    <row r="194" customFormat="false" ht="11.25" hidden="false" customHeight="false" outlineLevel="0" collapsed="false">
      <c r="O194" s="26"/>
      <c r="P194" s="26"/>
      <c r="Q194" s="26"/>
      <c r="R194" s="26"/>
      <c r="S194" s="26"/>
      <c r="T194" s="26"/>
      <c r="U194" s="26"/>
      <c r="V194" s="26"/>
      <c r="W194" s="26"/>
    </row>
    <row r="195" customFormat="false" ht="11.25" hidden="false" customHeight="false" outlineLevel="0" collapsed="false">
      <c r="O195" s="26"/>
      <c r="P195" s="26"/>
      <c r="Q195" s="26"/>
      <c r="R195" s="26"/>
      <c r="S195" s="26"/>
      <c r="T195" s="26"/>
      <c r="U195" s="26"/>
      <c r="V195" s="26"/>
      <c r="W195" s="26"/>
    </row>
    <row r="196" customFormat="false" ht="11.25" hidden="false" customHeight="false" outlineLevel="0" collapsed="false">
      <c r="O196" s="26"/>
      <c r="P196" s="26"/>
      <c r="Q196" s="26"/>
      <c r="R196" s="26"/>
      <c r="S196" s="26"/>
      <c r="T196" s="26"/>
      <c r="U196" s="26"/>
      <c r="V196" s="26"/>
      <c r="W196" s="26"/>
    </row>
    <row r="197" customFormat="false" ht="11.25" hidden="false" customHeight="false" outlineLevel="0" collapsed="false">
      <c r="O197" s="26"/>
      <c r="P197" s="26"/>
      <c r="Q197" s="26"/>
      <c r="R197" s="26"/>
      <c r="S197" s="26"/>
      <c r="T197" s="26"/>
      <c r="U197" s="26"/>
      <c r="V197" s="26"/>
      <c r="W197" s="26"/>
    </row>
    <row r="198" customFormat="false" ht="11.25" hidden="false" customHeight="false" outlineLevel="0" collapsed="false">
      <c r="O198" s="26"/>
      <c r="P198" s="26"/>
      <c r="Q198" s="26"/>
      <c r="R198" s="26"/>
      <c r="S198" s="26"/>
      <c r="T198" s="26"/>
      <c r="U198" s="26"/>
      <c r="V198" s="26"/>
      <c r="W198" s="26"/>
    </row>
    <row r="199" customFormat="false" ht="11.25" hidden="false" customHeight="false" outlineLevel="0" collapsed="false">
      <c r="O199" s="26"/>
      <c r="P199" s="26"/>
      <c r="Q199" s="26"/>
      <c r="R199" s="26"/>
      <c r="S199" s="26"/>
      <c r="T199" s="26"/>
      <c r="U199" s="26"/>
      <c r="V199" s="26"/>
      <c r="W199" s="26"/>
    </row>
    <row r="200" customFormat="false" ht="11.25" hidden="false" customHeight="false" outlineLevel="0" collapsed="false">
      <c r="O200" s="26"/>
      <c r="P200" s="26"/>
      <c r="Q200" s="26"/>
      <c r="R200" s="26"/>
      <c r="S200" s="26"/>
      <c r="T200" s="26"/>
      <c r="U200" s="26"/>
      <c r="V200" s="26"/>
      <c r="W200" s="26"/>
    </row>
    <row r="201" customFormat="false" ht="11.25" hidden="false" customHeight="false" outlineLevel="0" collapsed="false">
      <c r="O201" s="26"/>
      <c r="P201" s="26"/>
      <c r="Q201" s="26"/>
      <c r="R201" s="26"/>
      <c r="S201" s="26"/>
      <c r="T201" s="26"/>
      <c r="U201" s="26"/>
      <c r="V201" s="26"/>
      <c r="W201" s="26"/>
    </row>
    <row r="202" customFormat="false" ht="11.25" hidden="false" customHeight="false" outlineLevel="0" collapsed="false">
      <c r="O202" s="26"/>
      <c r="P202" s="26"/>
      <c r="Q202" s="26"/>
      <c r="R202" s="26"/>
      <c r="S202" s="26"/>
      <c r="T202" s="26"/>
      <c r="U202" s="26"/>
      <c r="V202" s="26"/>
      <c r="W202" s="26"/>
    </row>
    <row r="203" customFormat="false" ht="11.25" hidden="false" customHeight="false" outlineLevel="0" collapsed="false">
      <c r="O203" s="26"/>
      <c r="P203" s="26"/>
      <c r="Q203" s="26"/>
      <c r="R203" s="26"/>
      <c r="S203" s="26"/>
      <c r="T203" s="26"/>
      <c r="U203" s="26"/>
      <c r="V203" s="26"/>
      <c r="W203" s="26"/>
    </row>
    <row r="204" customFormat="false" ht="11.25" hidden="false" customHeight="false" outlineLevel="0" collapsed="false">
      <c r="O204" s="26"/>
      <c r="P204" s="26"/>
      <c r="Q204" s="26"/>
      <c r="R204" s="26"/>
      <c r="S204" s="26"/>
      <c r="T204" s="26"/>
      <c r="U204" s="26"/>
      <c r="V204" s="26"/>
      <c r="W204" s="26"/>
    </row>
    <row r="205" customFormat="false" ht="11.25" hidden="false" customHeight="false" outlineLevel="0" collapsed="false">
      <c r="O205" s="26"/>
      <c r="P205" s="26"/>
      <c r="Q205" s="26"/>
      <c r="R205" s="26"/>
      <c r="S205" s="26"/>
      <c r="T205" s="26"/>
      <c r="U205" s="26"/>
      <c r="V205" s="26"/>
      <c r="W205" s="26"/>
    </row>
    <row r="206" customFormat="false" ht="11.25" hidden="false" customHeight="false" outlineLevel="0" collapsed="false">
      <c r="O206" s="26"/>
      <c r="P206" s="26"/>
      <c r="Q206" s="26"/>
      <c r="R206" s="26"/>
      <c r="S206" s="26"/>
      <c r="T206" s="26"/>
      <c r="U206" s="26"/>
      <c r="V206" s="26"/>
      <c r="W206" s="26"/>
    </row>
    <row r="207" customFormat="false" ht="11.25" hidden="false" customHeight="false" outlineLevel="0" collapsed="false">
      <c r="O207" s="26"/>
      <c r="P207" s="26"/>
      <c r="Q207" s="26"/>
      <c r="R207" s="26"/>
      <c r="S207" s="26"/>
      <c r="T207" s="26"/>
      <c r="U207" s="26"/>
      <c r="V207" s="26"/>
      <c r="W207" s="26"/>
    </row>
    <row r="208" customFormat="false" ht="11.25" hidden="false" customHeight="false" outlineLevel="0" collapsed="false">
      <c r="O208" s="26"/>
      <c r="P208" s="26"/>
      <c r="Q208" s="26"/>
      <c r="R208" s="26"/>
      <c r="S208" s="26"/>
      <c r="T208" s="26"/>
      <c r="U208" s="26"/>
      <c r="V208" s="26"/>
      <c r="W208" s="26"/>
    </row>
    <row r="209" customFormat="false" ht="11.25" hidden="false" customHeight="false" outlineLevel="0" collapsed="false">
      <c r="O209" s="26"/>
      <c r="P209" s="26"/>
      <c r="Q209" s="26"/>
      <c r="R209" s="26"/>
      <c r="S209" s="26"/>
      <c r="T209" s="26"/>
      <c r="U209" s="26"/>
      <c r="V209" s="26"/>
      <c r="W209" s="26"/>
    </row>
    <row r="210" customFormat="false" ht="11.25" hidden="false" customHeight="false" outlineLevel="0" collapsed="false">
      <c r="O210" s="26"/>
      <c r="P210" s="26"/>
      <c r="Q210" s="26"/>
      <c r="R210" s="26"/>
      <c r="S210" s="26"/>
      <c r="T210" s="26"/>
      <c r="U210" s="26"/>
      <c r="V210" s="26"/>
      <c r="W210" s="26"/>
    </row>
    <row r="211" customFormat="false" ht="11.25" hidden="false" customHeight="false" outlineLevel="0" collapsed="false">
      <c r="O211" s="26"/>
      <c r="P211" s="26"/>
      <c r="Q211" s="26"/>
      <c r="R211" s="26"/>
      <c r="S211" s="26"/>
      <c r="T211" s="26"/>
      <c r="U211" s="26"/>
      <c r="V211" s="26"/>
      <c r="W211" s="26"/>
    </row>
    <row r="212" customFormat="false" ht="11.25" hidden="false" customHeight="false" outlineLevel="0" collapsed="false">
      <c r="O212" s="26"/>
      <c r="P212" s="26"/>
      <c r="Q212" s="26"/>
      <c r="R212" s="26"/>
      <c r="S212" s="26"/>
      <c r="T212" s="26"/>
      <c r="U212" s="26"/>
      <c r="V212" s="26"/>
      <c r="W212" s="26"/>
    </row>
    <row r="213" customFormat="false" ht="11.25" hidden="false" customHeight="false" outlineLevel="0" collapsed="false">
      <c r="O213" s="26"/>
      <c r="P213" s="26"/>
      <c r="Q213" s="26"/>
      <c r="R213" s="26"/>
      <c r="S213" s="26"/>
      <c r="T213" s="26"/>
      <c r="U213" s="26"/>
      <c r="V213" s="26"/>
      <c r="W213" s="26"/>
    </row>
    <row r="214" customFormat="false" ht="11.25" hidden="false" customHeight="false" outlineLevel="0" collapsed="false">
      <c r="O214" s="26"/>
      <c r="P214" s="26"/>
      <c r="Q214" s="26"/>
      <c r="R214" s="26"/>
      <c r="S214" s="26"/>
      <c r="T214" s="26"/>
      <c r="U214" s="26"/>
      <c r="V214" s="26"/>
      <c r="W214" s="26"/>
    </row>
    <row r="215" customFormat="false" ht="11.25" hidden="false" customHeight="false" outlineLevel="0" collapsed="false">
      <c r="O215" s="26"/>
      <c r="P215" s="26"/>
      <c r="Q215" s="26"/>
      <c r="R215" s="26"/>
      <c r="S215" s="26"/>
      <c r="T215" s="26"/>
      <c r="U215" s="26"/>
      <c r="V215" s="26"/>
      <c r="W215" s="26"/>
    </row>
    <row r="216" customFormat="false" ht="11.25" hidden="false" customHeight="false" outlineLevel="0" collapsed="false">
      <c r="O216" s="26"/>
      <c r="P216" s="26"/>
      <c r="Q216" s="26"/>
      <c r="R216" s="26"/>
      <c r="S216" s="26"/>
      <c r="T216" s="26"/>
      <c r="U216" s="26"/>
      <c r="V216" s="26"/>
      <c r="W216" s="26"/>
    </row>
    <row r="217" customFormat="false" ht="11.25" hidden="false" customHeight="false" outlineLevel="0" collapsed="false">
      <c r="O217" s="26"/>
      <c r="P217" s="26"/>
      <c r="Q217" s="26"/>
      <c r="R217" s="26"/>
      <c r="S217" s="26"/>
      <c r="T217" s="26"/>
      <c r="U217" s="26"/>
      <c r="V217" s="26"/>
      <c r="W217" s="26"/>
    </row>
    <row r="218" customFormat="false" ht="11.25" hidden="false" customHeight="false" outlineLevel="0" collapsed="false">
      <c r="O218" s="26"/>
      <c r="P218" s="26"/>
      <c r="Q218" s="26"/>
      <c r="R218" s="26"/>
      <c r="S218" s="26"/>
      <c r="T218" s="26"/>
      <c r="U218" s="26"/>
      <c r="V218" s="26"/>
      <c r="W218" s="26"/>
    </row>
    <row r="219" customFormat="false" ht="11.25" hidden="false" customHeight="false" outlineLevel="0" collapsed="false">
      <c r="O219" s="26"/>
      <c r="P219" s="26"/>
      <c r="Q219" s="26"/>
      <c r="R219" s="26"/>
      <c r="S219" s="26"/>
      <c r="T219" s="26"/>
      <c r="U219" s="26"/>
      <c r="V219" s="26"/>
      <c r="W219" s="26"/>
    </row>
    <row r="220" customFormat="false" ht="11.25" hidden="false" customHeight="false" outlineLevel="0" collapsed="false">
      <c r="O220" s="26"/>
      <c r="P220" s="26"/>
      <c r="Q220" s="26"/>
      <c r="R220" s="26"/>
      <c r="S220" s="26"/>
      <c r="T220" s="26"/>
      <c r="U220" s="26"/>
      <c r="V220" s="26"/>
      <c r="W220" s="26"/>
    </row>
    <row r="221" customFormat="false" ht="11.25" hidden="false" customHeight="false" outlineLevel="0" collapsed="false">
      <c r="O221" s="26"/>
      <c r="P221" s="26"/>
      <c r="Q221" s="26"/>
      <c r="R221" s="26"/>
      <c r="S221" s="26"/>
      <c r="T221" s="26"/>
      <c r="U221" s="26"/>
      <c r="V221" s="26"/>
      <c r="W221" s="26"/>
    </row>
    <row r="222" customFormat="false" ht="11.25" hidden="false" customHeight="false" outlineLevel="0" collapsed="false">
      <c r="O222" s="26"/>
      <c r="P222" s="26"/>
      <c r="Q222" s="26"/>
      <c r="R222" s="26"/>
      <c r="S222" s="26"/>
      <c r="T222" s="26"/>
      <c r="U222" s="26"/>
      <c r="V222" s="26"/>
      <c r="W222" s="26"/>
    </row>
    <row r="223" customFormat="false" ht="11.25" hidden="false" customHeight="false" outlineLevel="0" collapsed="false">
      <c r="O223" s="26"/>
      <c r="P223" s="26"/>
      <c r="Q223" s="26"/>
      <c r="R223" s="26"/>
      <c r="S223" s="26"/>
      <c r="T223" s="26"/>
      <c r="U223" s="26"/>
      <c r="V223" s="26"/>
      <c r="W223" s="26"/>
    </row>
    <row r="224" customFormat="false" ht="11.25" hidden="false" customHeight="false" outlineLevel="0" collapsed="false">
      <c r="O224" s="26"/>
      <c r="P224" s="26"/>
      <c r="Q224" s="26"/>
      <c r="R224" s="26"/>
      <c r="S224" s="26"/>
      <c r="T224" s="26"/>
      <c r="U224" s="26"/>
      <c r="V224" s="26"/>
      <c r="W224" s="26"/>
    </row>
    <row r="225" customFormat="false" ht="11.25" hidden="false" customHeight="false" outlineLevel="0" collapsed="false">
      <c r="O225" s="26"/>
      <c r="P225" s="26"/>
      <c r="Q225" s="26"/>
      <c r="R225" s="26"/>
      <c r="S225" s="26"/>
      <c r="T225" s="26"/>
      <c r="U225" s="26"/>
      <c r="V225" s="26"/>
      <c r="W225" s="26"/>
    </row>
    <row r="226" customFormat="false" ht="11.25" hidden="false" customHeight="false" outlineLevel="0" collapsed="false">
      <c r="O226" s="26"/>
      <c r="P226" s="26"/>
      <c r="Q226" s="26"/>
      <c r="R226" s="26"/>
      <c r="S226" s="26"/>
      <c r="T226" s="26"/>
      <c r="U226" s="26"/>
      <c r="V226" s="26"/>
      <c r="W226" s="26"/>
    </row>
    <row r="227" customFormat="false" ht="11.25" hidden="false" customHeight="false" outlineLevel="0" collapsed="false">
      <c r="O227" s="26"/>
      <c r="P227" s="26"/>
      <c r="Q227" s="26"/>
      <c r="R227" s="26"/>
      <c r="S227" s="26"/>
      <c r="T227" s="26"/>
      <c r="U227" s="26"/>
      <c r="V227" s="26"/>
      <c r="W227" s="26"/>
    </row>
    <row r="228" customFormat="false" ht="11.25" hidden="false" customHeight="false" outlineLevel="0" collapsed="false">
      <c r="O228" s="26"/>
      <c r="P228" s="26"/>
      <c r="Q228" s="26"/>
      <c r="R228" s="26"/>
      <c r="S228" s="26"/>
      <c r="T228" s="26"/>
      <c r="U228" s="26"/>
      <c r="V228" s="26"/>
      <c r="W228" s="26"/>
    </row>
    <row r="229" customFormat="false" ht="11.25" hidden="false" customHeight="false" outlineLevel="0" collapsed="false">
      <c r="O229" s="26"/>
      <c r="P229" s="26"/>
      <c r="Q229" s="26"/>
      <c r="R229" s="26"/>
      <c r="S229" s="26"/>
      <c r="T229" s="26"/>
      <c r="U229" s="26"/>
      <c r="V229" s="26"/>
      <c r="W229" s="26"/>
    </row>
    <row r="230" customFormat="false" ht="11.25" hidden="false" customHeight="false" outlineLevel="0" collapsed="false">
      <c r="O230" s="26"/>
      <c r="P230" s="26"/>
      <c r="Q230" s="26"/>
      <c r="R230" s="26"/>
      <c r="S230" s="26"/>
      <c r="T230" s="26"/>
      <c r="U230" s="26"/>
      <c r="V230" s="26"/>
      <c r="W230" s="26"/>
    </row>
    <row r="231" customFormat="false" ht="11.25" hidden="false" customHeight="false" outlineLevel="0" collapsed="false">
      <c r="O231" s="26"/>
      <c r="P231" s="26"/>
      <c r="Q231" s="26"/>
      <c r="R231" s="26"/>
      <c r="S231" s="26"/>
      <c r="T231" s="26"/>
      <c r="U231" s="26"/>
      <c r="V231" s="26"/>
      <c r="W231" s="26"/>
    </row>
    <row r="232" customFormat="false" ht="11.25" hidden="false" customHeight="false" outlineLevel="0" collapsed="false">
      <c r="O232" s="26"/>
      <c r="P232" s="26"/>
      <c r="Q232" s="26"/>
      <c r="R232" s="26"/>
      <c r="S232" s="26"/>
      <c r="T232" s="26"/>
      <c r="U232" s="26"/>
      <c r="V232" s="26"/>
      <c r="W232" s="26"/>
    </row>
    <row r="233" customFormat="false" ht="11.25" hidden="false" customHeight="false" outlineLevel="0" collapsed="false">
      <c r="O233" s="26"/>
      <c r="P233" s="26"/>
      <c r="Q233" s="26"/>
      <c r="R233" s="26"/>
      <c r="S233" s="26"/>
      <c r="T233" s="26"/>
      <c r="U233" s="26"/>
      <c r="V233" s="26"/>
      <c r="W233" s="26"/>
    </row>
    <row r="234" customFormat="false" ht="11.25" hidden="false" customHeight="false" outlineLevel="0" collapsed="false">
      <c r="O234" s="26"/>
      <c r="P234" s="26"/>
      <c r="Q234" s="26"/>
      <c r="R234" s="26"/>
      <c r="S234" s="26"/>
      <c r="T234" s="26"/>
      <c r="U234" s="26"/>
      <c r="V234" s="26"/>
      <c r="W234" s="26"/>
    </row>
    <row r="235" customFormat="false" ht="11.25" hidden="false" customHeight="false" outlineLevel="0" collapsed="false">
      <c r="O235" s="26"/>
      <c r="P235" s="26"/>
      <c r="Q235" s="26"/>
      <c r="R235" s="26"/>
      <c r="S235" s="26"/>
      <c r="T235" s="26"/>
      <c r="U235" s="26"/>
      <c r="V235" s="26"/>
      <c r="W235" s="26"/>
    </row>
    <row r="236" customFormat="false" ht="11.25" hidden="false" customHeight="false" outlineLevel="0" collapsed="false">
      <c r="O236" s="26"/>
      <c r="P236" s="26"/>
      <c r="Q236" s="26"/>
      <c r="R236" s="26"/>
      <c r="S236" s="26"/>
      <c r="T236" s="26"/>
      <c r="U236" s="26"/>
      <c r="V236" s="26"/>
      <c r="W236" s="26"/>
    </row>
    <row r="237" customFormat="false" ht="11.25" hidden="false" customHeight="false" outlineLevel="0" collapsed="false">
      <c r="O237" s="26"/>
      <c r="P237" s="26"/>
      <c r="Q237" s="26"/>
      <c r="R237" s="26"/>
      <c r="S237" s="26"/>
      <c r="T237" s="26"/>
      <c r="U237" s="26"/>
      <c r="V237" s="26"/>
      <c r="W237" s="26"/>
    </row>
    <row r="238" customFormat="false" ht="11.25" hidden="false" customHeight="false" outlineLevel="0" collapsed="false">
      <c r="O238" s="26"/>
      <c r="P238" s="26"/>
      <c r="Q238" s="26"/>
      <c r="R238" s="26"/>
      <c r="S238" s="26"/>
      <c r="T238" s="26"/>
      <c r="U238" s="26"/>
      <c r="V238" s="26"/>
      <c r="W238" s="26"/>
    </row>
    <row r="239" customFormat="false" ht="11.25" hidden="false" customHeight="false" outlineLevel="0" collapsed="false">
      <c r="O239" s="26"/>
      <c r="P239" s="26"/>
      <c r="Q239" s="26"/>
      <c r="R239" s="26"/>
      <c r="S239" s="26"/>
      <c r="T239" s="26"/>
      <c r="U239" s="26"/>
      <c r="V239" s="26"/>
      <c r="W239" s="26"/>
    </row>
    <row r="240" customFormat="false" ht="11.25" hidden="false" customHeight="false" outlineLevel="0" collapsed="false">
      <c r="O240" s="26"/>
      <c r="P240" s="26"/>
      <c r="Q240" s="26"/>
      <c r="R240" s="26"/>
      <c r="S240" s="26"/>
      <c r="T240" s="26"/>
      <c r="U240" s="26"/>
      <c r="V240" s="26"/>
      <c r="W240" s="26"/>
    </row>
    <row r="241" customFormat="false" ht="11.25" hidden="false" customHeight="false" outlineLevel="0" collapsed="false">
      <c r="O241" s="26"/>
      <c r="P241" s="26"/>
      <c r="Q241" s="26"/>
      <c r="R241" s="26"/>
      <c r="S241" s="26"/>
      <c r="T241" s="26"/>
      <c r="U241" s="26"/>
      <c r="V241" s="26"/>
      <c r="W241" s="26"/>
    </row>
    <row r="242" customFormat="false" ht="11.25" hidden="false" customHeight="false" outlineLevel="0" collapsed="false">
      <c r="O242" s="26"/>
      <c r="P242" s="26"/>
      <c r="Q242" s="26"/>
      <c r="R242" s="26"/>
      <c r="S242" s="26"/>
      <c r="T242" s="26"/>
      <c r="U242" s="26"/>
      <c r="V242" s="26"/>
      <c r="W242" s="26"/>
    </row>
    <row r="243" customFormat="false" ht="11.25" hidden="false" customHeight="false" outlineLevel="0" collapsed="false">
      <c r="O243" s="26"/>
      <c r="P243" s="26"/>
      <c r="Q243" s="26"/>
      <c r="R243" s="26"/>
      <c r="S243" s="26"/>
      <c r="T243" s="26"/>
      <c r="U243" s="26"/>
      <c r="V243" s="26"/>
      <c r="W243" s="26"/>
    </row>
    <row r="244" customFormat="false" ht="11.25" hidden="false" customHeight="false" outlineLevel="0" collapsed="false">
      <c r="O244" s="26"/>
      <c r="P244" s="26"/>
      <c r="Q244" s="26"/>
      <c r="R244" s="26"/>
      <c r="S244" s="26"/>
      <c r="T244" s="26"/>
      <c r="U244" s="26"/>
      <c r="V244" s="26"/>
      <c r="W244" s="26"/>
    </row>
    <row r="245" customFormat="false" ht="11.25" hidden="false" customHeight="false" outlineLevel="0" collapsed="false">
      <c r="O245" s="26"/>
      <c r="P245" s="26"/>
      <c r="Q245" s="26"/>
      <c r="R245" s="26"/>
      <c r="S245" s="26"/>
      <c r="T245" s="26"/>
      <c r="U245" s="26"/>
      <c r="V245" s="26"/>
      <c r="W245" s="26"/>
    </row>
    <row r="246" customFormat="false" ht="11.25" hidden="false" customHeight="false" outlineLevel="0" collapsed="false">
      <c r="O246" s="26"/>
      <c r="P246" s="26"/>
      <c r="Q246" s="26"/>
      <c r="R246" s="26"/>
      <c r="S246" s="26"/>
      <c r="T246" s="26"/>
      <c r="U246" s="26"/>
      <c r="V246" s="26"/>
      <c r="W246" s="26"/>
    </row>
    <row r="247" customFormat="false" ht="11.25" hidden="false" customHeight="false" outlineLevel="0" collapsed="false">
      <c r="O247" s="26"/>
      <c r="P247" s="26"/>
      <c r="Q247" s="26"/>
      <c r="R247" s="26"/>
      <c r="S247" s="26"/>
      <c r="T247" s="26"/>
      <c r="U247" s="26"/>
      <c r="V247" s="26"/>
      <c r="W247" s="26"/>
    </row>
    <row r="248" customFormat="false" ht="11.25" hidden="false" customHeight="false" outlineLevel="0" collapsed="false">
      <c r="O248" s="26"/>
      <c r="P248" s="26"/>
      <c r="Q248" s="26"/>
      <c r="R248" s="26"/>
      <c r="S248" s="26"/>
      <c r="T248" s="26"/>
      <c r="U248" s="26"/>
      <c r="V248" s="26"/>
      <c r="W248" s="26"/>
    </row>
    <row r="249" customFormat="false" ht="11.25" hidden="false" customHeight="false" outlineLevel="0" collapsed="false">
      <c r="O249" s="26"/>
      <c r="P249" s="26"/>
      <c r="Q249" s="26"/>
      <c r="R249" s="26"/>
      <c r="S249" s="26"/>
      <c r="T249" s="26"/>
      <c r="U249" s="26"/>
      <c r="V249" s="26"/>
      <c r="W249" s="26"/>
    </row>
    <row r="250" customFormat="false" ht="11.25" hidden="false" customHeight="false" outlineLevel="0" collapsed="false">
      <c r="O250" s="26"/>
      <c r="P250" s="26"/>
      <c r="Q250" s="26"/>
      <c r="R250" s="26"/>
      <c r="S250" s="26"/>
      <c r="T250" s="26"/>
      <c r="U250" s="26"/>
      <c r="V250" s="26"/>
      <c r="W250" s="26"/>
    </row>
    <row r="251" customFormat="false" ht="11.25" hidden="false" customHeight="false" outlineLevel="0" collapsed="false">
      <c r="O251" s="26"/>
      <c r="P251" s="26"/>
      <c r="Q251" s="26"/>
      <c r="R251" s="26"/>
      <c r="S251" s="26"/>
      <c r="T251" s="26"/>
      <c r="U251" s="26"/>
      <c r="V251" s="26"/>
      <c r="W251" s="26"/>
    </row>
    <row r="252" customFormat="false" ht="11.25" hidden="false" customHeight="false" outlineLevel="0" collapsed="false">
      <c r="O252" s="26"/>
      <c r="P252" s="26"/>
      <c r="Q252" s="26"/>
      <c r="R252" s="26"/>
      <c r="S252" s="26"/>
      <c r="T252" s="26"/>
      <c r="U252" s="26"/>
      <c r="V252" s="26"/>
      <c r="W252" s="26"/>
    </row>
    <row r="253" customFormat="false" ht="11.25" hidden="false" customHeight="false" outlineLevel="0" collapsed="false">
      <c r="O253" s="26"/>
      <c r="P253" s="26"/>
      <c r="Q253" s="26"/>
      <c r="R253" s="26"/>
      <c r="S253" s="26"/>
      <c r="T253" s="26"/>
      <c r="U253" s="26"/>
      <c r="V253" s="26"/>
      <c r="W253" s="26"/>
    </row>
    <row r="254" customFormat="false" ht="11.25" hidden="false" customHeight="false" outlineLevel="0" collapsed="false">
      <c r="O254" s="26"/>
      <c r="P254" s="26"/>
      <c r="Q254" s="26"/>
      <c r="R254" s="26"/>
      <c r="S254" s="26"/>
      <c r="T254" s="26"/>
      <c r="U254" s="26"/>
      <c r="V254" s="26"/>
      <c r="W254" s="26"/>
    </row>
    <row r="255" customFormat="false" ht="11.25" hidden="false" customHeight="false" outlineLevel="0" collapsed="false">
      <c r="O255" s="26"/>
      <c r="P255" s="26"/>
      <c r="Q255" s="26"/>
      <c r="R255" s="26"/>
      <c r="S255" s="26"/>
      <c r="T255" s="26"/>
      <c r="U255" s="26"/>
      <c r="V255" s="26"/>
      <c r="W255" s="26"/>
    </row>
    <row r="256" customFormat="false" ht="11.25" hidden="false" customHeight="false" outlineLevel="0" collapsed="false">
      <c r="O256" s="26"/>
      <c r="P256" s="26"/>
      <c r="Q256" s="26"/>
      <c r="R256" s="26"/>
      <c r="S256" s="26"/>
      <c r="T256" s="26"/>
      <c r="U256" s="26"/>
      <c r="V256" s="26"/>
      <c r="W256" s="26"/>
    </row>
    <row r="257" customFormat="false" ht="11.25" hidden="false" customHeight="false" outlineLevel="0" collapsed="false">
      <c r="O257" s="26"/>
      <c r="P257" s="26"/>
      <c r="Q257" s="26"/>
      <c r="R257" s="26"/>
      <c r="S257" s="26"/>
      <c r="T257" s="26"/>
      <c r="U257" s="26"/>
      <c r="V257" s="26"/>
      <c r="W257" s="26"/>
    </row>
    <row r="258" customFormat="false" ht="11.25" hidden="false" customHeight="false" outlineLevel="0" collapsed="false">
      <c r="O258" s="26"/>
      <c r="P258" s="26"/>
      <c r="Q258" s="26"/>
      <c r="R258" s="26"/>
      <c r="S258" s="26"/>
      <c r="T258" s="26"/>
      <c r="U258" s="26"/>
      <c r="V258" s="26"/>
      <c r="W258" s="26"/>
    </row>
    <row r="259" customFormat="false" ht="11.25" hidden="false" customHeight="false" outlineLevel="0" collapsed="false">
      <c r="O259" s="26"/>
      <c r="P259" s="26"/>
      <c r="Q259" s="26"/>
      <c r="R259" s="26"/>
      <c r="S259" s="26"/>
      <c r="T259" s="26"/>
      <c r="U259" s="26"/>
      <c r="V259" s="26"/>
      <c r="W259" s="26"/>
    </row>
    <row r="260" customFormat="false" ht="11.25" hidden="false" customHeight="false" outlineLevel="0" collapsed="false">
      <c r="O260" s="26"/>
      <c r="P260" s="26"/>
      <c r="Q260" s="26"/>
      <c r="R260" s="26"/>
      <c r="S260" s="26"/>
      <c r="T260" s="26"/>
      <c r="U260" s="26"/>
      <c r="V260" s="26"/>
      <c r="W260" s="26"/>
    </row>
    <row r="261" customFormat="false" ht="11.25" hidden="false" customHeight="false" outlineLevel="0" collapsed="false">
      <c r="O261" s="26"/>
      <c r="P261" s="26"/>
      <c r="Q261" s="26"/>
      <c r="R261" s="26"/>
      <c r="S261" s="26"/>
      <c r="T261" s="26"/>
      <c r="U261" s="26"/>
      <c r="V261" s="26"/>
      <c r="W261" s="26"/>
    </row>
    <row r="262" customFormat="false" ht="11.25" hidden="false" customHeight="false" outlineLevel="0" collapsed="false">
      <c r="O262" s="26"/>
      <c r="P262" s="26"/>
      <c r="Q262" s="26"/>
      <c r="R262" s="26"/>
      <c r="S262" s="26"/>
      <c r="T262" s="26"/>
      <c r="U262" s="26"/>
      <c r="V262" s="26"/>
      <c r="W262" s="26"/>
    </row>
    <row r="263" customFormat="false" ht="11.25" hidden="false" customHeight="false" outlineLevel="0" collapsed="false">
      <c r="O263" s="26"/>
      <c r="P263" s="26"/>
      <c r="Q263" s="26"/>
      <c r="R263" s="26"/>
      <c r="S263" s="26"/>
      <c r="T263" s="26"/>
      <c r="U263" s="26"/>
      <c r="V263" s="26"/>
      <c r="W263" s="26"/>
    </row>
    <row r="264" customFormat="false" ht="11.25" hidden="false" customHeight="false" outlineLevel="0" collapsed="false">
      <c r="O264" s="26"/>
      <c r="P264" s="26"/>
      <c r="Q264" s="26"/>
      <c r="R264" s="26"/>
      <c r="S264" s="26"/>
      <c r="T264" s="26"/>
      <c r="U264" s="26"/>
      <c r="V264" s="26"/>
      <c r="W264" s="26"/>
    </row>
    <row r="265" customFormat="false" ht="11.25" hidden="false" customHeight="false" outlineLevel="0" collapsed="false">
      <c r="O265" s="26"/>
      <c r="P265" s="26"/>
      <c r="Q265" s="26"/>
      <c r="R265" s="26"/>
      <c r="S265" s="26"/>
      <c r="T265" s="26"/>
      <c r="U265" s="26"/>
      <c r="V265" s="26"/>
      <c r="W265" s="26"/>
    </row>
    <row r="266" customFormat="false" ht="11.25" hidden="false" customHeight="false" outlineLevel="0" collapsed="false">
      <c r="O266" s="26"/>
      <c r="P266" s="26"/>
      <c r="Q266" s="26"/>
      <c r="R266" s="26"/>
      <c r="S266" s="26"/>
      <c r="T266" s="26"/>
      <c r="U266" s="26"/>
      <c r="V266" s="26"/>
      <c r="W266" s="26"/>
    </row>
    <row r="267" customFormat="false" ht="11.25" hidden="false" customHeight="false" outlineLevel="0" collapsed="false">
      <c r="O267" s="26"/>
      <c r="P267" s="26"/>
      <c r="Q267" s="26"/>
      <c r="R267" s="26"/>
      <c r="S267" s="26"/>
      <c r="T267" s="26"/>
      <c r="U267" s="26"/>
      <c r="V267" s="26"/>
      <c r="W267" s="26"/>
    </row>
    <row r="268" customFormat="false" ht="11.25" hidden="false" customHeight="false" outlineLevel="0" collapsed="false">
      <c r="O268" s="26"/>
      <c r="P268" s="26"/>
      <c r="Q268" s="26"/>
      <c r="R268" s="26"/>
      <c r="S268" s="26"/>
      <c r="T268" s="26"/>
      <c r="U268" s="26"/>
      <c r="V268" s="26"/>
      <c r="W268" s="26"/>
    </row>
    <row r="269" customFormat="false" ht="11.25" hidden="false" customHeight="false" outlineLevel="0" collapsed="false">
      <c r="O269" s="26"/>
      <c r="P269" s="26"/>
      <c r="Q269" s="26"/>
      <c r="R269" s="26"/>
      <c r="S269" s="26"/>
      <c r="T269" s="26"/>
      <c r="U269" s="26"/>
      <c r="V269" s="26"/>
      <c r="W269" s="26"/>
    </row>
    <row r="270" customFormat="false" ht="11.25" hidden="false" customHeight="false" outlineLevel="0" collapsed="false">
      <c r="O270" s="26"/>
      <c r="P270" s="26"/>
      <c r="Q270" s="26"/>
      <c r="R270" s="26"/>
      <c r="S270" s="26"/>
      <c r="T270" s="26"/>
      <c r="U270" s="26"/>
      <c r="V270" s="26"/>
      <c r="W270" s="26"/>
    </row>
    <row r="271" customFormat="false" ht="11.25" hidden="false" customHeight="false" outlineLevel="0" collapsed="false">
      <c r="O271" s="26"/>
      <c r="P271" s="26"/>
      <c r="Q271" s="26"/>
      <c r="R271" s="26"/>
      <c r="S271" s="26"/>
      <c r="T271" s="26"/>
      <c r="U271" s="26"/>
      <c r="V271" s="26"/>
      <c r="W271" s="26"/>
    </row>
    <row r="272" customFormat="false" ht="11.25" hidden="false" customHeight="false" outlineLevel="0" collapsed="false">
      <c r="O272" s="26"/>
      <c r="P272" s="26"/>
      <c r="Q272" s="26"/>
      <c r="R272" s="26"/>
      <c r="S272" s="26"/>
      <c r="T272" s="26"/>
      <c r="U272" s="26"/>
      <c r="V272" s="26"/>
      <c r="W272" s="26"/>
    </row>
    <row r="273" customFormat="false" ht="11.25" hidden="false" customHeight="false" outlineLevel="0" collapsed="false">
      <c r="O273" s="26"/>
      <c r="P273" s="26"/>
      <c r="Q273" s="26"/>
      <c r="R273" s="26"/>
      <c r="S273" s="26"/>
      <c r="T273" s="26"/>
      <c r="U273" s="26"/>
      <c r="V273" s="26"/>
      <c r="W273" s="26"/>
    </row>
    <row r="274" customFormat="false" ht="11.25" hidden="false" customHeight="false" outlineLevel="0" collapsed="false">
      <c r="O274" s="26"/>
      <c r="P274" s="26"/>
      <c r="Q274" s="26"/>
      <c r="R274" s="26"/>
      <c r="S274" s="26"/>
      <c r="T274" s="26"/>
      <c r="U274" s="26"/>
      <c r="V274" s="26"/>
      <c r="W274" s="26"/>
    </row>
    <row r="275" customFormat="false" ht="11.25" hidden="false" customHeight="false" outlineLevel="0" collapsed="false">
      <c r="O275" s="26"/>
      <c r="P275" s="26"/>
      <c r="Q275" s="26"/>
      <c r="R275" s="26"/>
      <c r="S275" s="26"/>
      <c r="T275" s="26"/>
      <c r="U275" s="26"/>
      <c r="V275" s="26"/>
      <c r="W275" s="26"/>
    </row>
    <row r="276" customFormat="false" ht="11.25" hidden="false" customHeight="false" outlineLevel="0" collapsed="false">
      <c r="O276" s="26"/>
      <c r="P276" s="26"/>
      <c r="Q276" s="26"/>
      <c r="R276" s="26"/>
      <c r="S276" s="26"/>
      <c r="T276" s="26"/>
      <c r="U276" s="26"/>
      <c r="V276" s="26"/>
      <c r="W276" s="26"/>
    </row>
    <row r="277" customFormat="false" ht="11.25" hidden="false" customHeight="false" outlineLevel="0" collapsed="false">
      <c r="O277" s="26"/>
      <c r="P277" s="26"/>
      <c r="Q277" s="26"/>
      <c r="R277" s="26"/>
      <c r="S277" s="26"/>
      <c r="T277" s="26"/>
      <c r="U277" s="26"/>
      <c r="V277" s="26"/>
      <c r="W277" s="26"/>
    </row>
    <row r="278" customFormat="false" ht="11.25" hidden="false" customHeight="false" outlineLevel="0" collapsed="false">
      <c r="O278" s="26"/>
      <c r="P278" s="26"/>
      <c r="Q278" s="26"/>
      <c r="R278" s="26"/>
      <c r="S278" s="26"/>
      <c r="T278" s="26"/>
      <c r="U278" s="26"/>
      <c r="V278" s="26"/>
      <c r="W278" s="26"/>
    </row>
    <row r="279" customFormat="false" ht="11.25" hidden="false" customHeight="false" outlineLevel="0" collapsed="false">
      <c r="O279" s="26"/>
      <c r="P279" s="26"/>
      <c r="Q279" s="26"/>
      <c r="R279" s="26"/>
      <c r="S279" s="26"/>
      <c r="T279" s="26"/>
      <c r="U279" s="26"/>
      <c r="V279" s="26"/>
      <c r="W279" s="26"/>
    </row>
    <row r="280" customFormat="false" ht="11.25" hidden="false" customHeight="false" outlineLevel="0" collapsed="false">
      <c r="O280" s="26"/>
      <c r="P280" s="26"/>
      <c r="Q280" s="26"/>
      <c r="R280" s="26"/>
      <c r="S280" s="26"/>
      <c r="T280" s="26"/>
      <c r="U280" s="26"/>
      <c r="V280" s="26"/>
      <c r="W280" s="26"/>
    </row>
    <row r="281" customFormat="false" ht="11.25" hidden="false" customHeight="false" outlineLevel="0" collapsed="false">
      <c r="O281" s="26"/>
      <c r="P281" s="26"/>
      <c r="Q281" s="26"/>
      <c r="R281" s="26"/>
      <c r="S281" s="26"/>
      <c r="T281" s="26"/>
      <c r="U281" s="26"/>
      <c r="V281" s="26"/>
      <c r="W281" s="26"/>
    </row>
    <row r="282" customFormat="false" ht="11.25" hidden="false" customHeight="false" outlineLevel="0" collapsed="false">
      <c r="O282" s="26"/>
      <c r="P282" s="26"/>
      <c r="Q282" s="26"/>
      <c r="R282" s="26"/>
      <c r="S282" s="26"/>
      <c r="T282" s="26"/>
      <c r="U282" s="26"/>
      <c r="V282" s="26"/>
      <c r="W282" s="26"/>
    </row>
    <row r="283" customFormat="false" ht="11.25" hidden="false" customHeight="false" outlineLevel="0" collapsed="false">
      <c r="O283" s="26"/>
      <c r="P283" s="26"/>
      <c r="Q283" s="26"/>
      <c r="R283" s="26"/>
      <c r="S283" s="26"/>
      <c r="T283" s="26"/>
      <c r="U283" s="26"/>
      <c r="V283" s="26"/>
      <c r="W283" s="26"/>
    </row>
    <row r="284" customFormat="false" ht="11.25" hidden="false" customHeight="false" outlineLevel="0" collapsed="false">
      <c r="O284" s="26"/>
      <c r="P284" s="26"/>
      <c r="Q284" s="26"/>
      <c r="R284" s="26"/>
      <c r="S284" s="26"/>
      <c r="T284" s="26"/>
      <c r="U284" s="26"/>
      <c r="V284" s="26"/>
      <c r="W284" s="26"/>
    </row>
    <row r="285" customFormat="false" ht="11.25" hidden="false" customHeight="false" outlineLevel="0" collapsed="false">
      <c r="O285" s="26"/>
      <c r="P285" s="26"/>
      <c r="Q285" s="26"/>
      <c r="R285" s="26"/>
      <c r="S285" s="26"/>
      <c r="T285" s="26"/>
      <c r="U285" s="26"/>
      <c r="V285" s="26"/>
      <c r="W285" s="26"/>
    </row>
    <row r="286" customFormat="false" ht="11.25" hidden="false" customHeight="false" outlineLevel="0" collapsed="false">
      <c r="O286" s="26"/>
      <c r="P286" s="26"/>
      <c r="Q286" s="26"/>
      <c r="R286" s="26"/>
      <c r="S286" s="26"/>
      <c r="T286" s="26"/>
      <c r="U286" s="26"/>
      <c r="V286" s="26"/>
      <c r="W286" s="26"/>
    </row>
    <row r="287" customFormat="false" ht="11.25" hidden="false" customHeight="false" outlineLevel="0" collapsed="false">
      <c r="O287" s="26"/>
      <c r="P287" s="26"/>
      <c r="Q287" s="26"/>
      <c r="R287" s="26"/>
      <c r="S287" s="26"/>
      <c r="T287" s="26"/>
      <c r="U287" s="26"/>
      <c r="V287" s="26"/>
      <c r="W287" s="26"/>
    </row>
    <row r="288" customFormat="false" ht="11.25" hidden="false" customHeight="false" outlineLevel="0" collapsed="false">
      <c r="O288" s="26"/>
      <c r="P288" s="26"/>
      <c r="Q288" s="26"/>
      <c r="R288" s="26"/>
      <c r="S288" s="26"/>
      <c r="T288" s="26"/>
      <c r="U288" s="26"/>
      <c r="V288" s="26"/>
      <c r="W288" s="26"/>
    </row>
    <row r="289" customFormat="false" ht="11.25" hidden="false" customHeight="false" outlineLevel="0" collapsed="false">
      <c r="O289" s="26"/>
      <c r="P289" s="26"/>
      <c r="Q289" s="26"/>
      <c r="R289" s="26"/>
      <c r="S289" s="26"/>
      <c r="T289" s="26"/>
      <c r="U289" s="26"/>
      <c r="V289" s="26"/>
      <c r="W289" s="26"/>
    </row>
    <row r="290" customFormat="false" ht="11.25" hidden="false" customHeight="false" outlineLevel="0" collapsed="false">
      <c r="O290" s="26"/>
      <c r="P290" s="26"/>
      <c r="Q290" s="26"/>
      <c r="R290" s="26"/>
      <c r="S290" s="26"/>
      <c r="T290" s="26"/>
      <c r="U290" s="26"/>
      <c r="V290" s="26"/>
      <c r="W290" s="26"/>
    </row>
    <row r="291" customFormat="false" ht="11.25" hidden="false" customHeight="false" outlineLevel="0" collapsed="false">
      <c r="O291" s="26"/>
      <c r="P291" s="26"/>
      <c r="Q291" s="26"/>
      <c r="R291" s="26"/>
      <c r="S291" s="26"/>
      <c r="T291" s="26"/>
      <c r="U291" s="26"/>
      <c r="V291" s="26"/>
      <c r="W291" s="26"/>
    </row>
    <row r="292" customFormat="false" ht="11.25" hidden="false" customHeight="false" outlineLevel="0" collapsed="false">
      <c r="O292" s="26"/>
      <c r="P292" s="26"/>
      <c r="Q292" s="26"/>
      <c r="R292" s="26"/>
      <c r="S292" s="26"/>
      <c r="T292" s="26"/>
      <c r="U292" s="26"/>
      <c r="V292" s="26"/>
      <c r="W292" s="26"/>
    </row>
    <row r="293" customFormat="false" ht="11.25" hidden="false" customHeight="false" outlineLevel="0" collapsed="false">
      <c r="O293" s="26"/>
      <c r="P293" s="26"/>
      <c r="Q293" s="26"/>
      <c r="R293" s="26"/>
      <c r="S293" s="26"/>
      <c r="T293" s="26"/>
      <c r="U293" s="26"/>
      <c r="V293" s="26"/>
      <c r="W293" s="26"/>
    </row>
    <row r="294" customFormat="false" ht="11.25" hidden="false" customHeight="false" outlineLevel="0" collapsed="false">
      <c r="O294" s="26"/>
      <c r="P294" s="26"/>
      <c r="Q294" s="26"/>
      <c r="R294" s="26"/>
      <c r="S294" s="26"/>
      <c r="T294" s="26"/>
      <c r="U294" s="26"/>
      <c r="V294" s="26"/>
      <c r="W294" s="26"/>
    </row>
    <row r="295" customFormat="false" ht="11.25" hidden="false" customHeight="false" outlineLevel="0" collapsed="false">
      <c r="O295" s="26"/>
      <c r="P295" s="26"/>
      <c r="Q295" s="26"/>
      <c r="R295" s="26"/>
      <c r="S295" s="26"/>
      <c r="T295" s="26"/>
      <c r="U295" s="26"/>
      <c r="V295" s="26"/>
      <c r="W295" s="26"/>
    </row>
    <row r="296" customFormat="false" ht="11.25" hidden="false" customHeight="false" outlineLevel="0" collapsed="false">
      <c r="O296" s="26"/>
      <c r="P296" s="26"/>
      <c r="Q296" s="26"/>
      <c r="R296" s="26"/>
      <c r="S296" s="26"/>
      <c r="T296" s="26"/>
      <c r="U296" s="26"/>
      <c r="V296" s="26"/>
      <c r="W296" s="26"/>
    </row>
    <row r="297" customFormat="false" ht="11.25" hidden="false" customHeight="false" outlineLevel="0" collapsed="false">
      <c r="O297" s="26"/>
      <c r="P297" s="26"/>
      <c r="Q297" s="26"/>
      <c r="R297" s="26"/>
      <c r="S297" s="26"/>
      <c r="T297" s="26"/>
      <c r="U297" s="26"/>
      <c r="V297" s="26"/>
      <c r="W297" s="26"/>
    </row>
    <row r="298" customFormat="false" ht="11.25" hidden="false" customHeight="false" outlineLevel="0" collapsed="false">
      <c r="O298" s="26"/>
      <c r="P298" s="26"/>
      <c r="Q298" s="26"/>
      <c r="R298" s="26"/>
      <c r="S298" s="26"/>
      <c r="T298" s="26"/>
      <c r="U298" s="26"/>
      <c r="V298" s="26"/>
      <c r="W298" s="26"/>
    </row>
    <row r="299" customFormat="false" ht="11.25" hidden="false" customHeight="false" outlineLevel="0" collapsed="false">
      <c r="O299" s="26"/>
      <c r="P299" s="26"/>
      <c r="Q299" s="26"/>
      <c r="R299" s="26"/>
      <c r="S299" s="26"/>
      <c r="T299" s="26"/>
      <c r="U299" s="26"/>
      <c r="V299" s="26"/>
      <c r="W299" s="26"/>
    </row>
    <row r="300" customFormat="false" ht="11.25" hidden="false" customHeight="false" outlineLevel="0" collapsed="false">
      <c r="O300" s="26"/>
      <c r="P300" s="26"/>
      <c r="Q300" s="26"/>
      <c r="R300" s="26"/>
      <c r="S300" s="26"/>
      <c r="T300" s="26"/>
      <c r="U300" s="26"/>
      <c r="V300" s="26"/>
      <c r="W300" s="26"/>
    </row>
    <row r="301" customFormat="false" ht="11.25" hidden="false" customHeight="false" outlineLevel="0" collapsed="false">
      <c r="O301" s="26"/>
      <c r="P301" s="26"/>
      <c r="Q301" s="26"/>
      <c r="R301" s="26"/>
      <c r="S301" s="26"/>
      <c r="T301" s="26"/>
      <c r="U301" s="26"/>
      <c r="V301" s="26"/>
      <c r="W301" s="26"/>
    </row>
    <row r="302" customFormat="false" ht="11.25" hidden="false" customHeight="false" outlineLevel="0" collapsed="false">
      <c r="O302" s="26"/>
      <c r="P302" s="26"/>
      <c r="Q302" s="26"/>
      <c r="R302" s="26"/>
      <c r="S302" s="26"/>
      <c r="T302" s="26"/>
      <c r="U302" s="26"/>
      <c r="V302" s="26"/>
      <c r="W302" s="26"/>
    </row>
    <row r="303" customFormat="false" ht="11.25" hidden="false" customHeight="false" outlineLevel="0" collapsed="false">
      <c r="O303" s="26"/>
      <c r="P303" s="26"/>
      <c r="Q303" s="26"/>
      <c r="R303" s="26"/>
      <c r="S303" s="26"/>
      <c r="T303" s="26"/>
      <c r="U303" s="26"/>
      <c r="V303" s="26"/>
      <c r="W303" s="26"/>
    </row>
    <row r="304" customFormat="false" ht="11.25" hidden="false" customHeight="false" outlineLevel="0" collapsed="false">
      <c r="O304" s="26"/>
      <c r="P304" s="26"/>
      <c r="Q304" s="26"/>
      <c r="R304" s="26"/>
      <c r="S304" s="26"/>
      <c r="T304" s="26"/>
      <c r="U304" s="26"/>
      <c r="V304" s="26"/>
      <c r="W304" s="26"/>
    </row>
    <row r="305" customFormat="false" ht="11.25" hidden="false" customHeight="false" outlineLevel="0" collapsed="false">
      <c r="O305" s="26"/>
      <c r="P305" s="26"/>
      <c r="Q305" s="26"/>
      <c r="R305" s="26"/>
      <c r="S305" s="26"/>
      <c r="T305" s="26"/>
      <c r="U305" s="26"/>
      <c r="V305" s="26"/>
      <c r="W305" s="26"/>
    </row>
    <row r="306" customFormat="false" ht="11.25" hidden="false" customHeight="false" outlineLevel="0" collapsed="false">
      <c r="O306" s="26"/>
      <c r="P306" s="26"/>
      <c r="Q306" s="26"/>
      <c r="R306" s="26"/>
      <c r="S306" s="26"/>
      <c r="T306" s="26"/>
      <c r="U306" s="26"/>
      <c r="V306" s="26"/>
      <c r="W306" s="26"/>
    </row>
    <row r="307" customFormat="false" ht="11.25" hidden="false" customHeight="false" outlineLevel="0" collapsed="false">
      <c r="O307" s="26"/>
      <c r="P307" s="26"/>
      <c r="Q307" s="26"/>
      <c r="R307" s="26"/>
      <c r="S307" s="26"/>
      <c r="T307" s="26"/>
      <c r="U307" s="26"/>
      <c r="V307" s="26"/>
      <c r="W307" s="26"/>
    </row>
    <row r="308" customFormat="false" ht="11.25" hidden="false" customHeight="false" outlineLevel="0" collapsed="false">
      <c r="O308" s="26"/>
      <c r="P308" s="26"/>
      <c r="Q308" s="26"/>
      <c r="R308" s="26"/>
      <c r="S308" s="26"/>
      <c r="T308" s="26"/>
      <c r="U308" s="26"/>
      <c r="V308" s="26"/>
      <c r="W308" s="26"/>
    </row>
    <row r="309" customFormat="false" ht="11.25" hidden="false" customHeight="false" outlineLevel="0" collapsed="false">
      <c r="O309" s="26"/>
      <c r="P309" s="26"/>
      <c r="Q309" s="26"/>
      <c r="R309" s="26"/>
      <c r="S309" s="26"/>
      <c r="T309" s="26"/>
      <c r="U309" s="26"/>
      <c r="V309" s="26"/>
      <c r="W309" s="26"/>
    </row>
    <row r="310" customFormat="false" ht="11.25" hidden="false" customHeight="false" outlineLevel="0" collapsed="false">
      <c r="O310" s="26"/>
      <c r="P310" s="26"/>
      <c r="Q310" s="26"/>
      <c r="R310" s="26"/>
      <c r="S310" s="26"/>
      <c r="T310" s="26"/>
      <c r="U310" s="26"/>
      <c r="V310" s="26"/>
      <c r="W310" s="26"/>
    </row>
    <row r="311" customFormat="false" ht="11.25" hidden="false" customHeight="false" outlineLevel="0" collapsed="false">
      <c r="O311" s="26"/>
      <c r="P311" s="26"/>
      <c r="Q311" s="26"/>
      <c r="R311" s="26"/>
      <c r="S311" s="26"/>
      <c r="T311" s="26"/>
      <c r="U311" s="26"/>
      <c r="V311" s="26"/>
      <c r="W311" s="26"/>
    </row>
    <row r="312" customFormat="false" ht="11.25" hidden="false" customHeight="false" outlineLevel="0" collapsed="false">
      <c r="O312" s="26"/>
      <c r="P312" s="26"/>
      <c r="Q312" s="26"/>
      <c r="R312" s="26"/>
      <c r="S312" s="26"/>
      <c r="T312" s="26"/>
      <c r="U312" s="26"/>
      <c r="V312" s="26"/>
      <c r="W312" s="26"/>
    </row>
    <row r="313" customFormat="false" ht="11.25" hidden="false" customHeight="false" outlineLevel="0" collapsed="false">
      <c r="O313" s="26"/>
      <c r="P313" s="26"/>
      <c r="Q313" s="26"/>
      <c r="R313" s="26"/>
      <c r="S313" s="26"/>
      <c r="T313" s="26"/>
      <c r="U313" s="26"/>
      <c r="V313" s="26"/>
      <c r="W313" s="26"/>
    </row>
    <row r="314" customFormat="false" ht="11.25" hidden="false" customHeight="false" outlineLevel="0" collapsed="false">
      <c r="O314" s="26"/>
      <c r="P314" s="26"/>
      <c r="Q314" s="26"/>
      <c r="R314" s="26"/>
      <c r="S314" s="26"/>
      <c r="T314" s="26"/>
      <c r="U314" s="26"/>
      <c r="V314" s="26"/>
      <c r="W314" s="26"/>
    </row>
    <row r="315" customFormat="false" ht="11.25" hidden="false" customHeight="false" outlineLevel="0" collapsed="false">
      <c r="O315" s="26"/>
      <c r="P315" s="26"/>
      <c r="Q315" s="26"/>
      <c r="R315" s="26"/>
      <c r="S315" s="26"/>
      <c r="T315" s="26"/>
      <c r="U315" s="26"/>
      <c r="V315" s="26"/>
      <c r="W315" s="26"/>
    </row>
    <row r="316" customFormat="false" ht="11.25" hidden="false" customHeight="false" outlineLevel="0" collapsed="false">
      <c r="O316" s="26"/>
      <c r="P316" s="26"/>
      <c r="Q316" s="26"/>
      <c r="R316" s="26"/>
      <c r="S316" s="26"/>
      <c r="T316" s="26"/>
      <c r="U316" s="26"/>
      <c r="V316" s="26"/>
      <c r="W316" s="26"/>
    </row>
    <row r="317" customFormat="false" ht="11.25" hidden="false" customHeight="false" outlineLevel="0" collapsed="false">
      <c r="O317" s="26"/>
      <c r="P317" s="26"/>
      <c r="Q317" s="26"/>
      <c r="R317" s="26"/>
      <c r="S317" s="26"/>
      <c r="T317" s="26"/>
      <c r="U317" s="26"/>
      <c r="V317" s="26"/>
      <c r="W317" s="26"/>
    </row>
    <row r="318" customFormat="false" ht="11.25" hidden="false" customHeight="false" outlineLevel="0" collapsed="false">
      <c r="O318" s="26"/>
      <c r="P318" s="26"/>
      <c r="Q318" s="26"/>
      <c r="R318" s="26"/>
      <c r="S318" s="26"/>
      <c r="T318" s="26"/>
      <c r="U318" s="26"/>
      <c r="V318" s="26"/>
      <c r="W318" s="26"/>
    </row>
    <row r="319" customFormat="false" ht="11.25" hidden="false" customHeight="false" outlineLevel="0" collapsed="false">
      <c r="O319" s="26"/>
      <c r="P319" s="26"/>
      <c r="Q319" s="26"/>
      <c r="R319" s="26"/>
      <c r="S319" s="26"/>
      <c r="T319" s="26"/>
      <c r="U319" s="26"/>
      <c r="V319" s="26"/>
      <c r="W319" s="26"/>
    </row>
    <row r="320" customFormat="false" ht="11.25" hidden="false" customHeight="false" outlineLevel="0" collapsed="false">
      <c r="O320" s="26"/>
      <c r="P320" s="26"/>
      <c r="Q320" s="26"/>
      <c r="R320" s="26"/>
      <c r="S320" s="26"/>
      <c r="T320" s="26"/>
      <c r="U320" s="26"/>
      <c r="V320" s="26"/>
      <c r="W320" s="26"/>
    </row>
    <row r="321" customFormat="false" ht="11.25" hidden="false" customHeight="false" outlineLevel="0" collapsed="false">
      <c r="O321" s="26"/>
      <c r="P321" s="26"/>
      <c r="Q321" s="26"/>
      <c r="R321" s="26"/>
      <c r="S321" s="26"/>
      <c r="T321" s="26"/>
      <c r="U321" s="26"/>
      <c r="V321" s="26"/>
      <c r="W321" s="26"/>
    </row>
    <row r="322" customFormat="false" ht="11.25" hidden="false" customHeight="false" outlineLevel="0" collapsed="false">
      <c r="O322" s="26"/>
      <c r="P322" s="26"/>
      <c r="Q322" s="26"/>
      <c r="R322" s="26"/>
      <c r="S322" s="26"/>
      <c r="T322" s="26"/>
      <c r="U322" s="26"/>
      <c r="V322" s="26"/>
      <c r="W322" s="26"/>
    </row>
    <row r="323" customFormat="false" ht="11.25" hidden="false" customHeight="false" outlineLevel="0" collapsed="false">
      <c r="O323" s="26"/>
      <c r="P323" s="26"/>
      <c r="Q323" s="26"/>
      <c r="R323" s="26"/>
      <c r="S323" s="26"/>
      <c r="T323" s="26"/>
      <c r="U323" s="26"/>
      <c r="V323" s="26"/>
      <c r="W323" s="26"/>
    </row>
    <row r="324" customFormat="false" ht="11.25" hidden="false" customHeight="false" outlineLevel="0" collapsed="false">
      <c r="O324" s="26"/>
      <c r="P324" s="26"/>
      <c r="Q324" s="26"/>
      <c r="R324" s="26"/>
      <c r="S324" s="26"/>
      <c r="T324" s="26"/>
      <c r="U324" s="26"/>
      <c r="V324" s="26"/>
      <c r="W324" s="26"/>
    </row>
    <row r="325" customFormat="false" ht="11.25" hidden="false" customHeight="false" outlineLevel="0" collapsed="false">
      <c r="O325" s="26"/>
      <c r="P325" s="26"/>
      <c r="Q325" s="26"/>
      <c r="R325" s="26"/>
      <c r="S325" s="26"/>
      <c r="T325" s="26"/>
      <c r="U325" s="26"/>
      <c r="V325" s="26"/>
      <c r="W325" s="26"/>
    </row>
    <row r="326" customFormat="false" ht="11.25" hidden="false" customHeight="false" outlineLevel="0" collapsed="false">
      <c r="O326" s="26"/>
      <c r="P326" s="26"/>
      <c r="Q326" s="26"/>
      <c r="R326" s="26"/>
      <c r="S326" s="26"/>
      <c r="T326" s="26"/>
      <c r="U326" s="26"/>
      <c r="V326" s="26"/>
      <c r="W326" s="26"/>
    </row>
    <row r="327" customFormat="false" ht="11.25" hidden="false" customHeight="false" outlineLevel="0" collapsed="false">
      <c r="O327" s="26"/>
      <c r="P327" s="26"/>
      <c r="Q327" s="26"/>
      <c r="R327" s="26"/>
      <c r="S327" s="26"/>
      <c r="T327" s="26"/>
      <c r="U327" s="26"/>
      <c r="V327" s="26"/>
      <c r="W327" s="26"/>
    </row>
    <row r="328" customFormat="false" ht="11.25" hidden="false" customHeight="false" outlineLevel="0" collapsed="false">
      <c r="O328" s="26"/>
      <c r="P328" s="26"/>
      <c r="Q328" s="26"/>
      <c r="R328" s="26"/>
      <c r="S328" s="26"/>
      <c r="T328" s="26"/>
      <c r="U328" s="26"/>
      <c r="V328" s="26"/>
      <c r="W328" s="26"/>
    </row>
    <row r="329" customFormat="false" ht="11.25" hidden="false" customHeight="false" outlineLevel="0" collapsed="false">
      <c r="O329" s="26"/>
      <c r="P329" s="26"/>
      <c r="Q329" s="26"/>
      <c r="R329" s="26"/>
      <c r="S329" s="26"/>
      <c r="T329" s="26"/>
      <c r="U329" s="26"/>
      <c r="V329" s="26"/>
      <c r="W329" s="26"/>
    </row>
    <row r="330" customFormat="false" ht="11.25" hidden="false" customHeight="false" outlineLevel="0" collapsed="false">
      <c r="O330" s="26"/>
      <c r="P330" s="26"/>
      <c r="Q330" s="26"/>
      <c r="R330" s="26"/>
      <c r="S330" s="26"/>
      <c r="T330" s="26"/>
      <c r="U330" s="26"/>
      <c r="V330" s="26"/>
      <c r="W330" s="26"/>
    </row>
    <row r="331" customFormat="false" ht="11.25" hidden="false" customHeight="false" outlineLevel="0" collapsed="false">
      <c r="O331" s="26"/>
      <c r="P331" s="26"/>
      <c r="Q331" s="26"/>
      <c r="R331" s="26"/>
      <c r="S331" s="26"/>
      <c r="T331" s="26"/>
      <c r="U331" s="26"/>
      <c r="V331" s="26"/>
      <c r="W331" s="26"/>
    </row>
    <row r="332" customFormat="false" ht="11.25" hidden="false" customHeight="false" outlineLevel="0" collapsed="false">
      <c r="O332" s="26"/>
      <c r="P332" s="26"/>
      <c r="Q332" s="26"/>
      <c r="R332" s="26"/>
      <c r="S332" s="26"/>
      <c r="T332" s="26"/>
      <c r="U332" s="26"/>
      <c r="V332" s="26"/>
      <c r="W332" s="26"/>
    </row>
    <row r="333" customFormat="false" ht="11.25" hidden="false" customHeight="false" outlineLevel="0" collapsed="false">
      <c r="O333" s="26"/>
      <c r="P333" s="26"/>
      <c r="Q333" s="26"/>
      <c r="R333" s="26"/>
      <c r="S333" s="26"/>
      <c r="T333" s="26"/>
      <c r="U333" s="26"/>
      <c r="V333" s="26"/>
      <c r="W333" s="26"/>
    </row>
    <row r="334" customFormat="false" ht="11.25" hidden="false" customHeight="false" outlineLevel="0" collapsed="false">
      <c r="O334" s="26"/>
      <c r="P334" s="26"/>
      <c r="Q334" s="26"/>
      <c r="R334" s="26"/>
      <c r="S334" s="26"/>
      <c r="T334" s="26"/>
      <c r="U334" s="26"/>
      <c r="V334" s="26"/>
      <c r="W334" s="26"/>
    </row>
    <row r="335" customFormat="false" ht="11.25" hidden="false" customHeight="false" outlineLevel="0" collapsed="false">
      <c r="O335" s="26"/>
      <c r="P335" s="26"/>
      <c r="Q335" s="26"/>
      <c r="R335" s="26"/>
      <c r="S335" s="26"/>
      <c r="T335" s="26"/>
      <c r="U335" s="26"/>
      <c r="V335" s="26"/>
      <c r="W335" s="26"/>
    </row>
    <row r="336" customFormat="false" ht="11.25" hidden="false" customHeight="false" outlineLevel="0" collapsed="false">
      <c r="O336" s="26"/>
      <c r="P336" s="26"/>
      <c r="Q336" s="26"/>
      <c r="R336" s="26"/>
      <c r="S336" s="26"/>
      <c r="T336" s="26"/>
      <c r="U336" s="26"/>
      <c r="V336" s="26"/>
      <c r="W336" s="26"/>
    </row>
    <row r="337" customFormat="false" ht="11.25" hidden="false" customHeight="false" outlineLevel="0" collapsed="false">
      <c r="O337" s="26"/>
      <c r="P337" s="26"/>
      <c r="Q337" s="26"/>
      <c r="R337" s="26"/>
      <c r="S337" s="26"/>
      <c r="T337" s="26"/>
      <c r="U337" s="26"/>
      <c r="V337" s="26"/>
      <c r="W337" s="26"/>
    </row>
    <row r="338" customFormat="false" ht="11.25" hidden="false" customHeight="false" outlineLevel="0" collapsed="false">
      <c r="O338" s="26"/>
      <c r="P338" s="26"/>
      <c r="Q338" s="26"/>
      <c r="R338" s="26"/>
      <c r="S338" s="26"/>
      <c r="T338" s="26"/>
      <c r="U338" s="26"/>
      <c r="V338" s="26"/>
      <c r="W338" s="26"/>
    </row>
    <row r="339" customFormat="false" ht="11.25" hidden="false" customHeight="false" outlineLevel="0" collapsed="false">
      <c r="O339" s="26"/>
      <c r="P339" s="26"/>
      <c r="Q339" s="26"/>
      <c r="R339" s="26"/>
      <c r="S339" s="26"/>
      <c r="T339" s="26"/>
      <c r="U339" s="26"/>
      <c r="V339" s="26"/>
      <c r="W339" s="26"/>
    </row>
    <row r="340" customFormat="false" ht="11.25" hidden="false" customHeight="false" outlineLevel="0" collapsed="false">
      <c r="O340" s="26"/>
      <c r="P340" s="26"/>
      <c r="Q340" s="26"/>
      <c r="R340" s="26"/>
      <c r="S340" s="26"/>
      <c r="T340" s="26"/>
      <c r="U340" s="26"/>
      <c r="V340" s="26"/>
      <c r="W340" s="26"/>
    </row>
    <row r="341" customFormat="false" ht="11.25" hidden="false" customHeight="false" outlineLevel="0" collapsed="false">
      <c r="O341" s="26"/>
      <c r="P341" s="26"/>
      <c r="Q341" s="26"/>
      <c r="R341" s="26"/>
      <c r="S341" s="26"/>
      <c r="T341" s="26"/>
      <c r="U341" s="26"/>
      <c r="V341" s="26"/>
      <c r="W341" s="26"/>
    </row>
    <row r="342" customFormat="false" ht="11.25" hidden="false" customHeight="false" outlineLevel="0" collapsed="false">
      <c r="O342" s="26"/>
      <c r="P342" s="26"/>
      <c r="Q342" s="26"/>
      <c r="R342" s="26"/>
      <c r="S342" s="26"/>
      <c r="T342" s="26"/>
      <c r="U342" s="26"/>
      <c r="V342" s="26"/>
      <c r="W342" s="26"/>
    </row>
    <row r="343" customFormat="false" ht="11.25" hidden="false" customHeight="false" outlineLevel="0" collapsed="false">
      <c r="O343" s="26"/>
      <c r="P343" s="26"/>
      <c r="Q343" s="26"/>
      <c r="R343" s="26"/>
      <c r="S343" s="26"/>
      <c r="T343" s="26"/>
      <c r="U343" s="26"/>
      <c r="V343" s="26"/>
      <c r="W343" s="26"/>
    </row>
    <row r="344" customFormat="false" ht="11.25" hidden="false" customHeight="false" outlineLevel="0" collapsed="false">
      <c r="O344" s="26"/>
      <c r="P344" s="26"/>
      <c r="Q344" s="26"/>
      <c r="R344" s="26"/>
      <c r="S344" s="26"/>
      <c r="T344" s="26"/>
      <c r="U344" s="26"/>
      <c r="V344" s="26"/>
      <c r="W344" s="26"/>
    </row>
    <row r="345" customFormat="false" ht="11.25" hidden="false" customHeight="false" outlineLevel="0" collapsed="false">
      <c r="O345" s="26"/>
      <c r="P345" s="26"/>
      <c r="Q345" s="26"/>
      <c r="R345" s="26"/>
      <c r="S345" s="26"/>
      <c r="T345" s="26"/>
      <c r="U345" s="26"/>
      <c r="V345" s="26"/>
      <c r="W345" s="26"/>
    </row>
    <row r="346" customFormat="false" ht="11.25" hidden="false" customHeight="false" outlineLevel="0" collapsed="false">
      <c r="O346" s="26"/>
      <c r="P346" s="26"/>
      <c r="Q346" s="26"/>
      <c r="R346" s="26"/>
      <c r="S346" s="26"/>
      <c r="T346" s="26"/>
      <c r="U346" s="26"/>
      <c r="V346" s="26"/>
      <c r="W346" s="26"/>
    </row>
    <row r="347" customFormat="false" ht="11.25" hidden="false" customHeight="false" outlineLevel="0" collapsed="false">
      <c r="O347" s="26"/>
      <c r="P347" s="26"/>
      <c r="Q347" s="26"/>
      <c r="R347" s="26"/>
      <c r="S347" s="26"/>
      <c r="T347" s="26"/>
      <c r="U347" s="26"/>
      <c r="V347" s="26"/>
      <c r="W347" s="26"/>
    </row>
    <row r="348" customFormat="false" ht="11.25" hidden="false" customHeight="false" outlineLevel="0" collapsed="false">
      <c r="O348" s="26"/>
      <c r="P348" s="26"/>
      <c r="Q348" s="26"/>
      <c r="R348" s="26"/>
      <c r="S348" s="26"/>
      <c r="T348" s="26"/>
      <c r="U348" s="26"/>
      <c r="V348" s="26"/>
      <c r="W348" s="26"/>
    </row>
    <row r="349" customFormat="false" ht="11.25" hidden="false" customHeight="false" outlineLevel="0" collapsed="false">
      <c r="O349" s="26"/>
      <c r="P349" s="26"/>
      <c r="Q349" s="26"/>
      <c r="R349" s="26"/>
      <c r="S349" s="26"/>
      <c r="T349" s="26"/>
      <c r="U349" s="26"/>
      <c r="V349" s="26"/>
      <c r="W349" s="26"/>
    </row>
    <row r="350" customFormat="false" ht="11.25" hidden="false" customHeight="false" outlineLevel="0" collapsed="false">
      <c r="O350" s="26"/>
      <c r="P350" s="26"/>
      <c r="Q350" s="26"/>
      <c r="R350" s="26"/>
      <c r="S350" s="26"/>
      <c r="T350" s="26"/>
      <c r="U350" s="26"/>
      <c r="V350" s="26"/>
      <c r="W350" s="26"/>
    </row>
    <row r="351" customFormat="false" ht="11.25" hidden="false" customHeight="false" outlineLevel="0" collapsed="false">
      <c r="O351" s="26"/>
      <c r="P351" s="26"/>
      <c r="Q351" s="26"/>
      <c r="R351" s="26"/>
      <c r="S351" s="26"/>
      <c r="T351" s="26"/>
      <c r="U351" s="26"/>
      <c r="V351" s="26"/>
      <c r="W351" s="26"/>
    </row>
    <row r="352" customFormat="false" ht="11.25" hidden="false" customHeight="false" outlineLevel="0" collapsed="false">
      <c r="O352" s="26"/>
      <c r="P352" s="26"/>
      <c r="Q352" s="26"/>
      <c r="R352" s="26"/>
      <c r="S352" s="26"/>
      <c r="T352" s="26"/>
      <c r="U352" s="26"/>
      <c r="V352" s="26"/>
      <c r="W352" s="26"/>
    </row>
    <row r="353" customFormat="false" ht="11.25" hidden="false" customHeight="false" outlineLevel="0" collapsed="false">
      <c r="O353" s="26"/>
      <c r="P353" s="26"/>
      <c r="Q353" s="26"/>
      <c r="R353" s="26"/>
      <c r="S353" s="26"/>
      <c r="T353" s="26"/>
      <c r="U353" s="26"/>
      <c r="V353" s="26"/>
      <c r="W353" s="26"/>
    </row>
    <row r="354" customFormat="false" ht="11.25" hidden="false" customHeight="false" outlineLevel="0" collapsed="false">
      <c r="O354" s="26"/>
      <c r="P354" s="26"/>
      <c r="Q354" s="26"/>
      <c r="R354" s="26"/>
      <c r="S354" s="26"/>
      <c r="T354" s="26"/>
      <c r="U354" s="26"/>
      <c r="V354" s="26"/>
      <c r="W354" s="26"/>
    </row>
    <row r="355" customFormat="false" ht="11.25" hidden="false" customHeight="false" outlineLevel="0" collapsed="false">
      <c r="O355" s="26"/>
      <c r="P355" s="26"/>
      <c r="Q355" s="26"/>
      <c r="R355" s="26"/>
      <c r="S355" s="26"/>
      <c r="T355" s="26"/>
      <c r="U355" s="26"/>
      <c r="V355" s="26"/>
      <c r="W355" s="26"/>
    </row>
    <row r="356" customFormat="false" ht="11.25" hidden="false" customHeight="false" outlineLevel="0" collapsed="false">
      <c r="O356" s="26"/>
      <c r="P356" s="26"/>
      <c r="Q356" s="26"/>
      <c r="R356" s="26"/>
      <c r="S356" s="26"/>
      <c r="T356" s="26"/>
      <c r="U356" s="26"/>
      <c r="V356" s="26"/>
      <c r="W356" s="26"/>
    </row>
    <row r="357" customFormat="false" ht="11.25" hidden="false" customHeight="false" outlineLevel="0" collapsed="false">
      <c r="O357" s="26"/>
      <c r="P357" s="26"/>
      <c r="Q357" s="26"/>
      <c r="R357" s="26"/>
      <c r="S357" s="26"/>
      <c r="T357" s="26"/>
      <c r="U357" s="26"/>
      <c r="V357" s="26"/>
      <c r="W357" s="26"/>
    </row>
    <row r="358" customFormat="false" ht="11.25" hidden="false" customHeight="false" outlineLevel="0" collapsed="false">
      <c r="O358" s="26"/>
      <c r="P358" s="26"/>
      <c r="Q358" s="26"/>
      <c r="R358" s="26"/>
      <c r="S358" s="26"/>
      <c r="T358" s="26"/>
      <c r="U358" s="26"/>
      <c r="V358" s="26"/>
      <c r="W358" s="26"/>
    </row>
    <row r="359" customFormat="false" ht="11.25" hidden="false" customHeight="false" outlineLevel="0" collapsed="false">
      <c r="O359" s="26"/>
      <c r="P359" s="26"/>
      <c r="Q359" s="26"/>
      <c r="R359" s="26"/>
      <c r="S359" s="26"/>
      <c r="T359" s="26"/>
      <c r="U359" s="26"/>
      <c r="V359" s="26"/>
      <c r="W359" s="26"/>
    </row>
    <row r="360" customFormat="false" ht="11.25" hidden="false" customHeight="false" outlineLevel="0" collapsed="false">
      <c r="O360" s="26"/>
      <c r="P360" s="26"/>
      <c r="Q360" s="26"/>
      <c r="R360" s="26"/>
      <c r="S360" s="26"/>
      <c r="T360" s="26"/>
      <c r="U360" s="26"/>
      <c r="V360" s="26"/>
      <c r="W360" s="26"/>
    </row>
    <row r="361" customFormat="false" ht="11.25" hidden="false" customHeight="false" outlineLevel="0" collapsed="false">
      <c r="O361" s="26"/>
      <c r="P361" s="26"/>
      <c r="Q361" s="26"/>
      <c r="R361" s="26"/>
      <c r="S361" s="26"/>
      <c r="T361" s="26"/>
      <c r="U361" s="26"/>
      <c r="V361" s="26"/>
      <c r="W361" s="26"/>
    </row>
    <row r="362" customFormat="false" ht="11.25" hidden="false" customHeight="false" outlineLevel="0" collapsed="false">
      <c r="O362" s="26"/>
      <c r="P362" s="26"/>
      <c r="Q362" s="26"/>
      <c r="R362" s="26"/>
      <c r="S362" s="26"/>
      <c r="T362" s="26"/>
      <c r="U362" s="26"/>
      <c r="V362" s="26"/>
      <c r="W362" s="26"/>
    </row>
    <row r="363" customFormat="false" ht="11.25" hidden="false" customHeight="false" outlineLevel="0" collapsed="false">
      <c r="O363" s="26"/>
      <c r="P363" s="26"/>
      <c r="Q363" s="26"/>
      <c r="R363" s="26"/>
      <c r="S363" s="26"/>
      <c r="T363" s="26"/>
      <c r="U363" s="26"/>
      <c r="V363" s="26"/>
      <c r="W363" s="26"/>
    </row>
    <row r="364" customFormat="false" ht="11.25" hidden="false" customHeight="false" outlineLevel="0" collapsed="false">
      <c r="O364" s="26"/>
      <c r="P364" s="26"/>
      <c r="Q364" s="26"/>
      <c r="R364" s="26"/>
      <c r="S364" s="26"/>
      <c r="T364" s="26"/>
      <c r="U364" s="26"/>
      <c r="V364" s="26"/>
      <c r="W364" s="26"/>
    </row>
    <row r="365" customFormat="false" ht="11.25" hidden="false" customHeight="false" outlineLevel="0" collapsed="false">
      <c r="O365" s="26"/>
      <c r="P365" s="26"/>
      <c r="Q365" s="26"/>
      <c r="R365" s="26"/>
      <c r="S365" s="26"/>
      <c r="T365" s="26"/>
      <c r="U365" s="26"/>
      <c r="V365" s="26"/>
      <c r="W365" s="26"/>
    </row>
    <row r="366" customFormat="false" ht="11.25" hidden="false" customHeight="false" outlineLevel="0" collapsed="false">
      <c r="O366" s="26"/>
      <c r="P366" s="26"/>
      <c r="Q366" s="26"/>
      <c r="R366" s="26"/>
      <c r="S366" s="26"/>
      <c r="T366" s="26"/>
      <c r="U366" s="26"/>
      <c r="V366" s="26"/>
      <c r="W366" s="26"/>
    </row>
    <row r="367" customFormat="false" ht="11.25" hidden="false" customHeight="false" outlineLevel="0" collapsed="false">
      <c r="O367" s="26"/>
      <c r="P367" s="26"/>
      <c r="Q367" s="26"/>
      <c r="R367" s="26"/>
      <c r="S367" s="26"/>
      <c r="T367" s="26"/>
      <c r="U367" s="26"/>
      <c r="V367" s="26"/>
      <c r="W367" s="26"/>
    </row>
    <row r="368" customFormat="false" ht="11.25" hidden="false" customHeight="false" outlineLevel="0" collapsed="false">
      <c r="O368" s="26"/>
      <c r="P368" s="26"/>
      <c r="Q368" s="26"/>
      <c r="R368" s="26"/>
      <c r="S368" s="26"/>
      <c r="T368" s="26"/>
      <c r="U368" s="26"/>
      <c r="V368" s="26"/>
      <c r="W368" s="26"/>
    </row>
    <row r="369" customFormat="false" ht="11.25" hidden="false" customHeight="false" outlineLevel="0" collapsed="false">
      <c r="O369" s="26"/>
      <c r="P369" s="26"/>
      <c r="Q369" s="26"/>
      <c r="R369" s="26"/>
      <c r="S369" s="26"/>
      <c r="T369" s="26"/>
      <c r="U369" s="26"/>
      <c r="V369" s="26"/>
      <c r="W369" s="26"/>
    </row>
    <row r="370" customFormat="false" ht="11.25" hidden="false" customHeight="false" outlineLevel="0" collapsed="false">
      <c r="O370" s="26"/>
      <c r="P370" s="26"/>
      <c r="Q370" s="26"/>
      <c r="R370" s="26"/>
      <c r="S370" s="26"/>
      <c r="T370" s="26"/>
      <c r="U370" s="26"/>
      <c r="V370" s="26"/>
      <c r="W370" s="26"/>
    </row>
    <row r="371" customFormat="false" ht="11.25" hidden="false" customHeight="false" outlineLevel="0" collapsed="false">
      <c r="O371" s="26"/>
      <c r="P371" s="26"/>
      <c r="Q371" s="26"/>
      <c r="R371" s="26"/>
      <c r="S371" s="26"/>
      <c r="T371" s="26"/>
      <c r="U371" s="26"/>
      <c r="V371" s="26"/>
      <c r="W371" s="26"/>
    </row>
    <row r="372" customFormat="false" ht="11.25" hidden="false" customHeight="false" outlineLevel="0" collapsed="false">
      <c r="O372" s="26"/>
      <c r="P372" s="26"/>
      <c r="Q372" s="26"/>
      <c r="R372" s="26"/>
      <c r="S372" s="26"/>
      <c r="T372" s="26"/>
      <c r="U372" s="26"/>
      <c r="V372" s="26"/>
      <c r="W372" s="26"/>
    </row>
    <row r="373" customFormat="false" ht="11.25" hidden="false" customHeight="false" outlineLevel="0" collapsed="false">
      <c r="O373" s="26"/>
      <c r="P373" s="26"/>
      <c r="Q373" s="26"/>
      <c r="R373" s="26"/>
      <c r="S373" s="26"/>
      <c r="T373" s="26"/>
      <c r="U373" s="26"/>
      <c r="V373" s="26"/>
      <c r="W373" s="26"/>
    </row>
    <row r="374" customFormat="false" ht="11.25" hidden="false" customHeight="false" outlineLevel="0" collapsed="false">
      <c r="O374" s="26"/>
      <c r="P374" s="26"/>
      <c r="Q374" s="26"/>
      <c r="R374" s="26"/>
      <c r="S374" s="26"/>
      <c r="T374" s="26"/>
      <c r="U374" s="26"/>
      <c r="V374" s="26"/>
      <c r="W374" s="26"/>
    </row>
    <row r="375" customFormat="false" ht="11.25" hidden="false" customHeight="false" outlineLevel="0" collapsed="false">
      <c r="O375" s="26"/>
      <c r="P375" s="26"/>
      <c r="Q375" s="26"/>
      <c r="R375" s="26"/>
      <c r="S375" s="26"/>
      <c r="T375" s="26"/>
      <c r="U375" s="26"/>
      <c r="V375" s="26"/>
      <c r="W375" s="26"/>
    </row>
    <row r="376" customFormat="false" ht="11.25" hidden="false" customHeight="false" outlineLevel="0" collapsed="false">
      <c r="O376" s="26"/>
      <c r="P376" s="26"/>
      <c r="Q376" s="26"/>
      <c r="R376" s="26"/>
      <c r="S376" s="26"/>
      <c r="T376" s="26"/>
      <c r="U376" s="26"/>
      <c r="V376" s="26"/>
      <c r="W376" s="26"/>
    </row>
    <row r="377" customFormat="false" ht="11.25" hidden="false" customHeight="false" outlineLevel="0" collapsed="false">
      <c r="O377" s="26"/>
      <c r="P377" s="26"/>
      <c r="Q377" s="26"/>
      <c r="R377" s="26"/>
      <c r="S377" s="26"/>
      <c r="T377" s="26"/>
      <c r="U377" s="26"/>
      <c r="V377" s="26"/>
      <c r="W377" s="26"/>
    </row>
    <row r="378" customFormat="false" ht="11.25" hidden="false" customHeight="false" outlineLevel="0" collapsed="false">
      <c r="O378" s="26"/>
      <c r="P378" s="26"/>
      <c r="Q378" s="26"/>
      <c r="R378" s="26"/>
      <c r="S378" s="26"/>
      <c r="T378" s="26"/>
      <c r="U378" s="26"/>
      <c r="V378" s="26"/>
      <c r="W378" s="26"/>
    </row>
    <row r="379" customFormat="false" ht="11.25" hidden="false" customHeight="false" outlineLevel="0" collapsed="false">
      <c r="O379" s="26"/>
      <c r="P379" s="26"/>
      <c r="Q379" s="26"/>
      <c r="R379" s="26"/>
      <c r="S379" s="26"/>
      <c r="T379" s="26"/>
      <c r="U379" s="26"/>
      <c r="V379" s="26"/>
      <c r="W379" s="26"/>
    </row>
    <row r="380" customFormat="false" ht="11.25" hidden="false" customHeight="false" outlineLevel="0" collapsed="false">
      <c r="O380" s="26"/>
      <c r="P380" s="26"/>
      <c r="Q380" s="26"/>
      <c r="R380" s="26"/>
      <c r="S380" s="26"/>
      <c r="T380" s="26"/>
      <c r="U380" s="26"/>
      <c r="V380" s="26"/>
      <c r="W380" s="26"/>
    </row>
    <row r="381" customFormat="false" ht="11.25" hidden="false" customHeight="false" outlineLevel="0" collapsed="false">
      <c r="O381" s="26"/>
      <c r="P381" s="26"/>
      <c r="Q381" s="26"/>
      <c r="R381" s="26"/>
      <c r="S381" s="26"/>
      <c r="T381" s="26"/>
      <c r="U381" s="26"/>
      <c r="V381" s="26"/>
      <c r="W381" s="26"/>
    </row>
    <row r="382" customFormat="false" ht="11.25" hidden="false" customHeight="false" outlineLevel="0" collapsed="false">
      <c r="O382" s="26"/>
      <c r="P382" s="26"/>
      <c r="Q382" s="26"/>
      <c r="R382" s="26"/>
      <c r="S382" s="26"/>
      <c r="T382" s="26"/>
      <c r="U382" s="26"/>
      <c r="V382" s="26"/>
      <c r="W382" s="26"/>
    </row>
    <row r="383" customFormat="false" ht="11.25" hidden="false" customHeight="false" outlineLevel="0" collapsed="false">
      <c r="O383" s="26"/>
      <c r="P383" s="26"/>
      <c r="Q383" s="26"/>
      <c r="R383" s="26"/>
      <c r="S383" s="26"/>
      <c r="T383" s="26"/>
      <c r="U383" s="26"/>
      <c r="V383" s="26"/>
      <c r="W383" s="26"/>
    </row>
    <row r="384" customFormat="false" ht="11.25" hidden="false" customHeight="false" outlineLevel="0" collapsed="false">
      <c r="O384" s="26"/>
      <c r="P384" s="26"/>
      <c r="Q384" s="26"/>
      <c r="R384" s="26"/>
      <c r="S384" s="26"/>
      <c r="T384" s="26"/>
      <c r="U384" s="26"/>
      <c r="V384" s="26"/>
      <c r="W384" s="26"/>
    </row>
    <row r="385" customFormat="false" ht="11.25" hidden="false" customHeight="false" outlineLevel="0" collapsed="false">
      <c r="O385" s="26"/>
      <c r="P385" s="26"/>
      <c r="Q385" s="26"/>
      <c r="R385" s="26"/>
      <c r="S385" s="26"/>
      <c r="T385" s="26"/>
      <c r="U385" s="26"/>
      <c r="V385" s="26"/>
      <c r="W385" s="26"/>
    </row>
    <row r="386" customFormat="false" ht="11.25" hidden="false" customHeight="false" outlineLevel="0" collapsed="false">
      <c r="O386" s="26"/>
      <c r="P386" s="26"/>
      <c r="Q386" s="26"/>
      <c r="R386" s="26"/>
      <c r="S386" s="26"/>
      <c r="T386" s="26"/>
      <c r="U386" s="26"/>
      <c r="V386" s="26"/>
      <c r="W386" s="26"/>
    </row>
    <row r="387" customFormat="false" ht="11.25" hidden="false" customHeight="false" outlineLevel="0" collapsed="false">
      <c r="O387" s="26"/>
      <c r="P387" s="26"/>
      <c r="Q387" s="26"/>
      <c r="R387" s="26"/>
      <c r="S387" s="26"/>
      <c r="T387" s="26"/>
      <c r="U387" s="26"/>
      <c r="V387" s="26"/>
      <c r="W387" s="26"/>
    </row>
    <row r="388" customFormat="false" ht="11.25" hidden="false" customHeight="false" outlineLevel="0" collapsed="false">
      <c r="O388" s="26"/>
      <c r="P388" s="26"/>
      <c r="Q388" s="26"/>
      <c r="R388" s="26"/>
      <c r="S388" s="26"/>
      <c r="T388" s="26"/>
      <c r="U388" s="26"/>
      <c r="V388" s="26"/>
      <c r="W388" s="26"/>
    </row>
    <row r="389" customFormat="false" ht="11.25" hidden="false" customHeight="false" outlineLevel="0" collapsed="false">
      <c r="O389" s="26"/>
      <c r="P389" s="26"/>
      <c r="Q389" s="26"/>
      <c r="R389" s="26"/>
      <c r="S389" s="26"/>
      <c r="T389" s="26"/>
      <c r="U389" s="26"/>
      <c r="V389" s="26"/>
      <c r="W389" s="26"/>
    </row>
    <row r="390" customFormat="false" ht="11.25" hidden="false" customHeight="false" outlineLevel="0" collapsed="false">
      <c r="O390" s="26"/>
      <c r="P390" s="26"/>
      <c r="Q390" s="26"/>
      <c r="R390" s="26"/>
      <c r="S390" s="26"/>
      <c r="T390" s="26"/>
      <c r="U390" s="26"/>
      <c r="V390" s="26"/>
      <c r="W390" s="26"/>
    </row>
    <row r="391" customFormat="false" ht="11.25" hidden="false" customHeight="false" outlineLevel="0" collapsed="false">
      <c r="O391" s="26"/>
      <c r="P391" s="26"/>
      <c r="Q391" s="26"/>
      <c r="R391" s="26"/>
      <c r="S391" s="26"/>
      <c r="T391" s="26"/>
      <c r="U391" s="26"/>
      <c r="V391" s="26"/>
      <c r="W391" s="26"/>
    </row>
    <row r="392" customFormat="false" ht="11.25" hidden="false" customHeight="false" outlineLevel="0" collapsed="false">
      <c r="O392" s="26"/>
      <c r="P392" s="26"/>
      <c r="Q392" s="26"/>
      <c r="R392" s="26"/>
      <c r="S392" s="26"/>
      <c r="T392" s="26"/>
      <c r="U392" s="26"/>
      <c r="V392" s="26"/>
      <c r="W392" s="26"/>
    </row>
    <row r="393" customFormat="false" ht="11.25" hidden="false" customHeight="false" outlineLevel="0" collapsed="false">
      <c r="O393" s="26"/>
      <c r="P393" s="26"/>
      <c r="Q393" s="26"/>
      <c r="R393" s="26"/>
      <c r="S393" s="26"/>
      <c r="T393" s="26"/>
      <c r="U393" s="26"/>
      <c r="V393" s="26"/>
      <c r="W393" s="26"/>
    </row>
    <row r="394" customFormat="false" ht="11.25" hidden="false" customHeight="false" outlineLevel="0" collapsed="false">
      <c r="O394" s="26"/>
      <c r="P394" s="26"/>
      <c r="Q394" s="26"/>
      <c r="R394" s="26"/>
      <c r="S394" s="26"/>
      <c r="T394" s="26"/>
      <c r="U394" s="26"/>
      <c r="V394" s="26"/>
      <c r="W394" s="26"/>
    </row>
    <row r="395" customFormat="false" ht="11.25" hidden="false" customHeight="false" outlineLevel="0" collapsed="false">
      <c r="O395" s="26"/>
      <c r="P395" s="26"/>
      <c r="Q395" s="26"/>
      <c r="R395" s="26"/>
      <c r="S395" s="26"/>
      <c r="T395" s="26"/>
      <c r="U395" s="26"/>
      <c r="V395" s="26"/>
      <c r="W395" s="26"/>
    </row>
    <row r="396" customFormat="false" ht="11.25" hidden="false" customHeight="false" outlineLevel="0" collapsed="false">
      <c r="O396" s="26"/>
      <c r="P396" s="26"/>
      <c r="Q396" s="26"/>
      <c r="R396" s="26"/>
      <c r="S396" s="26"/>
      <c r="T396" s="26"/>
      <c r="U396" s="26"/>
      <c r="V396" s="26"/>
      <c r="W396" s="26"/>
    </row>
    <row r="397" customFormat="false" ht="11.25" hidden="false" customHeight="false" outlineLevel="0" collapsed="false">
      <c r="O397" s="26"/>
      <c r="P397" s="26"/>
      <c r="Q397" s="26"/>
      <c r="R397" s="26"/>
      <c r="S397" s="26"/>
      <c r="T397" s="26"/>
      <c r="U397" s="26"/>
      <c r="V397" s="26"/>
      <c r="W397" s="26"/>
    </row>
    <row r="398" customFormat="false" ht="11.25" hidden="false" customHeight="false" outlineLevel="0" collapsed="false">
      <c r="O398" s="26"/>
      <c r="P398" s="26"/>
      <c r="Q398" s="26"/>
      <c r="R398" s="26"/>
      <c r="S398" s="26"/>
      <c r="T398" s="26"/>
      <c r="U398" s="26"/>
      <c r="V398" s="26"/>
      <c r="W398" s="26"/>
    </row>
    <row r="399" customFormat="false" ht="11.25" hidden="false" customHeight="false" outlineLevel="0" collapsed="false">
      <c r="O399" s="26"/>
      <c r="P399" s="26"/>
      <c r="Q399" s="26"/>
      <c r="R399" s="26"/>
      <c r="S399" s="26"/>
      <c r="T399" s="26"/>
      <c r="U399" s="26"/>
      <c r="V399" s="26"/>
      <c r="W399" s="26"/>
    </row>
    <row r="400" customFormat="false" ht="11.25" hidden="false" customHeight="false" outlineLevel="0" collapsed="false">
      <c r="O400" s="26"/>
      <c r="P400" s="26"/>
      <c r="Q400" s="26"/>
      <c r="R400" s="26"/>
      <c r="S400" s="26"/>
      <c r="T400" s="26"/>
      <c r="U400" s="26"/>
      <c r="V400" s="26"/>
      <c r="W400" s="26"/>
    </row>
    <row r="401" customFormat="false" ht="11.25" hidden="false" customHeight="false" outlineLevel="0" collapsed="false">
      <c r="O401" s="26"/>
      <c r="P401" s="26"/>
      <c r="Q401" s="26"/>
      <c r="R401" s="26"/>
      <c r="S401" s="26"/>
      <c r="T401" s="26"/>
      <c r="U401" s="26"/>
      <c r="V401" s="26"/>
      <c r="W401" s="26"/>
    </row>
    <row r="402" customFormat="false" ht="11.25" hidden="false" customHeight="false" outlineLevel="0" collapsed="false">
      <c r="O402" s="26"/>
      <c r="P402" s="26"/>
      <c r="Q402" s="26"/>
      <c r="R402" s="26"/>
      <c r="S402" s="26"/>
      <c r="T402" s="26"/>
      <c r="U402" s="26"/>
      <c r="V402" s="26"/>
      <c r="W402" s="26"/>
    </row>
    <row r="403" customFormat="false" ht="11.25" hidden="false" customHeight="false" outlineLevel="0" collapsed="false">
      <c r="O403" s="26"/>
      <c r="P403" s="26"/>
      <c r="Q403" s="26"/>
      <c r="R403" s="26"/>
      <c r="S403" s="26"/>
      <c r="T403" s="26"/>
      <c r="U403" s="26"/>
      <c r="V403" s="26"/>
      <c r="W403" s="26"/>
    </row>
    <row r="404" customFormat="false" ht="11.25" hidden="false" customHeight="false" outlineLevel="0" collapsed="false">
      <c r="O404" s="26"/>
      <c r="P404" s="26"/>
      <c r="Q404" s="26"/>
      <c r="R404" s="26"/>
      <c r="S404" s="26"/>
      <c r="T404" s="26"/>
      <c r="U404" s="26"/>
      <c r="V404" s="26"/>
      <c r="W404" s="26"/>
    </row>
    <row r="405" customFormat="false" ht="11.25" hidden="false" customHeight="false" outlineLevel="0" collapsed="false">
      <c r="O405" s="26"/>
      <c r="P405" s="26"/>
      <c r="Q405" s="26"/>
      <c r="R405" s="26"/>
      <c r="S405" s="26"/>
      <c r="T405" s="26"/>
      <c r="U405" s="26"/>
      <c r="V405" s="26"/>
      <c r="W405" s="26"/>
    </row>
    <row r="406" customFormat="false" ht="11.25" hidden="false" customHeight="false" outlineLevel="0" collapsed="false">
      <c r="O406" s="26"/>
      <c r="P406" s="26"/>
      <c r="Q406" s="26"/>
      <c r="R406" s="26"/>
      <c r="S406" s="26"/>
      <c r="T406" s="26"/>
      <c r="U406" s="26"/>
      <c r="V406" s="26"/>
      <c r="W406" s="26"/>
    </row>
    <row r="407" customFormat="false" ht="11.25" hidden="false" customHeight="false" outlineLevel="0" collapsed="false">
      <c r="O407" s="26"/>
      <c r="P407" s="26"/>
      <c r="Q407" s="26"/>
      <c r="R407" s="26"/>
      <c r="S407" s="26"/>
      <c r="T407" s="26"/>
      <c r="U407" s="26"/>
      <c r="V407" s="26"/>
      <c r="W407" s="26"/>
    </row>
    <row r="408" customFormat="false" ht="11.25" hidden="false" customHeight="false" outlineLevel="0" collapsed="false">
      <c r="O408" s="26"/>
      <c r="P408" s="26"/>
      <c r="Q408" s="26"/>
      <c r="R408" s="26"/>
      <c r="S408" s="26"/>
      <c r="T408" s="26"/>
      <c r="U408" s="26"/>
      <c r="V408" s="26"/>
      <c r="W408" s="26"/>
    </row>
    <row r="409" customFormat="false" ht="11.25" hidden="false" customHeight="false" outlineLevel="0" collapsed="false">
      <c r="O409" s="26"/>
      <c r="P409" s="26"/>
      <c r="Q409" s="26"/>
      <c r="R409" s="26"/>
      <c r="S409" s="26"/>
      <c r="T409" s="26"/>
      <c r="U409" s="26"/>
      <c r="V409" s="26"/>
      <c r="W409" s="26"/>
    </row>
    <row r="410" customFormat="false" ht="11.25" hidden="false" customHeight="false" outlineLevel="0" collapsed="false">
      <c r="O410" s="26"/>
      <c r="P410" s="26"/>
      <c r="Q410" s="26"/>
      <c r="R410" s="26"/>
      <c r="S410" s="26"/>
      <c r="T410" s="26"/>
      <c r="U410" s="26"/>
      <c r="V410" s="26"/>
      <c r="W410" s="26"/>
    </row>
    <row r="411" customFormat="false" ht="11.25" hidden="false" customHeight="false" outlineLevel="0" collapsed="false">
      <c r="O411" s="26"/>
      <c r="P411" s="26"/>
      <c r="Q411" s="26"/>
      <c r="R411" s="26"/>
      <c r="S411" s="26"/>
      <c r="T411" s="26"/>
      <c r="U411" s="26"/>
      <c r="V411" s="26"/>
      <c r="W411" s="26"/>
    </row>
    <row r="412" customFormat="false" ht="11.25" hidden="false" customHeight="false" outlineLevel="0" collapsed="false">
      <c r="O412" s="26"/>
      <c r="P412" s="26"/>
      <c r="Q412" s="26"/>
      <c r="R412" s="26"/>
      <c r="S412" s="26"/>
      <c r="T412" s="26"/>
      <c r="U412" s="26"/>
      <c r="V412" s="26"/>
      <c r="W412" s="26"/>
    </row>
    <row r="413" customFormat="false" ht="11.25" hidden="false" customHeight="false" outlineLevel="0" collapsed="false">
      <c r="O413" s="26"/>
      <c r="P413" s="26"/>
      <c r="Q413" s="26"/>
      <c r="R413" s="26"/>
      <c r="S413" s="26"/>
      <c r="T413" s="26"/>
      <c r="U413" s="26"/>
      <c r="V413" s="26"/>
      <c r="W413" s="26"/>
    </row>
    <row r="414" customFormat="false" ht="11.25" hidden="false" customHeight="false" outlineLevel="0" collapsed="false">
      <c r="O414" s="26"/>
      <c r="P414" s="26"/>
      <c r="Q414" s="26"/>
      <c r="R414" s="26"/>
      <c r="S414" s="26"/>
      <c r="T414" s="26"/>
      <c r="U414" s="26"/>
      <c r="V414" s="26"/>
      <c r="W414" s="26"/>
    </row>
    <row r="415" customFormat="false" ht="11.25" hidden="false" customHeight="false" outlineLevel="0" collapsed="false">
      <c r="O415" s="26"/>
      <c r="P415" s="26"/>
      <c r="Q415" s="26"/>
      <c r="R415" s="26"/>
      <c r="S415" s="26"/>
      <c r="T415" s="26"/>
      <c r="U415" s="26"/>
      <c r="V415" s="26"/>
      <c r="W415" s="26"/>
    </row>
    <row r="416" customFormat="false" ht="11.25" hidden="false" customHeight="false" outlineLevel="0" collapsed="false">
      <c r="O416" s="26"/>
      <c r="P416" s="26"/>
      <c r="Q416" s="26"/>
      <c r="R416" s="26"/>
      <c r="S416" s="26"/>
      <c r="T416" s="26"/>
      <c r="U416" s="26"/>
      <c r="V416" s="26"/>
      <c r="W416" s="26"/>
    </row>
    <row r="417" customFormat="false" ht="11.25" hidden="false" customHeight="false" outlineLevel="0" collapsed="false">
      <c r="O417" s="26"/>
      <c r="P417" s="26"/>
      <c r="Q417" s="26"/>
      <c r="R417" s="26"/>
      <c r="S417" s="26"/>
      <c r="T417" s="26"/>
      <c r="U417" s="26"/>
      <c r="V417" s="26"/>
      <c r="W417" s="26"/>
    </row>
    <row r="418" customFormat="false" ht="11.25" hidden="false" customHeight="false" outlineLevel="0" collapsed="false">
      <c r="O418" s="26"/>
      <c r="P418" s="26"/>
      <c r="Q418" s="26"/>
      <c r="R418" s="26"/>
      <c r="S418" s="26"/>
      <c r="T418" s="26"/>
      <c r="U418" s="26"/>
      <c r="V418" s="26"/>
      <c r="W418" s="26"/>
    </row>
    <row r="419" customFormat="false" ht="11.25" hidden="false" customHeight="false" outlineLevel="0" collapsed="false">
      <c r="O419" s="26"/>
      <c r="P419" s="26"/>
      <c r="Q419" s="26"/>
      <c r="R419" s="26"/>
      <c r="S419" s="26"/>
      <c r="T419" s="26"/>
      <c r="U419" s="26"/>
      <c r="V419" s="26"/>
      <c r="W419" s="26"/>
    </row>
    <row r="420" customFormat="false" ht="11.25" hidden="false" customHeight="false" outlineLevel="0" collapsed="false">
      <c r="O420" s="26"/>
      <c r="P420" s="26"/>
      <c r="Q420" s="26"/>
      <c r="R420" s="26"/>
      <c r="S420" s="26"/>
      <c r="T420" s="26"/>
      <c r="U420" s="26"/>
      <c r="V420" s="26"/>
      <c r="W420" s="26"/>
    </row>
    <row r="421" customFormat="false" ht="11.25" hidden="false" customHeight="false" outlineLevel="0" collapsed="false">
      <c r="O421" s="26"/>
      <c r="P421" s="26"/>
      <c r="Q421" s="26"/>
      <c r="R421" s="26"/>
      <c r="S421" s="26"/>
      <c r="T421" s="26"/>
      <c r="U421" s="26"/>
      <c r="V421" s="26"/>
      <c r="W421" s="26"/>
    </row>
    <row r="422" customFormat="false" ht="11.25" hidden="false" customHeight="false" outlineLevel="0" collapsed="false">
      <c r="O422" s="26"/>
      <c r="P422" s="26"/>
      <c r="Q422" s="26"/>
      <c r="R422" s="26"/>
      <c r="S422" s="26"/>
      <c r="T422" s="26"/>
      <c r="U422" s="26"/>
      <c r="V422" s="26"/>
      <c r="W422" s="26"/>
    </row>
    <row r="423" customFormat="false" ht="11.25" hidden="false" customHeight="false" outlineLevel="0" collapsed="false">
      <c r="O423" s="26"/>
      <c r="P423" s="26"/>
      <c r="Q423" s="26"/>
      <c r="R423" s="26"/>
      <c r="S423" s="26"/>
      <c r="T423" s="26"/>
      <c r="U423" s="26"/>
      <c r="V423" s="26"/>
      <c r="W423" s="26"/>
    </row>
    <row r="424" customFormat="false" ht="11.25" hidden="false" customHeight="false" outlineLevel="0" collapsed="false">
      <c r="O424" s="26"/>
      <c r="P424" s="26"/>
      <c r="Q424" s="26"/>
      <c r="R424" s="26"/>
      <c r="S424" s="26"/>
      <c r="T424" s="26"/>
      <c r="U424" s="26"/>
      <c r="V424" s="26"/>
      <c r="W424" s="26"/>
    </row>
    <row r="425" customFormat="false" ht="11.25" hidden="false" customHeight="false" outlineLevel="0" collapsed="false">
      <c r="O425" s="26"/>
      <c r="P425" s="26"/>
      <c r="Q425" s="26"/>
      <c r="R425" s="26"/>
      <c r="S425" s="26"/>
      <c r="T425" s="26"/>
      <c r="U425" s="26"/>
      <c r="V425" s="26"/>
      <c r="W425" s="26"/>
    </row>
    <row r="426" customFormat="false" ht="11.25" hidden="false" customHeight="false" outlineLevel="0" collapsed="false">
      <c r="O426" s="26"/>
      <c r="P426" s="26"/>
      <c r="Q426" s="26"/>
      <c r="R426" s="26"/>
      <c r="S426" s="26"/>
      <c r="T426" s="26"/>
      <c r="U426" s="26"/>
      <c r="V426" s="26"/>
      <c r="W426" s="26"/>
    </row>
    <row r="427" customFormat="false" ht="11.25" hidden="false" customHeight="false" outlineLevel="0" collapsed="false">
      <c r="O427" s="26"/>
      <c r="P427" s="26"/>
      <c r="Q427" s="26"/>
      <c r="R427" s="26"/>
      <c r="S427" s="26"/>
      <c r="T427" s="26"/>
      <c r="U427" s="26"/>
      <c r="V427" s="26"/>
      <c r="W427" s="26"/>
    </row>
    <row r="428" customFormat="false" ht="11.25" hidden="false" customHeight="false" outlineLevel="0" collapsed="false">
      <c r="O428" s="26"/>
      <c r="P428" s="26"/>
      <c r="Q428" s="26"/>
      <c r="R428" s="26"/>
      <c r="S428" s="26"/>
      <c r="T428" s="26"/>
      <c r="U428" s="26"/>
      <c r="V428" s="26"/>
      <c r="W428" s="26"/>
    </row>
    <row r="429" customFormat="false" ht="11.25" hidden="false" customHeight="false" outlineLevel="0" collapsed="false">
      <c r="O429" s="26"/>
      <c r="P429" s="26"/>
      <c r="Q429" s="26"/>
      <c r="R429" s="26"/>
      <c r="S429" s="26"/>
      <c r="T429" s="26"/>
      <c r="U429" s="26"/>
      <c r="V429" s="26"/>
      <c r="W429" s="26"/>
    </row>
    <row r="430" customFormat="false" ht="11.25" hidden="false" customHeight="false" outlineLevel="0" collapsed="false">
      <c r="O430" s="26"/>
      <c r="P430" s="26"/>
      <c r="Q430" s="26"/>
      <c r="R430" s="26"/>
      <c r="S430" s="26"/>
      <c r="T430" s="26"/>
      <c r="U430" s="26"/>
      <c r="V430" s="26"/>
      <c r="W430" s="26"/>
    </row>
    <row r="431" customFormat="false" ht="11.25" hidden="false" customHeight="false" outlineLevel="0" collapsed="false">
      <c r="O431" s="26"/>
      <c r="P431" s="26"/>
      <c r="Q431" s="26"/>
      <c r="R431" s="26"/>
      <c r="S431" s="26"/>
      <c r="T431" s="26"/>
      <c r="U431" s="26"/>
      <c r="V431" s="26"/>
      <c r="W431" s="26"/>
    </row>
    <row r="432" customFormat="false" ht="11.25" hidden="false" customHeight="false" outlineLevel="0" collapsed="false">
      <c r="O432" s="26"/>
      <c r="P432" s="26"/>
      <c r="Q432" s="26"/>
      <c r="R432" s="26"/>
      <c r="S432" s="26"/>
      <c r="T432" s="26"/>
      <c r="U432" s="26"/>
      <c r="V432" s="26"/>
      <c r="W432" s="26"/>
    </row>
    <row r="433" customFormat="false" ht="11.25" hidden="false" customHeight="false" outlineLevel="0" collapsed="false">
      <c r="O433" s="26"/>
      <c r="P433" s="26"/>
      <c r="Q433" s="26"/>
      <c r="R433" s="26"/>
      <c r="S433" s="26"/>
      <c r="T433" s="26"/>
      <c r="U433" s="26"/>
      <c r="V433" s="26"/>
      <c r="W433" s="26"/>
    </row>
    <row r="434" customFormat="false" ht="11.25" hidden="false" customHeight="false" outlineLevel="0" collapsed="false">
      <c r="O434" s="26"/>
      <c r="P434" s="26"/>
      <c r="Q434" s="26"/>
      <c r="R434" s="26"/>
      <c r="S434" s="26"/>
      <c r="T434" s="26"/>
      <c r="U434" s="26"/>
      <c r="V434" s="26"/>
      <c r="W434" s="26"/>
    </row>
    <row r="435" customFormat="false" ht="11.25" hidden="false" customHeight="false" outlineLevel="0" collapsed="false">
      <c r="O435" s="26"/>
      <c r="P435" s="26"/>
      <c r="Q435" s="26"/>
      <c r="R435" s="26"/>
      <c r="S435" s="26"/>
      <c r="T435" s="26"/>
      <c r="U435" s="26"/>
      <c r="V435" s="26"/>
      <c r="W435" s="26"/>
    </row>
    <row r="436" customFormat="false" ht="11.25" hidden="false" customHeight="false" outlineLevel="0" collapsed="false">
      <c r="O436" s="26"/>
      <c r="P436" s="26"/>
      <c r="Q436" s="26"/>
      <c r="R436" s="26"/>
      <c r="S436" s="26"/>
      <c r="T436" s="26"/>
      <c r="U436" s="26"/>
      <c r="V436" s="26"/>
      <c r="W436" s="26"/>
    </row>
    <row r="437" customFormat="false" ht="11.25" hidden="false" customHeight="false" outlineLevel="0" collapsed="false">
      <c r="O437" s="26"/>
      <c r="P437" s="26"/>
      <c r="Q437" s="26"/>
      <c r="R437" s="26"/>
      <c r="S437" s="26"/>
      <c r="T437" s="26"/>
      <c r="U437" s="26"/>
      <c r="V437" s="26"/>
      <c r="W437" s="26"/>
    </row>
    <row r="438" customFormat="false" ht="11.25" hidden="false" customHeight="false" outlineLevel="0" collapsed="false">
      <c r="O438" s="26"/>
      <c r="P438" s="26"/>
      <c r="Q438" s="26"/>
      <c r="R438" s="26"/>
      <c r="S438" s="26"/>
      <c r="T438" s="26"/>
      <c r="U438" s="26"/>
      <c r="V438" s="26"/>
      <c r="W438" s="26"/>
    </row>
    <row r="439" customFormat="false" ht="11.25" hidden="false" customHeight="false" outlineLevel="0" collapsed="false">
      <c r="O439" s="26"/>
      <c r="P439" s="26"/>
      <c r="Q439" s="26"/>
      <c r="R439" s="26"/>
      <c r="S439" s="26"/>
      <c r="T439" s="26"/>
      <c r="U439" s="26"/>
      <c r="V439" s="26"/>
      <c r="W439" s="26"/>
    </row>
    <row r="440" customFormat="false" ht="11.25" hidden="false" customHeight="false" outlineLevel="0" collapsed="false">
      <c r="O440" s="26"/>
      <c r="P440" s="26"/>
      <c r="Q440" s="26"/>
      <c r="R440" s="26"/>
      <c r="S440" s="26"/>
      <c r="T440" s="26"/>
      <c r="U440" s="26"/>
      <c r="V440" s="26"/>
      <c r="W440" s="26"/>
    </row>
    <row r="441" customFormat="false" ht="11.25" hidden="false" customHeight="false" outlineLevel="0" collapsed="false">
      <c r="O441" s="26"/>
      <c r="P441" s="26"/>
      <c r="Q441" s="26"/>
      <c r="R441" s="26"/>
      <c r="S441" s="26"/>
      <c r="T441" s="26"/>
      <c r="U441" s="26"/>
      <c r="V441" s="26"/>
      <c r="W441" s="26"/>
    </row>
    <row r="442" customFormat="false" ht="11.25" hidden="false" customHeight="false" outlineLevel="0" collapsed="false">
      <c r="O442" s="26"/>
      <c r="P442" s="26"/>
      <c r="Q442" s="26"/>
      <c r="R442" s="26"/>
      <c r="S442" s="26"/>
      <c r="T442" s="26"/>
      <c r="U442" s="26"/>
      <c r="V442" s="26"/>
      <c r="W442" s="26"/>
    </row>
    <row r="443" customFormat="false" ht="11.25" hidden="false" customHeight="false" outlineLevel="0" collapsed="false">
      <c r="O443" s="26"/>
      <c r="P443" s="26"/>
      <c r="Q443" s="26"/>
      <c r="R443" s="26"/>
      <c r="S443" s="26"/>
      <c r="T443" s="26"/>
      <c r="U443" s="26"/>
      <c r="V443" s="26"/>
      <c r="W443" s="26"/>
    </row>
    <row r="444" customFormat="false" ht="11.25" hidden="false" customHeight="false" outlineLevel="0" collapsed="false">
      <c r="O444" s="26"/>
      <c r="P444" s="26"/>
      <c r="Q444" s="26"/>
      <c r="R444" s="26"/>
      <c r="S444" s="26"/>
      <c r="T444" s="26"/>
      <c r="U444" s="26"/>
      <c r="V444" s="26"/>
      <c r="W444" s="26"/>
    </row>
    <row r="445" customFormat="false" ht="11.25" hidden="false" customHeight="false" outlineLevel="0" collapsed="false">
      <c r="O445" s="26"/>
      <c r="P445" s="26"/>
      <c r="Q445" s="26"/>
      <c r="R445" s="26"/>
      <c r="S445" s="26"/>
      <c r="T445" s="26"/>
      <c r="U445" s="26"/>
      <c r="V445" s="26"/>
      <c r="W445" s="26"/>
    </row>
    <row r="446" customFormat="false" ht="11.25" hidden="false" customHeight="false" outlineLevel="0" collapsed="false">
      <c r="O446" s="26"/>
      <c r="P446" s="26"/>
      <c r="Q446" s="26"/>
      <c r="R446" s="26"/>
      <c r="S446" s="26"/>
      <c r="T446" s="26"/>
      <c r="U446" s="26"/>
      <c r="V446" s="26"/>
      <c r="W446" s="26"/>
    </row>
    <row r="447" customFormat="false" ht="11.25" hidden="false" customHeight="false" outlineLevel="0" collapsed="false">
      <c r="O447" s="26"/>
      <c r="P447" s="26"/>
      <c r="Q447" s="26"/>
      <c r="R447" s="26"/>
      <c r="S447" s="26"/>
      <c r="T447" s="26"/>
      <c r="U447" s="26"/>
      <c r="V447" s="26"/>
      <c r="W447" s="26"/>
    </row>
    <row r="448" customFormat="false" ht="11.25" hidden="false" customHeight="false" outlineLevel="0" collapsed="false">
      <c r="O448" s="26"/>
      <c r="P448" s="26"/>
      <c r="Q448" s="26"/>
      <c r="R448" s="26"/>
      <c r="S448" s="26"/>
      <c r="T448" s="26"/>
      <c r="U448" s="26"/>
      <c r="V448" s="26"/>
      <c r="W448" s="26"/>
    </row>
    <row r="449" customFormat="false" ht="11.25" hidden="false" customHeight="false" outlineLevel="0" collapsed="false">
      <c r="O449" s="26"/>
      <c r="P449" s="26"/>
      <c r="Q449" s="26"/>
      <c r="R449" s="26"/>
      <c r="S449" s="26"/>
      <c r="T449" s="26"/>
      <c r="U449" s="26"/>
      <c r="V449" s="26"/>
      <c r="W449" s="26"/>
    </row>
    <row r="450" customFormat="false" ht="11.25" hidden="false" customHeight="false" outlineLevel="0" collapsed="false">
      <c r="O450" s="26"/>
      <c r="P450" s="26"/>
      <c r="Q450" s="26"/>
      <c r="R450" s="26"/>
      <c r="S450" s="26"/>
      <c r="T450" s="26"/>
      <c r="U450" s="26"/>
      <c r="V450" s="26"/>
      <c r="W450" s="26"/>
    </row>
    <row r="451" customFormat="false" ht="11.25" hidden="false" customHeight="false" outlineLevel="0" collapsed="false">
      <c r="O451" s="26"/>
      <c r="P451" s="26"/>
      <c r="Q451" s="26"/>
      <c r="R451" s="26"/>
      <c r="S451" s="26"/>
      <c r="T451" s="26"/>
      <c r="U451" s="26"/>
      <c r="V451" s="26"/>
      <c r="W451" s="26"/>
    </row>
    <row r="452" customFormat="false" ht="11.25" hidden="false" customHeight="false" outlineLevel="0" collapsed="false">
      <c r="O452" s="26"/>
      <c r="P452" s="26"/>
      <c r="Q452" s="26"/>
      <c r="R452" s="26"/>
      <c r="S452" s="26"/>
      <c r="T452" s="26"/>
      <c r="U452" s="26"/>
      <c r="V452" s="26"/>
      <c r="W452" s="26"/>
    </row>
    <row r="453" customFormat="false" ht="11.25" hidden="false" customHeight="false" outlineLevel="0" collapsed="false">
      <c r="O453" s="26"/>
      <c r="P453" s="26"/>
      <c r="Q453" s="26"/>
      <c r="R453" s="26"/>
      <c r="S453" s="26"/>
      <c r="T453" s="26"/>
      <c r="U453" s="26"/>
      <c r="V453" s="26"/>
      <c r="W453" s="26"/>
    </row>
    <row r="454" customFormat="false" ht="11.25" hidden="false" customHeight="false" outlineLevel="0" collapsed="false">
      <c r="O454" s="26"/>
      <c r="P454" s="26"/>
      <c r="Q454" s="26"/>
      <c r="R454" s="26"/>
      <c r="S454" s="26"/>
      <c r="T454" s="26"/>
      <c r="U454" s="26"/>
      <c r="V454" s="26"/>
      <c r="W454" s="2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82" activePane="bottomRight" state="frozen"/>
      <selection pane="topLeft" activeCell="A1" activeCellId="0" sqref="A1"/>
      <selection pane="topRight" activeCell="D1" activeCellId="0" sqref="D1"/>
      <selection pane="bottomLeft" activeCell="A82" activeCellId="0" sqref="A82"/>
      <selection pane="bottomRight" activeCell="R75" activeCellId="0" sqref="R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18.7"/>
    <col collapsed="false" customWidth="true" hidden="false" outlineLevel="0" max="4" min="4" style="0" width="16.7"/>
    <col collapsed="false" customWidth="true" hidden="false" outlineLevel="0" max="5" min="5" style="0" width="12.42"/>
    <col collapsed="false" customWidth="true" hidden="false" outlineLevel="0" max="6" min="6" style="0" width="8.99"/>
    <col collapsed="false" customWidth="true" hidden="false" outlineLevel="0" max="7" min="7" style="0" width="11.13"/>
    <col collapsed="false" customWidth="true" hidden="false" outlineLevel="0" max="9" min="9" style="0" width="11.13"/>
    <col collapsed="false" customWidth="true" hidden="false" outlineLevel="0" max="13" min="13" style="0" width="11.42"/>
  </cols>
  <sheetData>
    <row r="2" customFormat="false" ht="37.5" hidden="false" customHeight="false" outlineLevel="0" collapsed="false">
      <c r="A2" s="199" t="s">
        <v>140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customFormat="false" ht="12.75" hidden="false" customHeight="false" outlineLevel="0" collapsed="false">
      <c r="E3" s="200"/>
      <c r="F3" s="200"/>
      <c r="G3" s="200"/>
      <c r="H3" s="200"/>
      <c r="I3" s="200"/>
      <c r="J3" s="200"/>
      <c r="K3" s="200"/>
    </row>
    <row r="4" customFormat="false" ht="14.25" hidden="false" customHeight="false" outlineLevel="0" collapsed="false">
      <c r="C4" s="201" t="n">
        <f aca="false">'ENRON MIDWEST P&amp;L'!A4</f>
        <v>36769</v>
      </c>
      <c r="E4" s="202"/>
      <c r="F4" s="202"/>
      <c r="G4" s="202"/>
      <c r="H4" s="202"/>
      <c r="I4" s="202"/>
      <c r="J4" s="202"/>
      <c r="K4" s="202"/>
    </row>
    <row r="5" customFormat="false" ht="14.25" hidden="false" customHeight="false" outlineLevel="0" collapsed="false">
      <c r="E5" s="202"/>
      <c r="F5" s="202"/>
      <c r="G5" s="202"/>
      <c r="H5" s="202"/>
      <c r="I5" s="202"/>
      <c r="J5" s="202"/>
      <c r="K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03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f aca="false">Physical!D25+Physical!D26-Physical!D10-Physical!D20</f>
        <v>-1502299.475</v>
      </c>
      <c r="F10" s="152"/>
      <c r="G10" s="152" t="n">
        <f aca="false">Physical!K25+Physical!K26-Physical!K10-Physical!K20</f>
        <v>0</v>
      </c>
      <c r="H10" s="152"/>
      <c r="I10" s="152" t="n">
        <f aca="false">Physical!D59+Physical!D60-Physical!D44-Physical!D54</f>
        <v>123061.22</v>
      </c>
      <c r="J10" s="152"/>
      <c r="K10" s="152" t="n">
        <f aca="false">Physical!K59+Physical!K60-Physical!K44-Physical!K54</f>
        <v>0</v>
      </c>
      <c r="M10" s="210" t="n">
        <f aca="false">SUM(E10:K10)</f>
        <v>-1379238.255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210" t="n">
        <f aca="false">SUM(E11:K11)</f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f aca="false">Physical!D31</f>
        <v>-268012</v>
      </c>
      <c r="F12" s="152"/>
      <c r="G12" s="152" t="n">
        <f aca="false">Physical!K31</f>
        <v>0</v>
      </c>
      <c r="H12" s="152"/>
      <c r="I12" s="152" t="n">
        <f aca="false">Physical!D65</f>
        <v>0</v>
      </c>
      <c r="J12" s="152"/>
      <c r="K12" s="152" t="n">
        <f aca="false">Physical!K65</f>
        <v>0</v>
      </c>
      <c r="M12" s="210" t="n">
        <f aca="false">SUM(E12:K12)</f>
        <v>-268012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f aca="false">Physical!D33</f>
        <v>97102</v>
      </c>
      <c r="F13" s="152"/>
      <c r="G13" s="211" t="n">
        <f aca="false">Physical!K33</f>
        <v>0</v>
      </c>
      <c r="H13" s="152"/>
      <c r="I13" s="211" t="n">
        <f aca="false">Physical!D67</f>
        <v>-1309</v>
      </c>
      <c r="J13" s="138"/>
      <c r="K13" s="211" t="n">
        <f aca="false">Physical!K67</f>
        <v>0</v>
      </c>
      <c r="M13" s="212" t="n">
        <f aca="false">SUM(E13:K13)</f>
        <v>95793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f aca="false">SUM(E10:E13)</f>
        <v>-1673209.475</v>
      </c>
      <c r="F14" s="92"/>
      <c r="G14" s="213" t="n">
        <f aca="false">SUM(G10:G13)</f>
        <v>0</v>
      </c>
      <c r="H14" s="92"/>
      <c r="I14" s="213" t="n">
        <f aca="false">SUM(I10:I13)</f>
        <v>121752.22</v>
      </c>
      <c r="J14" s="138"/>
      <c r="K14" s="213" t="n">
        <f aca="false">SUM(K10:K13)</f>
        <v>0</v>
      </c>
      <c r="M14" s="214" t="n">
        <f aca="false">SUM(M10:M13)</f>
        <v>-1551457.255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  <c r="M15" s="215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  <c r="M16" s="215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f aca="false">'Intra-EMWNSS1'!D15+'Intra-EMWNSS1'!D25+'Intra-EMWNSS1'!D35+66606</f>
        <v>1741121</v>
      </c>
      <c r="F17" s="152"/>
      <c r="G17" s="152" t="n">
        <f aca="false">'Intra-EMWNSS2'!D15+'Intra-EMWNSS2'!D25+'Intra-EMWNSS2'!D35</f>
        <v>0</v>
      </c>
      <c r="H17" s="152"/>
      <c r="I17" s="152" t="n">
        <f aca="false">'Intra-EMWMEH'!D15+'Intra-EMWMEH'!D25+'Intra-EMWMEH'!D35+127591</f>
        <v>18158</v>
      </c>
      <c r="J17" s="152"/>
      <c r="K17" s="152" t="n">
        <f aca="false">'TP-EMWNSS'!D15+'TP-EMWNSS'!D25+'TP-EMWNSS'!D35+3902</f>
        <v>4162</v>
      </c>
      <c r="M17" s="210" t="n">
        <f aca="false">SUM(E17:K17)</f>
        <v>1763441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f aca="false">'Intra-EMWNSS1'!D19+'Intra-EMWNSS1'!D20+'Intra-EMWNSS1'!D29+'Intra-EMWNSS1'!D30+'Intra-EMWNSS1'!D39+'Intra-EMWNSS1'!D40</f>
        <v>0</v>
      </c>
      <c r="F18" s="152"/>
      <c r="G18" s="152" t="n">
        <f aca="false">'Intra-EMWNSS2'!D19+'Intra-EMWNSS2'!D20+'Intra-EMWNSS2'!D29+'Intra-EMWNSS2'!D30+'Intra-EMWNSS2'!D39+'Intra-EMWNSS2'!D40</f>
        <v>0</v>
      </c>
      <c r="H18" s="152"/>
      <c r="I18" s="152" t="n">
        <f aca="false">'Intra-EMWMEH'!D19+'Intra-EMWMEH'!D20+'Intra-EMWMEH'!D29+'Intra-EMWMEH'!D30+'Intra-EMWMEH'!D39+'Intra-EMWMEH'!D40</f>
        <v>0</v>
      </c>
      <c r="J18" s="152"/>
      <c r="K18" s="152" t="n">
        <f aca="false">'TP-EMWNSS'!D19+'TP-EMWNSS'!D20+'TP-EMWNSS'!D29+'TP-EMWNSS'!D30+'TP-EMWNSS'!D39+'TP-EMWNSS'!D40</f>
        <v>0</v>
      </c>
      <c r="M18" s="210" t="n">
        <f aca="false">SUM(E18:K18)</f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f aca="false">'Intra-EMWNSS1'!D16+'Intra-EMWNSS1'!D26+'Intra-EMWNSS1'!D36</f>
        <v>3425.5532</v>
      </c>
      <c r="F19" s="152"/>
      <c r="G19" s="152" t="n">
        <f aca="false">'Intra-EMWNSS2'!D16+'Intra-EMWNSS2'!D26+'Intra-EMWNSS2'!D36</f>
        <v>0</v>
      </c>
      <c r="H19" s="152"/>
      <c r="I19" s="152" t="n">
        <f aca="false">'Intra-EMWMEH'!D16+'Intra-EMWMEH'!D26+'Intra-EMWMEH'!D36</f>
        <v>13470.79</v>
      </c>
      <c r="J19" s="152"/>
      <c r="K19" s="152" t="n">
        <f aca="false">'TP-EMWNSS'!D16+'TP-EMWNSS'!D26+'TP-EMWNSS'!D36</f>
        <v>-0.0002</v>
      </c>
      <c r="M19" s="210" t="n">
        <f aca="false">SUM(E19:K19)</f>
        <v>16896.343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f aca="false">'Intra-EMWNSS1'!D17+'Intra-EMWNSS1'!D27+'Intra-EMWNSS1'!D37</f>
        <v>243.5582</v>
      </c>
      <c r="F20" s="152"/>
      <c r="G20" s="152" t="n">
        <f aca="false">'Intra-EMWNSS2'!D17+'Intra-EMWNSS2'!D27+'Intra-EMWNSS2'!D37</f>
        <v>0</v>
      </c>
      <c r="H20" s="152"/>
      <c r="I20" s="152" t="n">
        <f aca="false">'Intra-EMWMEH'!D17+'Intra-EMWMEH'!D27+'Intra-EMWMEH'!D37</f>
        <v>16420.9591</v>
      </c>
      <c r="J20" s="152"/>
      <c r="K20" s="152" t="n">
        <f aca="false">'TP-EMWNSS'!D17+'TP-EMWNSS'!D27+'TP-EMWNSS'!D37</f>
        <v>0.0001</v>
      </c>
      <c r="M20" s="210" t="n">
        <f aca="false">SUM(E20:K20)</f>
        <v>16664.5174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f aca="false">'Intra-EMWNSS1'!D18+'Intra-EMWNSS1'!D28+'Intra-EMWNSS1'!D38</f>
        <v>0</v>
      </c>
      <c r="F21" s="152"/>
      <c r="G21" s="152" t="n">
        <f aca="false">'Intra-EMWNSS2'!D18+'Intra-EMWNSS2'!D28+'Intra-EMWNSS2'!D38</f>
        <v>0</v>
      </c>
      <c r="H21" s="152"/>
      <c r="I21" s="152" t="n">
        <f aca="false">'Intra-EMWMEH'!D18+'Intra-EMWMEH'!D28+'Intra-EMWMEH'!D38</f>
        <v>0</v>
      </c>
      <c r="J21" s="152"/>
      <c r="K21" s="152" t="n">
        <f aca="false">'TP-EMWNSS'!D18+'TP-EMWNSS'!D28+'TP-EMWNSS'!D38</f>
        <v>0</v>
      </c>
      <c r="M21" s="210" t="n">
        <f aca="false">SUM(E21:K21)</f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f aca="false">'Intra-EMWNSS1'!D21+'Intra-EMWNSS1'!D31+'Intra-EMWNSS1'!D41</f>
        <v>0</v>
      </c>
      <c r="F22" s="152"/>
      <c r="G22" s="152" t="n">
        <f aca="false">'Intra-EMWNSS2'!D21+'Intra-EMWNSS2'!D31+'Intra-EMWNSS2'!D41</f>
        <v>0</v>
      </c>
      <c r="H22" s="152"/>
      <c r="I22" s="152" t="n">
        <f aca="false">'Intra-EMWMEH'!D21+'Intra-EMWMEH'!D31+'Intra-EMWMEH'!D41</f>
        <v>0</v>
      </c>
      <c r="J22" s="152"/>
      <c r="K22" s="152" t="n">
        <f aca="false">'TP-EMWNSS'!D21+'TP-EMWNSS'!D31+'TP-EMWNSS'!D41</f>
        <v>0</v>
      </c>
      <c r="M22" s="210" t="n">
        <f aca="false">SUM(E22:K22)</f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f aca="false">Physical!D35</f>
        <v>0</v>
      </c>
      <c r="F23" s="152"/>
      <c r="G23" s="211" t="n">
        <f aca="false">Physical!K35</f>
        <v>0</v>
      </c>
      <c r="H23" s="152"/>
      <c r="I23" s="211" t="n">
        <f aca="false">Physical!D69</f>
        <v>0</v>
      </c>
      <c r="J23" s="138"/>
      <c r="K23" s="211" t="n">
        <f aca="false">Physical!K69</f>
        <v>0</v>
      </c>
      <c r="M23" s="212" t="n">
        <f aca="false">SUM(E23:K23)</f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f aca="false">SUM(E17:E23)</f>
        <v>1744790.1114</v>
      </c>
      <c r="F24" s="152"/>
      <c r="G24" s="211" t="n">
        <f aca="false">SUM(G17:G23)</f>
        <v>0</v>
      </c>
      <c r="H24" s="152"/>
      <c r="I24" s="211" t="n">
        <f aca="false">SUM(I17:I23)</f>
        <v>48049.7491</v>
      </c>
      <c r="J24" s="138"/>
      <c r="K24" s="211" t="n">
        <f aca="false">SUM(K17:K23)</f>
        <v>4161.9999</v>
      </c>
      <c r="M24" s="214" t="n">
        <f aca="false">SUM(M17:M23)</f>
        <v>1797001.8604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  <c r="M25" s="215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  <c r="M26" s="215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210" t="n">
        <f aca="false">SUM(E27:K27)</f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12" t="n">
        <f aca="false">SUM(E28:K28)</f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f aca="false">SUM(E27:E28)</f>
        <v>0</v>
      </c>
      <c r="F29" s="152"/>
      <c r="G29" s="211" t="n">
        <f aca="false">SUM(G27:G28)</f>
        <v>0</v>
      </c>
      <c r="H29" s="152"/>
      <c r="I29" s="213" t="n">
        <f aca="false">SUM(I27:I28)</f>
        <v>0</v>
      </c>
      <c r="J29" s="138"/>
      <c r="K29" s="211" t="n">
        <f aca="false">SUM(K27:K28)</f>
        <v>0</v>
      </c>
      <c r="M29" s="214" t="n">
        <f aca="false">SUM(M27:M28)</f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  <c r="M30" s="215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  <c r="M31" s="215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f aca="false">Physical!D21</f>
        <v>0</v>
      </c>
      <c r="F32" s="152"/>
      <c r="G32" s="152" t="n">
        <f aca="false">Physical!K21</f>
        <v>0</v>
      </c>
      <c r="H32" s="152"/>
      <c r="I32" s="152" t="n">
        <f aca="false">Physical!D55</f>
        <v>0</v>
      </c>
      <c r="J32" s="152"/>
      <c r="K32" s="152" t="n">
        <f aca="false">Physical!K55</f>
        <v>0</v>
      </c>
      <c r="M32" s="210" t="n">
        <f aca="false">SUM(E32:K32)</f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f aca="false">Physical!D11</f>
        <v>0</v>
      </c>
      <c r="F33" s="152"/>
      <c r="G33" s="152" t="n">
        <f aca="false">Physical!K11</f>
        <v>0</v>
      </c>
      <c r="H33" s="152"/>
      <c r="I33" s="152" t="n">
        <f aca="false">Physical!D45</f>
        <v>0</v>
      </c>
      <c r="J33" s="152"/>
      <c r="K33" s="152" t="n">
        <f aca="false">Physical!K45</f>
        <v>0</v>
      </c>
      <c r="M33" s="210" t="n">
        <f aca="false">SUM(E33:K33)</f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f aca="false">Physical!D15</f>
        <v>0</v>
      </c>
      <c r="F34" s="152"/>
      <c r="G34" s="152" t="n">
        <f aca="false">Physical!K15</f>
        <v>0</v>
      </c>
      <c r="H34" s="152"/>
      <c r="I34" s="152" t="n">
        <f aca="false">Physical!D49</f>
        <v>0</v>
      </c>
      <c r="J34" s="152"/>
      <c r="K34" s="152" t="n">
        <f aca="false">Physical!K49</f>
        <v>0</v>
      </c>
      <c r="M34" s="210" t="n">
        <f aca="false">SUM(E34:K34)</f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210" t="n">
        <f aca="false">SUM(E35:K35)</f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210" t="n">
        <f aca="false">SUM(E36:K36)</f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210" t="n">
        <f aca="false">SUM(E37:K37)</f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211" t="n">
        <v>0</v>
      </c>
      <c r="M38" s="212" t="n">
        <f aca="false">SUM(E38:K38)</f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f aca="false">SUM(E32:E38)</f>
        <v>0</v>
      </c>
      <c r="F39" s="152"/>
      <c r="G39" s="213" t="n">
        <f aca="false">SUM(G32:G38)</f>
        <v>0</v>
      </c>
      <c r="H39" s="152"/>
      <c r="I39" s="213" t="n">
        <f aca="false">SUM(I32:I38)</f>
        <v>0</v>
      </c>
      <c r="J39" s="138"/>
      <c r="K39" s="211" t="n">
        <f aca="false">SUM(K32:K38)</f>
        <v>0</v>
      </c>
      <c r="M39" s="214" t="n">
        <f aca="false">SUM(M32:M38)</f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  <c r="M40" s="215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  <c r="M41" s="215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f aca="false">Physical!D20</f>
        <v>0</v>
      </c>
      <c r="F42" s="152"/>
      <c r="G42" s="152" t="n">
        <f aca="false">Physical!K20</f>
        <v>0</v>
      </c>
      <c r="H42" s="152"/>
      <c r="I42" s="152" t="n">
        <f aca="false">Physical!D54</f>
        <v>0</v>
      </c>
      <c r="J42" s="152"/>
      <c r="K42" s="152" t="n">
        <f aca="false">Physical!K54</f>
        <v>0</v>
      </c>
      <c r="M42" s="210" t="n">
        <f aca="false">SUM(E42:K42)</f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f aca="false">Physical!D10</f>
        <v>0</v>
      </c>
      <c r="F43" s="152"/>
      <c r="G43" s="152" t="n">
        <f aca="false">Physical!K10</f>
        <v>0</v>
      </c>
      <c r="H43" s="152"/>
      <c r="I43" s="152" t="n">
        <f aca="false">Physical!D44</f>
        <v>0</v>
      </c>
      <c r="J43" s="152"/>
      <c r="K43" s="152" t="n">
        <f aca="false">Physical!K44</f>
        <v>0</v>
      </c>
      <c r="M43" s="210" t="n">
        <f aca="false">SUM(E43:K43)</f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f aca="false">Physical!D14</f>
        <v>0</v>
      </c>
      <c r="F44" s="152"/>
      <c r="G44" s="152" t="n">
        <f aca="false">Physical!K14</f>
        <v>0</v>
      </c>
      <c r="H44" s="152"/>
      <c r="I44" s="152" t="n">
        <f aca="false">Physical!D48</f>
        <v>0</v>
      </c>
      <c r="J44" s="152"/>
      <c r="K44" s="152" t="n">
        <f aca="false">Physical!K48</f>
        <v>0</v>
      </c>
      <c r="M44" s="210" t="n">
        <f aca="false">SUM(E44:K44)</f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210" t="n">
        <f aca="false">SUM(E45:K45)</f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210" t="n">
        <f aca="false">SUM(E46:K46)</f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210" t="n">
        <f aca="false">SUM(E47:K47)</f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211" t="n">
        <v>0</v>
      </c>
      <c r="M48" s="212" t="n">
        <f aca="false">SUM(E48:K48)</f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f aca="false">SUM(E42:E48)</f>
        <v>0</v>
      </c>
      <c r="F49" s="152"/>
      <c r="G49" s="213" t="n">
        <f aca="false">SUM(G42:G48)</f>
        <v>0</v>
      </c>
      <c r="H49" s="152"/>
      <c r="I49" s="213" t="n">
        <f aca="false">SUM(I42:I48)</f>
        <v>0</v>
      </c>
      <c r="J49" s="138"/>
      <c r="K49" s="211" t="n">
        <f aca="false">SUM(K42:K48)</f>
        <v>0</v>
      </c>
      <c r="M49" s="214" t="n">
        <f aca="false">SUM(M42:M48)</f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  <c r="M50" s="215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  <c r="M51" s="215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f aca="false">Other!E42</f>
        <v>-53928</v>
      </c>
      <c r="F52" s="152"/>
      <c r="G52" s="152" t="n">
        <f aca="false">Other!E31</f>
        <v>0</v>
      </c>
      <c r="H52" s="152"/>
      <c r="I52" s="152" t="n">
        <v>0</v>
      </c>
      <c r="J52" s="152"/>
      <c r="K52" s="152" t="n">
        <f aca="false">Other!E43</f>
        <v>-3187</v>
      </c>
      <c r="M52" s="210" t="n">
        <f aca="false">SUM(E52:K52)</f>
        <v>-57115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v>0</v>
      </c>
      <c r="F53" s="152"/>
      <c r="G53" s="152" t="n">
        <v>0</v>
      </c>
      <c r="H53" s="152"/>
      <c r="I53" s="152" t="n">
        <v>0</v>
      </c>
      <c r="J53" s="152"/>
      <c r="K53" s="152" t="n">
        <v>0</v>
      </c>
      <c r="M53" s="210" t="n">
        <f aca="false">SUM(E53:K53)</f>
        <v>0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210" t="n">
        <f aca="false">SUM(E54:K54)</f>
        <v>0</v>
      </c>
    </row>
    <row r="55" customFormat="false" ht="13.5" hidden="false" customHeight="false" outlineLevel="0" collapsed="false">
      <c r="A55" s="87"/>
      <c r="B55" s="87"/>
      <c r="C55" s="87" t="s">
        <v>166</v>
      </c>
      <c r="E55" s="211" t="n">
        <v>0</v>
      </c>
      <c r="F55" s="152"/>
      <c r="G55" s="211" t="n">
        <f aca="false">Other!E36</f>
        <v>0</v>
      </c>
      <c r="H55" s="152"/>
      <c r="I55" s="211" t="n">
        <v>0</v>
      </c>
      <c r="J55" s="138"/>
      <c r="K55" s="211" t="n">
        <v>0</v>
      </c>
      <c r="M55" s="212" t="n">
        <f aca="false">SUM(E55:K55)</f>
        <v>0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f aca="false">SUM(E52:E55)</f>
        <v>-53928</v>
      </c>
      <c r="F56" s="152"/>
      <c r="G56" s="213" t="n">
        <f aca="false">SUM(G52:G55)</f>
        <v>0</v>
      </c>
      <c r="H56" s="152"/>
      <c r="I56" s="213" t="n">
        <f aca="false">SUM(I52:I55)</f>
        <v>0</v>
      </c>
      <c r="J56" s="138"/>
      <c r="K56" s="211" t="n">
        <f aca="false">SUM(K52:K55)</f>
        <v>-3187</v>
      </c>
      <c r="M56" s="212" t="n">
        <f aca="false">SUM(M52:M55)</f>
        <v>-57115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  <c r="M57" s="215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  <c r="M58" s="215"/>
    </row>
    <row r="59" customFormat="false" ht="16.5" hidden="false" customHeight="false" outlineLevel="0" collapsed="false">
      <c r="A59" s="216" t="s">
        <v>167</v>
      </c>
      <c r="B59" s="216"/>
      <c r="C59" s="216"/>
      <c r="D59" s="216"/>
      <c r="E59" s="217" t="n">
        <f aca="false">E14+E24+E29+E39+E49+E56</f>
        <v>17652.6364</v>
      </c>
      <c r="F59" s="217"/>
      <c r="G59" s="217" t="n">
        <f aca="false">G14+G24+G29+G39+G49+G56</f>
        <v>0</v>
      </c>
      <c r="H59" s="217"/>
      <c r="I59" s="217" t="n">
        <f aca="false">I14+I24+I29+I39+I49+I56</f>
        <v>169801.9691</v>
      </c>
      <c r="J59" s="217"/>
      <c r="K59" s="217" t="n">
        <f aca="false">K14+K24+K29+K39+K49+K56</f>
        <v>974.9999</v>
      </c>
      <c r="L59" s="217"/>
      <c r="M59" s="217" t="n">
        <f aca="false">M14+M24+M29+M39+M49+M56</f>
        <v>188429.6054</v>
      </c>
    </row>
    <row r="60" customFormat="false" ht="13.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M60" s="215"/>
    </row>
    <row r="61" customFormat="false" ht="13.5" hidden="false" customHeight="false" outlineLevel="0" collapsed="false">
      <c r="A61" s="206" t="s">
        <v>168</v>
      </c>
      <c r="B61" s="209"/>
      <c r="C61" s="218"/>
      <c r="E61" s="152"/>
      <c r="F61" s="152"/>
      <c r="G61" s="152"/>
      <c r="H61" s="152"/>
      <c r="I61" s="152"/>
      <c r="J61" s="152"/>
      <c r="K61" s="152"/>
      <c r="M61" s="215"/>
    </row>
    <row r="62" customFormat="false" ht="13.5" hidden="false" customHeight="false" outlineLevel="0" collapsed="false">
      <c r="A62" s="87"/>
      <c r="B62" s="174" t="s">
        <v>143</v>
      </c>
      <c r="C62" s="175"/>
      <c r="E62" s="152"/>
      <c r="F62" s="152"/>
      <c r="G62" s="152"/>
      <c r="H62" s="152"/>
      <c r="I62" s="152"/>
      <c r="J62" s="152"/>
      <c r="K62" s="152"/>
      <c r="M62" s="215"/>
    </row>
    <row r="63" customFormat="false" ht="12.75" hidden="false" customHeight="false" outlineLevel="0" collapsed="false">
      <c r="A63" s="87"/>
      <c r="B63" s="87"/>
      <c r="C63" s="87" t="s">
        <v>143</v>
      </c>
      <c r="E63" s="152" t="n">
        <f aca="false">E10-'Prior DPR'!E10</f>
        <v>-56467.1750000001</v>
      </c>
      <c r="F63" s="152"/>
      <c r="G63" s="152" t="n">
        <f aca="false">G10-'Prior DPR'!G10</f>
        <v>0</v>
      </c>
      <c r="H63" s="152"/>
      <c r="I63" s="152" t="n">
        <f aca="false">I10-'Prior DPR'!I10</f>
        <v>48165.62</v>
      </c>
      <c r="J63" s="152"/>
      <c r="K63" s="152" t="n">
        <f aca="false">K10-'Prior DPR'!K10</f>
        <v>0</v>
      </c>
      <c r="M63" s="210" t="n">
        <f aca="false">SUM(E63:K63)</f>
        <v>-8301.55500000008</v>
      </c>
    </row>
    <row r="64" customFormat="false" ht="12.75" hidden="false" customHeight="false" outlineLevel="0" collapsed="false">
      <c r="A64" s="87"/>
      <c r="B64" s="87"/>
      <c r="C64" s="87" t="s">
        <v>123</v>
      </c>
      <c r="E64" s="152" t="n">
        <f aca="false">E11-'Prior DPR'!E11</f>
        <v>0</v>
      </c>
      <c r="F64" s="152"/>
      <c r="G64" s="152" t="n">
        <f aca="false">G11-'Prior DPR'!G11</f>
        <v>0</v>
      </c>
      <c r="H64" s="152"/>
      <c r="I64" s="152" t="n">
        <f aca="false">I11-'Prior DPR'!I11</f>
        <v>0</v>
      </c>
      <c r="J64" s="152"/>
      <c r="K64" s="152" t="n">
        <f aca="false">K11-'Prior DPR'!K11</f>
        <v>0</v>
      </c>
      <c r="M64" s="210" t="n">
        <f aca="false">SUM(E64:K64)</f>
        <v>0</v>
      </c>
    </row>
    <row r="65" customFormat="false" ht="12.75" hidden="false" customHeight="false" outlineLevel="0" collapsed="false">
      <c r="A65" s="87"/>
      <c r="B65" s="87"/>
      <c r="C65" s="87" t="s">
        <v>144</v>
      </c>
      <c r="E65" s="152" t="n">
        <f aca="false">E12-'Prior DPR'!E12</f>
        <v>-268012</v>
      </c>
      <c r="F65" s="152"/>
      <c r="G65" s="152" t="n">
        <f aca="false">G12-'Prior DPR'!G12</f>
        <v>0</v>
      </c>
      <c r="H65" s="152"/>
      <c r="I65" s="152" t="n">
        <f aca="false">I12-'Prior DPR'!I12</f>
        <v>0</v>
      </c>
      <c r="J65" s="152"/>
      <c r="K65" s="152" t="n">
        <f aca="false">K12-'Prior DPR'!K12</f>
        <v>0</v>
      </c>
      <c r="M65" s="210" t="n">
        <f aca="false">SUM(E65:K65)</f>
        <v>-268012</v>
      </c>
    </row>
    <row r="66" customFormat="false" ht="13.5" hidden="false" customHeight="false" outlineLevel="0" collapsed="false">
      <c r="A66" s="87" t="s">
        <v>40</v>
      </c>
      <c r="B66" s="87"/>
      <c r="C66" s="87" t="s">
        <v>145</v>
      </c>
      <c r="E66" s="152" t="n">
        <f aca="false">E13-'Prior DPR'!E13</f>
        <v>0</v>
      </c>
      <c r="F66" s="152"/>
      <c r="G66" s="152" t="n">
        <f aca="false">G13-'Prior DPR'!G13</f>
        <v>0</v>
      </c>
      <c r="H66" s="152"/>
      <c r="I66" s="152" t="n">
        <f aca="false">I13-'Prior DPR'!I13</f>
        <v>0</v>
      </c>
      <c r="J66" s="152"/>
      <c r="K66" s="152" t="n">
        <f aca="false">K13-'Prior DPR'!K13</f>
        <v>0</v>
      </c>
      <c r="M66" s="212" t="n">
        <f aca="false">SUM(E66:K66)</f>
        <v>0</v>
      </c>
    </row>
    <row r="67" customFormat="false" ht="13.5" hidden="false" customHeight="false" outlineLevel="0" collapsed="false">
      <c r="A67" s="87"/>
      <c r="B67" s="87"/>
      <c r="C67" s="94" t="s">
        <v>146</v>
      </c>
      <c r="E67" s="213" t="n">
        <f aca="false">SUM(E63:E66)</f>
        <v>-324479.175</v>
      </c>
      <c r="F67" s="152"/>
      <c r="G67" s="213" t="n">
        <f aca="false">SUM(G63:G66)</f>
        <v>0</v>
      </c>
      <c r="H67" s="138"/>
      <c r="I67" s="213" t="n">
        <f aca="false">SUM(I63:I66)</f>
        <v>48165.62</v>
      </c>
      <c r="J67" s="138"/>
      <c r="K67" s="213" t="n">
        <f aca="false">SUM(K63:K66)</f>
        <v>0</v>
      </c>
      <c r="M67" s="214" t="n">
        <f aca="false">SUM(M63:M66)</f>
        <v>-276313.555</v>
      </c>
    </row>
    <row r="68" customFormat="false" ht="12.75" hidden="false" customHeight="false" outlineLevel="0" collapsed="false">
      <c r="A68" s="87"/>
      <c r="B68" s="87"/>
      <c r="C68" s="94"/>
      <c r="E68" s="152"/>
      <c r="F68" s="152"/>
      <c r="G68" s="152"/>
      <c r="H68" s="152"/>
      <c r="I68" s="152"/>
      <c r="J68" s="152"/>
      <c r="K68" s="152"/>
      <c r="M68" s="215"/>
    </row>
    <row r="69" customFormat="false" ht="13.5" hidden="false" customHeight="false" outlineLevel="0" collapsed="false">
      <c r="A69" s="87"/>
      <c r="B69" s="174" t="s">
        <v>147</v>
      </c>
      <c r="C69" s="175"/>
      <c r="E69" s="152"/>
      <c r="F69" s="152"/>
      <c r="G69" s="152"/>
      <c r="H69" s="152"/>
      <c r="I69" s="152"/>
      <c r="J69" s="152"/>
      <c r="K69" s="152"/>
      <c r="M69" s="215"/>
    </row>
    <row r="70" customFormat="false" ht="12.75" hidden="false" customHeight="false" outlineLevel="0" collapsed="false">
      <c r="A70" s="87"/>
      <c r="B70" s="87"/>
      <c r="C70" s="87" t="s">
        <v>148</v>
      </c>
      <c r="E70" s="152" t="n">
        <f aca="false">E17-'Prior DPR'!E17</f>
        <v>324699.320599999</v>
      </c>
      <c r="F70" s="152"/>
      <c r="G70" s="152" t="n">
        <f aca="false">G17-'Prior DPR'!G17</f>
        <v>0</v>
      </c>
      <c r="H70" s="152"/>
      <c r="I70" s="152" t="n">
        <f aca="false">I17-'Prior DPR'!I17</f>
        <v>4135.17540000007</v>
      </c>
      <c r="J70" s="152"/>
      <c r="K70" s="152" t="n">
        <f aca="false">K17-'Prior DPR'!K17</f>
        <v>331.663700000034</v>
      </c>
      <c r="M70" s="210" t="n">
        <f aca="false">SUM(E70:K70)</f>
        <v>329166.159699999</v>
      </c>
    </row>
    <row r="71" customFormat="false" ht="12.75" hidden="false" customHeight="false" outlineLevel="0" collapsed="false">
      <c r="A71" s="87"/>
      <c r="B71" s="87"/>
      <c r="C71" s="87" t="s">
        <v>149</v>
      </c>
      <c r="E71" s="152" t="n">
        <f aca="false">E18-'Prior DPR'!E18</f>
        <v>0</v>
      </c>
      <c r="F71" s="152"/>
      <c r="G71" s="152" t="n">
        <f aca="false">G18-'Prior DPR'!G18</f>
        <v>0</v>
      </c>
      <c r="H71" s="152"/>
      <c r="I71" s="152" t="n">
        <f aca="false">I18-'Prior DPR'!I18</f>
        <v>0</v>
      </c>
      <c r="J71" s="152"/>
      <c r="K71" s="152" t="n">
        <f aca="false">K18-'Prior DPR'!K18</f>
        <v>0</v>
      </c>
      <c r="M71" s="210" t="n">
        <f aca="false">SUM(E71:K71)</f>
        <v>0</v>
      </c>
    </row>
    <row r="72" customFormat="false" ht="12.75" hidden="false" customHeight="false" outlineLevel="0" collapsed="false">
      <c r="A72" s="87"/>
      <c r="B72" s="87"/>
      <c r="C72" s="87" t="s">
        <v>150</v>
      </c>
      <c r="E72" s="152" t="n">
        <f aca="false">E19-'Prior DPR'!E19</f>
        <v>75.0371999999916</v>
      </c>
      <c r="F72" s="152"/>
      <c r="G72" s="152" t="n">
        <f aca="false">G19-'Prior DPR'!G19</f>
        <v>0</v>
      </c>
      <c r="H72" s="152"/>
      <c r="I72" s="152" t="n">
        <f aca="false">I19-'Prior DPR'!I19</f>
        <v>1453.34660000005</v>
      </c>
      <c r="J72" s="152"/>
      <c r="K72" s="152" t="n">
        <f aca="false">K19-'Prior DPR'!K19</f>
        <v>-0.0004</v>
      </c>
      <c r="M72" s="210" t="n">
        <f aca="false">SUM(E72:K72)</f>
        <v>1528.38340000004</v>
      </c>
    </row>
    <row r="73" customFormat="false" ht="12.75" hidden="false" customHeight="false" outlineLevel="0" collapsed="false">
      <c r="A73" s="87"/>
      <c r="B73" s="87"/>
      <c r="C73" s="87" t="s">
        <v>151</v>
      </c>
      <c r="E73" s="152" t="n">
        <f aca="false">E20-'Prior DPR'!E20</f>
        <v>4.90119999999934</v>
      </c>
      <c r="F73" s="152"/>
      <c r="G73" s="152" t="n">
        <f aca="false">G20-'Prior DPR'!G20</f>
        <v>0</v>
      </c>
      <c r="H73" s="152"/>
      <c r="I73" s="152" t="n">
        <f aca="false">I20-'Prior DPR'!I20</f>
        <v>6.01120000000083</v>
      </c>
      <c r="J73" s="152"/>
      <c r="K73" s="152" t="n">
        <f aca="false">K20-'Prior DPR'!K20</f>
        <v>0</v>
      </c>
      <c r="M73" s="210" t="n">
        <f aca="false">SUM(E73:K73)</f>
        <v>10.9124000000002</v>
      </c>
      <c r="P73" s="0" t="s">
        <v>40</v>
      </c>
    </row>
    <row r="74" customFormat="false" ht="12.75" hidden="false" customHeight="false" outlineLevel="0" collapsed="false">
      <c r="A74" s="87"/>
      <c r="B74" s="87"/>
      <c r="C74" s="87" t="s">
        <v>152</v>
      </c>
      <c r="E74" s="152" t="n">
        <f aca="false">E21-'Prior DPR'!E21</f>
        <v>0</v>
      </c>
      <c r="F74" s="152"/>
      <c r="G74" s="152" t="n">
        <f aca="false">G21-'Prior DPR'!G21</f>
        <v>0</v>
      </c>
      <c r="H74" s="152"/>
      <c r="I74" s="152" t="n">
        <f aca="false">I21-'Prior DPR'!I21</f>
        <v>0</v>
      </c>
      <c r="J74" s="152"/>
      <c r="K74" s="152" t="n">
        <f aca="false">K21-'Prior DPR'!K21</f>
        <v>0</v>
      </c>
      <c r="M74" s="210" t="n">
        <f aca="false">SUM(E74:K74)</f>
        <v>0</v>
      </c>
    </row>
    <row r="75" customFormat="false" ht="12.75" hidden="false" customHeight="false" outlineLevel="0" collapsed="false">
      <c r="A75" s="87"/>
      <c r="B75" s="87"/>
      <c r="C75" s="87" t="s">
        <v>153</v>
      </c>
      <c r="E75" s="152" t="n">
        <f aca="false">E22-'Prior DPR'!E22</f>
        <v>0</v>
      </c>
      <c r="F75" s="152"/>
      <c r="G75" s="152" t="n">
        <f aca="false">G22-'Prior DPR'!G22</f>
        <v>0</v>
      </c>
      <c r="H75" s="152"/>
      <c r="I75" s="152" t="n">
        <f aca="false">I22-'Prior DPR'!I22</f>
        <v>0</v>
      </c>
      <c r="J75" s="152"/>
      <c r="K75" s="152" t="n">
        <f aca="false">K22-'Prior DPR'!K22</f>
        <v>0</v>
      </c>
      <c r="M75" s="210" t="n">
        <f aca="false">SUM(E75:K75)</f>
        <v>0</v>
      </c>
    </row>
    <row r="76" customFormat="false" ht="13.5" hidden="false" customHeight="false" outlineLevel="0" collapsed="false">
      <c r="A76" s="87"/>
      <c r="B76" s="87"/>
      <c r="C76" s="87" t="s">
        <v>104</v>
      </c>
      <c r="E76" s="152" t="n">
        <f aca="false">E23-'Prior DPR'!E23</f>
        <v>0</v>
      </c>
      <c r="F76" s="152"/>
      <c r="G76" s="152" t="n">
        <f aca="false">G23-'Prior DPR'!G23</f>
        <v>0</v>
      </c>
      <c r="H76" s="152"/>
      <c r="I76" s="152" t="n">
        <f aca="false">I23-'Prior DPR'!I23</f>
        <v>0</v>
      </c>
      <c r="J76" s="152"/>
      <c r="K76" s="152" t="n">
        <f aca="false">K23-'Prior DPR'!K23</f>
        <v>0</v>
      </c>
      <c r="M76" s="212" t="n">
        <f aca="false">SUM(E76:K76)</f>
        <v>0</v>
      </c>
    </row>
    <row r="77" customFormat="false" ht="13.5" hidden="false" customHeight="false" outlineLevel="0" collapsed="false">
      <c r="A77" s="87"/>
      <c r="B77" s="87"/>
      <c r="C77" s="94" t="s">
        <v>146</v>
      </c>
      <c r="E77" s="213" t="n">
        <f aca="false">SUM(E70:E76)</f>
        <v>324779.258999999</v>
      </c>
      <c r="F77" s="152"/>
      <c r="G77" s="213" t="n">
        <f aca="false">SUM(G70:G76)</f>
        <v>0</v>
      </c>
      <c r="H77" s="152"/>
      <c r="I77" s="213" t="n">
        <f aca="false">SUM(I70:I76)</f>
        <v>5594.53320000011</v>
      </c>
      <c r="J77" s="138"/>
      <c r="K77" s="213" t="n">
        <f aca="false">SUM(K70:K76)</f>
        <v>331.663300000034</v>
      </c>
      <c r="M77" s="214" t="n">
        <f aca="false">SUM(M70:M76)</f>
        <v>330705.455499999</v>
      </c>
    </row>
    <row r="78" customFormat="false" ht="12.75" hidden="false" customHeight="false" outlineLevel="0" collapsed="false">
      <c r="A78" s="87"/>
      <c r="B78" s="87"/>
      <c r="C78" s="87"/>
      <c r="E78" s="152"/>
      <c r="F78" s="138"/>
      <c r="G78" s="152"/>
      <c r="H78" s="138"/>
      <c r="I78" s="152"/>
      <c r="J78" s="152"/>
      <c r="K78" s="152"/>
      <c r="M78" s="215"/>
    </row>
    <row r="79" customFormat="false" ht="13.5" hidden="false" customHeight="false" outlineLevel="0" collapsed="false">
      <c r="A79" s="87"/>
      <c r="B79" s="174" t="s">
        <v>154</v>
      </c>
      <c r="C79" s="175"/>
      <c r="E79" s="152"/>
      <c r="F79" s="138"/>
      <c r="G79" s="152"/>
      <c r="H79" s="152"/>
      <c r="I79" s="152"/>
      <c r="J79" s="152"/>
      <c r="K79" s="152"/>
      <c r="M79" s="215"/>
    </row>
    <row r="80" customFormat="false" ht="12.75" hidden="false" customHeight="false" outlineLevel="0" collapsed="false">
      <c r="A80" s="87"/>
      <c r="B80" s="110"/>
      <c r="C80" s="110" t="s">
        <v>143</v>
      </c>
      <c r="E80" s="152" t="n">
        <f aca="false">E27-'Prior DPR'!E27</f>
        <v>0</v>
      </c>
      <c r="F80" s="152"/>
      <c r="G80" s="152" t="n">
        <f aca="false">G27-'Prior DPR'!G27</f>
        <v>0</v>
      </c>
      <c r="H80" s="138"/>
      <c r="I80" s="152" t="n">
        <f aca="false">I27-'Prior DPR'!I27</f>
        <v>0</v>
      </c>
      <c r="J80" s="152"/>
      <c r="K80" s="152" t="n">
        <f aca="false">K27-'Prior DPR'!K27</f>
        <v>0</v>
      </c>
      <c r="M80" s="210" t="n">
        <f aca="false">SUM(E80:K80)</f>
        <v>0</v>
      </c>
    </row>
    <row r="81" customFormat="false" ht="13.5" hidden="false" customHeight="false" outlineLevel="0" collapsed="false">
      <c r="A81" s="87"/>
      <c r="B81" s="110"/>
      <c r="C81" s="110" t="s">
        <v>147</v>
      </c>
      <c r="E81" s="152" t="n">
        <f aca="false">E28-'Prior DPR'!E28</f>
        <v>0</v>
      </c>
      <c r="F81" s="138"/>
      <c r="G81" s="152" t="n">
        <f aca="false">G28-'Prior DPR'!G28</f>
        <v>0</v>
      </c>
      <c r="H81" s="138"/>
      <c r="I81" s="152" t="n">
        <f aca="false">I28-'Prior DPR'!I28</f>
        <v>0</v>
      </c>
      <c r="J81" s="152"/>
      <c r="K81" s="152" t="n">
        <f aca="false">K28-'Prior DPR'!K28</f>
        <v>0</v>
      </c>
      <c r="M81" s="212" t="n">
        <f aca="false">SUM(E81:K81)</f>
        <v>0</v>
      </c>
    </row>
    <row r="82" customFormat="false" ht="13.5" hidden="false" customHeight="false" outlineLevel="0" collapsed="false">
      <c r="A82" s="87"/>
      <c r="B82" s="110"/>
      <c r="C82" s="133" t="s">
        <v>146</v>
      </c>
      <c r="E82" s="213" t="n">
        <f aca="false">SUM(E80:E81)</f>
        <v>0</v>
      </c>
      <c r="F82" s="138"/>
      <c r="G82" s="213" t="n">
        <f aca="false">SUM(G80:G81)</f>
        <v>0</v>
      </c>
      <c r="H82" s="138"/>
      <c r="I82" s="213" t="n">
        <f aca="false">SUM(I80:I81)</f>
        <v>0</v>
      </c>
      <c r="J82" s="138"/>
      <c r="K82" s="213" t="n">
        <f aca="false">SUM(K80:K81)</f>
        <v>0</v>
      </c>
      <c r="M82" s="213" t="n">
        <f aca="false">SUM(M80:M81)</f>
        <v>0</v>
      </c>
    </row>
    <row r="83" customFormat="false" ht="12.75" hidden="false" customHeight="false" outlineLevel="0" collapsed="false">
      <c r="A83" s="87"/>
      <c r="B83" s="110"/>
      <c r="C83" s="110"/>
      <c r="E83" s="152"/>
      <c r="F83" s="138"/>
      <c r="G83" s="152"/>
      <c r="H83" s="138"/>
      <c r="I83" s="152"/>
      <c r="J83" s="152"/>
      <c r="K83" s="152"/>
      <c r="M83" s="215"/>
    </row>
    <row r="84" customFormat="false" ht="13.5" hidden="false" customHeight="false" outlineLevel="0" collapsed="false">
      <c r="A84" s="87"/>
      <c r="B84" s="174" t="s">
        <v>155</v>
      </c>
      <c r="C84" s="175"/>
      <c r="E84" s="152"/>
      <c r="F84" s="138"/>
      <c r="G84" s="152"/>
      <c r="H84" s="138"/>
      <c r="I84" s="152"/>
      <c r="J84" s="152"/>
      <c r="K84" s="152"/>
      <c r="M84" s="215"/>
    </row>
    <row r="85" customFormat="false" ht="12.75" hidden="false" customHeight="false" outlineLevel="0" collapsed="false">
      <c r="A85" s="87"/>
      <c r="B85" s="87"/>
      <c r="C85" s="87" t="s">
        <v>156</v>
      </c>
      <c r="E85" s="152" t="n">
        <f aca="false">E32-'Prior DPR'!E32</f>
        <v>0</v>
      </c>
      <c r="F85" s="138"/>
      <c r="G85" s="152" t="n">
        <f aca="false">G32-'Prior DPR'!G32</f>
        <v>0</v>
      </c>
      <c r="H85" s="138"/>
      <c r="I85" s="152" t="n">
        <f aca="false">I32-'Prior DPR'!I32</f>
        <v>0</v>
      </c>
      <c r="J85" s="152"/>
      <c r="K85" s="152" t="n">
        <f aca="false">K32-'Prior DPR'!K32</f>
        <v>0</v>
      </c>
      <c r="M85" s="210" t="n">
        <f aca="false">SUM(E85:K85)</f>
        <v>0</v>
      </c>
    </row>
    <row r="86" customFormat="false" ht="12.75" hidden="false" customHeight="false" outlineLevel="0" collapsed="false">
      <c r="A86" s="87"/>
      <c r="B86" s="87"/>
      <c r="C86" s="87" t="s">
        <v>157</v>
      </c>
      <c r="E86" s="152" t="n">
        <f aca="false">E33-'Prior DPR'!E33</f>
        <v>0</v>
      </c>
      <c r="F86" s="138"/>
      <c r="G86" s="152" t="n">
        <f aca="false">G33-'Prior DPR'!G33</f>
        <v>0</v>
      </c>
      <c r="H86" s="138"/>
      <c r="I86" s="152" t="n">
        <f aca="false">I33-'Prior DPR'!I33</f>
        <v>0</v>
      </c>
      <c r="J86" s="152"/>
      <c r="K86" s="152" t="n">
        <f aca="false">K33-'Prior DPR'!K33</f>
        <v>0</v>
      </c>
      <c r="M86" s="210" t="n">
        <f aca="false">SUM(E86:K86)</f>
        <v>0</v>
      </c>
    </row>
    <row r="87" customFormat="false" ht="12.75" hidden="false" customHeight="false" outlineLevel="0" collapsed="false">
      <c r="A87" s="87"/>
      <c r="B87" s="87"/>
      <c r="C87" s="87" t="s">
        <v>158</v>
      </c>
      <c r="E87" s="152" t="n">
        <f aca="false">E34-'Prior DPR'!E34</f>
        <v>0</v>
      </c>
      <c r="F87" s="138"/>
      <c r="G87" s="152" t="n">
        <f aca="false">G34-'Prior DPR'!G34</f>
        <v>0</v>
      </c>
      <c r="H87" s="138"/>
      <c r="I87" s="152" t="n">
        <f aca="false">I34-'Prior DPR'!I34</f>
        <v>0</v>
      </c>
      <c r="J87" s="152"/>
      <c r="K87" s="152" t="n">
        <f aca="false">K34-'Prior DPR'!K34</f>
        <v>0</v>
      </c>
      <c r="M87" s="210" t="n">
        <f aca="false">SUM(E87:K87)</f>
        <v>0</v>
      </c>
    </row>
    <row r="88" customFormat="false" ht="12.75" hidden="false" customHeight="false" outlineLevel="0" collapsed="false">
      <c r="A88" s="87"/>
      <c r="B88" s="87"/>
      <c r="C88" s="87" t="s">
        <v>159</v>
      </c>
      <c r="E88" s="152" t="n">
        <f aca="false">E35-'Prior DPR'!E35</f>
        <v>0</v>
      </c>
      <c r="F88" s="138"/>
      <c r="G88" s="152" t="n">
        <f aca="false">G35-'Prior DPR'!G35</f>
        <v>0</v>
      </c>
      <c r="H88" s="138"/>
      <c r="I88" s="152" t="n">
        <f aca="false">I35-'Prior DPR'!I35</f>
        <v>0</v>
      </c>
      <c r="J88" s="152"/>
      <c r="K88" s="152" t="n">
        <f aca="false">K35-'Prior DPR'!K35</f>
        <v>0</v>
      </c>
      <c r="M88" s="210" t="n">
        <f aca="false">SUM(E88:K88)</f>
        <v>0</v>
      </c>
    </row>
    <row r="89" customFormat="false" ht="12.75" hidden="false" customHeight="false" outlineLevel="0" collapsed="false">
      <c r="A89" s="87"/>
      <c r="B89" s="87"/>
      <c r="C89" s="87" t="s">
        <v>160</v>
      </c>
      <c r="E89" s="152" t="n">
        <f aca="false">E36-'Prior DPR'!E36</f>
        <v>0</v>
      </c>
      <c r="F89" s="138"/>
      <c r="G89" s="152" t="n">
        <f aca="false">G36-'Prior DPR'!G36</f>
        <v>0</v>
      </c>
      <c r="H89" s="138"/>
      <c r="I89" s="152" t="n">
        <f aca="false">I36-'Prior DPR'!I36</f>
        <v>0</v>
      </c>
      <c r="J89" s="152"/>
      <c r="K89" s="152" t="n">
        <f aca="false">K36-'Prior DPR'!K36</f>
        <v>0</v>
      </c>
      <c r="M89" s="210" t="n">
        <f aca="false">SUM(E89:K89)</f>
        <v>0</v>
      </c>
    </row>
    <row r="90" customFormat="false" ht="12.75" hidden="false" customHeight="false" outlineLevel="0" collapsed="false">
      <c r="A90" s="87"/>
      <c r="B90" s="87"/>
      <c r="C90" s="87" t="s">
        <v>161</v>
      </c>
      <c r="E90" s="152" t="n">
        <f aca="false">E37-'Prior DPR'!E37</f>
        <v>0</v>
      </c>
      <c r="F90" s="138"/>
      <c r="G90" s="152" t="n">
        <f aca="false">G37-'Prior DPR'!G37</f>
        <v>0</v>
      </c>
      <c r="H90" s="138"/>
      <c r="I90" s="152" t="n">
        <f aca="false">I37-'Prior DPR'!I37</f>
        <v>0</v>
      </c>
      <c r="J90" s="152"/>
      <c r="K90" s="152" t="n">
        <f aca="false">K37-'Prior DPR'!K37</f>
        <v>0</v>
      </c>
      <c r="M90" s="210" t="n">
        <f aca="false">SUM(E90:K90)</f>
        <v>0</v>
      </c>
    </row>
    <row r="91" customFormat="false" ht="13.5" hidden="false" customHeight="false" outlineLevel="0" collapsed="false">
      <c r="A91" s="87"/>
      <c r="B91" s="87"/>
      <c r="C91" s="87" t="s">
        <v>162</v>
      </c>
      <c r="E91" s="152" t="n">
        <f aca="false">E38-'Prior DPR'!E38</f>
        <v>0</v>
      </c>
      <c r="F91" s="138"/>
      <c r="G91" s="152" t="n">
        <f aca="false">G38-'Prior DPR'!G38</f>
        <v>0</v>
      </c>
      <c r="H91" s="138"/>
      <c r="I91" s="152" t="n">
        <f aca="false">I38-'Prior DPR'!I38</f>
        <v>0</v>
      </c>
      <c r="J91" s="152"/>
      <c r="K91" s="152" t="n">
        <f aca="false">K38-'Prior DPR'!K38</f>
        <v>0</v>
      </c>
      <c r="M91" s="212" t="n">
        <f aca="false">SUM(E91:K91)</f>
        <v>0</v>
      </c>
    </row>
    <row r="92" customFormat="false" ht="13.5" hidden="false" customHeight="false" outlineLevel="0" collapsed="false">
      <c r="A92" s="87"/>
      <c r="B92" s="87"/>
      <c r="C92" s="94" t="s">
        <v>146</v>
      </c>
      <c r="E92" s="213" t="n">
        <f aca="false">SUM(E85:E91)</f>
        <v>0</v>
      </c>
      <c r="F92" s="138"/>
      <c r="G92" s="213" t="n">
        <f aca="false">SUM(G85:G91)</f>
        <v>0</v>
      </c>
      <c r="H92" s="138"/>
      <c r="I92" s="213" t="n">
        <f aca="false">SUM(I85:I91)</f>
        <v>0</v>
      </c>
      <c r="J92" s="138"/>
      <c r="K92" s="213" t="n">
        <f aca="false">SUM(K85:K91)</f>
        <v>0</v>
      </c>
      <c r="M92" s="214" t="n">
        <f aca="false">SUM(M85:M91)</f>
        <v>0</v>
      </c>
    </row>
    <row r="93" customFormat="false" ht="12.75" hidden="false" customHeight="false" outlineLevel="0" collapsed="false">
      <c r="A93" s="87"/>
      <c r="B93" s="87"/>
      <c r="C93" s="87"/>
      <c r="E93" s="152"/>
      <c r="F93" s="138"/>
      <c r="G93" s="152"/>
      <c r="H93" s="138"/>
      <c r="I93" s="152"/>
      <c r="J93" s="152"/>
      <c r="K93" s="152"/>
      <c r="M93" s="215"/>
    </row>
    <row r="94" customFormat="false" ht="13.5" hidden="false" customHeight="false" outlineLevel="0" collapsed="false">
      <c r="A94" s="87"/>
      <c r="B94" s="174" t="s">
        <v>163</v>
      </c>
      <c r="C94" s="175"/>
      <c r="E94" s="152"/>
      <c r="F94" s="138"/>
      <c r="G94" s="152"/>
      <c r="H94" s="138"/>
      <c r="I94" s="152"/>
      <c r="J94" s="152"/>
      <c r="K94" s="152"/>
      <c r="M94" s="215"/>
    </row>
    <row r="95" customFormat="false" ht="12.75" hidden="false" customHeight="false" outlineLevel="0" collapsed="false">
      <c r="A95" s="87"/>
      <c r="B95" s="87"/>
      <c r="C95" s="87" t="s">
        <v>156</v>
      </c>
      <c r="E95" s="152" t="n">
        <f aca="false">E42-'Prior DPR'!E42</f>
        <v>0</v>
      </c>
      <c r="F95" s="138"/>
      <c r="G95" s="152" t="n">
        <f aca="false">G42-'Prior DPR'!G42</f>
        <v>0</v>
      </c>
      <c r="H95" s="138"/>
      <c r="I95" s="152" t="n">
        <f aca="false">I42-'Prior DPR'!I42</f>
        <v>0</v>
      </c>
      <c r="J95" s="152"/>
      <c r="K95" s="152" t="n">
        <f aca="false">K42-'Prior DPR'!K42</f>
        <v>0</v>
      </c>
      <c r="M95" s="210" t="n">
        <f aca="false">SUM(E95:K95)</f>
        <v>0</v>
      </c>
    </row>
    <row r="96" customFormat="false" ht="12.75" hidden="false" customHeight="false" outlineLevel="0" collapsed="false">
      <c r="A96" s="87"/>
      <c r="B96" s="87"/>
      <c r="C96" s="87" t="s">
        <v>157</v>
      </c>
      <c r="E96" s="152" t="n">
        <f aca="false">E43-'Prior DPR'!E43</f>
        <v>0</v>
      </c>
      <c r="F96" s="138"/>
      <c r="G96" s="152" t="n">
        <f aca="false">G43-'Prior DPR'!G43</f>
        <v>0</v>
      </c>
      <c r="H96" s="138"/>
      <c r="I96" s="152" t="n">
        <f aca="false">I43-'Prior DPR'!I43</f>
        <v>0</v>
      </c>
      <c r="J96" s="152"/>
      <c r="K96" s="152" t="n">
        <f aca="false">K43-'Prior DPR'!K43</f>
        <v>0</v>
      </c>
      <c r="M96" s="210" t="n">
        <f aca="false">SUM(E96:K96)</f>
        <v>0</v>
      </c>
    </row>
    <row r="97" customFormat="false" ht="12.75" hidden="false" customHeight="false" outlineLevel="0" collapsed="false">
      <c r="A97" s="87"/>
      <c r="B97" s="87"/>
      <c r="C97" s="87" t="s">
        <v>158</v>
      </c>
      <c r="E97" s="152" t="n">
        <f aca="false">E44-'Prior DPR'!E44</f>
        <v>0</v>
      </c>
      <c r="F97" s="138"/>
      <c r="G97" s="152" t="n">
        <f aca="false">G44-'Prior DPR'!G44</f>
        <v>0</v>
      </c>
      <c r="H97" s="138"/>
      <c r="I97" s="152" t="n">
        <f aca="false">I44-'Prior DPR'!I44</f>
        <v>0</v>
      </c>
      <c r="J97" s="152"/>
      <c r="K97" s="152" t="n">
        <f aca="false">K44-'Prior DPR'!K44</f>
        <v>0</v>
      </c>
      <c r="M97" s="210" t="n">
        <f aca="false">SUM(E97:K97)</f>
        <v>0</v>
      </c>
    </row>
    <row r="98" customFormat="false" ht="12.75" hidden="false" customHeight="false" outlineLevel="0" collapsed="false">
      <c r="A98" s="87"/>
      <c r="B98" s="87"/>
      <c r="C98" s="87" t="s">
        <v>159</v>
      </c>
      <c r="E98" s="152" t="n">
        <f aca="false">E45-'Prior DPR'!E45</f>
        <v>0</v>
      </c>
      <c r="F98" s="138"/>
      <c r="G98" s="152" t="n">
        <f aca="false">G45-'Prior DPR'!G45</f>
        <v>0</v>
      </c>
      <c r="H98" s="138"/>
      <c r="I98" s="152" t="n">
        <f aca="false">I45-'Prior DPR'!I45</f>
        <v>0</v>
      </c>
      <c r="J98" s="152"/>
      <c r="K98" s="152" t="n">
        <f aca="false">K45-'Prior DPR'!K45</f>
        <v>0</v>
      </c>
      <c r="M98" s="210" t="n">
        <f aca="false">SUM(E98:K98)</f>
        <v>0</v>
      </c>
    </row>
    <row r="99" customFormat="false" ht="12.75" hidden="false" customHeight="false" outlineLevel="0" collapsed="false">
      <c r="A99" s="87"/>
      <c r="B99" s="87"/>
      <c r="C99" s="87" t="s">
        <v>160</v>
      </c>
      <c r="E99" s="152" t="n">
        <f aca="false">E46-'Prior DPR'!E46</f>
        <v>0</v>
      </c>
      <c r="F99" s="138"/>
      <c r="G99" s="152" t="n">
        <f aca="false">G46-'Prior DPR'!G46</f>
        <v>0</v>
      </c>
      <c r="H99" s="138"/>
      <c r="I99" s="152" t="n">
        <f aca="false">I46-'Prior DPR'!I46</f>
        <v>0</v>
      </c>
      <c r="J99" s="152"/>
      <c r="K99" s="152" t="n">
        <f aca="false">K46-'Prior DPR'!K46</f>
        <v>0</v>
      </c>
      <c r="M99" s="210" t="n">
        <f aca="false">SUM(E99:K99)</f>
        <v>0</v>
      </c>
    </row>
    <row r="100" customFormat="false" ht="12.75" hidden="false" customHeight="false" outlineLevel="0" collapsed="false">
      <c r="A100" s="87"/>
      <c r="B100" s="87"/>
      <c r="C100" s="87" t="s">
        <v>161</v>
      </c>
      <c r="E100" s="152" t="n">
        <f aca="false">E47-'Prior DPR'!E47</f>
        <v>0</v>
      </c>
      <c r="F100" s="138"/>
      <c r="G100" s="152" t="n">
        <f aca="false">G47-'Prior DPR'!G47</f>
        <v>0</v>
      </c>
      <c r="H100" s="138"/>
      <c r="I100" s="152" t="n">
        <f aca="false">I47-'Prior DPR'!I47</f>
        <v>0</v>
      </c>
      <c r="J100" s="152"/>
      <c r="K100" s="152" t="n">
        <f aca="false">K47-'Prior DPR'!K47</f>
        <v>0</v>
      </c>
      <c r="M100" s="210" t="n">
        <f aca="false">SUM(E100:K100)</f>
        <v>0</v>
      </c>
    </row>
    <row r="101" customFormat="false" ht="13.5" hidden="false" customHeight="false" outlineLevel="0" collapsed="false">
      <c r="A101" s="87"/>
      <c r="B101" s="87"/>
      <c r="C101" s="87" t="s">
        <v>162</v>
      </c>
      <c r="E101" s="152" t="n">
        <f aca="false">E48-'Prior DPR'!E48</f>
        <v>0</v>
      </c>
      <c r="F101" s="138"/>
      <c r="G101" s="152" t="n">
        <f aca="false">G48-'Prior DPR'!G48</f>
        <v>0</v>
      </c>
      <c r="H101" s="138"/>
      <c r="I101" s="152" t="n">
        <f aca="false">I48-'Prior DPR'!I48</f>
        <v>0</v>
      </c>
      <c r="J101" s="152"/>
      <c r="K101" s="152" t="n">
        <f aca="false">K48-'Prior DPR'!K48</f>
        <v>0</v>
      </c>
      <c r="M101" s="212" t="n">
        <f aca="false">SUM(E101:K101)</f>
        <v>0</v>
      </c>
    </row>
    <row r="102" customFormat="false" ht="13.5" hidden="false" customHeight="false" outlineLevel="0" collapsed="false">
      <c r="A102" s="87"/>
      <c r="B102" s="87"/>
      <c r="C102" s="94" t="s">
        <v>146</v>
      </c>
      <c r="E102" s="213" t="n">
        <f aca="false">SUM(E95:E101)</f>
        <v>0</v>
      </c>
      <c r="F102" s="138"/>
      <c r="G102" s="213" t="n">
        <f aca="false">SUM(G95:G101)</f>
        <v>0</v>
      </c>
      <c r="H102" s="138"/>
      <c r="I102" s="213" t="n">
        <f aca="false">SUM(I95:I101)</f>
        <v>0</v>
      </c>
      <c r="J102" s="138"/>
      <c r="K102" s="213" t="n">
        <f aca="false">SUM(K95:K101)</f>
        <v>0</v>
      </c>
      <c r="M102" s="214" t="n">
        <f aca="false">SUM(M95:M101)</f>
        <v>0</v>
      </c>
    </row>
    <row r="103" customFormat="false" ht="12.75" hidden="false" customHeight="false" outlineLevel="0" collapsed="false">
      <c r="A103" s="87"/>
      <c r="B103" s="87"/>
      <c r="C103" s="87"/>
      <c r="E103" s="152"/>
      <c r="F103" s="138"/>
      <c r="G103" s="152"/>
      <c r="H103" s="138"/>
      <c r="I103" s="152"/>
      <c r="J103" s="152"/>
      <c r="K103" s="152"/>
      <c r="M103" s="215"/>
    </row>
    <row r="104" customFormat="false" ht="13.5" hidden="false" customHeight="false" outlineLevel="0" collapsed="false">
      <c r="A104" s="87"/>
      <c r="B104" s="174" t="s">
        <v>123</v>
      </c>
      <c r="C104" s="175"/>
      <c r="E104" s="152"/>
      <c r="F104" s="138"/>
      <c r="G104" s="152"/>
      <c r="H104" s="138"/>
      <c r="I104" s="152"/>
      <c r="J104" s="152"/>
      <c r="K104" s="152"/>
      <c r="M104" s="215"/>
    </row>
    <row r="105" customFormat="false" ht="12.75" hidden="false" customHeight="false" outlineLevel="0" collapsed="false">
      <c r="A105" s="87"/>
      <c r="B105" s="87"/>
      <c r="C105" s="87" t="s">
        <v>164</v>
      </c>
      <c r="E105" s="152" t="n">
        <f aca="false">E52-'Prior DPR'!E52</f>
        <v>-467.25</v>
      </c>
      <c r="F105" s="138"/>
      <c r="G105" s="152" t="n">
        <f aca="false">G52-'Prior DPR'!G52</f>
        <v>0</v>
      </c>
      <c r="H105" s="138"/>
      <c r="I105" s="152" t="n">
        <f aca="false">I52-'Prior DPR'!I52</f>
        <v>0</v>
      </c>
      <c r="J105" s="152"/>
      <c r="K105" s="152" t="n">
        <f aca="false">K52-'Prior DPR'!K52</f>
        <v>-314.5</v>
      </c>
      <c r="M105" s="210" t="n">
        <f aca="false">SUM(E105:K105)</f>
        <v>-781.75</v>
      </c>
    </row>
    <row r="106" customFormat="false" ht="12.75" hidden="false" customHeight="false" outlineLevel="0" collapsed="false">
      <c r="A106" s="87"/>
      <c r="B106" s="87"/>
      <c r="C106" s="87" t="s">
        <v>24</v>
      </c>
      <c r="E106" s="152" t="n">
        <f aca="false">E53-'Prior DPR'!E53</f>
        <v>0</v>
      </c>
      <c r="F106" s="138"/>
      <c r="G106" s="152" t="n">
        <f aca="false">G53-'Prior DPR'!G53</f>
        <v>0</v>
      </c>
      <c r="H106" s="138"/>
      <c r="I106" s="152" t="n">
        <f aca="false">I53-'Prior DPR'!I53</f>
        <v>-3995</v>
      </c>
      <c r="J106" s="152"/>
      <c r="K106" s="152" t="n">
        <f aca="false">K53-'Prior DPR'!K53</f>
        <v>0</v>
      </c>
      <c r="M106" s="210" t="n">
        <f aca="false">SUM(E106:K106)</f>
        <v>-3995</v>
      </c>
    </row>
    <row r="107" customFormat="false" ht="12.75" hidden="false" customHeight="false" outlineLevel="0" collapsed="false">
      <c r="A107" s="87"/>
      <c r="B107" s="87"/>
      <c r="C107" s="87" t="s">
        <v>165</v>
      </c>
      <c r="E107" s="152" t="n">
        <f aca="false">E54-'Prior DPR'!E54</f>
        <v>0</v>
      </c>
      <c r="F107" s="138"/>
      <c r="G107" s="152" t="n">
        <f aca="false">G54-'Prior DPR'!G54</f>
        <v>0</v>
      </c>
      <c r="H107" s="138"/>
      <c r="I107" s="152" t="n">
        <f aca="false">I54-'Prior DPR'!I54</f>
        <v>0</v>
      </c>
      <c r="J107" s="152"/>
      <c r="K107" s="152" t="n">
        <f aca="false">K54-'Prior DPR'!K54</f>
        <v>0</v>
      </c>
      <c r="M107" s="210" t="n">
        <f aca="false">SUM(E107:K107)</f>
        <v>0</v>
      </c>
    </row>
    <row r="108" customFormat="false" ht="13.5" hidden="false" customHeight="false" outlineLevel="0" collapsed="false">
      <c r="A108" s="87"/>
      <c r="B108" s="87"/>
      <c r="C108" s="87" t="s">
        <v>166</v>
      </c>
      <c r="E108" s="152" t="n">
        <f aca="false">E55-'Prior DPR'!E55</f>
        <v>0</v>
      </c>
      <c r="F108" s="138"/>
      <c r="G108" s="152" t="n">
        <f aca="false">G55-'Prior DPR'!G55</f>
        <v>0</v>
      </c>
      <c r="H108" s="138"/>
      <c r="I108" s="152" t="n">
        <f aca="false">I55-'Prior DPR'!I55</f>
        <v>0</v>
      </c>
      <c r="J108" s="152"/>
      <c r="K108" s="152" t="n">
        <f aca="false">K55-'Prior DPR'!K55</f>
        <v>0</v>
      </c>
      <c r="M108" s="212" t="n">
        <f aca="false">SUM(E108:K108)</f>
        <v>0</v>
      </c>
    </row>
    <row r="109" customFormat="false" ht="13.5" hidden="false" customHeight="false" outlineLevel="0" collapsed="false">
      <c r="A109" s="87"/>
      <c r="B109" s="87"/>
      <c r="C109" s="94" t="s">
        <v>146</v>
      </c>
      <c r="E109" s="213" t="n">
        <f aca="false">SUM(E105:E108)</f>
        <v>-467.25</v>
      </c>
      <c r="F109" s="138"/>
      <c r="G109" s="213" t="n">
        <f aca="false">SUM(G105:G108)</f>
        <v>0</v>
      </c>
      <c r="H109" s="138"/>
      <c r="I109" s="213" t="n">
        <f aca="false">SUM(I105:I108)</f>
        <v>-3995</v>
      </c>
      <c r="J109" s="138"/>
      <c r="K109" s="213" t="n">
        <f aca="false">SUM(K105:K108)</f>
        <v>-314.5</v>
      </c>
      <c r="M109" s="212" t="n">
        <f aca="false">SUM(M105:M108)</f>
        <v>-4776.75</v>
      </c>
    </row>
    <row r="110" customFormat="false" ht="12.75" hidden="false" customHeight="false" outlineLevel="0" collapsed="false">
      <c r="A110" s="87"/>
      <c r="B110" s="87"/>
      <c r="C110" s="87"/>
      <c r="E110" s="138"/>
      <c r="F110" s="138"/>
      <c r="G110" s="138"/>
      <c r="H110" s="138"/>
      <c r="I110" s="138"/>
      <c r="J110" s="138"/>
      <c r="K110" s="138"/>
      <c r="M110" s="215"/>
    </row>
    <row r="111" customFormat="false" ht="12.75" hidden="false" customHeight="false" outlineLevel="0" collapsed="false">
      <c r="A111" s="87"/>
      <c r="B111" s="87"/>
      <c r="C111" s="87"/>
      <c r="E111" s="138"/>
      <c r="F111" s="138"/>
      <c r="G111" s="138"/>
      <c r="H111" s="138"/>
      <c r="I111" s="138"/>
      <c r="J111" s="138"/>
      <c r="K111" s="138"/>
      <c r="M111" s="215"/>
    </row>
    <row r="112" customFormat="false" ht="16.5" hidden="false" customHeight="false" outlineLevel="0" collapsed="false">
      <c r="A112" s="216" t="s">
        <v>169</v>
      </c>
      <c r="B112" s="216"/>
      <c r="C112" s="216"/>
      <c r="D112" s="216"/>
      <c r="E112" s="217" t="n">
        <f aca="false">SUM(E67,E77,E82,E92,E102,E109,)</f>
        <v>-167.166000000725</v>
      </c>
      <c r="F112" s="217"/>
      <c r="G112" s="217" t="n">
        <f aca="false">SUM(G67,G77,G82,G92,G102,G109,)</f>
        <v>0</v>
      </c>
      <c r="H112" s="217"/>
      <c r="I112" s="217" t="n">
        <f aca="false">SUM(I67,I77,I82,I92,I102,I109,)</f>
        <v>49765.1532000001</v>
      </c>
      <c r="J112" s="217"/>
      <c r="K112" s="217" t="n">
        <f aca="false">SUM(K67,K77,K82,K92,K102,K109,)</f>
        <v>17.1633000000337</v>
      </c>
      <c r="L112" s="217"/>
      <c r="M112" s="217" t="n">
        <f aca="false">SUM(M67,M77,M82,M92,M102,M109,)</f>
        <v>49615.1504999994</v>
      </c>
    </row>
    <row r="113" customFormat="false" ht="13.5" hidden="false" customHeight="false" outlineLevel="0" collapsed="false">
      <c r="A113" s="87"/>
      <c r="B113" s="87"/>
      <c r="C113" s="87"/>
      <c r="E113" s="152"/>
      <c r="F113" s="152"/>
      <c r="G113" s="152"/>
      <c r="H113" s="152"/>
      <c r="I113" s="152"/>
      <c r="J113" s="152"/>
      <c r="K113" s="152"/>
      <c r="M113" s="215"/>
    </row>
    <row r="114" customFormat="false" ht="13.5" hidden="false" customHeight="false" outlineLevel="0" collapsed="false">
      <c r="A114" s="206" t="s">
        <v>170</v>
      </c>
      <c r="B114" s="207"/>
      <c r="C114" s="207"/>
      <c r="D114" s="207"/>
      <c r="E114" s="213" t="n">
        <f aca="false">E59</f>
        <v>17652.6364</v>
      </c>
      <c r="F114" s="213"/>
      <c r="G114" s="213" t="n">
        <f aca="false">G59</f>
        <v>0</v>
      </c>
      <c r="H114" s="213"/>
      <c r="I114" s="213" t="n">
        <f aca="false">I59</f>
        <v>169801.9691</v>
      </c>
      <c r="J114" s="213"/>
      <c r="K114" s="213" t="n">
        <f aca="false">K59</f>
        <v>974.9999</v>
      </c>
      <c r="L114" s="213"/>
      <c r="M114" s="213" t="n">
        <f aca="false">M59</f>
        <v>188429.6054</v>
      </c>
    </row>
    <row r="115" customFormat="false" ht="13.5" hidden="false" customHeight="false" outlineLevel="0" collapsed="false">
      <c r="A115" s="94"/>
      <c r="B115" s="87"/>
      <c r="C115" s="87"/>
      <c r="E115" s="152"/>
      <c r="F115" s="152"/>
      <c r="G115" s="152"/>
      <c r="H115" s="152"/>
      <c r="I115" s="152"/>
      <c r="J115" s="152"/>
      <c r="K115" s="152"/>
      <c r="L115" s="152"/>
      <c r="M115" s="152"/>
    </row>
    <row r="116" customFormat="false" ht="13.5" hidden="false" customHeight="false" outlineLevel="0" collapsed="false">
      <c r="A116" s="219" t="s">
        <v>171</v>
      </c>
      <c r="B116" s="220"/>
      <c r="C116" s="220"/>
      <c r="D116" s="220"/>
      <c r="E116" s="221" t="n">
        <f aca="false">E114+83837+43140+40697+32360+16180+16180</f>
        <v>250046.6364</v>
      </c>
      <c r="F116" s="221"/>
      <c r="G116" s="221" t="n">
        <f aca="false">G114</f>
        <v>0</v>
      </c>
      <c r="H116" s="221"/>
      <c r="I116" s="221" t="n">
        <f aca="false">I114+30000+196372+98186+98186+19296+9648+9647+368125+184062+184062+600000+300000+300000+12500+17792-5292+1173728+586865+581864</f>
        <v>4934842.9691</v>
      </c>
      <c r="J116" s="221"/>
      <c r="K116" s="221" t="n">
        <f aca="false">K114+71393+35696+35696+484+242+242</f>
        <v>144727.9999</v>
      </c>
      <c r="L116" s="221"/>
      <c r="M116" s="221" t="n">
        <f aca="false">E116+G116+I116+K116</f>
        <v>5329617.6054</v>
      </c>
    </row>
    <row r="117" customFormat="false" ht="12.75" hidden="false" customHeight="false" outlineLevel="0" collapsed="false">
      <c r="M117" s="215"/>
    </row>
    <row r="118" customFormat="false" ht="12.75" hidden="false" customHeight="false" outlineLevel="0" collapsed="false">
      <c r="M118" s="215"/>
    </row>
    <row r="119" customFormat="false" ht="12.75" hidden="false" customHeight="false" outlineLevel="0" collapsed="false">
      <c r="C119" s="87"/>
      <c r="E119" s="222" t="s">
        <v>61</v>
      </c>
      <c r="F119" s="222"/>
      <c r="G119" s="222" t="s">
        <v>62</v>
      </c>
      <c r="H119" s="222"/>
      <c r="I119" s="222" t="s">
        <v>105</v>
      </c>
      <c r="J119" s="222"/>
      <c r="K119" s="222" t="s">
        <v>106</v>
      </c>
      <c r="L119" s="222"/>
      <c r="M119" s="222" t="s">
        <v>141</v>
      </c>
    </row>
    <row r="120" customFormat="false" ht="12.75" hidden="false" customHeight="false" outlineLevel="0" collapsed="false">
      <c r="C120" s="223" t="s">
        <v>172</v>
      </c>
      <c r="D120" s="223"/>
      <c r="E120" s="224" t="n">
        <f aca="false">E63+E80</f>
        <v>-56467.1750000001</v>
      </c>
      <c r="F120" s="224"/>
      <c r="G120" s="224" t="n">
        <f aca="false">G63+G80</f>
        <v>0</v>
      </c>
      <c r="H120" s="224"/>
      <c r="I120" s="224" t="n">
        <f aca="false">I63+I80</f>
        <v>48165.62</v>
      </c>
      <c r="J120" s="224"/>
      <c r="K120" s="224" t="n">
        <f aca="false">K63+K80</f>
        <v>0</v>
      </c>
      <c r="L120" s="224"/>
      <c r="M120" s="225" t="n">
        <f aca="false">SUM(E120:K120)</f>
        <v>-8301.55500000008</v>
      </c>
    </row>
    <row r="121" customFormat="false" ht="12.75" hidden="false" customHeight="false" outlineLevel="0" collapsed="false">
      <c r="C121" s="226" t="s">
        <v>173</v>
      </c>
      <c r="D121" s="227"/>
      <c r="E121" s="228" t="n">
        <f aca="false">'P&amp;L Without Sharing'!E121</f>
        <v>0</v>
      </c>
      <c r="F121" s="228"/>
      <c r="G121" s="228" t="n">
        <f aca="false">'P&amp;L Without Sharing'!G121</f>
        <v>0</v>
      </c>
      <c r="H121" s="228"/>
      <c r="I121" s="228" t="n">
        <f aca="false">'P&amp;L Without Sharing'!I121</f>
        <v>0</v>
      </c>
      <c r="J121" s="228"/>
      <c r="K121" s="228" t="n">
        <f aca="false">'P&amp;L Without Sharing'!K121</f>
        <v>0</v>
      </c>
      <c r="L121" s="228"/>
      <c r="M121" s="229" t="n">
        <f aca="false">SUM(E121:L121)</f>
        <v>0</v>
      </c>
    </row>
    <row r="122" customFormat="false" ht="12.75" hidden="false" customHeight="false" outlineLevel="0" collapsed="false">
      <c r="C122" s="230" t="s">
        <v>174</v>
      </c>
      <c r="D122" s="231"/>
      <c r="E122" s="232" t="n">
        <f aca="false">'P&amp;L Without Sharing'!E122</f>
        <v>0</v>
      </c>
      <c r="F122" s="232"/>
      <c r="G122" s="232" t="n">
        <f aca="false">'P&amp;L Without Sharing'!G122</f>
        <v>0</v>
      </c>
      <c r="H122" s="232"/>
      <c r="I122" s="232" t="n">
        <f aca="false">'P&amp;L Without Sharing'!I122</f>
        <v>0</v>
      </c>
      <c r="J122" s="232"/>
      <c r="K122" s="232" t="n">
        <f aca="false">'P&amp;L Without Sharing'!K122</f>
        <v>0</v>
      </c>
      <c r="L122" s="232"/>
      <c r="M122" s="233" t="n">
        <f aca="false">SUM(E122:L122)</f>
        <v>0</v>
      </c>
    </row>
    <row r="123" customFormat="false" ht="12.75" hidden="false" customHeight="false" outlineLevel="0" collapsed="false">
      <c r="C123" s="230" t="s">
        <v>175</v>
      </c>
      <c r="D123" s="231"/>
      <c r="E123" s="232" t="n">
        <f aca="false">'P&amp;L Without Sharing'!E123</f>
        <v>0</v>
      </c>
      <c r="F123" s="232"/>
      <c r="G123" s="232" t="n">
        <f aca="false">'P&amp;L Without Sharing'!G123</f>
        <v>0</v>
      </c>
      <c r="H123" s="232"/>
      <c r="I123" s="232" t="n">
        <f aca="false">'P&amp;L Without Sharing'!I123</f>
        <v>0</v>
      </c>
      <c r="J123" s="232"/>
      <c r="K123" s="232" t="n">
        <f aca="false">'P&amp;L Without Sharing'!K123</f>
        <v>0</v>
      </c>
      <c r="L123" s="232"/>
      <c r="M123" s="233" t="n">
        <f aca="false">SUM(E123:L123)</f>
        <v>0</v>
      </c>
    </row>
    <row r="124" customFormat="false" ht="12.75" hidden="false" customHeight="false" outlineLevel="0" collapsed="false">
      <c r="C124" s="230" t="s">
        <v>176</v>
      </c>
      <c r="D124" s="231"/>
      <c r="E124" s="232" t="n">
        <f aca="false">-E32-E33-E42-E43</f>
        <v>-0</v>
      </c>
      <c r="F124" s="232"/>
      <c r="G124" s="232" t="n">
        <f aca="false">-G32-G33-G42-G43</f>
        <v>-0</v>
      </c>
      <c r="H124" s="232"/>
      <c r="I124" s="232" t="n">
        <f aca="false">-I32-I33-I42-I43</f>
        <v>-0</v>
      </c>
      <c r="J124" s="232"/>
      <c r="K124" s="232" t="n">
        <f aca="false">-K32-K33-K42-K43</f>
        <v>-0</v>
      </c>
      <c r="L124" s="232"/>
      <c r="M124" s="233" t="n">
        <f aca="false">SUM(E124:L124)</f>
        <v>0</v>
      </c>
    </row>
    <row r="125" customFormat="false" ht="12.75" hidden="false" customHeight="false" outlineLevel="0" collapsed="false">
      <c r="C125" s="234" t="s">
        <v>177</v>
      </c>
      <c r="D125" s="235"/>
      <c r="E125" s="236" t="n">
        <f aca="false">E120-E121-E122-E123-E124</f>
        <v>-56467.1750000001</v>
      </c>
      <c r="F125" s="236"/>
      <c r="G125" s="236" t="n">
        <f aca="false">G120-G121-G122-G123-G124</f>
        <v>0</v>
      </c>
      <c r="H125" s="236"/>
      <c r="I125" s="236" t="n">
        <f aca="false">I120-I121-I122-I123-I124</f>
        <v>48165.62</v>
      </c>
      <c r="J125" s="236"/>
      <c r="K125" s="236" t="n">
        <f aca="false">K120-K121-K122-K123-K124</f>
        <v>0</v>
      </c>
      <c r="L125" s="236"/>
      <c r="M125" s="237" t="n">
        <f aca="false">SUM(E125:L125)</f>
        <v>-8301.55500000008</v>
      </c>
    </row>
    <row r="126" customFormat="false" ht="12.75" hidden="false" customHeight="false" outlineLevel="0" collapsed="false">
      <c r="C126" s="223" t="s">
        <v>178</v>
      </c>
      <c r="D126" s="223"/>
      <c r="E126" s="224" t="n">
        <f aca="false">SUM(E127:E130)</f>
        <v>257109</v>
      </c>
      <c r="F126" s="224"/>
      <c r="G126" s="224" t="n">
        <f aca="false">SUM(G127:G130)</f>
        <v>0</v>
      </c>
      <c r="H126" s="224"/>
      <c r="I126" s="224" t="n">
        <f aca="false">SUM(I127:I130)</f>
        <v>-122591</v>
      </c>
      <c r="J126" s="224"/>
      <c r="K126" s="224" t="n">
        <f aca="false">SUM(K127:K130)</f>
        <v>0</v>
      </c>
      <c r="L126" s="224"/>
      <c r="M126" s="225" t="n">
        <f aca="false">SUM(E126:K126)</f>
        <v>134518</v>
      </c>
    </row>
    <row r="127" customFormat="false" ht="12.75" hidden="false" customHeight="false" outlineLevel="0" collapsed="false">
      <c r="C127" s="226" t="s">
        <v>179</v>
      </c>
      <c r="D127" s="227"/>
      <c r="E127" s="228" t="n">
        <f aca="false">'Top Pages'!I2</f>
        <v>257109</v>
      </c>
      <c r="F127" s="228"/>
      <c r="G127" s="228" t="n">
        <f aca="false">'Top Pages'!I17</f>
        <v>0</v>
      </c>
      <c r="H127" s="228"/>
      <c r="I127" s="228" t="n">
        <f aca="false">'Top Pages'!I32</f>
        <v>-122591</v>
      </c>
      <c r="J127" s="228"/>
      <c r="K127" s="228" t="n">
        <f aca="false">'Top Pages'!I47</f>
        <v>0</v>
      </c>
      <c r="L127" s="228"/>
      <c r="M127" s="229" t="n">
        <f aca="false">SUM(E127:L127)</f>
        <v>134518</v>
      </c>
    </row>
    <row r="128" customFormat="false" ht="12.75" hidden="false" customHeight="false" outlineLevel="0" collapsed="false">
      <c r="C128" s="230" t="s">
        <v>180</v>
      </c>
      <c r="D128" s="231"/>
      <c r="E128" s="232" t="n">
        <f aca="false">'Top Pages'!I7</f>
        <v>0</v>
      </c>
      <c r="F128" s="232"/>
      <c r="G128" s="232" t="n">
        <f aca="false">'Top Pages'!I22</f>
        <v>0</v>
      </c>
      <c r="H128" s="232"/>
      <c r="I128" s="232" t="n">
        <f aca="false">'Top Pages'!I37</f>
        <v>0</v>
      </c>
      <c r="J128" s="232"/>
      <c r="K128" s="232" t="n">
        <f aca="false">'Top Pages'!I52</f>
        <v>0</v>
      </c>
      <c r="L128" s="232"/>
      <c r="M128" s="233" t="n">
        <f aca="false">SUM(E128:L128)</f>
        <v>0</v>
      </c>
    </row>
    <row r="129" customFormat="false" ht="12.75" hidden="false" customHeight="false" outlineLevel="0" collapsed="false">
      <c r="C129" s="230" t="s">
        <v>181</v>
      </c>
      <c r="D129" s="231"/>
      <c r="E129" s="232" t="n">
        <f aca="false">'Top Pages'!I12</f>
        <v>0</v>
      </c>
      <c r="F129" s="232"/>
      <c r="G129" s="232" t="n">
        <f aca="false">'Top Pages'!I27</f>
        <v>0</v>
      </c>
      <c r="H129" s="232"/>
      <c r="I129" s="232" t="n">
        <f aca="false">'Top Pages'!I42</f>
        <v>0</v>
      </c>
      <c r="J129" s="232"/>
      <c r="K129" s="232" t="n">
        <f aca="false">'Top Pages'!I57</f>
        <v>0</v>
      </c>
      <c r="L129" s="232"/>
      <c r="M129" s="233" t="n">
        <f aca="false">SUM(E129:L129)</f>
        <v>0</v>
      </c>
    </row>
    <row r="130" customFormat="false" ht="12.75" hidden="false" customHeight="false" outlineLevel="0" collapsed="false">
      <c r="C130" s="234" t="s">
        <v>182</v>
      </c>
      <c r="D130" s="235"/>
      <c r="E130" s="236"/>
      <c r="F130" s="236"/>
      <c r="G130" s="236"/>
      <c r="H130" s="236"/>
      <c r="I130" s="236"/>
      <c r="J130" s="236"/>
      <c r="K130" s="236"/>
      <c r="L130" s="236"/>
      <c r="M130" s="237"/>
    </row>
    <row r="131" customFormat="false" ht="12.75" hidden="false" customHeight="false" outlineLevel="0" collapsed="false">
      <c r="D131" s="238"/>
      <c r="E131" s="238"/>
      <c r="F131" s="238"/>
      <c r="G131" s="238"/>
      <c r="H131" s="238"/>
      <c r="I131" s="238"/>
      <c r="J131" s="238"/>
      <c r="K131" s="238"/>
      <c r="L131" s="238"/>
      <c r="M131" s="238"/>
    </row>
  </sheetData>
  <mergeCells count="1">
    <mergeCell ref="A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34" activePane="bottomRight" state="frozen"/>
      <selection pane="topLeft" activeCell="A1" activeCellId="0" sqref="A1"/>
      <selection pane="topRight" activeCell="D1" activeCellId="0" sqref="D1"/>
      <selection pane="bottomLeft" activeCell="A34" activeCellId="0" sqref="A34"/>
      <selection pane="bottomRight" activeCell="L66" activeCellId="0" sqref="L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21.13"/>
    <col collapsed="false" customWidth="true" hidden="false" outlineLevel="0" max="4" min="4" style="0" width="16.7"/>
    <col collapsed="false" customWidth="true" hidden="false" outlineLevel="0" max="5" min="5" style="0" width="11.28"/>
    <col collapsed="false" customWidth="true" hidden="false" outlineLevel="0" max="6" min="6" style="0" width="10.28"/>
    <col collapsed="false" customWidth="true" hidden="false" outlineLevel="0" max="7" min="7" style="0" width="11.13"/>
    <col collapsed="false" customWidth="true" hidden="false" outlineLevel="0" max="9" min="9" style="0" width="12.28"/>
    <col collapsed="false" customWidth="true" hidden="false" outlineLevel="0" max="11" min="11" style="0" width="10.13"/>
    <col collapsed="false" customWidth="true" hidden="false" outlineLevel="0" max="13" min="13" style="0" width="12.56"/>
    <col collapsed="false" customWidth="true" hidden="false" outlineLevel="0" max="14" min="14" style="0" width="10.28"/>
  </cols>
  <sheetData>
    <row r="3" customFormat="false" ht="12.75" hidden="false" customHeight="false" outlineLevel="0" collapsed="false">
      <c r="F3" s="200"/>
      <c r="G3" s="200"/>
      <c r="H3" s="200"/>
      <c r="I3" s="200"/>
      <c r="J3" s="200"/>
      <c r="K3" s="200"/>
      <c r="L3" s="200"/>
    </row>
    <row r="4" customFormat="false" ht="15" hidden="false" customHeight="false" outlineLevel="0" collapsed="false">
      <c r="E4" s="239"/>
      <c r="F4" s="202"/>
      <c r="G4" s="202"/>
      <c r="H4" s="202"/>
      <c r="I4" s="202"/>
      <c r="J4" s="202"/>
      <c r="K4" s="202"/>
      <c r="L4" s="202"/>
    </row>
    <row r="5" customFormat="false" ht="15" hidden="false" customHeight="false" outlineLevel="0" collapsed="false">
      <c r="E5" s="239"/>
      <c r="F5" s="202"/>
      <c r="G5" s="202"/>
      <c r="H5" s="202"/>
      <c r="I5" s="202"/>
      <c r="J5" s="202"/>
      <c r="K5" s="202"/>
      <c r="L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40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v>-1445832.3</v>
      </c>
      <c r="F10" s="152"/>
      <c r="G10" s="152" t="n">
        <v>0</v>
      </c>
      <c r="H10" s="152"/>
      <c r="I10" s="152" t="n">
        <v>74895.6</v>
      </c>
      <c r="J10" s="152"/>
      <c r="K10" s="152" t="n">
        <v>0</v>
      </c>
      <c r="M10" s="241" t="n">
        <v>-1370936.7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241" t="n"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v>0</v>
      </c>
      <c r="F12" s="152"/>
      <c r="G12" s="152" t="n">
        <v>0</v>
      </c>
      <c r="H12" s="152"/>
      <c r="I12" s="152" t="n">
        <v>0</v>
      </c>
      <c r="J12" s="152"/>
      <c r="K12" s="152" t="n">
        <v>0</v>
      </c>
      <c r="M12" s="241" t="n">
        <v>0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v>97102</v>
      </c>
      <c r="F13" s="152"/>
      <c r="G13" s="211" t="n">
        <v>0</v>
      </c>
      <c r="H13" s="152"/>
      <c r="I13" s="211" t="n">
        <v>-1309</v>
      </c>
      <c r="J13" s="138"/>
      <c r="K13" s="211" t="n">
        <v>0</v>
      </c>
      <c r="M13" s="242" t="n">
        <v>95793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v>-1348730.3</v>
      </c>
      <c r="F14" s="92"/>
      <c r="G14" s="213" t="n">
        <v>0</v>
      </c>
      <c r="H14" s="92"/>
      <c r="I14" s="213" t="n">
        <v>73586.6</v>
      </c>
      <c r="J14" s="138"/>
      <c r="K14" s="213" t="n">
        <v>0</v>
      </c>
      <c r="M14" s="243" t="n">
        <v>-1275143.7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v>1416421.6794</v>
      </c>
      <c r="F17" s="152"/>
      <c r="G17" s="152" t="n">
        <v>0</v>
      </c>
      <c r="H17" s="152"/>
      <c r="I17" s="152" t="n">
        <v>14022.8245999999</v>
      </c>
      <c r="J17" s="152"/>
      <c r="K17" s="152" t="n">
        <v>3830.33629999997</v>
      </c>
      <c r="M17" s="241" t="n">
        <v>1434274.8403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v>0</v>
      </c>
      <c r="F18" s="152"/>
      <c r="G18" s="152" t="n">
        <v>0</v>
      </c>
      <c r="H18" s="152"/>
      <c r="I18" s="152" t="n">
        <v>0</v>
      </c>
      <c r="J18" s="152"/>
      <c r="K18" s="152" t="n">
        <v>0</v>
      </c>
      <c r="M18" s="241" t="n"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v>3350.516</v>
      </c>
      <c r="F19" s="152"/>
      <c r="G19" s="152" t="n">
        <v>0</v>
      </c>
      <c r="H19" s="152"/>
      <c r="I19" s="152" t="n">
        <v>12017.4434</v>
      </c>
      <c r="J19" s="152"/>
      <c r="K19" s="152" t="n">
        <v>0.0002</v>
      </c>
      <c r="M19" s="241" t="n">
        <v>15367.9596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v>238.657</v>
      </c>
      <c r="F20" s="152"/>
      <c r="G20" s="152" t="n">
        <v>0</v>
      </c>
      <c r="H20" s="152"/>
      <c r="I20" s="152" t="n">
        <v>16414.9479</v>
      </c>
      <c r="J20" s="152"/>
      <c r="K20" s="152" t="n">
        <v>0.0001</v>
      </c>
      <c r="M20" s="241" t="n">
        <v>16653.605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v>0</v>
      </c>
      <c r="F21" s="152"/>
      <c r="G21" s="152" t="n">
        <v>0</v>
      </c>
      <c r="H21" s="152"/>
      <c r="I21" s="152" t="n">
        <v>0</v>
      </c>
      <c r="J21" s="152"/>
      <c r="K21" s="152" t="n">
        <v>0</v>
      </c>
      <c r="M21" s="241" t="n"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v>0</v>
      </c>
      <c r="F22" s="152"/>
      <c r="G22" s="152" t="n">
        <v>0</v>
      </c>
      <c r="H22" s="152"/>
      <c r="I22" s="152" t="n">
        <v>0</v>
      </c>
      <c r="J22" s="152"/>
      <c r="K22" s="152" t="n">
        <v>0</v>
      </c>
      <c r="M22" s="241" t="n"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v>0</v>
      </c>
      <c r="F23" s="152"/>
      <c r="G23" s="211" t="n">
        <v>0</v>
      </c>
      <c r="H23" s="152"/>
      <c r="I23" s="211" t="n">
        <v>0</v>
      </c>
      <c r="J23" s="138"/>
      <c r="K23" s="211" t="n">
        <v>0</v>
      </c>
      <c r="M23" s="242" t="n"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v>1420010.8524</v>
      </c>
      <c r="F24" s="152"/>
      <c r="G24" s="211" t="n">
        <v>0</v>
      </c>
      <c r="H24" s="152"/>
      <c r="I24" s="211" t="n">
        <v>42455.2158999999</v>
      </c>
      <c r="J24" s="138"/>
      <c r="K24" s="211" t="n">
        <v>3830.33659999997</v>
      </c>
      <c r="M24" s="243" t="n">
        <v>1466296.4049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241" t="n"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42" t="n"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v>0</v>
      </c>
      <c r="F29" s="152"/>
      <c r="G29" s="211" t="n">
        <v>0</v>
      </c>
      <c r="H29" s="152"/>
      <c r="I29" s="213" t="n">
        <v>0</v>
      </c>
      <c r="J29" s="138"/>
      <c r="K29" s="211" t="n">
        <v>0</v>
      </c>
      <c r="M29" s="243" t="n"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v>0</v>
      </c>
      <c r="F32" s="152"/>
      <c r="G32" s="152" t="n">
        <v>0</v>
      </c>
      <c r="H32" s="152"/>
      <c r="I32" s="152" t="n">
        <v>0</v>
      </c>
      <c r="J32" s="152"/>
      <c r="K32" s="152" t="n">
        <v>0</v>
      </c>
      <c r="M32" s="241" t="n"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v>0</v>
      </c>
      <c r="F33" s="152"/>
      <c r="G33" s="152" t="n">
        <v>0</v>
      </c>
      <c r="H33" s="152"/>
      <c r="I33" s="152" t="n">
        <v>0</v>
      </c>
      <c r="J33" s="152"/>
      <c r="K33" s="152" t="n">
        <v>0</v>
      </c>
      <c r="M33" s="241" t="n"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v>0</v>
      </c>
      <c r="F34" s="152"/>
      <c r="G34" s="152" t="n">
        <v>0</v>
      </c>
      <c r="H34" s="152"/>
      <c r="I34" s="152" t="n">
        <v>0</v>
      </c>
      <c r="J34" s="152"/>
      <c r="K34" s="152" t="n">
        <v>0</v>
      </c>
      <c r="M34" s="241" t="n"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241" t="n"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241" t="n"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241" t="n"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211" t="n">
        <v>0</v>
      </c>
      <c r="M38" s="242" t="n"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v>0</v>
      </c>
      <c r="F39" s="152"/>
      <c r="G39" s="213" t="n">
        <v>0</v>
      </c>
      <c r="H39" s="152"/>
      <c r="I39" s="213" t="n">
        <v>0</v>
      </c>
      <c r="J39" s="138"/>
      <c r="K39" s="211" t="n">
        <v>0</v>
      </c>
      <c r="M39" s="243" t="n"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v>0</v>
      </c>
      <c r="F42" s="152"/>
      <c r="G42" s="152" t="n">
        <v>0</v>
      </c>
      <c r="H42" s="152"/>
      <c r="I42" s="152" t="n">
        <v>0</v>
      </c>
      <c r="J42" s="152"/>
      <c r="K42" s="152" t="n">
        <v>0</v>
      </c>
      <c r="M42" s="241" t="n"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v>0</v>
      </c>
      <c r="F43" s="152"/>
      <c r="G43" s="152" t="n">
        <v>0</v>
      </c>
      <c r="H43" s="152"/>
      <c r="I43" s="152" t="n">
        <v>0</v>
      </c>
      <c r="J43" s="152"/>
      <c r="K43" s="152" t="n">
        <v>0</v>
      </c>
      <c r="M43" s="241" t="n"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v>0</v>
      </c>
      <c r="F44" s="152"/>
      <c r="G44" s="152" t="n">
        <v>0</v>
      </c>
      <c r="H44" s="152"/>
      <c r="I44" s="152" t="n">
        <v>0</v>
      </c>
      <c r="J44" s="152"/>
      <c r="K44" s="152" t="n">
        <v>0</v>
      </c>
      <c r="M44" s="241" t="n"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241" t="n"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241" t="n"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241" t="n"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211" t="n">
        <v>0</v>
      </c>
      <c r="M48" s="242" t="n"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v>0</v>
      </c>
      <c r="F49" s="152"/>
      <c r="G49" s="213" t="n">
        <v>0</v>
      </c>
      <c r="H49" s="152"/>
      <c r="I49" s="213" t="n">
        <v>0</v>
      </c>
      <c r="J49" s="138"/>
      <c r="K49" s="211" t="n">
        <v>0</v>
      </c>
      <c r="M49" s="243" t="n"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v>-53460.75</v>
      </c>
      <c r="F52" s="152"/>
      <c r="G52" s="152" t="n">
        <v>0</v>
      </c>
      <c r="H52" s="152"/>
      <c r="I52" s="152" t="n">
        <v>0</v>
      </c>
      <c r="J52" s="152"/>
      <c r="K52" s="152" t="n">
        <v>-2872.5</v>
      </c>
      <c r="M52" s="241" t="n">
        <v>-56333.25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v>0</v>
      </c>
      <c r="F53" s="152"/>
      <c r="G53" s="152" t="n">
        <v>0</v>
      </c>
      <c r="H53" s="152"/>
      <c r="I53" s="152" t="n">
        <v>3995</v>
      </c>
      <c r="J53" s="152"/>
      <c r="K53" s="152" t="n">
        <v>0</v>
      </c>
      <c r="M53" s="241" t="n">
        <v>3995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241" t="n">
        <v>0</v>
      </c>
    </row>
    <row r="55" customFormat="false" ht="13.5" hidden="false" customHeight="false" outlineLevel="0" collapsed="false">
      <c r="A55" s="87"/>
      <c r="B55" s="87"/>
      <c r="C55" s="87" t="s">
        <v>166</v>
      </c>
      <c r="E55" s="211" t="n">
        <v>0</v>
      </c>
      <c r="F55" s="152"/>
      <c r="G55" s="211" t="n">
        <v>0</v>
      </c>
      <c r="H55" s="152"/>
      <c r="I55" s="211" t="n">
        <v>0</v>
      </c>
      <c r="J55" s="138"/>
      <c r="K55" s="211" t="n">
        <v>0</v>
      </c>
      <c r="M55" s="242" t="n">
        <v>0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v>-53460.75</v>
      </c>
      <c r="F56" s="152"/>
      <c r="G56" s="213" t="n">
        <v>0</v>
      </c>
      <c r="H56" s="152"/>
      <c r="I56" s="213" t="n">
        <v>3995</v>
      </c>
      <c r="J56" s="138"/>
      <c r="K56" s="211" t="n">
        <v>-2872.5</v>
      </c>
      <c r="M56" s="242" t="n">
        <v>-52338.25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</row>
    <row r="59" customFormat="false" ht="16.5" hidden="false" customHeight="false" outlineLevel="0" collapsed="false">
      <c r="A59" s="216" t="s">
        <v>167</v>
      </c>
      <c r="B59" s="216"/>
      <c r="C59" s="216"/>
      <c r="E59" s="217" t="n">
        <v>17819.8024000006</v>
      </c>
      <c r="F59" s="217"/>
      <c r="G59" s="217" t="n">
        <v>0</v>
      </c>
      <c r="H59" s="217"/>
      <c r="I59" s="217" t="n">
        <v>120036.8159</v>
      </c>
      <c r="J59" s="217"/>
      <c r="K59" s="217" t="n">
        <v>957.836599999966</v>
      </c>
      <c r="L59" s="217"/>
      <c r="M59" s="217" t="n">
        <v>138814.454900001</v>
      </c>
    </row>
    <row r="60" customFormat="false" ht="12.7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L6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96" activePane="bottomRight" state="frozen"/>
      <selection pane="topLeft" activeCell="A1" activeCellId="0" sqref="A1"/>
      <selection pane="topRight" activeCell="D1" activeCellId="0" sqref="D1"/>
      <selection pane="bottomLeft" activeCell="A96" activeCellId="0" sqref="A96"/>
      <selection pane="bottomRight" activeCell="K18" activeCellId="0" sqref="K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18.7"/>
    <col collapsed="false" customWidth="true" hidden="false" outlineLevel="0" max="4" min="4" style="0" width="16.7"/>
    <col collapsed="false" customWidth="true" hidden="false" outlineLevel="0" max="5" min="5" style="0" width="12.42"/>
    <col collapsed="false" customWidth="true" hidden="false" outlineLevel="0" max="6" min="6" style="0" width="8.99"/>
    <col collapsed="false" customWidth="true" hidden="false" outlineLevel="0" max="9" min="9" style="0" width="12.42"/>
    <col collapsed="false" customWidth="true" hidden="false" outlineLevel="0" max="13" min="13" style="0" width="12.28"/>
  </cols>
  <sheetData>
    <row r="2" customFormat="false" ht="37.5" hidden="false" customHeight="false" outlineLevel="0" collapsed="false">
      <c r="A2" s="199" t="s">
        <v>183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customFormat="false" ht="12.75" hidden="false" customHeight="false" outlineLevel="0" collapsed="false">
      <c r="E3" s="200"/>
      <c r="F3" s="200"/>
      <c r="G3" s="200"/>
      <c r="H3" s="200"/>
      <c r="I3" s="200"/>
      <c r="J3" s="200"/>
      <c r="K3" s="200"/>
    </row>
    <row r="4" customFormat="false" ht="14.25" hidden="false" customHeight="false" outlineLevel="0" collapsed="false">
      <c r="C4" s="201" t="n">
        <f aca="false">'ENRON MIDWEST P&amp;L'!A4</f>
        <v>36769</v>
      </c>
      <c r="E4" s="202"/>
      <c r="F4" s="202"/>
      <c r="G4" s="202"/>
      <c r="H4" s="202"/>
      <c r="I4" s="202"/>
      <c r="J4" s="202"/>
      <c r="K4" s="202"/>
    </row>
    <row r="5" customFormat="false" ht="14.25" hidden="false" customHeight="false" outlineLevel="0" collapsed="false">
      <c r="E5" s="202"/>
      <c r="F5" s="202"/>
      <c r="G5" s="202"/>
      <c r="H5" s="202"/>
      <c r="I5" s="202"/>
      <c r="J5" s="202"/>
      <c r="K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03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f aca="false">Physical!D25+Physical!D26-Physical!D10-Physical!D20</f>
        <v>-1502299.475</v>
      </c>
      <c r="F10" s="152"/>
      <c r="G10" s="152" t="n">
        <f aca="false">Physical!K25+Physical!K26-Physical!K10-Physical!K20</f>
        <v>0</v>
      </c>
      <c r="H10" s="152"/>
      <c r="I10" s="152" t="n">
        <f aca="false">Physical!D59+Physical!D60-Physical!D44-Physical!D54</f>
        <v>123061.22</v>
      </c>
      <c r="J10" s="152"/>
      <c r="K10" s="152" t="n">
        <f aca="false">Physical!K59+Physical!K60-Physical!K44-Physical!K54</f>
        <v>0</v>
      </c>
      <c r="M10" s="210" t="n">
        <f aca="false">SUM(E10:K10)</f>
        <v>-1379238.255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210" t="n">
        <f aca="false">SUM(E11:K11)</f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f aca="false">Physical!D31</f>
        <v>-268012</v>
      </c>
      <c r="F12" s="152"/>
      <c r="G12" s="152" t="n">
        <f aca="false">Physical!K31</f>
        <v>0</v>
      </c>
      <c r="H12" s="152"/>
      <c r="I12" s="152" t="n">
        <f aca="false">Physical!D65</f>
        <v>0</v>
      </c>
      <c r="J12" s="152"/>
      <c r="K12" s="152" t="n">
        <f aca="false">Physical!K65</f>
        <v>0</v>
      </c>
      <c r="M12" s="210" t="n">
        <f aca="false">SUM(E12:K12)</f>
        <v>-268012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f aca="false">Physical!D33</f>
        <v>97102</v>
      </c>
      <c r="F13" s="152"/>
      <c r="G13" s="211" t="n">
        <f aca="false">Physical!K33</f>
        <v>0</v>
      </c>
      <c r="H13" s="152"/>
      <c r="I13" s="211" t="n">
        <f aca="false">Physical!D67</f>
        <v>-1309</v>
      </c>
      <c r="J13" s="138"/>
      <c r="K13" s="211" t="n">
        <f aca="false">Physical!K67</f>
        <v>0</v>
      </c>
      <c r="M13" s="212" t="n">
        <f aca="false">SUM(E13:K13)</f>
        <v>95793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f aca="false">SUM(E10:E13)</f>
        <v>-1673209.475</v>
      </c>
      <c r="F14" s="92"/>
      <c r="G14" s="213" t="n">
        <f aca="false">SUM(G10:G13)</f>
        <v>0</v>
      </c>
      <c r="H14" s="92"/>
      <c r="I14" s="213" t="n">
        <f aca="false">SUM(I10:I13)</f>
        <v>121752.22</v>
      </c>
      <c r="J14" s="138"/>
      <c r="K14" s="213" t="n">
        <f aca="false">SUM(K10:K13)</f>
        <v>0</v>
      </c>
      <c r="M14" s="214" t="n">
        <f aca="false">SUM(M10:M13)</f>
        <v>-1551457.255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  <c r="M15" s="215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  <c r="M16" s="215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f aca="false">'Intra-EMWNSS1'!D15+'Intra-EMWNSS1'!D25+'Intra-EMWNSS1'!D35+66606</f>
        <v>1741121</v>
      </c>
      <c r="F17" s="152"/>
      <c r="G17" s="152" t="n">
        <f aca="false">'Intra-EMWNSS2'!D15+'Intra-EMWNSS2'!D25+'Intra-EMWNSS2'!D35</f>
        <v>0</v>
      </c>
      <c r="H17" s="152"/>
      <c r="I17" s="152" t="n">
        <f aca="false">'Intra-EMWMEH'!D15+'Intra-EMWMEH'!D25+'Intra-EMWMEH'!D35+127591</f>
        <v>18158</v>
      </c>
      <c r="J17" s="152"/>
      <c r="K17" s="152" t="n">
        <f aca="false">'TP-EMWNSS'!D15+'TP-EMWNSS'!D25+'TP-EMWNSS'!D35+3902</f>
        <v>4162</v>
      </c>
      <c r="M17" s="210" t="n">
        <f aca="false">SUM(E17:K17)</f>
        <v>1763441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f aca="false">'Intra-EMWNSS1'!D19+'Intra-EMWNSS1'!D20+'Intra-EMWNSS1'!D29+'Intra-EMWNSS1'!D30+'Intra-EMWNSS1'!D39+'Intra-EMWNSS1'!D40</f>
        <v>0</v>
      </c>
      <c r="F18" s="152"/>
      <c r="G18" s="152" t="n">
        <f aca="false">'Intra-EMWNSS2'!D19+'Intra-EMWNSS2'!D20+'Intra-EMWNSS2'!D29+'Intra-EMWNSS2'!D30+'Intra-EMWNSS2'!D39+'Intra-EMWNSS2'!D40</f>
        <v>0</v>
      </c>
      <c r="H18" s="152"/>
      <c r="I18" s="152" t="n">
        <f aca="false">'Intra-EMWMEH'!D19+'Intra-EMWMEH'!D20+'Intra-EMWMEH'!D29+'Intra-EMWMEH'!D30+'Intra-EMWMEH'!D39+'Intra-EMWMEH'!D40</f>
        <v>0</v>
      </c>
      <c r="J18" s="152"/>
      <c r="K18" s="152" t="n">
        <f aca="false">'TP-EMWNSS'!D19+'TP-EMWNSS'!D20+'TP-EMWNSS'!D29+'TP-EMWNSS'!D30+'TP-EMWNSS'!D39+'TP-EMWNSS'!D40</f>
        <v>0</v>
      </c>
      <c r="M18" s="210" t="n">
        <f aca="false">SUM(E18:K18)</f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f aca="false">'Intra-EMWNSS1'!D16+'Intra-EMWNSS1'!D26+'Intra-EMWNSS1'!D36</f>
        <v>3425.5532</v>
      </c>
      <c r="F19" s="152"/>
      <c r="G19" s="152" t="n">
        <f aca="false">'Intra-EMWNSS2'!D16+'Intra-EMWNSS2'!D26+'Intra-EMWNSS2'!D36</f>
        <v>0</v>
      </c>
      <c r="H19" s="152"/>
      <c r="I19" s="152" t="n">
        <f aca="false">'Intra-EMWMEH'!D16+'Intra-EMWMEH'!D26+'Intra-EMWMEH'!D36</f>
        <v>13470.79</v>
      </c>
      <c r="J19" s="152"/>
      <c r="K19" s="152" t="n">
        <f aca="false">'TP-EMWNSS'!D16+'TP-EMWNSS'!D26+'TP-EMWNSS'!D36</f>
        <v>-0.0002</v>
      </c>
      <c r="M19" s="210" t="n">
        <f aca="false">SUM(E19:K19)</f>
        <v>16896.343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f aca="false">'Intra-EMWNSS1'!D17+'Intra-EMWNSS1'!D27+'Intra-EMWNSS1'!D37</f>
        <v>243.5582</v>
      </c>
      <c r="F20" s="152"/>
      <c r="G20" s="152" t="n">
        <f aca="false">'Intra-EMWNSS2'!D17+'Intra-EMWNSS2'!D27+'Intra-EMWNSS2'!D37</f>
        <v>0</v>
      </c>
      <c r="H20" s="152"/>
      <c r="I20" s="152" t="n">
        <f aca="false">'Intra-EMWMEH'!D17+'Intra-EMWMEH'!D27+'Intra-EMWMEH'!D37</f>
        <v>16420.9591</v>
      </c>
      <c r="J20" s="152"/>
      <c r="K20" s="152" t="n">
        <f aca="false">'TP-EMWNSS'!D17+'TP-EMWNSS'!D27+'TP-EMWNSS'!D37</f>
        <v>0.0001</v>
      </c>
      <c r="M20" s="210" t="n">
        <f aca="false">SUM(E20:K20)</f>
        <v>16664.5174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f aca="false">'Intra-EMWNSS1'!D18+'Intra-EMWNSS1'!D28+'Intra-EMWNSS1'!D38</f>
        <v>0</v>
      </c>
      <c r="F21" s="152"/>
      <c r="G21" s="152" t="n">
        <f aca="false">'Intra-EMWNSS2'!D18+'Intra-EMWNSS2'!D28+'Intra-EMWNSS2'!D38</f>
        <v>0</v>
      </c>
      <c r="H21" s="152"/>
      <c r="I21" s="152" t="n">
        <f aca="false">'Intra-EMWMEH'!D18+'Intra-EMWMEH'!D28+'Intra-EMWMEH'!D38</f>
        <v>0</v>
      </c>
      <c r="J21" s="152"/>
      <c r="K21" s="152" t="n">
        <f aca="false">'TP-EMWNSS'!D18+'TP-EMWNSS'!D28+'TP-EMWNSS'!D38</f>
        <v>0</v>
      </c>
      <c r="M21" s="210" t="n">
        <f aca="false">SUM(E21:K21)</f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f aca="false">'Intra-EMWNSS1'!D21+'Intra-EMWNSS1'!D31+'Intra-EMWNSS1'!D41</f>
        <v>0</v>
      </c>
      <c r="F22" s="152"/>
      <c r="G22" s="152" t="n">
        <f aca="false">'Intra-EMWNSS2'!D21+'Intra-EMWNSS2'!D31+'Intra-EMWNSS2'!D41</f>
        <v>0</v>
      </c>
      <c r="H22" s="152"/>
      <c r="I22" s="152" t="n">
        <f aca="false">'Intra-EMWMEH'!D21+'Intra-EMWMEH'!D31+'Intra-EMWMEH'!D41</f>
        <v>0</v>
      </c>
      <c r="J22" s="152"/>
      <c r="K22" s="152" t="n">
        <f aca="false">'TP-EMWNSS'!D21+'TP-EMWNSS'!D31+'TP-EMWNSS'!D41</f>
        <v>0</v>
      </c>
      <c r="M22" s="210" t="n">
        <f aca="false">SUM(E22:K22)</f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f aca="false">Physical!D35</f>
        <v>0</v>
      </c>
      <c r="F23" s="152"/>
      <c r="G23" s="211" t="n">
        <f aca="false">Physical!K35</f>
        <v>0</v>
      </c>
      <c r="H23" s="152"/>
      <c r="I23" s="211" t="n">
        <f aca="false">Physical!D69</f>
        <v>0</v>
      </c>
      <c r="J23" s="138"/>
      <c r="K23" s="211" t="n">
        <f aca="false">Physical!K69</f>
        <v>0</v>
      </c>
      <c r="M23" s="212" t="n">
        <f aca="false">SUM(E23:K23)</f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f aca="false">SUM(E17:E23)</f>
        <v>1744790.1114</v>
      </c>
      <c r="F24" s="152"/>
      <c r="G24" s="211" t="n">
        <f aca="false">SUM(G17:G23)</f>
        <v>0</v>
      </c>
      <c r="H24" s="152"/>
      <c r="I24" s="211" t="n">
        <f aca="false">SUM(I17:I23)</f>
        <v>48049.7491</v>
      </c>
      <c r="J24" s="138"/>
      <c r="K24" s="211" t="n">
        <f aca="false">SUM(K17:K23)</f>
        <v>4161.9999</v>
      </c>
      <c r="M24" s="214" t="n">
        <f aca="false">SUM(M17:M23)</f>
        <v>1797001.8604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  <c r="M25" s="215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  <c r="M26" s="215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210" t="n">
        <f aca="false">SUM(E27:K27)</f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12" t="n">
        <f aca="false">SUM(E28:K28)</f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f aca="false">SUM(E27:E28)</f>
        <v>0</v>
      </c>
      <c r="F29" s="152"/>
      <c r="G29" s="211" t="n">
        <f aca="false">SUM(G27:G28)</f>
        <v>0</v>
      </c>
      <c r="H29" s="152"/>
      <c r="I29" s="213" t="n">
        <f aca="false">SUM(I27:I28)</f>
        <v>0</v>
      </c>
      <c r="J29" s="138"/>
      <c r="K29" s="211" t="n">
        <f aca="false">SUM(K27:K28)</f>
        <v>0</v>
      </c>
      <c r="M29" s="214" t="n">
        <f aca="false">SUM(M27:M28)</f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  <c r="M30" s="215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  <c r="M31" s="215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f aca="false">Physical!D21</f>
        <v>0</v>
      </c>
      <c r="F32" s="152"/>
      <c r="G32" s="152" t="n">
        <f aca="false">Physical!K21</f>
        <v>0</v>
      </c>
      <c r="H32" s="152"/>
      <c r="I32" s="152" t="n">
        <f aca="false">Physical!D55</f>
        <v>0</v>
      </c>
      <c r="J32" s="152"/>
      <c r="K32" s="152" t="n">
        <f aca="false">Physical!K55</f>
        <v>0</v>
      </c>
      <c r="M32" s="210" t="n">
        <f aca="false">SUM(E32:K32)</f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f aca="false">Physical!D11</f>
        <v>0</v>
      </c>
      <c r="F33" s="152"/>
      <c r="G33" s="152" t="n">
        <f aca="false">Physical!K11</f>
        <v>0</v>
      </c>
      <c r="H33" s="152"/>
      <c r="I33" s="152" t="n">
        <f aca="false">Physical!D45</f>
        <v>0</v>
      </c>
      <c r="J33" s="152"/>
      <c r="K33" s="152" t="n">
        <f aca="false">Physical!K45</f>
        <v>0</v>
      </c>
      <c r="M33" s="210" t="n">
        <f aca="false">SUM(E33:K33)</f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f aca="false">Physical!D15</f>
        <v>0</v>
      </c>
      <c r="F34" s="152"/>
      <c r="G34" s="152" t="n">
        <f aca="false">Physical!K15</f>
        <v>0</v>
      </c>
      <c r="H34" s="152"/>
      <c r="I34" s="152" t="n">
        <f aca="false">Physical!D49</f>
        <v>0</v>
      </c>
      <c r="J34" s="152"/>
      <c r="K34" s="152" t="n">
        <f aca="false">Physical!K49</f>
        <v>0</v>
      </c>
      <c r="M34" s="210" t="n">
        <f aca="false">SUM(E34:K34)</f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210" t="n">
        <f aca="false">SUM(E35:K35)</f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210" t="n">
        <f aca="false">SUM(E36:K36)</f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210" t="n">
        <f aca="false">SUM(E37:K37)</f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211" t="n">
        <v>0</v>
      </c>
      <c r="M38" s="212" t="n">
        <f aca="false">SUM(E38:K38)</f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f aca="false">SUM(E32:E38)</f>
        <v>0</v>
      </c>
      <c r="F39" s="152"/>
      <c r="G39" s="213" t="n">
        <f aca="false">SUM(G32:G38)</f>
        <v>0</v>
      </c>
      <c r="H39" s="152"/>
      <c r="I39" s="213" t="n">
        <f aca="false">SUM(I32:I38)</f>
        <v>0</v>
      </c>
      <c r="J39" s="138"/>
      <c r="K39" s="211" t="n">
        <f aca="false">SUM(K32:K38)</f>
        <v>0</v>
      </c>
      <c r="M39" s="214" t="n">
        <f aca="false">SUM(M32:M38)</f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  <c r="M40" s="215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  <c r="M41" s="215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f aca="false">Physical!D20</f>
        <v>0</v>
      </c>
      <c r="F42" s="152"/>
      <c r="G42" s="152" t="n">
        <f aca="false">Physical!K20</f>
        <v>0</v>
      </c>
      <c r="H42" s="152"/>
      <c r="I42" s="152" t="n">
        <f aca="false">Physical!D54</f>
        <v>0</v>
      </c>
      <c r="J42" s="152"/>
      <c r="K42" s="152" t="n">
        <f aca="false">Physical!K54</f>
        <v>0</v>
      </c>
      <c r="M42" s="210" t="n">
        <f aca="false">SUM(E42:K42)</f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f aca="false">Physical!D10</f>
        <v>0</v>
      </c>
      <c r="F43" s="152"/>
      <c r="G43" s="152" t="n">
        <f aca="false">Physical!K10</f>
        <v>0</v>
      </c>
      <c r="H43" s="152"/>
      <c r="I43" s="152" t="n">
        <f aca="false">Physical!D44</f>
        <v>0</v>
      </c>
      <c r="J43" s="152"/>
      <c r="K43" s="152" t="n">
        <f aca="false">Physical!K44</f>
        <v>0</v>
      </c>
      <c r="M43" s="210" t="n">
        <f aca="false">SUM(E43:K43)</f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f aca="false">Physical!D14</f>
        <v>0</v>
      </c>
      <c r="F44" s="152"/>
      <c r="G44" s="152" t="n">
        <f aca="false">Physical!K14</f>
        <v>0</v>
      </c>
      <c r="H44" s="152"/>
      <c r="I44" s="152" t="n">
        <f aca="false">Physical!D48</f>
        <v>0</v>
      </c>
      <c r="J44" s="152"/>
      <c r="K44" s="152" t="n">
        <f aca="false">Physical!K48</f>
        <v>0</v>
      </c>
      <c r="M44" s="210" t="n">
        <f aca="false">SUM(E44:K44)</f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210" t="n">
        <f aca="false">SUM(E45:K45)</f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210" t="n">
        <f aca="false">SUM(E46:K46)</f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210" t="n">
        <f aca="false">SUM(E47:K47)</f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211" t="n">
        <v>0</v>
      </c>
      <c r="M48" s="212" t="n">
        <f aca="false">SUM(E48:K48)</f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f aca="false">SUM(E42:E48)</f>
        <v>0</v>
      </c>
      <c r="F49" s="152"/>
      <c r="G49" s="213" t="n">
        <f aca="false">SUM(G42:G48)</f>
        <v>0</v>
      </c>
      <c r="H49" s="152"/>
      <c r="I49" s="213" t="n">
        <f aca="false">SUM(I42:I48)</f>
        <v>0</v>
      </c>
      <c r="J49" s="138"/>
      <c r="K49" s="211" t="n">
        <f aca="false">SUM(K42:K48)</f>
        <v>0</v>
      </c>
      <c r="M49" s="214" t="n">
        <f aca="false">SUM(M42:M48)</f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  <c r="M50" s="215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  <c r="M51" s="215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v>0</v>
      </c>
      <c r="F52" s="152"/>
      <c r="G52" s="152" t="n">
        <v>0</v>
      </c>
      <c r="H52" s="152"/>
      <c r="I52" s="152" t="n">
        <v>0</v>
      </c>
      <c r="J52" s="152"/>
      <c r="K52" s="152" t="n">
        <v>0</v>
      </c>
      <c r="M52" s="210" t="n">
        <f aca="false">SUM(E52:K52)</f>
        <v>0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f aca="false">Physical!D34</f>
        <v>0</v>
      </c>
      <c r="F53" s="152"/>
      <c r="G53" s="152" t="n">
        <f aca="false">Physical!K34</f>
        <v>0</v>
      </c>
      <c r="H53" s="152"/>
      <c r="I53" s="152" t="n">
        <f aca="false">Physical!D68</f>
        <v>3995</v>
      </c>
      <c r="J53" s="152"/>
      <c r="K53" s="152" t="n">
        <f aca="false">Physical!K68</f>
        <v>0</v>
      </c>
      <c r="M53" s="210" t="n">
        <f aca="false">SUM(E53:K53)</f>
        <v>3995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210" t="n">
        <f aca="false">SUM(E54:K54)</f>
        <v>0</v>
      </c>
    </row>
    <row r="55" customFormat="false" ht="13.5" hidden="false" customHeight="false" outlineLevel="0" collapsed="false">
      <c r="A55" s="87"/>
      <c r="B55" s="87"/>
      <c r="C55" s="87" t="s">
        <v>166</v>
      </c>
      <c r="E55" s="211" t="n">
        <v>0</v>
      </c>
      <c r="F55" s="152"/>
      <c r="G55" s="211" t="n">
        <v>0</v>
      </c>
      <c r="H55" s="152"/>
      <c r="I55" s="211" t="n">
        <v>0</v>
      </c>
      <c r="J55" s="138"/>
      <c r="K55" s="211" t="n">
        <v>0</v>
      </c>
      <c r="M55" s="212" t="n">
        <f aca="false">SUM(E55:K55)</f>
        <v>0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f aca="false">SUM(E52:E55)</f>
        <v>0</v>
      </c>
      <c r="F56" s="152"/>
      <c r="G56" s="213" t="n">
        <f aca="false">SUM(G52:G55)</f>
        <v>0</v>
      </c>
      <c r="H56" s="152"/>
      <c r="I56" s="213" t="n">
        <f aca="false">SUM(I52:I55)</f>
        <v>3995</v>
      </c>
      <c r="J56" s="138"/>
      <c r="K56" s="211" t="n">
        <f aca="false">SUM(K52:K55)</f>
        <v>0</v>
      </c>
      <c r="M56" s="212" t="n">
        <f aca="false">SUM(M52:M55)</f>
        <v>3995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  <c r="M57" s="215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  <c r="M58" s="215"/>
    </row>
    <row r="59" customFormat="false" ht="16.5" hidden="false" customHeight="false" outlineLevel="0" collapsed="false">
      <c r="A59" s="216" t="s">
        <v>167</v>
      </c>
      <c r="B59" s="216"/>
      <c r="C59" s="216"/>
      <c r="D59" s="216"/>
      <c r="E59" s="217" t="n">
        <f aca="false">E14+E24+E29+E39+E49+E56</f>
        <v>71580.6364</v>
      </c>
      <c r="F59" s="217"/>
      <c r="G59" s="217" t="n">
        <f aca="false">G14+G24+G29+G39+G49+G56</f>
        <v>0</v>
      </c>
      <c r="H59" s="217"/>
      <c r="I59" s="217" t="n">
        <f aca="false">I14+I24+I29+I39+I49+I56</f>
        <v>173796.9691</v>
      </c>
      <c r="J59" s="217"/>
      <c r="K59" s="217" t="n">
        <f aca="false">K14+K24+K29+K39+K49+K56</f>
        <v>4161.9999</v>
      </c>
      <c r="L59" s="217"/>
      <c r="M59" s="217" t="n">
        <f aca="false">M14+M24+M29+M39+M49+M56</f>
        <v>249539.6054</v>
      </c>
    </row>
    <row r="60" customFormat="false" ht="13.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M60" s="215"/>
    </row>
    <row r="61" customFormat="false" ht="13.5" hidden="false" customHeight="false" outlineLevel="0" collapsed="false">
      <c r="A61" s="206" t="s">
        <v>168</v>
      </c>
      <c r="B61" s="209"/>
      <c r="C61" s="218"/>
      <c r="E61" s="152"/>
      <c r="F61" s="152"/>
      <c r="G61" s="152"/>
      <c r="H61" s="152"/>
      <c r="I61" s="152"/>
      <c r="J61" s="152"/>
      <c r="K61" s="152"/>
      <c r="M61" s="215"/>
    </row>
    <row r="62" customFormat="false" ht="13.5" hidden="false" customHeight="false" outlineLevel="0" collapsed="false">
      <c r="A62" s="87"/>
      <c r="B62" s="174" t="s">
        <v>143</v>
      </c>
      <c r="C62" s="175"/>
      <c r="E62" s="152"/>
      <c r="F62" s="152"/>
      <c r="G62" s="152"/>
      <c r="H62" s="152"/>
      <c r="I62" s="152"/>
      <c r="J62" s="152"/>
      <c r="K62" s="152"/>
      <c r="M62" s="215"/>
    </row>
    <row r="63" customFormat="false" ht="12.75" hidden="false" customHeight="false" outlineLevel="0" collapsed="false">
      <c r="A63" s="87"/>
      <c r="B63" s="87"/>
      <c r="C63" s="87" t="s">
        <v>143</v>
      </c>
      <c r="E63" s="152" t="n">
        <f aca="false">E10-'Prior P&amp;L Without Sharing'!E10</f>
        <v>-56467.1750000001</v>
      </c>
      <c r="F63" s="152"/>
      <c r="G63" s="152" t="n">
        <f aca="false">G10-'Prior P&amp;L Without Sharing'!G10</f>
        <v>0</v>
      </c>
      <c r="H63" s="152"/>
      <c r="I63" s="152" t="n">
        <f aca="false">I10-'Prior P&amp;L Without Sharing'!I10</f>
        <v>48165.62</v>
      </c>
      <c r="J63" s="152"/>
      <c r="K63" s="152" t="n">
        <f aca="false">K10-'Prior P&amp;L Without Sharing'!K10</f>
        <v>0</v>
      </c>
      <c r="M63" s="210" t="n">
        <f aca="false">SUM(E63:K63)</f>
        <v>-8301.55500000008</v>
      </c>
    </row>
    <row r="64" customFormat="false" ht="12.75" hidden="false" customHeight="false" outlineLevel="0" collapsed="false">
      <c r="A64" s="87"/>
      <c r="B64" s="87"/>
      <c r="C64" s="87" t="s">
        <v>123</v>
      </c>
      <c r="E64" s="152" t="n">
        <f aca="false">E11-'Prior P&amp;L Without Sharing'!E11</f>
        <v>0</v>
      </c>
      <c r="F64" s="152"/>
      <c r="G64" s="152" t="n">
        <f aca="false">G11-'Prior P&amp;L Without Sharing'!G11</f>
        <v>0</v>
      </c>
      <c r="H64" s="152"/>
      <c r="I64" s="152" t="n">
        <f aca="false">I11-'Prior P&amp;L Without Sharing'!I11</f>
        <v>0</v>
      </c>
      <c r="J64" s="152"/>
      <c r="K64" s="152" t="n">
        <f aca="false">K11-'Prior P&amp;L Without Sharing'!K11</f>
        <v>0</v>
      </c>
      <c r="M64" s="210" t="n">
        <f aca="false">SUM(E64:K64)</f>
        <v>0</v>
      </c>
    </row>
    <row r="65" customFormat="false" ht="12.75" hidden="false" customHeight="false" outlineLevel="0" collapsed="false">
      <c r="A65" s="87"/>
      <c r="B65" s="87"/>
      <c r="C65" s="87" t="s">
        <v>144</v>
      </c>
      <c r="E65" s="152" t="n">
        <f aca="false">E12-'Prior P&amp;L Without Sharing'!E12</f>
        <v>-268012</v>
      </c>
      <c r="F65" s="152"/>
      <c r="G65" s="152" t="n">
        <f aca="false">G12-'Prior P&amp;L Without Sharing'!G12</f>
        <v>0</v>
      </c>
      <c r="H65" s="152"/>
      <c r="I65" s="152" t="n">
        <f aca="false">I12-'Prior P&amp;L Without Sharing'!I12</f>
        <v>0</v>
      </c>
      <c r="J65" s="152"/>
      <c r="K65" s="152" t="n">
        <f aca="false">K12-'Prior P&amp;L Without Sharing'!K12</f>
        <v>0</v>
      </c>
      <c r="M65" s="210" t="n">
        <f aca="false">SUM(E65:K65)</f>
        <v>-268012</v>
      </c>
    </row>
    <row r="66" customFormat="false" ht="13.5" hidden="false" customHeight="false" outlineLevel="0" collapsed="false">
      <c r="A66" s="87" t="s">
        <v>40</v>
      </c>
      <c r="B66" s="87"/>
      <c r="C66" s="87" t="s">
        <v>145</v>
      </c>
      <c r="E66" s="152" t="n">
        <f aca="false">E13-'Prior P&amp;L Without Sharing'!E13</f>
        <v>0</v>
      </c>
      <c r="F66" s="152"/>
      <c r="G66" s="152" t="n">
        <f aca="false">G13-'Prior P&amp;L Without Sharing'!G13</f>
        <v>0</v>
      </c>
      <c r="H66" s="152"/>
      <c r="I66" s="152" t="n">
        <f aca="false">I13-'Prior P&amp;L Without Sharing'!I13</f>
        <v>0</v>
      </c>
      <c r="J66" s="152"/>
      <c r="K66" s="152" t="n">
        <f aca="false">K13-'Prior P&amp;L Without Sharing'!K13</f>
        <v>0</v>
      </c>
      <c r="M66" s="212" t="n">
        <f aca="false">SUM(E66:K66)</f>
        <v>0</v>
      </c>
    </row>
    <row r="67" customFormat="false" ht="13.5" hidden="false" customHeight="false" outlineLevel="0" collapsed="false">
      <c r="A67" s="87"/>
      <c r="B67" s="87"/>
      <c r="C67" s="94" t="s">
        <v>146</v>
      </c>
      <c r="E67" s="213" t="n">
        <f aca="false">SUM(E63:E66)</f>
        <v>-324479.175</v>
      </c>
      <c r="F67" s="152"/>
      <c r="G67" s="213" t="n">
        <f aca="false">SUM(G63:G66)</f>
        <v>0</v>
      </c>
      <c r="H67" s="138"/>
      <c r="I67" s="213" t="n">
        <f aca="false">SUM(I63:I66)</f>
        <v>48165.62</v>
      </c>
      <c r="J67" s="138"/>
      <c r="K67" s="213" t="n">
        <f aca="false">SUM(K63:K66)</f>
        <v>0</v>
      </c>
      <c r="M67" s="214" t="n">
        <f aca="false">SUM(M63:M66)</f>
        <v>-276313.555</v>
      </c>
    </row>
    <row r="68" customFormat="false" ht="12.75" hidden="false" customHeight="false" outlineLevel="0" collapsed="false">
      <c r="A68" s="87"/>
      <c r="B68" s="87"/>
      <c r="C68" s="94"/>
      <c r="E68" s="152"/>
      <c r="F68" s="152"/>
      <c r="G68" s="152"/>
      <c r="H68" s="152"/>
      <c r="I68" s="152"/>
      <c r="J68" s="152"/>
      <c r="K68" s="152"/>
      <c r="M68" s="215"/>
    </row>
    <row r="69" customFormat="false" ht="13.5" hidden="false" customHeight="false" outlineLevel="0" collapsed="false">
      <c r="A69" s="87"/>
      <c r="B69" s="174" t="s">
        <v>147</v>
      </c>
      <c r="C69" s="175"/>
      <c r="E69" s="152"/>
      <c r="F69" s="152"/>
      <c r="G69" s="152"/>
      <c r="H69" s="152"/>
      <c r="I69" s="152"/>
      <c r="J69" s="152"/>
      <c r="K69" s="152"/>
      <c r="M69" s="215"/>
    </row>
    <row r="70" customFormat="false" ht="12.75" hidden="false" customHeight="false" outlineLevel="0" collapsed="false">
      <c r="A70" s="87"/>
      <c r="B70" s="87"/>
      <c r="C70" s="87" t="s">
        <v>148</v>
      </c>
      <c r="E70" s="152" t="n">
        <f aca="false">E17-'Prior P&amp;L Without Sharing'!E17</f>
        <v>324699.320599999</v>
      </c>
      <c r="F70" s="152"/>
      <c r="G70" s="152" t="n">
        <f aca="false">G17-'Prior P&amp;L Without Sharing'!G17</f>
        <v>0</v>
      </c>
      <c r="H70" s="152"/>
      <c r="I70" s="152" t="n">
        <f aca="false">I17-'Prior P&amp;L Without Sharing'!I17</f>
        <v>4135.17540000007</v>
      </c>
      <c r="J70" s="152"/>
      <c r="K70" s="152" t="n">
        <f aca="false">K17-'Prior P&amp;L Without Sharing'!K17</f>
        <v>331.663700000034</v>
      </c>
      <c r="M70" s="210" t="n">
        <f aca="false">SUM(E70:K70)</f>
        <v>329166.159699999</v>
      </c>
    </row>
    <row r="71" customFormat="false" ht="12.75" hidden="false" customHeight="false" outlineLevel="0" collapsed="false">
      <c r="A71" s="87"/>
      <c r="B71" s="87"/>
      <c r="C71" s="87" t="s">
        <v>149</v>
      </c>
      <c r="E71" s="152" t="n">
        <f aca="false">E18-'Prior P&amp;L Without Sharing'!E18</f>
        <v>0</v>
      </c>
      <c r="F71" s="152"/>
      <c r="G71" s="152" t="n">
        <f aca="false">G18-'Prior P&amp;L Without Sharing'!G18</f>
        <v>0</v>
      </c>
      <c r="H71" s="152"/>
      <c r="I71" s="152" t="n">
        <f aca="false">I18-'Prior P&amp;L Without Sharing'!I18</f>
        <v>0</v>
      </c>
      <c r="J71" s="152"/>
      <c r="K71" s="152" t="n">
        <f aca="false">K18-'Prior P&amp;L Without Sharing'!K18</f>
        <v>0</v>
      </c>
      <c r="M71" s="210" t="n">
        <f aca="false">SUM(E71:K71)</f>
        <v>0</v>
      </c>
    </row>
    <row r="72" customFormat="false" ht="12.75" hidden="false" customHeight="false" outlineLevel="0" collapsed="false">
      <c r="A72" s="87"/>
      <c r="B72" s="87"/>
      <c r="C72" s="87" t="s">
        <v>150</v>
      </c>
      <c r="E72" s="152" t="n">
        <f aca="false">E19-'Prior P&amp;L Without Sharing'!E19</f>
        <v>75.0371999999916</v>
      </c>
      <c r="F72" s="152"/>
      <c r="G72" s="152" t="n">
        <f aca="false">G19-'Prior P&amp;L Without Sharing'!G19</f>
        <v>0</v>
      </c>
      <c r="H72" s="152"/>
      <c r="I72" s="152" t="n">
        <f aca="false">I19-'Prior P&amp;L Without Sharing'!I19</f>
        <v>1453.34660000005</v>
      </c>
      <c r="J72" s="152"/>
      <c r="K72" s="152" t="n">
        <f aca="false">K19-'Prior P&amp;L Without Sharing'!K19</f>
        <v>-0.0004</v>
      </c>
      <c r="M72" s="210" t="n">
        <f aca="false">SUM(E72:K72)</f>
        <v>1528.38340000004</v>
      </c>
    </row>
    <row r="73" customFormat="false" ht="12.75" hidden="false" customHeight="false" outlineLevel="0" collapsed="false">
      <c r="A73" s="87"/>
      <c r="B73" s="87"/>
      <c r="C73" s="87" t="s">
        <v>151</v>
      </c>
      <c r="E73" s="152" t="n">
        <f aca="false">E20-'Prior P&amp;L Without Sharing'!E20</f>
        <v>4.90119999999934</v>
      </c>
      <c r="F73" s="152"/>
      <c r="G73" s="152" t="n">
        <f aca="false">G20-'Prior P&amp;L Without Sharing'!G20</f>
        <v>0</v>
      </c>
      <c r="H73" s="152"/>
      <c r="I73" s="152" t="n">
        <f aca="false">I20-'Prior P&amp;L Without Sharing'!I20</f>
        <v>6.01120000000083</v>
      </c>
      <c r="J73" s="152"/>
      <c r="K73" s="152" t="n">
        <f aca="false">K20-'Prior P&amp;L Without Sharing'!K20</f>
        <v>0</v>
      </c>
      <c r="M73" s="210" t="n">
        <f aca="false">SUM(E73:K73)</f>
        <v>10.9124000000002</v>
      </c>
    </row>
    <row r="74" customFormat="false" ht="12.75" hidden="false" customHeight="false" outlineLevel="0" collapsed="false">
      <c r="A74" s="87"/>
      <c r="B74" s="87"/>
      <c r="C74" s="87" t="s">
        <v>152</v>
      </c>
      <c r="E74" s="152" t="n">
        <f aca="false">E21-'Prior P&amp;L Without Sharing'!E21</f>
        <v>0</v>
      </c>
      <c r="F74" s="152"/>
      <c r="G74" s="152" t="n">
        <f aca="false">G21-'Prior P&amp;L Without Sharing'!G21</f>
        <v>0</v>
      </c>
      <c r="H74" s="152"/>
      <c r="I74" s="152" t="n">
        <f aca="false">I21-'Prior P&amp;L Without Sharing'!I21</f>
        <v>0</v>
      </c>
      <c r="J74" s="152"/>
      <c r="K74" s="152" t="n">
        <f aca="false">K21-'Prior P&amp;L Without Sharing'!K21</f>
        <v>0</v>
      </c>
      <c r="M74" s="210" t="n">
        <f aca="false">SUM(E74:K74)</f>
        <v>0</v>
      </c>
    </row>
    <row r="75" customFormat="false" ht="12.75" hidden="false" customHeight="false" outlineLevel="0" collapsed="false">
      <c r="A75" s="87"/>
      <c r="B75" s="87"/>
      <c r="C75" s="87" t="s">
        <v>153</v>
      </c>
      <c r="E75" s="152" t="n">
        <f aca="false">E22-'Prior P&amp;L Without Sharing'!E22</f>
        <v>0</v>
      </c>
      <c r="F75" s="152"/>
      <c r="G75" s="152" t="n">
        <f aca="false">G22-'Prior P&amp;L Without Sharing'!G22</f>
        <v>0</v>
      </c>
      <c r="H75" s="152"/>
      <c r="I75" s="152" t="n">
        <f aca="false">I22-'Prior P&amp;L Without Sharing'!I22</f>
        <v>0</v>
      </c>
      <c r="J75" s="152"/>
      <c r="K75" s="152" t="n">
        <f aca="false">K22-'Prior P&amp;L Without Sharing'!K22</f>
        <v>0</v>
      </c>
      <c r="M75" s="210" t="n">
        <f aca="false">SUM(E75:K75)</f>
        <v>0</v>
      </c>
    </row>
    <row r="76" customFormat="false" ht="13.5" hidden="false" customHeight="false" outlineLevel="0" collapsed="false">
      <c r="A76" s="87"/>
      <c r="B76" s="87"/>
      <c r="C76" s="87" t="s">
        <v>104</v>
      </c>
      <c r="E76" s="152" t="n">
        <f aca="false">E23-'Prior P&amp;L Without Sharing'!E23</f>
        <v>0</v>
      </c>
      <c r="F76" s="152"/>
      <c r="G76" s="152" t="n">
        <f aca="false">G23-'Prior P&amp;L Without Sharing'!G23</f>
        <v>0</v>
      </c>
      <c r="H76" s="152"/>
      <c r="I76" s="152" t="n">
        <f aca="false">I23-'Prior P&amp;L Without Sharing'!I23</f>
        <v>0</v>
      </c>
      <c r="J76" s="152"/>
      <c r="K76" s="152" t="n">
        <f aca="false">K23-'Prior P&amp;L Without Sharing'!K23</f>
        <v>0</v>
      </c>
      <c r="M76" s="212" t="n">
        <f aca="false">SUM(E76:K76)</f>
        <v>0</v>
      </c>
    </row>
    <row r="77" customFormat="false" ht="13.5" hidden="false" customHeight="false" outlineLevel="0" collapsed="false">
      <c r="A77" s="87"/>
      <c r="B77" s="87"/>
      <c r="C77" s="94" t="s">
        <v>146</v>
      </c>
      <c r="E77" s="213" t="n">
        <f aca="false">SUM(E70:E76)</f>
        <v>324779.258999999</v>
      </c>
      <c r="F77" s="152"/>
      <c r="G77" s="213" t="n">
        <f aca="false">SUM(G70:G76)</f>
        <v>0</v>
      </c>
      <c r="H77" s="152"/>
      <c r="I77" s="213" t="n">
        <f aca="false">SUM(I70:I76)</f>
        <v>5594.53320000011</v>
      </c>
      <c r="J77" s="138"/>
      <c r="K77" s="213" t="n">
        <f aca="false">SUM(K70:K76)</f>
        <v>331.663300000034</v>
      </c>
      <c r="M77" s="214" t="n">
        <f aca="false">SUM(M70:M76)</f>
        <v>330705.455499999</v>
      </c>
    </row>
    <row r="78" customFormat="false" ht="12.75" hidden="false" customHeight="false" outlineLevel="0" collapsed="false">
      <c r="A78" s="87"/>
      <c r="B78" s="87"/>
      <c r="C78" s="87"/>
      <c r="E78" s="152"/>
      <c r="F78" s="138"/>
      <c r="G78" s="152"/>
      <c r="H78" s="138"/>
      <c r="I78" s="152"/>
      <c r="J78" s="152"/>
      <c r="K78" s="152"/>
      <c r="M78" s="215"/>
    </row>
    <row r="79" customFormat="false" ht="13.5" hidden="false" customHeight="false" outlineLevel="0" collapsed="false">
      <c r="A79" s="87"/>
      <c r="B79" s="174" t="s">
        <v>154</v>
      </c>
      <c r="C79" s="175"/>
      <c r="E79" s="152"/>
      <c r="F79" s="138"/>
      <c r="G79" s="152"/>
      <c r="H79" s="152"/>
      <c r="I79" s="152"/>
      <c r="J79" s="152"/>
      <c r="K79" s="152"/>
      <c r="M79" s="215"/>
    </row>
    <row r="80" customFormat="false" ht="12.75" hidden="false" customHeight="false" outlineLevel="0" collapsed="false">
      <c r="A80" s="87"/>
      <c r="B80" s="110"/>
      <c r="C80" s="110" t="s">
        <v>143</v>
      </c>
      <c r="E80" s="152" t="n">
        <f aca="false">E27-'Prior P&amp;L Without Sharing'!E27</f>
        <v>0</v>
      </c>
      <c r="F80" s="152"/>
      <c r="G80" s="152" t="n">
        <f aca="false">G27-'Prior P&amp;L Without Sharing'!G27</f>
        <v>0</v>
      </c>
      <c r="H80" s="138"/>
      <c r="I80" s="152" t="n">
        <f aca="false">I27-'Prior P&amp;L Without Sharing'!I27</f>
        <v>0</v>
      </c>
      <c r="J80" s="152"/>
      <c r="K80" s="152" t="n">
        <f aca="false">K27-'Prior P&amp;L Without Sharing'!K27</f>
        <v>0</v>
      </c>
      <c r="M80" s="210" t="n">
        <f aca="false">SUM(E80:K80)</f>
        <v>0</v>
      </c>
    </row>
    <row r="81" customFormat="false" ht="13.5" hidden="false" customHeight="false" outlineLevel="0" collapsed="false">
      <c r="A81" s="87"/>
      <c r="B81" s="110"/>
      <c r="C81" s="110" t="s">
        <v>147</v>
      </c>
      <c r="E81" s="152" t="n">
        <f aca="false">E28-'Prior P&amp;L'!E28</f>
        <v>0</v>
      </c>
      <c r="F81" s="138"/>
      <c r="G81" s="152" t="n">
        <f aca="false">G28-'Prior P&amp;L Without Sharing'!G28</f>
        <v>0</v>
      </c>
      <c r="H81" s="138"/>
      <c r="I81" s="152" t="n">
        <f aca="false">I28-'Prior P&amp;L Without Sharing'!I28</f>
        <v>0</v>
      </c>
      <c r="J81" s="152"/>
      <c r="K81" s="152" t="n">
        <f aca="false">K28-'Prior P&amp;L Without Sharing'!K28</f>
        <v>0</v>
      </c>
      <c r="M81" s="212" t="n">
        <f aca="false">SUM(E81:K81)</f>
        <v>0</v>
      </c>
    </row>
    <row r="82" customFormat="false" ht="13.5" hidden="false" customHeight="false" outlineLevel="0" collapsed="false">
      <c r="A82" s="87"/>
      <c r="B82" s="110"/>
      <c r="C82" s="133" t="s">
        <v>146</v>
      </c>
      <c r="E82" s="213" t="n">
        <f aca="false">SUM(E80:E81)</f>
        <v>0</v>
      </c>
      <c r="F82" s="138"/>
      <c r="G82" s="213" t="n">
        <f aca="false">SUM(G80:G81)</f>
        <v>0</v>
      </c>
      <c r="H82" s="138"/>
      <c r="I82" s="213" t="n">
        <f aca="false">SUM(I80:I81)</f>
        <v>0</v>
      </c>
      <c r="J82" s="138"/>
      <c r="K82" s="213" t="n">
        <f aca="false">SUM(K80:K81)</f>
        <v>0</v>
      </c>
      <c r="M82" s="213" t="n">
        <f aca="false">SUM(M80:M81)</f>
        <v>0</v>
      </c>
    </row>
    <row r="83" customFormat="false" ht="12.75" hidden="false" customHeight="false" outlineLevel="0" collapsed="false">
      <c r="A83" s="87"/>
      <c r="B83" s="110"/>
      <c r="C83" s="110"/>
      <c r="E83" s="152"/>
      <c r="F83" s="138"/>
      <c r="G83" s="152"/>
      <c r="H83" s="138"/>
      <c r="I83" s="152"/>
      <c r="J83" s="152"/>
      <c r="K83" s="152"/>
      <c r="M83" s="215"/>
    </row>
    <row r="84" customFormat="false" ht="13.5" hidden="false" customHeight="false" outlineLevel="0" collapsed="false">
      <c r="A84" s="87"/>
      <c r="B84" s="174" t="s">
        <v>155</v>
      </c>
      <c r="C84" s="175"/>
      <c r="E84" s="152"/>
      <c r="F84" s="138"/>
      <c r="G84" s="152"/>
      <c r="H84" s="138"/>
      <c r="I84" s="152"/>
      <c r="J84" s="152"/>
      <c r="K84" s="152"/>
      <c r="M84" s="215"/>
    </row>
    <row r="85" customFormat="false" ht="12.75" hidden="false" customHeight="false" outlineLevel="0" collapsed="false">
      <c r="A85" s="87"/>
      <c r="B85" s="87"/>
      <c r="C85" s="87" t="s">
        <v>156</v>
      </c>
      <c r="E85" s="152" t="n">
        <f aca="false">E32-'Prior P&amp;L Without Sharing'!E32</f>
        <v>0</v>
      </c>
      <c r="F85" s="138"/>
      <c r="G85" s="152" t="n">
        <f aca="false">G32-'Prior P&amp;L Without Sharing'!G32</f>
        <v>0</v>
      </c>
      <c r="H85" s="138"/>
      <c r="I85" s="152" t="n">
        <f aca="false">I32-'Prior P&amp;L Without Sharing'!I32</f>
        <v>0</v>
      </c>
      <c r="J85" s="152"/>
      <c r="K85" s="152" t="n">
        <f aca="false">K32-'Prior P&amp;L Without Sharing'!K32</f>
        <v>0</v>
      </c>
      <c r="M85" s="210" t="n">
        <f aca="false">SUM(E85:K85)</f>
        <v>0</v>
      </c>
    </row>
    <row r="86" customFormat="false" ht="12.75" hidden="false" customHeight="false" outlineLevel="0" collapsed="false">
      <c r="A86" s="87"/>
      <c r="B86" s="87"/>
      <c r="C86" s="87" t="s">
        <v>157</v>
      </c>
      <c r="E86" s="152" t="n">
        <f aca="false">E33-'Prior P&amp;L Without Sharing'!E33</f>
        <v>0</v>
      </c>
      <c r="F86" s="138"/>
      <c r="G86" s="152" t="n">
        <f aca="false">G33-'Prior P&amp;L Without Sharing'!G33</f>
        <v>0</v>
      </c>
      <c r="H86" s="138"/>
      <c r="I86" s="152" t="n">
        <f aca="false">I33-'Prior P&amp;L Without Sharing'!I33</f>
        <v>0</v>
      </c>
      <c r="J86" s="152"/>
      <c r="K86" s="152" t="n">
        <f aca="false">K33-'Prior P&amp;L Without Sharing'!K33</f>
        <v>0</v>
      </c>
      <c r="M86" s="210" t="n">
        <f aca="false">SUM(E86:K86)</f>
        <v>0</v>
      </c>
    </row>
    <row r="87" customFormat="false" ht="12.75" hidden="false" customHeight="false" outlineLevel="0" collapsed="false">
      <c r="A87" s="87"/>
      <c r="B87" s="87"/>
      <c r="C87" s="87" t="s">
        <v>158</v>
      </c>
      <c r="E87" s="152" t="n">
        <f aca="false">E34-'Prior P&amp;L Without Sharing'!E34</f>
        <v>0</v>
      </c>
      <c r="F87" s="138"/>
      <c r="G87" s="152" t="n">
        <f aca="false">G34-'Prior P&amp;L Without Sharing'!G34</f>
        <v>0</v>
      </c>
      <c r="H87" s="138"/>
      <c r="I87" s="152" t="n">
        <f aca="false">I34-'Prior P&amp;L Without Sharing'!I34</f>
        <v>0</v>
      </c>
      <c r="J87" s="152"/>
      <c r="K87" s="152" t="n">
        <f aca="false">K34-'Prior P&amp;L Without Sharing'!K34</f>
        <v>0</v>
      </c>
      <c r="M87" s="210" t="n">
        <f aca="false">SUM(E87:K87)</f>
        <v>0</v>
      </c>
    </row>
    <row r="88" customFormat="false" ht="12.75" hidden="false" customHeight="false" outlineLevel="0" collapsed="false">
      <c r="A88" s="87"/>
      <c r="B88" s="87"/>
      <c r="C88" s="87" t="s">
        <v>159</v>
      </c>
      <c r="E88" s="152" t="n">
        <f aca="false">E35-'Prior P&amp;L Without Sharing'!E35</f>
        <v>0</v>
      </c>
      <c r="F88" s="138"/>
      <c r="G88" s="152" t="n">
        <f aca="false">G35-'Prior P&amp;L Without Sharing'!G35</f>
        <v>0</v>
      </c>
      <c r="H88" s="138"/>
      <c r="I88" s="152" t="n">
        <f aca="false">I35-'Prior P&amp;L Without Sharing'!I35</f>
        <v>0</v>
      </c>
      <c r="J88" s="152"/>
      <c r="K88" s="152" t="n">
        <f aca="false">K35-'Prior P&amp;L Without Sharing'!K35</f>
        <v>0</v>
      </c>
      <c r="M88" s="210" t="n">
        <f aca="false">SUM(E88:K88)</f>
        <v>0</v>
      </c>
    </row>
    <row r="89" customFormat="false" ht="12.75" hidden="false" customHeight="false" outlineLevel="0" collapsed="false">
      <c r="A89" s="87"/>
      <c r="B89" s="87"/>
      <c r="C89" s="87" t="s">
        <v>160</v>
      </c>
      <c r="E89" s="152" t="n">
        <f aca="false">E36-'Prior P&amp;L Without Sharing'!E36</f>
        <v>0</v>
      </c>
      <c r="F89" s="138"/>
      <c r="G89" s="152" t="n">
        <f aca="false">G36-'Prior P&amp;L Without Sharing'!G36</f>
        <v>0</v>
      </c>
      <c r="H89" s="138"/>
      <c r="I89" s="152" t="n">
        <f aca="false">I36-'Prior P&amp;L Without Sharing'!I36</f>
        <v>0</v>
      </c>
      <c r="J89" s="152"/>
      <c r="K89" s="152" t="n">
        <f aca="false">K36-'Prior P&amp;L Without Sharing'!K36</f>
        <v>0</v>
      </c>
      <c r="M89" s="210" t="n">
        <f aca="false">SUM(E89:K89)</f>
        <v>0</v>
      </c>
    </row>
    <row r="90" customFormat="false" ht="12.75" hidden="false" customHeight="false" outlineLevel="0" collapsed="false">
      <c r="A90" s="87"/>
      <c r="B90" s="87"/>
      <c r="C90" s="87" t="s">
        <v>161</v>
      </c>
      <c r="E90" s="152" t="n">
        <f aca="false">E37-'Prior P&amp;L Without Sharing'!E37</f>
        <v>0</v>
      </c>
      <c r="F90" s="138"/>
      <c r="G90" s="152" t="n">
        <f aca="false">G37-'Prior P&amp;L Without Sharing'!G37</f>
        <v>0</v>
      </c>
      <c r="H90" s="138"/>
      <c r="I90" s="152" t="n">
        <f aca="false">I37-'Prior P&amp;L Without Sharing'!I37</f>
        <v>0</v>
      </c>
      <c r="J90" s="152"/>
      <c r="K90" s="152" t="n">
        <f aca="false">K37-'Prior P&amp;L Without Sharing'!K37</f>
        <v>0</v>
      </c>
      <c r="M90" s="210" t="n">
        <f aca="false">SUM(E90:K90)</f>
        <v>0</v>
      </c>
    </row>
    <row r="91" customFormat="false" ht="13.5" hidden="false" customHeight="false" outlineLevel="0" collapsed="false">
      <c r="A91" s="87"/>
      <c r="B91" s="87"/>
      <c r="C91" s="87" t="s">
        <v>162</v>
      </c>
      <c r="E91" s="152" t="n">
        <f aca="false">E38-'Prior P&amp;L Without Sharing'!E38</f>
        <v>0</v>
      </c>
      <c r="F91" s="138"/>
      <c r="G91" s="152" t="n">
        <f aca="false">G38-'Prior P&amp;L Without Sharing'!G38</f>
        <v>0</v>
      </c>
      <c r="H91" s="138"/>
      <c r="I91" s="152" t="n">
        <f aca="false">I38-'Prior P&amp;L Without Sharing'!I38</f>
        <v>0</v>
      </c>
      <c r="J91" s="152"/>
      <c r="K91" s="152" t="n">
        <f aca="false">K38-'Prior P&amp;L Without Sharing'!K38</f>
        <v>0</v>
      </c>
      <c r="M91" s="212" t="n">
        <f aca="false">SUM(E91:K91)</f>
        <v>0</v>
      </c>
    </row>
    <row r="92" customFormat="false" ht="13.5" hidden="false" customHeight="false" outlineLevel="0" collapsed="false">
      <c r="A92" s="87"/>
      <c r="B92" s="87"/>
      <c r="C92" s="94" t="s">
        <v>146</v>
      </c>
      <c r="E92" s="213" t="n">
        <f aca="false">SUM(E85:E91)</f>
        <v>0</v>
      </c>
      <c r="F92" s="138"/>
      <c r="G92" s="213" t="n">
        <f aca="false">SUM(G85:G91)</f>
        <v>0</v>
      </c>
      <c r="H92" s="138"/>
      <c r="I92" s="213" t="n">
        <f aca="false">SUM(I85:I91)</f>
        <v>0</v>
      </c>
      <c r="J92" s="138"/>
      <c r="K92" s="213" t="n">
        <f aca="false">SUM(K85:K91)</f>
        <v>0</v>
      </c>
      <c r="M92" s="214" t="n">
        <f aca="false">SUM(M85:M91)</f>
        <v>0</v>
      </c>
    </row>
    <row r="93" customFormat="false" ht="12.75" hidden="false" customHeight="false" outlineLevel="0" collapsed="false">
      <c r="A93" s="87"/>
      <c r="B93" s="87"/>
      <c r="C93" s="87"/>
      <c r="E93" s="152"/>
      <c r="F93" s="138"/>
      <c r="G93" s="152"/>
      <c r="H93" s="138"/>
      <c r="I93" s="152"/>
      <c r="J93" s="152"/>
      <c r="K93" s="152"/>
      <c r="M93" s="215"/>
    </row>
    <row r="94" customFormat="false" ht="13.5" hidden="false" customHeight="false" outlineLevel="0" collapsed="false">
      <c r="A94" s="87"/>
      <c r="B94" s="174" t="s">
        <v>163</v>
      </c>
      <c r="C94" s="175"/>
      <c r="E94" s="152"/>
      <c r="F94" s="138"/>
      <c r="G94" s="152"/>
      <c r="H94" s="138"/>
      <c r="I94" s="152"/>
      <c r="J94" s="152"/>
      <c r="K94" s="152"/>
      <c r="M94" s="215"/>
    </row>
    <row r="95" customFormat="false" ht="12.75" hidden="false" customHeight="false" outlineLevel="0" collapsed="false">
      <c r="A95" s="87"/>
      <c r="B95" s="87"/>
      <c r="C95" s="87" t="s">
        <v>156</v>
      </c>
      <c r="E95" s="152" t="n">
        <f aca="false">E42-'Prior P&amp;L Without Sharing'!E42</f>
        <v>0</v>
      </c>
      <c r="F95" s="138"/>
      <c r="G95" s="152" t="n">
        <f aca="false">G42-'Prior P&amp;L Without Sharing'!G42</f>
        <v>0</v>
      </c>
      <c r="H95" s="138"/>
      <c r="I95" s="152" t="n">
        <f aca="false">I42-'Prior P&amp;L Without Sharing'!I42</f>
        <v>0</v>
      </c>
      <c r="J95" s="152"/>
      <c r="K95" s="152" t="n">
        <f aca="false">K42-'Prior P&amp;L Without Sharing'!K42</f>
        <v>0</v>
      </c>
      <c r="M95" s="210" t="n">
        <f aca="false">SUM(E95:K95)</f>
        <v>0</v>
      </c>
    </row>
    <row r="96" customFormat="false" ht="12.75" hidden="false" customHeight="false" outlineLevel="0" collapsed="false">
      <c r="A96" s="87"/>
      <c r="B96" s="87"/>
      <c r="C96" s="87" t="s">
        <v>157</v>
      </c>
      <c r="E96" s="152" t="n">
        <f aca="false">E43-'Prior P&amp;L Without Sharing'!E43</f>
        <v>0</v>
      </c>
      <c r="F96" s="138"/>
      <c r="G96" s="152" t="n">
        <f aca="false">G43-'Prior P&amp;L Without Sharing'!G43</f>
        <v>0</v>
      </c>
      <c r="H96" s="138"/>
      <c r="I96" s="152" t="n">
        <f aca="false">I43-'Prior P&amp;L Without Sharing'!I43</f>
        <v>0</v>
      </c>
      <c r="J96" s="152"/>
      <c r="K96" s="152" t="n">
        <f aca="false">K43-'Prior P&amp;L Without Sharing'!K43</f>
        <v>0</v>
      </c>
      <c r="M96" s="210" t="n">
        <f aca="false">SUM(E96:K96)</f>
        <v>0</v>
      </c>
    </row>
    <row r="97" customFormat="false" ht="12.75" hidden="false" customHeight="false" outlineLevel="0" collapsed="false">
      <c r="A97" s="87"/>
      <c r="B97" s="87"/>
      <c r="C97" s="87" t="s">
        <v>158</v>
      </c>
      <c r="E97" s="152" t="n">
        <f aca="false">E44-'Prior P&amp;L Without Sharing'!E44</f>
        <v>0</v>
      </c>
      <c r="F97" s="138"/>
      <c r="G97" s="152" t="n">
        <f aca="false">G44-'Prior P&amp;L Without Sharing'!G44</f>
        <v>0</v>
      </c>
      <c r="H97" s="138"/>
      <c r="I97" s="152" t="n">
        <f aca="false">I44-'Prior P&amp;L Without Sharing'!I44</f>
        <v>0</v>
      </c>
      <c r="J97" s="152"/>
      <c r="K97" s="152" t="n">
        <f aca="false">K44-'Prior P&amp;L Without Sharing'!K44</f>
        <v>0</v>
      </c>
      <c r="M97" s="210" t="n">
        <f aca="false">SUM(E97:K97)</f>
        <v>0</v>
      </c>
    </row>
    <row r="98" customFormat="false" ht="12.75" hidden="false" customHeight="false" outlineLevel="0" collapsed="false">
      <c r="A98" s="87"/>
      <c r="B98" s="87"/>
      <c r="C98" s="87" t="s">
        <v>159</v>
      </c>
      <c r="E98" s="152" t="n">
        <f aca="false">E45-'Prior P&amp;L Without Sharing'!E45</f>
        <v>0</v>
      </c>
      <c r="F98" s="138"/>
      <c r="G98" s="152" t="n">
        <f aca="false">G45-'Prior P&amp;L Without Sharing'!G45</f>
        <v>0</v>
      </c>
      <c r="H98" s="138"/>
      <c r="I98" s="152" t="n">
        <f aca="false">I45-'Prior P&amp;L Without Sharing'!I45</f>
        <v>0</v>
      </c>
      <c r="J98" s="152"/>
      <c r="K98" s="152" t="n">
        <f aca="false">K45-'Prior P&amp;L Without Sharing'!K45</f>
        <v>0</v>
      </c>
      <c r="M98" s="210" t="n">
        <f aca="false">SUM(E98:K98)</f>
        <v>0</v>
      </c>
    </row>
    <row r="99" customFormat="false" ht="12.75" hidden="false" customHeight="false" outlineLevel="0" collapsed="false">
      <c r="A99" s="87"/>
      <c r="B99" s="87"/>
      <c r="C99" s="87" t="s">
        <v>160</v>
      </c>
      <c r="E99" s="152" t="n">
        <f aca="false">E46-'Prior P&amp;L Without Sharing'!E46</f>
        <v>0</v>
      </c>
      <c r="F99" s="138"/>
      <c r="G99" s="152" t="n">
        <f aca="false">G46-'Prior P&amp;L Without Sharing'!G46</f>
        <v>0</v>
      </c>
      <c r="H99" s="138"/>
      <c r="I99" s="152" t="n">
        <f aca="false">I46-'Prior P&amp;L Without Sharing'!I46</f>
        <v>0</v>
      </c>
      <c r="J99" s="152"/>
      <c r="K99" s="152" t="n">
        <f aca="false">K46-'Prior P&amp;L Without Sharing'!K46</f>
        <v>0</v>
      </c>
      <c r="M99" s="210" t="n">
        <f aca="false">SUM(E99:K99)</f>
        <v>0</v>
      </c>
    </row>
    <row r="100" customFormat="false" ht="12.75" hidden="false" customHeight="false" outlineLevel="0" collapsed="false">
      <c r="A100" s="87"/>
      <c r="B100" s="87"/>
      <c r="C100" s="87" t="s">
        <v>161</v>
      </c>
      <c r="E100" s="152" t="n">
        <f aca="false">E47-'Prior P&amp;L Without Sharing'!E47</f>
        <v>0</v>
      </c>
      <c r="F100" s="138"/>
      <c r="G100" s="152" t="n">
        <f aca="false">G47-'Prior P&amp;L Without Sharing'!G47</f>
        <v>0</v>
      </c>
      <c r="H100" s="138"/>
      <c r="I100" s="152" t="n">
        <f aca="false">I47-'Prior P&amp;L Without Sharing'!I47</f>
        <v>0</v>
      </c>
      <c r="J100" s="152"/>
      <c r="K100" s="152" t="n">
        <f aca="false">K47-'Prior P&amp;L Without Sharing'!K47</f>
        <v>0</v>
      </c>
      <c r="M100" s="210" t="n">
        <f aca="false">SUM(E100:K100)</f>
        <v>0</v>
      </c>
    </row>
    <row r="101" customFormat="false" ht="13.5" hidden="false" customHeight="false" outlineLevel="0" collapsed="false">
      <c r="A101" s="87"/>
      <c r="B101" s="87"/>
      <c r="C101" s="87" t="s">
        <v>162</v>
      </c>
      <c r="E101" s="152" t="n">
        <f aca="false">E48-'Prior P&amp;L Without Sharing'!E48</f>
        <v>0</v>
      </c>
      <c r="F101" s="138"/>
      <c r="G101" s="152" t="n">
        <f aca="false">G48-'Prior P&amp;L Without Sharing'!G48</f>
        <v>0</v>
      </c>
      <c r="H101" s="138"/>
      <c r="I101" s="152" t="n">
        <f aca="false">I48-'Prior P&amp;L Without Sharing'!I48</f>
        <v>0</v>
      </c>
      <c r="J101" s="152"/>
      <c r="K101" s="152" t="n">
        <f aca="false">K48-'Prior P&amp;L Without Sharing'!K48</f>
        <v>0</v>
      </c>
      <c r="M101" s="212" t="n">
        <f aca="false">SUM(E101:K101)</f>
        <v>0</v>
      </c>
    </row>
    <row r="102" customFormat="false" ht="13.5" hidden="false" customHeight="false" outlineLevel="0" collapsed="false">
      <c r="A102" s="87"/>
      <c r="B102" s="87"/>
      <c r="C102" s="94" t="s">
        <v>146</v>
      </c>
      <c r="E102" s="213" t="n">
        <f aca="false">SUM(E95:E101)</f>
        <v>0</v>
      </c>
      <c r="F102" s="138"/>
      <c r="G102" s="213" t="n">
        <f aca="false">SUM(G95:G101)</f>
        <v>0</v>
      </c>
      <c r="H102" s="138"/>
      <c r="I102" s="213" t="n">
        <f aca="false">SUM(I95:I101)</f>
        <v>0</v>
      </c>
      <c r="J102" s="138"/>
      <c r="K102" s="213" t="n">
        <f aca="false">SUM(K95:K101)</f>
        <v>0</v>
      </c>
      <c r="M102" s="214" t="n">
        <f aca="false">SUM(M95:M101)</f>
        <v>0</v>
      </c>
    </row>
    <row r="103" customFormat="false" ht="12.75" hidden="false" customHeight="false" outlineLevel="0" collapsed="false">
      <c r="A103" s="87"/>
      <c r="B103" s="87"/>
      <c r="C103" s="87"/>
      <c r="E103" s="152"/>
      <c r="F103" s="138"/>
      <c r="G103" s="152"/>
      <c r="H103" s="138"/>
      <c r="I103" s="152"/>
      <c r="J103" s="152"/>
      <c r="K103" s="152"/>
      <c r="M103" s="215"/>
    </row>
    <row r="104" customFormat="false" ht="13.5" hidden="false" customHeight="false" outlineLevel="0" collapsed="false">
      <c r="A104" s="87"/>
      <c r="B104" s="174" t="s">
        <v>123</v>
      </c>
      <c r="C104" s="175"/>
      <c r="E104" s="152"/>
      <c r="F104" s="138"/>
      <c r="G104" s="152"/>
      <c r="H104" s="138"/>
      <c r="I104" s="152"/>
      <c r="J104" s="152"/>
      <c r="K104" s="152"/>
      <c r="M104" s="215"/>
    </row>
    <row r="105" customFormat="false" ht="12.75" hidden="false" customHeight="false" outlineLevel="0" collapsed="false">
      <c r="A105" s="87"/>
      <c r="B105" s="87"/>
      <c r="C105" s="87" t="s">
        <v>164</v>
      </c>
      <c r="E105" s="152" t="n">
        <f aca="false">E52-'Prior P&amp;L Without Sharing'!E52</f>
        <v>0</v>
      </c>
      <c r="F105" s="138"/>
      <c r="G105" s="152" t="n">
        <f aca="false">G52-'Prior P&amp;L Without Sharing'!G52</f>
        <v>0</v>
      </c>
      <c r="H105" s="138"/>
      <c r="I105" s="152" t="n">
        <f aca="false">I52-'Prior P&amp;L Without Sharing'!I52</f>
        <v>0</v>
      </c>
      <c r="J105" s="152"/>
      <c r="K105" s="152" t="n">
        <f aca="false">K52-'Prior P&amp;L Without Sharing'!K52</f>
        <v>0</v>
      </c>
      <c r="M105" s="210" t="n">
        <f aca="false">SUM(E105:K105)</f>
        <v>0</v>
      </c>
    </row>
    <row r="106" customFormat="false" ht="12.75" hidden="false" customHeight="false" outlineLevel="0" collapsed="false">
      <c r="A106" s="87"/>
      <c r="B106" s="87"/>
      <c r="C106" s="87" t="s">
        <v>24</v>
      </c>
      <c r="E106" s="152" t="n">
        <f aca="false">E53-'Prior P&amp;L Without Sharing'!E53</f>
        <v>0</v>
      </c>
      <c r="F106" s="138"/>
      <c r="G106" s="152" t="n">
        <f aca="false">G53-'Prior P&amp;L Without Sharing'!G53</f>
        <v>0</v>
      </c>
      <c r="H106" s="138"/>
      <c r="I106" s="152" t="n">
        <f aca="false">I53-'Prior P&amp;L Without Sharing'!I53</f>
        <v>0</v>
      </c>
      <c r="J106" s="152"/>
      <c r="K106" s="152" t="n">
        <f aca="false">K53-'Prior P&amp;L Without Sharing'!K53</f>
        <v>0</v>
      </c>
      <c r="M106" s="210" t="n">
        <f aca="false">SUM(E106:K106)</f>
        <v>0</v>
      </c>
    </row>
    <row r="107" customFormat="false" ht="12.75" hidden="false" customHeight="false" outlineLevel="0" collapsed="false">
      <c r="A107" s="87"/>
      <c r="B107" s="87"/>
      <c r="C107" s="87" t="s">
        <v>165</v>
      </c>
      <c r="E107" s="152" t="n">
        <f aca="false">E54-'Prior P&amp;L Without Sharing'!E54</f>
        <v>0</v>
      </c>
      <c r="F107" s="138"/>
      <c r="G107" s="152" t="n">
        <f aca="false">G54-'Prior P&amp;L Without Sharing'!G54</f>
        <v>0</v>
      </c>
      <c r="H107" s="138"/>
      <c r="I107" s="152" t="n">
        <f aca="false">I54-'Prior P&amp;L Without Sharing'!I54</f>
        <v>0</v>
      </c>
      <c r="J107" s="152"/>
      <c r="K107" s="152" t="n">
        <f aca="false">K54-'Prior P&amp;L Without Sharing'!K54</f>
        <v>0</v>
      </c>
      <c r="M107" s="210" t="n">
        <f aca="false">SUM(E107:K107)</f>
        <v>0</v>
      </c>
    </row>
    <row r="108" customFormat="false" ht="13.5" hidden="false" customHeight="false" outlineLevel="0" collapsed="false">
      <c r="A108" s="87"/>
      <c r="B108" s="87"/>
      <c r="C108" s="87" t="s">
        <v>166</v>
      </c>
      <c r="E108" s="152" t="n">
        <f aca="false">E55-'Prior P&amp;L Without Sharing'!E55</f>
        <v>0</v>
      </c>
      <c r="F108" s="138"/>
      <c r="G108" s="152" t="n">
        <f aca="false">G55-'Prior P&amp;L Without Sharing'!G55</f>
        <v>0</v>
      </c>
      <c r="H108" s="138"/>
      <c r="I108" s="152" t="n">
        <f aca="false">I55-'Prior P&amp;L Without Sharing'!I55</f>
        <v>0</v>
      </c>
      <c r="J108" s="152"/>
      <c r="K108" s="152" t="n">
        <f aca="false">K55-'Prior P&amp;L Without Sharing'!K55</f>
        <v>0</v>
      </c>
      <c r="M108" s="212" t="n">
        <f aca="false">SUM(E108:K108)</f>
        <v>0</v>
      </c>
    </row>
    <row r="109" customFormat="false" ht="13.5" hidden="false" customHeight="false" outlineLevel="0" collapsed="false">
      <c r="A109" s="87"/>
      <c r="B109" s="87"/>
      <c r="C109" s="94" t="s">
        <v>146</v>
      </c>
      <c r="E109" s="213" t="n">
        <f aca="false">SUM(E105:E108)</f>
        <v>0</v>
      </c>
      <c r="F109" s="138"/>
      <c r="G109" s="213" t="n">
        <f aca="false">SUM(G105:G108)</f>
        <v>0</v>
      </c>
      <c r="H109" s="138"/>
      <c r="I109" s="213" t="n">
        <f aca="false">SUM(I105:I108)</f>
        <v>0</v>
      </c>
      <c r="J109" s="138"/>
      <c r="K109" s="213" t="n">
        <f aca="false">SUM(K105:K108)</f>
        <v>0</v>
      </c>
      <c r="M109" s="212" t="n">
        <f aca="false">SUM(M105:M108)</f>
        <v>0</v>
      </c>
    </row>
    <row r="110" customFormat="false" ht="12.75" hidden="false" customHeight="false" outlineLevel="0" collapsed="false">
      <c r="A110" s="87"/>
      <c r="B110" s="87"/>
      <c r="C110" s="87"/>
      <c r="E110" s="138"/>
      <c r="F110" s="138"/>
      <c r="G110" s="138"/>
      <c r="H110" s="138"/>
      <c r="I110" s="138"/>
      <c r="J110" s="138"/>
      <c r="K110" s="138"/>
      <c r="M110" s="215"/>
    </row>
    <row r="111" customFormat="false" ht="12.75" hidden="false" customHeight="false" outlineLevel="0" collapsed="false">
      <c r="A111" s="87"/>
      <c r="B111" s="87"/>
      <c r="C111" s="87"/>
      <c r="E111" s="138"/>
      <c r="F111" s="138"/>
      <c r="G111" s="138"/>
      <c r="H111" s="138"/>
      <c r="I111" s="138"/>
      <c r="J111" s="138"/>
      <c r="K111" s="138"/>
      <c r="M111" s="215"/>
    </row>
    <row r="112" customFormat="false" ht="16.5" hidden="false" customHeight="false" outlineLevel="0" collapsed="false">
      <c r="A112" s="216" t="s">
        <v>169</v>
      </c>
      <c r="B112" s="216"/>
      <c r="C112" s="216"/>
      <c r="D112" s="216"/>
      <c r="E112" s="217" t="n">
        <f aca="false">SUM(E67,E77,E82,E92,E102,E109,)</f>
        <v>300.083999999275</v>
      </c>
      <c r="F112" s="217"/>
      <c r="G112" s="217" t="n">
        <f aca="false">SUM(G67,G77,G82,G92,G102,G109,)</f>
        <v>0</v>
      </c>
      <c r="H112" s="217"/>
      <c r="I112" s="217" t="n">
        <f aca="false">SUM(I67,I77,I82,I92,I102,I109,)</f>
        <v>53760.1532000001</v>
      </c>
      <c r="J112" s="217"/>
      <c r="K112" s="217" t="n">
        <f aca="false">SUM(K67,K77,K82,K92,K102,K109,)</f>
        <v>331.663300000034</v>
      </c>
      <c r="L112" s="217"/>
      <c r="M112" s="217" t="n">
        <f aca="false">SUM(M67,M77,M82,M92,M102,M109,)</f>
        <v>54391.9004999994</v>
      </c>
    </row>
    <row r="113" customFormat="false" ht="13.5" hidden="false" customHeight="false" outlineLevel="0" collapsed="false">
      <c r="A113" s="87"/>
      <c r="B113" s="87"/>
      <c r="C113" s="87"/>
      <c r="E113" s="152"/>
      <c r="F113" s="152"/>
      <c r="G113" s="152"/>
      <c r="H113" s="152"/>
      <c r="I113" s="152"/>
      <c r="J113" s="152"/>
      <c r="K113" s="152"/>
      <c r="M113" s="215"/>
    </row>
    <row r="114" customFormat="false" ht="13.5" hidden="false" customHeight="false" outlineLevel="0" collapsed="false">
      <c r="A114" s="206" t="s">
        <v>170</v>
      </c>
      <c r="B114" s="207"/>
      <c r="C114" s="207"/>
      <c r="D114" s="207"/>
      <c r="E114" s="213" t="n">
        <f aca="false">E59</f>
        <v>71580.6364</v>
      </c>
      <c r="F114" s="213"/>
      <c r="G114" s="213" t="n">
        <f aca="false">G59</f>
        <v>0</v>
      </c>
      <c r="H114" s="213"/>
      <c r="I114" s="213" t="n">
        <f aca="false">I59</f>
        <v>173796.9691</v>
      </c>
      <c r="J114" s="213"/>
      <c r="K114" s="213" t="n">
        <f aca="false">K59</f>
        <v>4161.9999</v>
      </c>
      <c r="L114" s="213"/>
      <c r="M114" s="213" t="n">
        <f aca="false">M59</f>
        <v>249539.6054</v>
      </c>
    </row>
    <row r="115" customFormat="false" ht="13.5" hidden="false" customHeight="false" outlineLevel="0" collapsed="false">
      <c r="A115" s="94"/>
      <c r="B115" s="87"/>
      <c r="C115" s="87"/>
      <c r="E115" s="152"/>
      <c r="F115" s="152"/>
      <c r="G115" s="152"/>
      <c r="H115" s="152"/>
      <c r="I115" s="152"/>
      <c r="J115" s="152"/>
      <c r="K115" s="152"/>
      <c r="L115" s="152"/>
      <c r="M115" s="152"/>
    </row>
    <row r="116" customFormat="false" ht="13.5" hidden="false" customHeight="false" outlineLevel="0" collapsed="false">
      <c r="A116" s="219" t="s">
        <v>171</v>
      </c>
      <c r="B116" s="220"/>
      <c r="C116" s="220"/>
      <c r="D116" s="220"/>
      <c r="E116" s="221" t="n">
        <f aca="false">E114+670695+258882</f>
        <v>1001157.6364</v>
      </c>
      <c r="F116" s="221"/>
      <c r="G116" s="221" t="n">
        <f aca="false">G114</f>
        <v>0</v>
      </c>
      <c r="H116" s="221"/>
      <c r="I116" s="221" t="n">
        <f aca="false">I114+3672584+2342457</f>
        <v>6188837.9691</v>
      </c>
      <c r="J116" s="221"/>
      <c r="K116" s="221" t="n">
        <f aca="false">K114+571140+3878</f>
        <v>579179.9999</v>
      </c>
      <c r="L116" s="221"/>
      <c r="M116" s="221" t="n">
        <f aca="false">+E116+G116+I116+K116</f>
        <v>7769175.6054</v>
      </c>
    </row>
    <row r="117" customFormat="false" ht="12.75" hidden="false" customHeight="false" outlineLevel="0" collapsed="false">
      <c r="M117" s="215"/>
    </row>
    <row r="118" customFormat="false" ht="12.75" hidden="false" customHeight="false" outlineLevel="0" collapsed="false">
      <c r="M118" s="215"/>
    </row>
    <row r="119" customFormat="false" ht="12.75" hidden="false" customHeight="false" outlineLevel="0" collapsed="false">
      <c r="C119" s="87"/>
      <c r="E119" s="222" t="s">
        <v>61</v>
      </c>
      <c r="F119" s="222"/>
      <c r="G119" s="222" t="s">
        <v>62</v>
      </c>
      <c r="H119" s="222"/>
      <c r="I119" s="222" t="s">
        <v>105</v>
      </c>
      <c r="J119" s="222"/>
      <c r="K119" s="222" t="s">
        <v>106</v>
      </c>
      <c r="L119" s="222"/>
      <c r="M119" s="222" t="s">
        <v>141</v>
      </c>
    </row>
    <row r="120" customFormat="false" ht="12.75" hidden="false" customHeight="false" outlineLevel="0" collapsed="false">
      <c r="C120" s="223" t="s">
        <v>172</v>
      </c>
      <c r="D120" s="223"/>
      <c r="E120" s="224" t="n">
        <f aca="false">E63+E80</f>
        <v>-56467.1750000001</v>
      </c>
      <c r="F120" s="224"/>
      <c r="G120" s="224" t="n">
        <f aca="false">G63+G80</f>
        <v>0</v>
      </c>
      <c r="H120" s="224"/>
      <c r="I120" s="224" t="n">
        <f aca="false">I63+I80</f>
        <v>48165.62</v>
      </c>
      <c r="J120" s="224"/>
      <c r="K120" s="224" t="n">
        <f aca="false">K63+K80</f>
        <v>0</v>
      </c>
      <c r="L120" s="224"/>
      <c r="M120" s="225" t="n">
        <f aca="false">SUM(E120:K120)</f>
        <v>-8301.55500000008</v>
      </c>
    </row>
    <row r="121" customFormat="false" ht="12.75" hidden="false" customHeight="false" outlineLevel="0" collapsed="false">
      <c r="C121" s="226" t="s">
        <v>173</v>
      </c>
      <c r="D121" s="227"/>
      <c r="E121" s="244" t="n">
        <v>0</v>
      </c>
      <c r="F121" s="228"/>
      <c r="G121" s="244" t="n">
        <v>0</v>
      </c>
      <c r="H121" s="228"/>
      <c r="I121" s="244" t="n">
        <v>0</v>
      </c>
      <c r="J121" s="228"/>
      <c r="K121" s="244" t="n">
        <v>0</v>
      </c>
      <c r="L121" s="228"/>
      <c r="M121" s="229" t="n">
        <f aca="false">SUM(E121:L121)</f>
        <v>0</v>
      </c>
    </row>
    <row r="122" customFormat="false" ht="12.75" hidden="false" customHeight="false" outlineLevel="0" collapsed="false">
      <c r="C122" s="230" t="s">
        <v>174</v>
      </c>
      <c r="D122" s="231"/>
      <c r="E122" s="245" t="n">
        <v>0</v>
      </c>
      <c r="F122" s="232"/>
      <c r="G122" s="245" t="n">
        <v>0</v>
      </c>
      <c r="H122" s="232"/>
      <c r="I122" s="245" t="n">
        <v>0</v>
      </c>
      <c r="J122" s="232"/>
      <c r="K122" s="245" t="n">
        <v>0</v>
      </c>
      <c r="L122" s="232"/>
      <c r="M122" s="233" t="n">
        <f aca="false">SUM(E122:L122)</f>
        <v>0</v>
      </c>
    </row>
    <row r="123" customFormat="false" ht="12.75" hidden="false" customHeight="false" outlineLevel="0" collapsed="false">
      <c r="C123" s="230" t="s">
        <v>175</v>
      </c>
      <c r="D123" s="231"/>
      <c r="E123" s="245" t="n">
        <v>0</v>
      </c>
      <c r="F123" s="232"/>
      <c r="G123" s="245" t="n">
        <v>0</v>
      </c>
      <c r="H123" s="232"/>
      <c r="I123" s="245" t="n">
        <v>0</v>
      </c>
      <c r="J123" s="232"/>
      <c r="K123" s="245" t="n">
        <v>0</v>
      </c>
      <c r="L123" s="232"/>
      <c r="M123" s="233" t="n">
        <f aca="false">SUM(E123:L123)</f>
        <v>0</v>
      </c>
    </row>
    <row r="124" customFormat="false" ht="12.75" hidden="false" customHeight="false" outlineLevel="0" collapsed="false">
      <c r="C124" s="230" t="s">
        <v>176</v>
      </c>
      <c r="D124" s="231"/>
      <c r="E124" s="232" t="n">
        <v>0</v>
      </c>
      <c r="F124" s="232"/>
      <c r="G124" s="232" t="n">
        <f aca="false">-G32-G33-G42-G43</f>
        <v>-0</v>
      </c>
      <c r="H124" s="232"/>
      <c r="I124" s="232" t="n">
        <f aca="false">-I32-I33-I42-I43</f>
        <v>-0</v>
      </c>
      <c r="J124" s="232"/>
      <c r="K124" s="232" t="n">
        <f aca="false">-K32-K33-K42-K43</f>
        <v>-0</v>
      </c>
      <c r="L124" s="232"/>
      <c r="M124" s="233" t="n">
        <f aca="false">SUM(E124:L124)</f>
        <v>0</v>
      </c>
    </row>
    <row r="125" customFormat="false" ht="12.75" hidden="false" customHeight="false" outlineLevel="0" collapsed="false">
      <c r="C125" s="234" t="s">
        <v>177</v>
      </c>
      <c r="D125" s="235"/>
      <c r="E125" s="236" t="n">
        <f aca="false">E120-E121-E122-E123-E124</f>
        <v>-56467.1750000001</v>
      </c>
      <c r="F125" s="236"/>
      <c r="G125" s="236" t="n">
        <f aca="false">G120-G121-G122-G123-G124</f>
        <v>0</v>
      </c>
      <c r="H125" s="236"/>
      <c r="I125" s="236" t="n">
        <f aca="false">I120-I121-I122-I123-I124</f>
        <v>48165.62</v>
      </c>
      <c r="J125" s="236"/>
      <c r="K125" s="236" t="n">
        <f aca="false">K120-K121-K122-K123-K124</f>
        <v>0</v>
      </c>
      <c r="L125" s="236"/>
      <c r="M125" s="237" t="n">
        <f aca="false">SUM(E125:L125)</f>
        <v>-8301.55500000008</v>
      </c>
    </row>
    <row r="126" customFormat="false" ht="12.75" hidden="false" customHeight="false" outlineLevel="0" collapsed="false">
      <c r="C126" s="223" t="s">
        <v>178</v>
      </c>
      <c r="D126" s="223"/>
      <c r="E126" s="224" t="n">
        <f aca="false">SUM(E127:E130)</f>
        <v>257109</v>
      </c>
      <c r="F126" s="224"/>
      <c r="G126" s="224" t="n">
        <f aca="false">SUM(G127:G130)</f>
        <v>0</v>
      </c>
      <c r="H126" s="224"/>
      <c r="I126" s="224" t="n">
        <f aca="false">SUM(I127:I130)</f>
        <v>-122591</v>
      </c>
      <c r="J126" s="224"/>
      <c r="K126" s="224" t="n">
        <f aca="false">SUM(K127:K130)</f>
        <v>0</v>
      </c>
      <c r="L126" s="224"/>
      <c r="M126" s="225" t="n">
        <f aca="false">SUM(E126:K126)</f>
        <v>134518</v>
      </c>
    </row>
    <row r="127" customFormat="false" ht="12.75" hidden="false" customHeight="false" outlineLevel="0" collapsed="false">
      <c r="C127" s="226" t="s">
        <v>179</v>
      </c>
      <c r="D127" s="227"/>
      <c r="E127" s="228" t="n">
        <f aca="false">'Top Pages'!I2</f>
        <v>257109</v>
      </c>
      <c r="F127" s="228"/>
      <c r="G127" s="228" t="n">
        <f aca="false">'Top Pages'!I17</f>
        <v>0</v>
      </c>
      <c r="H127" s="228"/>
      <c r="I127" s="228" t="n">
        <f aca="false">'Top Pages'!I32</f>
        <v>-122591</v>
      </c>
      <c r="J127" s="228"/>
      <c r="K127" s="228" t="n">
        <f aca="false">'Top Pages'!I47</f>
        <v>0</v>
      </c>
      <c r="L127" s="228"/>
      <c r="M127" s="229" t="n">
        <f aca="false">SUM(E127:L127)</f>
        <v>134518</v>
      </c>
    </row>
    <row r="128" customFormat="false" ht="12.75" hidden="false" customHeight="false" outlineLevel="0" collapsed="false">
      <c r="C128" s="230" t="s">
        <v>180</v>
      </c>
      <c r="D128" s="231"/>
      <c r="E128" s="232" t="n">
        <f aca="false">'Top Pages'!I7</f>
        <v>0</v>
      </c>
      <c r="F128" s="232"/>
      <c r="G128" s="232" t="n">
        <f aca="false">'Top Pages'!I22</f>
        <v>0</v>
      </c>
      <c r="H128" s="232"/>
      <c r="I128" s="232" t="n">
        <f aca="false">'Top Pages'!I37</f>
        <v>0</v>
      </c>
      <c r="J128" s="232"/>
      <c r="K128" s="232" t="n">
        <f aca="false">'Top Pages'!I52</f>
        <v>0</v>
      </c>
      <c r="L128" s="232"/>
      <c r="M128" s="233" t="n">
        <f aca="false">SUM(E128:L128)</f>
        <v>0</v>
      </c>
    </row>
    <row r="129" customFormat="false" ht="12.75" hidden="false" customHeight="false" outlineLevel="0" collapsed="false">
      <c r="C129" s="230" t="s">
        <v>181</v>
      </c>
      <c r="D129" s="231"/>
      <c r="E129" s="232" t="n">
        <f aca="false">'Top Pages'!I12</f>
        <v>0</v>
      </c>
      <c r="F129" s="232"/>
      <c r="G129" s="232" t="n">
        <f aca="false">'Top Pages'!I27</f>
        <v>0</v>
      </c>
      <c r="H129" s="232"/>
      <c r="I129" s="232" t="n">
        <f aca="false">'Top Pages'!I42</f>
        <v>0</v>
      </c>
      <c r="J129" s="232"/>
      <c r="K129" s="232" t="n">
        <f aca="false">'Top Pages'!I57</f>
        <v>0</v>
      </c>
      <c r="L129" s="232"/>
      <c r="M129" s="233" t="n">
        <f aca="false">SUM(E129:L129)</f>
        <v>0</v>
      </c>
    </row>
    <row r="130" customFormat="false" ht="12.75" hidden="false" customHeight="false" outlineLevel="0" collapsed="false">
      <c r="C130" s="234" t="s">
        <v>182</v>
      </c>
      <c r="D130" s="235"/>
      <c r="E130" s="236"/>
      <c r="F130" s="236"/>
      <c r="G130" s="236"/>
      <c r="H130" s="236"/>
      <c r="I130" s="236"/>
      <c r="J130" s="236"/>
      <c r="K130" s="236"/>
      <c r="L130" s="236"/>
      <c r="M130" s="237"/>
    </row>
    <row r="131" customFormat="false" ht="12.75" hidden="false" customHeight="false" outlineLevel="0" collapsed="false">
      <c r="D131" s="238"/>
      <c r="E131" s="238"/>
      <c r="F131" s="238"/>
      <c r="G131" s="238"/>
      <c r="H131" s="238"/>
      <c r="I131" s="238"/>
      <c r="J131" s="238"/>
      <c r="K131" s="238"/>
      <c r="L131" s="238"/>
      <c r="M131" s="238"/>
    </row>
  </sheetData>
  <mergeCells count="1">
    <mergeCell ref="A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H40" activeCellId="0" sqref="H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21.13"/>
    <col collapsed="false" customWidth="true" hidden="false" outlineLevel="0" max="4" min="4" style="0" width="16.7"/>
    <col collapsed="false" customWidth="true" hidden="false" outlineLevel="0" max="5" min="5" style="0" width="11.28"/>
    <col collapsed="false" customWidth="true" hidden="false" outlineLevel="0" max="6" min="6" style="0" width="10.28"/>
    <col collapsed="false" customWidth="true" hidden="false" outlineLevel="0" max="7" min="7" style="0" width="11.13"/>
    <col collapsed="false" customWidth="true" hidden="false" outlineLevel="0" max="9" min="9" style="0" width="12.28"/>
    <col collapsed="false" customWidth="true" hidden="false" outlineLevel="0" max="11" min="11" style="0" width="10.13"/>
    <col collapsed="false" customWidth="true" hidden="false" outlineLevel="0" max="13" min="13" style="0" width="12.56"/>
    <col collapsed="false" customWidth="true" hidden="false" outlineLevel="0" max="14" min="14" style="0" width="10.28"/>
  </cols>
  <sheetData>
    <row r="3" customFormat="false" ht="12.75" hidden="false" customHeight="false" outlineLevel="0" collapsed="false">
      <c r="F3" s="200"/>
      <c r="G3" s="200"/>
      <c r="H3" s="200"/>
      <c r="I3" s="200"/>
      <c r="J3" s="200"/>
      <c r="K3" s="200"/>
      <c r="L3" s="200"/>
    </row>
    <row r="4" customFormat="false" ht="15" hidden="false" customHeight="false" outlineLevel="0" collapsed="false">
      <c r="E4" s="239"/>
      <c r="F4" s="202"/>
      <c r="G4" s="202"/>
      <c r="H4" s="202"/>
      <c r="I4" s="202"/>
      <c r="J4" s="202"/>
      <c r="K4" s="202"/>
      <c r="L4" s="202"/>
    </row>
    <row r="5" customFormat="false" ht="15" hidden="false" customHeight="false" outlineLevel="0" collapsed="false">
      <c r="E5" s="239"/>
      <c r="F5" s="202"/>
      <c r="G5" s="202"/>
      <c r="H5" s="202"/>
      <c r="I5" s="202"/>
      <c r="J5" s="202"/>
      <c r="K5" s="202"/>
      <c r="L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40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v>-1445832.3</v>
      </c>
      <c r="F10" s="152"/>
      <c r="G10" s="152" t="n">
        <v>0</v>
      </c>
      <c r="H10" s="152"/>
      <c r="I10" s="152" t="n">
        <v>74895.6</v>
      </c>
      <c r="J10" s="152"/>
      <c r="K10" s="152" t="n">
        <v>0</v>
      </c>
      <c r="M10" s="241" t="n">
        <v>-1370936.7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241" t="n"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v>0</v>
      </c>
      <c r="F12" s="152"/>
      <c r="G12" s="152" t="n">
        <v>0</v>
      </c>
      <c r="H12" s="152"/>
      <c r="I12" s="152" t="n">
        <v>0</v>
      </c>
      <c r="J12" s="152"/>
      <c r="K12" s="152" t="n">
        <v>0</v>
      </c>
      <c r="M12" s="241" t="n">
        <v>0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v>97102</v>
      </c>
      <c r="F13" s="152"/>
      <c r="G13" s="211" t="n">
        <v>0</v>
      </c>
      <c r="H13" s="152"/>
      <c r="I13" s="211" t="n">
        <v>-1309</v>
      </c>
      <c r="J13" s="138"/>
      <c r="K13" s="211" t="n">
        <v>0</v>
      </c>
      <c r="M13" s="242" t="n">
        <v>95793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v>-1348730.3</v>
      </c>
      <c r="F14" s="92"/>
      <c r="G14" s="213" t="n">
        <v>0</v>
      </c>
      <c r="H14" s="92"/>
      <c r="I14" s="213" t="n">
        <v>73586.6</v>
      </c>
      <c r="J14" s="138"/>
      <c r="K14" s="213" t="n">
        <v>0</v>
      </c>
      <c r="M14" s="243" t="n">
        <v>-1275143.7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v>1416421.6794</v>
      </c>
      <c r="F17" s="152"/>
      <c r="G17" s="152" t="n">
        <v>0</v>
      </c>
      <c r="H17" s="152"/>
      <c r="I17" s="152" t="n">
        <v>14022.8245999999</v>
      </c>
      <c r="J17" s="152"/>
      <c r="K17" s="152" t="n">
        <v>3830.33629999997</v>
      </c>
      <c r="M17" s="241" t="n">
        <v>1434274.8403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v>0</v>
      </c>
      <c r="F18" s="152"/>
      <c r="G18" s="152" t="n">
        <v>0</v>
      </c>
      <c r="H18" s="152"/>
      <c r="I18" s="152" t="n">
        <v>0</v>
      </c>
      <c r="J18" s="152"/>
      <c r="K18" s="152" t="n">
        <v>0</v>
      </c>
      <c r="M18" s="241" t="n"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v>3350.516</v>
      </c>
      <c r="F19" s="152"/>
      <c r="G19" s="152" t="n">
        <v>0</v>
      </c>
      <c r="H19" s="152"/>
      <c r="I19" s="152" t="n">
        <v>12017.4434</v>
      </c>
      <c r="J19" s="152"/>
      <c r="K19" s="152" t="n">
        <v>0.0002</v>
      </c>
      <c r="M19" s="241" t="n">
        <v>15367.9596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v>238.657</v>
      </c>
      <c r="F20" s="152"/>
      <c r="G20" s="152" t="n">
        <v>0</v>
      </c>
      <c r="H20" s="152"/>
      <c r="I20" s="152" t="n">
        <v>16414.9479</v>
      </c>
      <c r="J20" s="152"/>
      <c r="K20" s="152" t="n">
        <v>0.0001</v>
      </c>
      <c r="M20" s="241" t="n">
        <v>16653.605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v>0</v>
      </c>
      <c r="F21" s="152"/>
      <c r="G21" s="152" t="n">
        <v>0</v>
      </c>
      <c r="H21" s="152"/>
      <c r="I21" s="152" t="n">
        <v>0</v>
      </c>
      <c r="J21" s="152"/>
      <c r="K21" s="152" t="n">
        <v>0</v>
      </c>
      <c r="M21" s="241" t="n"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v>0</v>
      </c>
      <c r="F22" s="152"/>
      <c r="G22" s="152" t="n">
        <v>0</v>
      </c>
      <c r="H22" s="152"/>
      <c r="I22" s="152" t="n">
        <v>0</v>
      </c>
      <c r="J22" s="152"/>
      <c r="K22" s="152" t="n">
        <v>0</v>
      </c>
      <c r="M22" s="241" t="n"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v>0</v>
      </c>
      <c r="F23" s="152"/>
      <c r="G23" s="211" t="n">
        <v>0</v>
      </c>
      <c r="H23" s="152"/>
      <c r="I23" s="211" t="n">
        <v>0</v>
      </c>
      <c r="J23" s="138"/>
      <c r="K23" s="211" t="n">
        <v>0</v>
      </c>
      <c r="M23" s="242" t="n"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v>1420010.8524</v>
      </c>
      <c r="F24" s="152"/>
      <c r="G24" s="211" t="n">
        <v>0</v>
      </c>
      <c r="H24" s="152"/>
      <c r="I24" s="211" t="n">
        <v>42455.2158999999</v>
      </c>
      <c r="J24" s="138"/>
      <c r="K24" s="211" t="n">
        <v>3830.33659999997</v>
      </c>
      <c r="M24" s="243" t="n">
        <v>1466296.4049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241" t="n"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42" t="n"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v>0</v>
      </c>
      <c r="F29" s="152"/>
      <c r="G29" s="211" t="n">
        <v>0</v>
      </c>
      <c r="H29" s="152"/>
      <c r="I29" s="213" t="n">
        <v>0</v>
      </c>
      <c r="J29" s="138"/>
      <c r="K29" s="211" t="n">
        <v>0</v>
      </c>
      <c r="M29" s="243" t="n"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v>0</v>
      </c>
      <c r="F32" s="152"/>
      <c r="G32" s="152" t="n">
        <v>0</v>
      </c>
      <c r="H32" s="152"/>
      <c r="I32" s="152" t="n">
        <v>0</v>
      </c>
      <c r="J32" s="152"/>
      <c r="K32" s="152" t="n">
        <v>0</v>
      </c>
      <c r="M32" s="241" t="n"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v>0</v>
      </c>
      <c r="F33" s="152"/>
      <c r="G33" s="152" t="n">
        <v>0</v>
      </c>
      <c r="H33" s="152"/>
      <c r="I33" s="152" t="n">
        <v>0</v>
      </c>
      <c r="J33" s="152"/>
      <c r="K33" s="152" t="n">
        <v>0</v>
      </c>
      <c r="M33" s="241" t="n"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v>0</v>
      </c>
      <c r="F34" s="152"/>
      <c r="G34" s="152" t="n">
        <v>0</v>
      </c>
      <c r="H34" s="152"/>
      <c r="I34" s="152" t="n">
        <v>0</v>
      </c>
      <c r="J34" s="152"/>
      <c r="K34" s="152" t="n">
        <v>0</v>
      </c>
      <c r="M34" s="241" t="n"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241" t="n"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241" t="n"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241" t="n"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211" t="n">
        <v>0</v>
      </c>
      <c r="M38" s="242" t="n"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v>0</v>
      </c>
      <c r="F39" s="152"/>
      <c r="G39" s="213" t="n">
        <v>0</v>
      </c>
      <c r="H39" s="152"/>
      <c r="I39" s="213" t="n">
        <v>0</v>
      </c>
      <c r="J39" s="138"/>
      <c r="K39" s="211" t="n">
        <v>0</v>
      </c>
      <c r="M39" s="243" t="n"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v>0</v>
      </c>
      <c r="F42" s="152"/>
      <c r="G42" s="152" t="n">
        <v>0</v>
      </c>
      <c r="H42" s="152"/>
      <c r="I42" s="152" t="n">
        <v>0</v>
      </c>
      <c r="J42" s="152"/>
      <c r="K42" s="152" t="n">
        <v>0</v>
      </c>
      <c r="M42" s="241" t="n"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v>0</v>
      </c>
      <c r="F43" s="152"/>
      <c r="G43" s="152" t="n">
        <v>0</v>
      </c>
      <c r="H43" s="152"/>
      <c r="I43" s="152" t="n">
        <v>0</v>
      </c>
      <c r="J43" s="152"/>
      <c r="K43" s="152" t="n">
        <v>0</v>
      </c>
      <c r="M43" s="241" t="n"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v>0</v>
      </c>
      <c r="F44" s="152"/>
      <c r="G44" s="152" t="n">
        <v>0</v>
      </c>
      <c r="H44" s="152"/>
      <c r="I44" s="152" t="n">
        <v>0</v>
      </c>
      <c r="J44" s="152"/>
      <c r="K44" s="152" t="n">
        <v>0</v>
      </c>
      <c r="M44" s="241" t="n"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241" t="n"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241" t="n"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241" t="n"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211" t="n">
        <v>0</v>
      </c>
      <c r="M48" s="242" t="n"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v>0</v>
      </c>
      <c r="F49" s="152"/>
      <c r="G49" s="213" t="n">
        <v>0</v>
      </c>
      <c r="H49" s="152"/>
      <c r="I49" s="213" t="n">
        <v>0</v>
      </c>
      <c r="J49" s="138"/>
      <c r="K49" s="211" t="n">
        <v>0</v>
      </c>
      <c r="M49" s="243" t="n"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v>0</v>
      </c>
      <c r="F52" s="152"/>
      <c r="G52" s="152" t="n">
        <v>0</v>
      </c>
      <c r="H52" s="152"/>
      <c r="I52" s="152" t="n">
        <v>0</v>
      </c>
      <c r="J52" s="152"/>
      <c r="K52" s="152" t="n">
        <v>0</v>
      </c>
      <c r="M52" s="241" t="n">
        <v>0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v>0</v>
      </c>
      <c r="F53" s="152"/>
      <c r="G53" s="152" t="n">
        <v>0</v>
      </c>
      <c r="H53" s="152"/>
      <c r="I53" s="152" t="n">
        <v>3995</v>
      </c>
      <c r="J53" s="152"/>
      <c r="K53" s="152" t="n">
        <v>0</v>
      </c>
      <c r="M53" s="241" t="n">
        <v>3995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241" t="n">
        <v>0</v>
      </c>
    </row>
    <row r="55" customFormat="false" ht="13.5" hidden="false" customHeight="false" outlineLevel="0" collapsed="false">
      <c r="A55" s="87"/>
      <c r="B55" s="87"/>
      <c r="C55" s="87" t="s">
        <v>184</v>
      </c>
      <c r="E55" s="211" t="n">
        <v>0</v>
      </c>
      <c r="F55" s="152"/>
      <c r="G55" s="211" t="n">
        <v>0</v>
      </c>
      <c r="H55" s="152"/>
      <c r="I55" s="211" t="n">
        <v>0</v>
      </c>
      <c r="J55" s="138"/>
      <c r="K55" s="211" t="n">
        <v>0</v>
      </c>
      <c r="M55" s="242" t="n">
        <v>0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v>0</v>
      </c>
      <c r="F56" s="152"/>
      <c r="G56" s="213" t="n">
        <v>0</v>
      </c>
      <c r="H56" s="152"/>
      <c r="I56" s="213" t="n">
        <v>3995</v>
      </c>
      <c r="J56" s="138"/>
      <c r="K56" s="211" t="n">
        <v>0</v>
      </c>
      <c r="M56" s="242" t="n">
        <v>3995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</row>
    <row r="59" customFormat="false" ht="16.5" hidden="false" customHeight="false" outlineLevel="0" collapsed="false">
      <c r="A59" s="216" t="s">
        <v>167</v>
      </c>
      <c r="B59" s="216"/>
      <c r="C59" s="216"/>
      <c r="E59" s="217" t="n">
        <v>71280.5524000006</v>
      </c>
      <c r="F59" s="217"/>
      <c r="G59" s="217" t="n">
        <v>0</v>
      </c>
      <c r="H59" s="217"/>
      <c r="I59" s="217" t="n">
        <v>120036.8159</v>
      </c>
      <c r="J59" s="217"/>
      <c r="K59" s="217" t="n">
        <v>3830.33659999997</v>
      </c>
      <c r="L59" s="217"/>
      <c r="M59" s="217" t="n">
        <v>195147.704900001</v>
      </c>
    </row>
    <row r="60" customFormat="false" ht="12.7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L6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14" activePane="bottomRight" state="frozen"/>
      <selection pane="topLeft" activeCell="A1" activeCellId="0" sqref="A1"/>
      <selection pane="topRight" activeCell="D1" activeCellId="0" sqref="D1"/>
      <selection pane="bottomLeft" activeCell="A14" activeCellId="0" sqref="A14"/>
      <selection pane="bottomRight" activeCell="P112" activeCellId="0" sqref="P1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18.7"/>
    <col collapsed="false" customWidth="true" hidden="false" outlineLevel="0" max="4" min="4" style="0" width="16.7"/>
    <col collapsed="false" customWidth="true" hidden="false" outlineLevel="0" max="5" min="5" style="0" width="12.42"/>
    <col collapsed="false" customWidth="true" hidden="false" outlineLevel="0" max="6" min="6" style="0" width="8.99"/>
    <col collapsed="false" customWidth="true" hidden="false" outlineLevel="0" max="7" min="7" style="0" width="11.13"/>
    <col collapsed="false" customWidth="true" hidden="false" outlineLevel="0" max="9" min="9" style="0" width="11.13"/>
    <col collapsed="false" customWidth="true" hidden="false" outlineLevel="0" max="13" min="13" style="0" width="11.42"/>
  </cols>
  <sheetData>
    <row r="2" customFormat="false" ht="37.5" hidden="false" customHeight="false" outlineLevel="0" collapsed="false">
      <c r="A2" s="199" t="s">
        <v>185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customFormat="false" ht="12.75" hidden="false" customHeight="false" outlineLevel="0" collapsed="false">
      <c r="E3" s="200"/>
      <c r="F3" s="200"/>
      <c r="G3" s="200"/>
      <c r="H3" s="200"/>
      <c r="I3" s="200"/>
      <c r="J3" s="200"/>
      <c r="K3" s="200"/>
    </row>
    <row r="4" customFormat="false" ht="14.25" hidden="false" customHeight="false" outlineLevel="0" collapsed="false">
      <c r="C4" s="201" t="n">
        <f aca="false">'ENRON MIDWEST P&amp;L'!A4</f>
        <v>36769</v>
      </c>
      <c r="E4" s="202"/>
      <c r="F4" s="202"/>
      <c r="G4" s="202"/>
      <c r="H4" s="202"/>
      <c r="I4" s="202"/>
      <c r="J4" s="202"/>
      <c r="K4" s="202"/>
    </row>
    <row r="5" customFormat="false" ht="14.25" hidden="false" customHeight="false" outlineLevel="0" collapsed="false">
      <c r="E5" s="202"/>
      <c r="F5" s="202"/>
      <c r="G5" s="202"/>
      <c r="H5" s="202"/>
      <c r="I5" s="202"/>
      <c r="J5" s="202"/>
      <c r="K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03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f aca="false">Physical!D25+Physical!D26-Physical!D10-Physical!D20</f>
        <v>-1502299.475</v>
      </c>
      <c r="F10" s="152"/>
      <c r="G10" s="152" t="n">
        <f aca="false">Physical!K25+Physical!K26-Physical!K10-Physical!K20</f>
        <v>0</v>
      </c>
      <c r="H10" s="152"/>
      <c r="I10" s="152" t="n">
        <f aca="false">Physical!D59+Physical!D60-Physical!D44-Physical!D54</f>
        <v>123061.22</v>
      </c>
      <c r="J10" s="152"/>
      <c r="K10" s="152" t="n">
        <f aca="false">Physical!K59+Physical!K60-Physical!K44-Physical!K54</f>
        <v>0</v>
      </c>
      <c r="M10" s="210" t="n">
        <f aca="false">SUM(E10:K10)</f>
        <v>-1379238.255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210" t="n">
        <f aca="false">SUM(E11:K11)</f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f aca="false">Physical!D31</f>
        <v>-268012</v>
      </c>
      <c r="F12" s="152"/>
      <c r="G12" s="152" t="n">
        <f aca="false">Physical!K31</f>
        <v>0</v>
      </c>
      <c r="H12" s="152"/>
      <c r="I12" s="152" t="n">
        <f aca="false">Physical!D65</f>
        <v>0</v>
      </c>
      <c r="J12" s="152"/>
      <c r="K12" s="152" t="n">
        <f aca="false">Physical!K65</f>
        <v>0</v>
      </c>
      <c r="M12" s="210" t="n">
        <f aca="false">SUM(E12:K12)</f>
        <v>-268012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f aca="false">Physical!D33</f>
        <v>97102</v>
      </c>
      <c r="F13" s="152"/>
      <c r="G13" s="211" t="n">
        <f aca="false">Physical!K33</f>
        <v>0</v>
      </c>
      <c r="H13" s="152"/>
      <c r="I13" s="211" t="n">
        <f aca="false">Physical!D67</f>
        <v>-1309</v>
      </c>
      <c r="J13" s="138"/>
      <c r="K13" s="211" t="n">
        <f aca="false">Physical!K67</f>
        <v>0</v>
      </c>
      <c r="M13" s="212" t="n">
        <f aca="false">SUM(E13:K13)</f>
        <v>95793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f aca="false">SUM(E10:E13)</f>
        <v>-1673209.475</v>
      </c>
      <c r="F14" s="92"/>
      <c r="G14" s="213" t="n">
        <f aca="false">SUM(G10:G13)</f>
        <v>0</v>
      </c>
      <c r="H14" s="92"/>
      <c r="I14" s="213" t="n">
        <f aca="false">SUM(I10:I13)</f>
        <v>121752.22</v>
      </c>
      <c r="J14" s="138"/>
      <c r="K14" s="213" t="n">
        <f aca="false">SUM(K10:K13)</f>
        <v>0</v>
      </c>
      <c r="M14" s="214" t="n">
        <f aca="false">SUM(M10:M13)</f>
        <v>-1551457.255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  <c r="M15" s="215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  <c r="M16" s="215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f aca="false">'Intra-EMWNSS1'!D15+'Intra-EMWNSS1'!D25+'Intra-EMWNSS1'!D35+66606</f>
        <v>1741121</v>
      </c>
      <c r="F17" s="152"/>
      <c r="G17" s="152" t="n">
        <f aca="false">'Intra-EMWNSS2'!D15+'Intra-EMWNSS2'!D25+'Intra-EMWNSS2'!D35</f>
        <v>0</v>
      </c>
      <c r="H17" s="152"/>
      <c r="I17" s="152" t="n">
        <f aca="false">'Intra-EMWMEH'!D15+'Intra-EMWMEH'!D25+'Intra-EMWMEH'!D35+127591</f>
        <v>18158</v>
      </c>
      <c r="J17" s="152"/>
      <c r="K17" s="152" t="n">
        <f aca="false">'TP-EMWNSS'!D15+'TP-EMWNSS'!D25+'TP-EMWNSS'!D35+3902</f>
        <v>4162</v>
      </c>
      <c r="M17" s="210" t="n">
        <f aca="false">SUM(E17:K17)</f>
        <v>1763441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f aca="false">'Intra-EMWNSS1'!D19+'Intra-EMWNSS1'!D20+'Intra-EMWNSS1'!D29+'Intra-EMWNSS1'!D30+'Intra-EMWNSS1'!D39+'Intra-EMWNSS1'!D40</f>
        <v>0</v>
      </c>
      <c r="F18" s="152"/>
      <c r="G18" s="152" t="n">
        <f aca="false">'Intra-EMWNSS2'!D19+'Intra-EMWNSS2'!D20+'Intra-EMWNSS2'!D29+'Intra-EMWNSS2'!D30+'Intra-EMWNSS2'!D39+'Intra-EMWNSS2'!D40</f>
        <v>0</v>
      </c>
      <c r="H18" s="152"/>
      <c r="I18" s="152" t="n">
        <f aca="false">'Intra-EMWMEH'!D19+'Intra-EMWMEH'!D20+'Intra-EMWMEH'!D29+'Intra-EMWMEH'!D30+'Intra-EMWMEH'!D39+'Intra-EMWMEH'!D40</f>
        <v>0</v>
      </c>
      <c r="J18" s="152"/>
      <c r="K18" s="152" t="n">
        <f aca="false">'TP-EMWNSS'!D19+'TP-EMWNSS'!D20+'TP-EMWNSS'!D29+'TP-EMWNSS'!D30+'TP-EMWNSS'!D39+'TP-EMWNSS'!D40</f>
        <v>0</v>
      </c>
      <c r="M18" s="210" t="n">
        <f aca="false">SUM(E18:K18)</f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f aca="false">'Intra-EMWNSS1'!D16+'Intra-EMWNSS1'!D26+'Intra-EMWNSS1'!D36</f>
        <v>3425.5532</v>
      </c>
      <c r="F19" s="152"/>
      <c r="G19" s="152" t="n">
        <f aca="false">'Intra-EMWNSS2'!D16+'Intra-EMWNSS2'!D26+'Intra-EMWNSS2'!D36</f>
        <v>0</v>
      </c>
      <c r="H19" s="152"/>
      <c r="I19" s="152" t="n">
        <f aca="false">'Intra-EMWMEH'!D16+'Intra-EMWMEH'!D26+'Intra-EMWMEH'!D36</f>
        <v>13470.79</v>
      </c>
      <c r="J19" s="152"/>
      <c r="K19" s="152" t="n">
        <f aca="false">'TP-EMWNSS'!D16+'TP-EMWNSS'!D26+'TP-EMWNSS'!D36</f>
        <v>-0.0002</v>
      </c>
      <c r="M19" s="210" t="n">
        <f aca="false">SUM(E19:K19)</f>
        <v>16896.343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f aca="false">'Intra-EMWNSS1'!D17+'Intra-EMWNSS1'!D27+'Intra-EMWNSS1'!D37</f>
        <v>243.5582</v>
      </c>
      <c r="F20" s="152"/>
      <c r="G20" s="152" t="n">
        <f aca="false">'Intra-EMWNSS2'!D17+'Intra-EMWNSS2'!D27+'Intra-EMWNSS2'!D37</f>
        <v>0</v>
      </c>
      <c r="H20" s="152"/>
      <c r="I20" s="152" t="n">
        <f aca="false">'Intra-EMWMEH'!D17+'Intra-EMWMEH'!D27+'Intra-EMWMEH'!D37</f>
        <v>16420.9591</v>
      </c>
      <c r="J20" s="152"/>
      <c r="K20" s="152" t="n">
        <f aca="false">'TP-EMWNSS'!D17+'TP-EMWNSS'!D27+'TP-EMWNSS'!D37</f>
        <v>0.0001</v>
      </c>
      <c r="M20" s="210" t="n">
        <f aca="false">SUM(E20:K20)</f>
        <v>16664.5174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f aca="false">'Intra-EMWNSS1'!D18+'Intra-EMWNSS1'!D28+'Intra-EMWNSS1'!D38</f>
        <v>0</v>
      </c>
      <c r="F21" s="152"/>
      <c r="G21" s="152" t="n">
        <f aca="false">'Intra-EMWNSS2'!D18+'Intra-EMWNSS2'!D28+'Intra-EMWNSS2'!D38</f>
        <v>0</v>
      </c>
      <c r="H21" s="152"/>
      <c r="I21" s="152" t="n">
        <f aca="false">'Intra-EMWMEH'!D18+'Intra-EMWMEH'!D28+'Intra-EMWMEH'!D38</f>
        <v>0</v>
      </c>
      <c r="J21" s="152"/>
      <c r="K21" s="152" t="n">
        <f aca="false">'TP-EMWNSS'!D18+'TP-EMWNSS'!D28+'TP-EMWNSS'!D38</f>
        <v>0</v>
      </c>
      <c r="M21" s="210" t="n">
        <f aca="false">SUM(E21:K21)</f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f aca="false">'Intra-EMWNSS1'!D21+'Intra-EMWNSS1'!D31+'Intra-EMWNSS1'!D41</f>
        <v>0</v>
      </c>
      <c r="F22" s="152"/>
      <c r="G22" s="152" t="n">
        <f aca="false">'Intra-EMWNSS2'!D21+'Intra-EMWNSS2'!D31+'Intra-EMWNSS2'!D41</f>
        <v>0</v>
      </c>
      <c r="H22" s="152"/>
      <c r="I22" s="152" t="n">
        <f aca="false">'Intra-EMWMEH'!D21+'Intra-EMWMEH'!D31+'Intra-EMWMEH'!D41</f>
        <v>0</v>
      </c>
      <c r="J22" s="152"/>
      <c r="K22" s="152" t="n">
        <f aca="false">'TP-EMWNSS'!D21+'TP-EMWNSS'!D31+'TP-EMWNSS'!D41</f>
        <v>0</v>
      </c>
      <c r="M22" s="210" t="n">
        <f aca="false">SUM(E22:K22)</f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f aca="false">Physical!D35</f>
        <v>0</v>
      </c>
      <c r="F23" s="152"/>
      <c r="G23" s="211" t="n">
        <f aca="false">Physical!K35</f>
        <v>0</v>
      </c>
      <c r="H23" s="152"/>
      <c r="I23" s="211" t="n">
        <f aca="false">Physical!D69</f>
        <v>0</v>
      </c>
      <c r="J23" s="138"/>
      <c r="K23" s="211" t="n">
        <f aca="false">Physical!K69</f>
        <v>0</v>
      </c>
      <c r="M23" s="212" t="n">
        <f aca="false">SUM(E23:K23)</f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f aca="false">SUM(E17:E23)</f>
        <v>1744790.1114</v>
      </c>
      <c r="F24" s="152"/>
      <c r="G24" s="211" t="n">
        <f aca="false">SUM(G17:G23)</f>
        <v>0</v>
      </c>
      <c r="H24" s="152"/>
      <c r="I24" s="211" t="n">
        <f aca="false">SUM(I17:I23)</f>
        <v>48049.7491</v>
      </c>
      <c r="J24" s="138"/>
      <c r="K24" s="211" t="n">
        <f aca="false">SUM(K17:K23)</f>
        <v>4161.9999</v>
      </c>
      <c r="M24" s="214" t="n">
        <f aca="false">SUM(M17:M23)</f>
        <v>1797001.8604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  <c r="M25" s="215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  <c r="M26" s="215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210" t="n">
        <f aca="false">SUM(E27:K27)</f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12" t="n">
        <f aca="false">SUM(E28:K28)</f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f aca="false">SUM(E27:E28)</f>
        <v>0</v>
      </c>
      <c r="F29" s="152"/>
      <c r="G29" s="211" t="n">
        <f aca="false">SUM(G27:G28)</f>
        <v>0</v>
      </c>
      <c r="H29" s="152"/>
      <c r="I29" s="213" t="n">
        <f aca="false">SUM(I27:I28)</f>
        <v>0</v>
      </c>
      <c r="J29" s="138"/>
      <c r="K29" s="211" t="n">
        <f aca="false">SUM(K27:K28)</f>
        <v>0</v>
      </c>
      <c r="M29" s="214" t="n">
        <f aca="false">SUM(M27:M28)</f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  <c r="M30" s="215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  <c r="M31" s="215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f aca="false">Physical!D21</f>
        <v>0</v>
      </c>
      <c r="F32" s="152"/>
      <c r="G32" s="152" t="n">
        <f aca="false">Physical!K21</f>
        <v>0</v>
      </c>
      <c r="H32" s="152"/>
      <c r="I32" s="152" t="n">
        <f aca="false">Physical!D55</f>
        <v>0</v>
      </c>
      <c r="J32" s="152"/>
      <c r="K32" s="152" t="n">
        <f aca="false">Physical!K55</f>
        <v>0</v>
      </c>
      <c r="M32" s="210" t="n">
        <f aca="false">SUM(E32:K32)</f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f aca="false">Physical!D11</f>
        <v>0</v>
      </c>
      <c r="F33" s="152"/>
      <c r="G33" s="152" t="n">
        <f aca="false">Physical!K11</f>
        <v>0</v>
      </c>
      <c r="H33" s="152"/>
      <c r="I33" s="152" t="n">
        <f aca="false">Physical!D45</f>
        <v>0</v>
      </c>
      <c r="J33" s="152"/>
      <c r="K33" s="152" t="n">
        <f aca="false">Physical!K45</f>
        <v>0</v>
      </c>
      <c r="M33" s="210" t="n">
        <f aca="false">SUM(E33:K33)</f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f aca="false">Physical!D15</f>
        <v>0</v>
      </c>
      <c r="F34" s="152"/>
      <c r="G34" s="152" t="n">
        <f aca="false">Physical!K15</f>
        <v>0</v>
      </c>
      <c r="H34" s="152"/>
      <c r="I34" s="152" t="n">
        <f aca="false">Physical!D49</f>
        <v>0</v>
      </c>
      <c r="J34" s="152"/>
      <c r="K34" s="152" t="n">
        <f aca="false">Physical!K49</f>
        <v>0</v>
      </c>
      <c r="M34" s="210" t="n">
        <f aca="false">SUM(E34:K34)</f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210" t="n">
        <f aca="false">SUM(E35:K35)</f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210" t="n">
        <f aca="false">SUM(E36:K36)</f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210" t="n">
        <f aca="false">SUM(E37:K37)</f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211" t="n">
        <v>0</v>
      </c>
      <c r="M38" s="212" t="n">
        <f aca="false">SUM(E38:K38)</f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f aca="false">SUM(E32:E38)</f>
        <v>0</v>
      </c>
      <c r="F39" s="152"/>
      <c r="G39" s="213" t="n">
        <f aca="false">SUM(G32:G38)</f>
        <v>0</v>
      </c>
      <c r="H39" s="152"/>
      <c r="I39" s="213" t="n">
        <f aca="false">SUM(I32:I38)</f>
        <v>0</v>
      </c>
      <c r="J39" s="138"/>
      <c r="K39" s="211" t="n">
        <f aca="false">SUM(K32:K38)</f>
        <v>0</v>
      </c>
      <c r="M39" s="214" t="n">
        <f aca="false">SUM(M32:M38)</f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  <c r="M40" s="215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  <c r="M41" s="215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f aca="false">Physical!D20</f>
        <v>0</v>
      </c>
      <c r="F42" s="152"/>
      <c r="G42" s="152" t="n">
        <f aca="false">Physical!K20</f>
        <v>0</v>
      </c>
      <c r="H42" s="152"/>
      <c r="I42" s="152" t="n">
        <f aca="false">Physical!D54</f>
        <v>0</v>
      </c>
      <c r="J42" s="152"/>
      <c r="K42" s="152" t="n">
        <f aca="false">Physical!K54</f>
        <v>0</v>
      </c>
      <c r="M42" s="210" t="n">
        <f aca="false">SUM(E42:K42)</f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f aca="false">Physical!D10</f>
        <v>0</v>
      </c>
      <c r="F43" s="152"/>
      <c r="G43" s="152" t="n">
        <f aca="false">Physical!K10</f>
        <v>0</v>
      </c>
      <c r="H43" s="152"/>
      <c r="I43" s="152" t="n">
        <f aca="false">Physical!D44</f>
        <v>0</v>
      </c>
      <c r="J43" s="152"/>
      <c r="K43" s="152" t="n">
        <f aca="false">Physical!K44</f>
        <v>0</v>
      </c>
      <c r="M43" s="210" t="n">
        <f aca="false">SUM(E43:K43)</f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f aca="false">Physical!D14</f>
        <v>0</v>
      </c>
      <c r="F44" s="152"/>
      <c r="G44" s="152" t="n">
        <f aca="false">Physical!K14</f>
        <v>0</v>
      </c>
      <c r="H44" s="152"/>
      <c r="I44" s="152" t="n">
        <f aca="false">Physical!D48</f>
        <v>0</v>
      </c>
      <c r="J44" s="152"/>
      <c r="K44" s="152" t="n">
        <f aca="false">Physical!K48</f>
        <v>0</v>
      </c>
      <c r="M44" s="210" t="n">
        <f aca="false">SUM(E44:K44)</f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210" t="n">
        <f aca="false">SUM(E45:K45)</f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210" t="n">
        <f aca="false">SUM(E46:K46)</f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210" t="n">
        <f aca="false">SUM(E47:K47)</f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211" t="n">
        <v>0</v>
      </c>
      <c r="M48" s="212" t="n">
        <f aca="false">SUM(E48:K48)</f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f aca="false">SUM(E42:E48)</f>
        <v>0</v>
      </c>
      <c r="F49" s="152"/>
      <c r="G49" s="213" t="n">
        <f aca="false">SUM(G42:G48)</f>
        <v>0</v>
      </c>
      <c r="H49" s="152"/>
      <c r="I49" s="213" t="n">
        <f aca="false">SUM(I42:I48)</f>
        <v>0</v>
      </c>
      <c r="J49" s="138"/>
      <c r="K49" s="211" t="n">
        <f aca="false">SUM(K42:K48)</f>
        <v>0</v>
      </c>
      <c r="M49" s="214" t="n">
        <f aca="false">SUM(M42:M48)</f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  <c r="M50" s="215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  <c r="M51" s="215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f aca="false">Other!E30</f>
        <v>-61633</v>
      </c>
      <c r="F52" s="152"/>
      <c r="G52" s="152" t="n">
        <f aca="false">Other!E31</f>
        <v>0</v>
      </c>
      <c r="H52" s="152"/>
      <c r="I52" s="152" t="n">
        <f aca="false">Other!E32</f>
        <v>-82396</v>
      </c>
      <c r="J52" s="152"/>
      <c r="K52" s="152" t="n">
        <f aca="false">Other!E33</f>
        <v>-3640</v>
      </c>
      <c r="M52" s="210" t="n">
        <f aca="false">SUM(E52:K52)</f>
        <v>-147669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f aca="false">Physical!D34</f>
        <v>0</v>
      </c>
      <c r="F53" s="152"/>
      <c r="G53" s="152" t="n">
        <f aca="false">Physical!K34</f>
        <v>0</v>
      </c>
      <c r="H53" s="152"/>
      <c r="I53" s="152" t="n">
        <f aca="false">Physical!D68</f>
        <v>3995</v>
      </c>
      <c r="J53" s="152"/>
      <c r="K53" s="152" t="n">
        <f aca="false">Physical!K68</f>
        <v>0</v>
      </c>
      <c r="M53" s="210" t="n">
        <f aca="false">SUM(E53:K53)</f>
        <v>3995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210" t="n">
        <f aca="false">SUM(E54:K54)</f>
        <v>0</v>
      </c>
    </row>
    <row r="55" customFormat="false" ht="13.5" hidden="false" customHeight="false" outlineLevel="0" collapsed="false">
      <c r="A55" s="87"/>
      <c r="B55" s="87"/>
      <c r="C55" s="87" t="s">
        <v>166</v>
      </c>
      <c r="E55" s="211" t="n">
        <f aca="false">Other!E35</f>
        <v>-4973</v>
      </c>
      <c r="F55" s="152"/>
      <c r="G55" s="211" t="n">
        <f aca="false">Other!E36</f>
        <v>0</v>
      </c>
      <c r="H55" s="152"/>
      <c r="I55" s="211" t="n">
        <f aca="false">Other!E37</f>
        <v>-45195</v>
      </c>
      <c r="J55" s="138"/>
      <c r="K55" s="211" t="n">
        <f aca="false">Other!E38</f>
        <v>-260</v>
      </c>
      <c r="M55" s="212" t="n">
        <f aca="false">SUM(E55:K55)</f>
        <v>-50428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f aca="false">SUM(E52:E55)</f>
        <v>-66606</v>
      </c>
      <c r="F56" s="152"/>
      <c r="G56" s="213" t="n">
        <f aca="false">SUM(G52:G55)</f>
        <v>0</v>
      </c>
      <c r="H56" s="152"/>
      <c r="I56" s="213" t="n">
        <f aca="false">SUM(I52:I55)</f>
        <v>-123596</v>
      </c>
      <c r="J56" s="138"/>
      <c r="K56" s="211" t="n">
        <f aca="false">SUM(K52:K55)</f>
        <v>-3900</v>
      </c>
      <c r="M56" s="212" t="n">
        <f aca="false">SUM(M52:M55)</f>
        <v>-194102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  <c r="M57" s="215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  <c r="M58" s="215"/>
    </row>
    <row r="59" customFormat="false" ht="16.5" hidden="false" customHeight="false" outlineLevel="0" collapsed="false">
      <c r="A59" s="216" t="s">
        <v>167</v>
      </c>
      <c r="B59" s="216"/>
      <c r="C59" s="216"/>
      <c r="D59" s="216"/>
      <c r="E59" s="217" t="n">
        <f aca="false">E14+E24+E29+E39+E49+E56</f>
        <v>4974.63639999996</v>
      </c>
      <c r="F59" s="217"/>
      <c r="G59" s="217" t="n">
        <f aca="false">G14+G24+G29+G39+G49+G56</f>
        <v>0</v>
      </c>
      <c r="H59" s="217"/>
      <c r="I59" s="217" t="n">
        <f aca="false">I14+I24+I29+I39+I49+I56</f>
        <v>46205.9691</v>
      </c>
      <c r="J59" s="217"/>
      <c r="K59" s="217" t="n">
        <f aca="false">K14+K24+K29+K39+K49+K56</f>
        <v>261.9999</v>
      </c>
      <c r="L59" s="217"/>
      <c r="M59" s="217" t="n">
        <f aca="false">M14+M24+M29+M39+M49+M56</f>
        <v>51442.6054</v>
      </c>
    </row>
    <row r="60" customFormat="false" ht="13.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M60" s="215"/>
    </row>
    <row r="61" customFormat="false" ht="13.5" hidden="false" customHeight="false" outlineLevel="0" collapsed="false">
      <c r="A61" s="206" t="s">
        <v>168</v>
      </c>
      <c r="B61" s="209"/>
      <c r="C61" s="218"/>
      <c r="E61" s="152"/>
      <c r="F61" s="152"/>
      <c r="G61" s="152"/>
      <c r="H61" s="152"/>
      <c r="I61" s="152"/>
      <c r="J61" s="152"/>
      <c r="K61" s="152"/>
      <c r="M61" s="215"/>
    </row>
    <row r="62" customFormat="false" ht="13.5" hidden="false" customHeight="false" outlineLevel="0" collapsed="false">
      <c r="A62" s="87"/>
      <c r="B62" s="174" t="s">
        <v>143</v>
      </c>
      <c r="C62" s="175"/>
      <c r="E62" s="152"/>
      <c r="F62" s="152"/>
      <c r="G62" s="152"/>
      <c r="H62" s="152"/>
      <c r="I62" s="152"/>
      <c r="J62" s="152"/>
      <c r="K62" s="152"/>
      <c r="M62" s="215"/>
    </row>
    <row r="63" customFormat="false" ht="12.75" hidden="false" customHeight="false" outlineLevel="0" collapsed="false">
      <c r="A63" s="87"/>
      <c r="B63" s="87"/>
      <c r="C63" s="87" t="s">
        <v>143</v>
      </c>
      <c r="E63" s="152" t="n">
        <f aca="false">E10-'Prior P&amp;L'!E10</f>
        <v>-56467.1750000001</v>
      </c>
      <c r="F63" s="152"/>
      <c r="G63" s="152" t="n">
        <f aca="false">G10-'Prior P&amp;L'!G10</f>
        <v>0</v>
      </c>
      <c r="H63" s="152"/>
      <c r="I63" s="152" t="n">
        <f aca="false">I10-'Prior P&amp;L'!I10</f>
        <v>48165.62</v>
      </c>
      <c r="J63" s="152"/>
      <c r="K63" s="152" t="n">
        <f aca="false">K10-'Prior P&amp;L'!K10</f>
        <v>0</v>
      </c>
      <c r="M63" s="210" t="n">
        <f aca="false">SUM(E63:K63)</f>
        <v>-8301.55500000008</v>
      </c>
    </row>
    <row r="64" customFormat="false" ht="12.75" hidden="false" customHeight="false" outlineLevel="0" collapsed="false">
      <c r="A64" s="87"/>
      <c r="B64" s="87"/>
      <c r="C64" s="87" t="s">
        <v>123</v>
      </c>
      <c r="E64" s="152" t="n">
        <f aca="false">E11-'Prior P&amp;L'!E11</f>
        <v>0</v>
      </c>
      <c r="F64" s="152"/>
      <c r="G64" s="152" t="n">
        <f aca="false">G11-'Prior P&amp;L'!G11</f>
        <v>0</v>
      </c>
      <c r="H64" s="152"/>
      <c r="I64" s="152" t="n">
        <f aca="false">I11-'Prior P&amp;L'!I11</f>
        <v>0</v>
      </c>
      <c r="J64" s="152"/>
      <c r="K64" s="152" t="n">
        <f aca="false">K11-'Prior P&amp;L'!K11</f>
        <v>0</v>
      </c>
      <c r="M64" s="210" t="n">
        <f aca="false">SUM(E64:K64)</f>
        <v>0</v>
      </c>
    </row>
    <row r="65" customFormat="false" ht="12.75" hidden="false" customHeight="false" outlineLevel="0" collapsed="false">
      <c r="A65" s="87"/>
      <c r="B65" s="87"/>
      <c r="C65" s="87" t="s">
        <v>144</v>
      </c>
      <c r="E65" s="152" t="n">
        <f aca="false">E12-'Prior P&amp;L'!E12</f>
        <v>-268012</v>
      </c>
      <c r="F65" s="152"/>
      <c r="G65" s="152" t="n">
        <f aca="false">G12-'Prior P&amp;L'!G12</f>
        <v>0</v>
      </c>
      <c r="H65" s="152"/>
      <c r="I65" s="152" t="n">
        <f aca="false">I12-'Prior P&amp;L'!I12</f>
        <v>0</v>
      </c>
      <c r="J65" s="152"/>
      <c r="K65" s="152" t="n">
        <f aca="false">K12-'Prior P&amp;L'!K12</f>
        <v>0</v>
      </c>
      <c r="M65" s="210" t="n">
        <f aca="false">SUM(E65:K65)</f>
        <v>-268012</v>
      </c>
    </row>
    <row r="66" customFormat="false" ht="13.5" hidden="false" customHeight="false" outlineLevel="0" collapsed="false">
      <c r="A66" s="87" t="s">
        <v>40</v>
      </c>
      <c r="B66" s="87"/>
      <c r="C66" s="87" t="s">
        <v>145</v>
      </c>
      <c r="E66" s="152" t="n">
        <f aca="false">E13-'Prior P&amp;L'!E13</f>
        <v>0</v>
      </c>
      <c r="F66" s="152"/>
      <c r="G66" s="152" t="n">
        <f aca="false">G13-'Prior P&amp;L'!G13</f>
        <v>0</v>
      </c>
      <c r="H66" s="152"/>
      <c r="I66" s="152" t="n">
        <f aca="false">I13-'Prior P&amp;L'!I13</f>
        <v>0</v>
      </c>
      <c r="J66" s="152"/>
      <c r="K66" s="152" t="n">
        <f aca="false">K13-'Prior P&amp;L'!K13</f>
        <v>0</v>
      </c>
      <c r="M66" s="212" t="n">
        <f aca="false">SUM(E66:K66)</f>
        <v>0</v>
      </c>
    </row>
    <row r="67" customFormat="false" ht="13.5" hidden="false" customHeight="false" outlineLevel="0" collapsed="false">
      <c r="A67" s="87"/>
      <c r="B67" s="87"/>
      <c r="C67" s="94" t="s">
        <v>146</v>
      </c>
      <c r="E67" s="213" t="n">
        <f aca="false">SUM(E63:E66)</f>
        <v>-324479.175</v>
      </c>
      <c r="F67" s="152"/>
      <c r="G67" s="213" t="n">
        <f aca="false">SUM(G63:G66)</f>
        <v>0</v>
      </c>
      <c r="H67" s="138"/>
      <c r="I67" s="213" t="n">
        <f aca="false">SUM(I63:I66)</f>
        <v>48165.62</v>
      </c>
      <c r="J67" s="138"/>
      <c r="K67" s="213" t="n">
        <f aca="false">SUM(K63:K66)</f>
        <v>0</v>
      </c>
      <c r="M67" s="214" t="n">
        <f aca="false">SUM(M63:M66)</f>
        <v>-276313.555</v>
      </c>
    </row>
    <row r="68" customFormat="false" ht="12.75" hidden="false" customHeight="false" outlineLevel="0" collapsed="false">
      <c r="A68" s="87"/>
      <c r="B68" s="87"/>
      <c r="C68" s="94"/>
      <c r="E68" s="152"/>
      <c r="F68" s="152"/>
      <c r="G68" s="152"/>
      <c r="H68" s="152"/>
      <c r="I68" s="152"/>
      <c r="J68" s="152"/>
      <c r="K68" s="152"/>
      <c r="M68" s="215"/>
    </row>
    <row r="69" customFormat="false" ht="13.5" hidden="false" customHeight="false" outlineLevel="0" collapsed="false">
      <c r="A69" s="87"/>
      <c r="B69" s="174" t="s">
        <v>147</v>
      </c>
      <c r="C69" s="175"/>
      <c r="E69" s="152"/>
      <c r="F69" s="152"/>
      <c r="G69" s="152"/>
      <c r="H69" s="152"/>
      <c r="I69" s="152"/>
      <c r="J69" s="152"/>
      <c r="K69" s="152"/>
      <c r="M69" s="215"/>
    </row>
    <row r="70" customFormat="false" ht="12.75" hidden="false" customHeight="false" outlineLevel="0" collapsed="false">
      <c r="A70" s="87"/>
      <c r="B70" s="87"/>
      <c r="C70" s="87" t="s">
        <v>148</v>
      </c>
      <c r="E70" s="152" t="n">
        <f aca="false">E17-'Prior P&amp;L'!E17</f>
        <v>324699.320599999</v>
      </c>
      <c r="F70" s="152"/>
      <c r="G70" s="152" t="n">
        <f aca="false">G17-'Prior P&amp;L'!G17</f>
        <v>0</v>
      </c>
      <c r="H70" s="152"/>
      <c r="I70" s="152" t="n">
        <f aca="false">I17-'Prior P&amp;L'!I17</f>
        <v>4135.17540000007</v>
      </c>
      <c r="J70" s="152"/>
      <c r="K70" s="152" t="n">
        <f aca="false">K17-'Prior P&amp;L'!K17</f>
        <v>331.663700000034</v>
      </c>
      <c r="M70" s="210" t="n">
        <f aca="false">SUM(E70:K70)</f>
        <v>329166.159699999</v>
      </c>
    </row>
    <row r="71" customFormat="false" ht="12.75" hidden="false" customHeight="false" outlineLevel="0" collapsed="false">
      <c r="A71" s="87"/>
      <c r="B71" s="87"/>
      <c r="C71" s="87" t="s">
        <v>149</v>
      </c>
      <c r="E71" s="152" t="n">
        <f aca="false">E18-'Prior P&amp;L'!E18</f>
        <v>0</v>
      </c>
      <c r="F71" s="152"/>
      <c r="G71" s="152" t="n">
        <f aca="false">G18-'Prior P&amp;L'!G18</f>
        <v>0</v>
      </c>
      <c r="H71" s="152"/>
      <c r="I71" s="152" t="n">
        <f aca="false">I18-'Prior P&amp;L'!I18</f>
        <v>0</v>
      </c>
      <c r="J71" s="152"/>
      <c r="K71" s="152" t="n">
        <f aca="false">K18-'Prior P&amp;L'!K18</f>
        <v>0</v>
      </c>
      <c r="M71" s="210" t="n">
        <f aca="false">SUM(E71:K71)</f>
        <v>0</v>
      </c>
    </row>
    <row r="72" customFormat="false" ht="12.75" hidden="false" customHeight="false" outlineLevel="0" collapsed="false">
      <c r="A72" s="87"/>
      <c r="B72" s="87"/>
      <c r="C72" s="87" t="s">
        <v>150</v>
      </c>
      <c r="E72" s="152" t="n">
        <f aca="false">E19-'Prior P&amp;L'!E19</f>
        <v>75.0371999999916</v>
      </c>
      <c r="F72" s="152"/>
      <c r="G72" s="152" t="n">
        <f aca="false">G19-'Prior P&amp;L'!G19</f>
        <v>0</v>
      </c>
      <c r="H72" s="152"/>
      <c r="I72" s="152" t="n">
        <f aca="false">I19-'Prior P&amp;L'!I19</f>
        <v>1453.34660000005</v>
      </c>
      <c r="J72" s="152"/>
      <c r="K72" s="152" t="n">
        <f aca="false">K19-'Prior P&amp;L'!K19</f>
        <v>-0.0004</v>
      </c>
      <c r="M72" s="210" t="n">
        <f aca="false">SUM(E72:K72)</f>
        <v>1528.38340000004</v>
      </c>
    </row>
    <row r="73" customFormat="false" ht="12.75" hidden="false" customHeight="false" outlineLevel="0" collapsed="false">
      <c r="A73" s="87"/>
      <c r="B73" s="87"/>
      <c r="C73" s="87" t="s">
        <v>151</v>
      </c>
      <c r="E73" s="152" t="n">
        <f aca="false">E20-'Prior P&amp;L'!E20</f>
        <v>4.90119999999934</v>
      </c>
      <c r="F73" s="152"/>
      <c r="G73" s="152" t="n">
        <f aca="false">G20-'Prior P&amp;L'!G20</f>
        <v>0</v>
      </c>
      <c r="H73" s="152"/>
      <c r="I73" s="152" t="n">
        <f aca="false">I20-'Prior P&amp;L'!I20</f>
        <v>6.01120000000083</v>
      </c>
      <c r="J73" s="152"/>
      <c r="K73" s="152" t="n">
        <f aca="false">K20-'Prior P&amp;L'!K20</f>
        <v>0</v>
      </c>
      <c r="M73" s="210" t="n">
        <f aca="false">SUM(E73:K73)</f>
        <v>10.9124000000002</v>
      </c>
    </row>
    <row r="74" customFormat="false" ht="12.75" hidden="false" customHeight="false" outlineLevel="0" collapsed="false">
      <c r="A74" s="87"/>
      <c r="B74" s="87"/>
      <c r="C74" s="87" t="s">
        <v>152</v>
      </c>
      <c r="E74" s="152" t="n">
        <f aca="false">E21-'Prior P&amp;L'!E21</f>
        <v>0</v>
      </c>
      <c r="F74" s="152"/>
      <c r="G74" s="152" t="n">
        <f aca="false">G21-'Prior P&amp;L'!G21</f>
        <v>0</v>
      </c>
      <c r="H74" s="152"/>
      <c r="I74" s="152" t="n">
        <f aca="false">I21-'Prior P&amp;L'!I21</f>
        <v>0</v>
      </c>
      <c r="J74" s="152"/>
      <c r="K74" s="152" t="n">
        <f aca="false">K21-'Prior P&amp;L'!K21</f>
        <v>0</v>
      </c>
      <c r="M74" s="210" t="n">
        <f aca="false">SUM(E74:K74)</f>
        <v>0</v>
      </c>
    </row>
    <row r="75" customFormat="false" ht="12.75" hidden="false" customHeight="false" outlineLevel="0" collapsed="false">
      <c r="A75" s="87"/>
      <c r="B75" s="87"/>
      <c r="C75" s="87" t="s">
        <v>153</v>
      </c>
      <c r="E75" s="152" t="n">
        <f aca="false">E22-'Prior P&amp;L'!E22</f>
        <v>0</v>
      </c>
      <c r="F75" s="152"/>
      <c r="G75" s="152" t="n">
        <f aca="false">G22-'Prior P&amp;L'!G22</f>
        <v>0</v>
      </c>
      <c r="H75" s="152"/>
      <c r="I75" s="152" t="n">
        <f aca="false">I22-'Prior P&amp;L'!I22</f>
        <v>0</v>
      </c>
      <c r="J75" s="152"/>
      <c r="K75" s="152" t="n">
        <f aca="false">K22-'Prior P&amp;L'!K22</f>
        <v>0</v>
      </c>
      <c r="M75" s="210" t="n">
        <f aca="false">SUM(E75:K75)</f>
        <v>0</v>
      </c>
    </row>
    <row r="76" customFormat="false" ht="13.5" hidden="false" customHeight="false" outlineLevel="0" collapsed="false">
      <c r="A76" s="87"/>
      <c r="B76" s="87"/>
      <c r="C76" s="87" t="s">
        <v>104</v>
      </c>
      <c r="E76" s="152" t="n">
        <f aca="false">E23-'Prior P&amp;L'!E23</f>
        <v>0</v>
      </c>
      <c r="F76" s="152"/>
      <c r="G76" s="152" t="n">
        <f aca="false">G23-'Prior P&amp;L'!G23</f>
        <v>0</v>
      </c>
      <c r="H76" s="152"/>
      <c r="I76" s="152" t="n">
        <f aca="false">I23-'Prior P&amp;L'!I23</f>
        <v>0</v>
      </c>
      <c r="J76" s="152"/>
      <c r="K76" s="152" t="n">
        <f aca="false">K23-'Prior P&amp;L'!K23</f>
        <v>0</v>
      </c>
      <c r="M76" s="212" t="n">
        <f aca="false">SUM(E76:K76)</f>
        <v>0</v>
      </c>
    </row>
    <row r="77" customFormat="false" ht="13.5" hidden="false" customHeight="false" outlineLevel="0" collapsed="false">
      <c r="A77" s="87"/>
      <c r="B77" s="87"/>
      <c r="C77" s="94" t="s">
        <v>146</v>
      </c>
      <c r="E77" s="213" t="n">
        <f aca="false">SUM(E70:E76)</f>
        <v>324779.258999999</v>
      </c>
      <c r="F77" s="152"/>
      <c r="G77" s="213" t="n">
        <f aca="false">SUM(G70:G76)</f>
        <v>0</v>
      </c>
      <c r="H77" s="152"/>
      <c r="I77" s="213" t="n">
        <f aca="false">SUM(I70:I76)</f>
        <v>5594.53320000011</v>
      </c>
      <c r="J77" s="138"/>
      <c r="K77" s="213" t="n">
        <f aca="false">SUM(K70:K76)</f>
        <v>331.663300000034</v>
      </c>
      <c r="M77" s="214" t="n">
        <f aca="false">SUM(M70:M76)</f>
        <v>330705.455499999</v>
      </c>
    </row>
    <row r="78" customFormat="false" ht="12.75" hidden="false" customHeight="false" outlineLevel="0" collapsed="false">
      <c r="A78" s="87"/>
      <c r="B78" s="87"/>
      <c r="C78" s="87"/>
      <c r="E78" s="152"/>
      <c r="F78" s="138"/>
      <c r="G78" s="152"/>
      <c r="H78" s="138"/>
      <c r="I78" s="152"/>
      <c r="J78" s="152"/>
      <c r="K78" s="152"/>
      <c r="M78" s="215"/>
    </row>
    <row r="79" customFormat="false" ht="13.5" hidden="false" customHeight="false" outlineLevel="0" collapsed="false">
      <c r="A79" s="87"/>
      <c r="B79" s="174" t="s">
        <v>154</v>
      </c>
      <c r="C79" s="175"/>
      <c r="E79" s="152"/>
      <c r="F79" s="138"/>
      <c r="G79" s="152"/>
      <c r="H79" s="152"/>
      <c r="I79" s="152"/>
      <c r="J79" s="152"/>
      <c r="K79" s="152"/>
      <c r="M79" s="215"/>
    </row>
    <row r="80" customFormat="false" ht="12.75" hidden="false" customHeight="false" outlineLevel="0" collapsed="false">
      <c r="A80" s="87"/>
      <c r="B80" s="110"/>
      <c r="C80" s="110" t="s">
        <v>143</v>
      </c>
      <c r="E80" s="152" t="n">
        <f aca="false">E27-'Prior P&amp;L'!E27</f>
        <v>0</v>
      </c>
      <c r="F80" s="152"/>
      <c r="G80" s="152" t="n">
        <f aca="false">G27-'Prior P&amp;L'!G27</f>
        <v>0</v>
      </c>
      <c r="H80" s="138"/>
      <c r="I80" s="152" t="n">
        <f aca="false">I27-'Prior P&amp;L'!I27</f>
        <v>0</v>
      </c>
      <c r="J80" s="152"/>
      <c r="K80" s="152" t="n">
        <f aca="false">K27-'Prior P&amp;L'!K27</f>
        <v>0</v>
      </c>
      <c r="M80" s="210" t="n">
        <f aca="false">SUM(E80:K80)</f>
        <v>0</v>
      </c>
    </row>
    <row r="81" customFormat="false" ht="13.5" hidden="false" customHeight="false" outlineLevel="0" collapsed="false">
      <c r="A81" s="87"/>
      <c r="B81" s="110"/>
      <c r="C81" s="110" t="s">
        <v>147</v>
      </c>
      <c r="E81" s="152" t="n">
        <f aca="false">E28-'Prior P&amp;L'!E28</f>
        <v>0</v>
      </c>
      <c r="F81" s="138"/>
      <c r="G81" s="152" t="n">
        <f aca="false">G28-'Prior P&amp;L'!G28</f>
        <v>0</v>
      </c>
      <c r="H81" s="138"/>
      <c r="I81" s="152" t="n">
        <f aca="false">I28-'Prior P&amp;L'!I28</f>
        <v>0</v>
      </c>
      <c r="J81" s="152"/>
      <c r="K81" s="152" t="n">
        <f aca="false">K28-'Prior P&amp;L'!K28</f>
        <v>0</v>
      </c>
      <c r="M81" s="212" t="n">
        <f aca="false">SUM(E81:K81)</f>
        <v>0</v>
      </c>
    </row>
    <row r="82" customFormat="false" ht="13.5" hidden="false" customHeight="false" outlineLevel="0" collapsed="false">
      <c r="A82" s="87"/>
      <c r="B82" s="110"/>
      <c r="C82" s="133" t="s">
        <v>146</v>
      </c>
      <c r="E82" s="213" t="n">
        <f aca="false">SUM(E80:E81)</f>
        <v>0</v>
      </c>
      <c r="F82" s="138"/>
      <c r="G82" s="213" t="n">
        <f aca="false">SUM(G80:G81)</f>
        <v>0</v>
      </c>
      <c r="H82" s="138"/>
      <c r="I82" s="213" t="n">
        <f aca="false">SUM(I80:I81)</f>
        <v>0</v>
      </c>
      <c r="J82" s="138"/>
      <c r="K82" s="213" t="n">
        <f aca="false">SUM(K80:K81)</f>
        <v>0</v>
      </c>
      <c r="M82" s="213" t="n">
        <f aca="false">SUM(M80:M81)</f>
        <v>0</v>
      </c>
    </row>
    <row r="83" customFormat="false" ht="12.75" hidden="false" customHeight="false" outlineLevel="0" collapsed="false">
      <c r="A83" s="87"/>
      <c r="B83" s="110"/>
      <c r="C83" s="110"/>
      <c r="E83" s="152"/>
      <c r="F83" s="138"/>
      <c r="G83" s="152"/>
      <c r="H83" s="138"/>
      <c r="I83" s="152"/>
      <c r="J83" s="152"/>
      <c r="K83" s="152"/>
      <c r="M83" s="215"/>
    </row>
    <row r="84" customFormat="false" ht="13.5" hidden="false" customHeight="false" outlineLevel="0" collapsed="false">
      <c r="A84" s="87"/>
      <c r="B84" s="174" t="s">
        <v>155</v>
      </c>
      <c r="C84" s="175"/>
      <c r="E84" s="152"/>
      <c r="F84" s="138"/>
      <c r="G84" s="152"/>
      <c r="H84" s="138"/>
      <c r="I84" s="152"/>
      <c r="J84" s="152"/>
      <c r="K84" s="152"/>
      <c r="M84" s="215"/>
    </row>
    <row r="85" customFormat="false" ht="12.75" hidden="false" customHeight="false" outlineLevel="0" collapsed="false">
      <c r="A85" s="87"/>
      <c r="B85" s="87"/>
      <c r="C85" s="87" t="s">
        <v>156</v>
      </c>
      <c r="E85" s="152" t="n">
        <f aca="false">E32-'Prior P&amp;L'!E32</f>
        <v>0</v>
      </c>
      <c r="F85" s="138"/>
      <c r="G85" s="152" t="n">
        <f aca="false">G32-'Prior P&amp;L'!G32</f>
        <v>0</v>
      </c>
      <c r="H85" s="138"/>
      <c r="I85" s="152" t="n">
        <f aca="false">I32-'Prior P&amp;L'!I32</f>
        <v>0</v>
      </c>
      <c r="J85" s="152"/>
      <c r="K85" s="152" t="n">
        <f aca="false">K32-'Prior P&amp;L'!K32</f>
        <v>0</v>
      </c>
      <c r="M85" s="210" t="n">
        <f aca="false">SUM(E85:K85)</f>
        <v>0</v>
      </c>
    </row>
    <row r="86" customFormat="false" ht="12.75" hidden="false" customHeight="false" outlineLevel="0" collapsed="false">
      <c r="A86" s="87"/>
      <c r="B86" s="87"/>
      <c r="C86" s="87" t="s">
        <v>157</v>
      </c>
      <c r="E86" s="152" t="n">
        <f aca="false">E33-'Prior P&amp;L'!E33</f>
        <v>0</v>
      </c>
      <c r="F86" s="138"/>
      <c r="G86" s="152" t="n">
        <f aca="false">G33-'Prior P&amp;L'!G33</f>
        <v>0</v>
      </c>
      <c r="H86" s="138"/>
      <c r="I86" s="152" t="n">
        <f aca="false">I33-'Prior P&amp;L'!I33</f>
        <v>0</v>
      </c>
      <c r="J86" s="152"/>
      <c r="K86" s="152" t="n">
        <f aca="false">K33-'Prior P&amp;L'!K33</f>
        <v>0</v>
      </c>
      <c r="M86" s="210" t="n">
        <f aca="false">SUM(E86:K86)</f>
        <v>0</v>
      </c>
    </row>
    <row r="87" customFormat="false" ht="12.75" hidden="false" customHeight="false" outlineLevel="0" collapsed="false">
      <c r="A87" s="87"/>
      <c r="B87" s="87"/>
      <c r="C87" s="87" t="s">
        <v>158</v>
      </c>
      <c r="E87" s="152" t="n">
        <f aca="false">E34-'Prior P&amp;L'!E34</f>
        <v>0</v>
      </c>
      <c r="F87" s="138"/>
      <c r="G87" s="152" t="n">
        <f aca="false">G34-'Prior P&amp;L'!G34</f>
        <v>0</v>
      </c>
      <c r="H87" s="138"/>
      <c r="I87" s="152" t="n">
        <f aca="false">I34-'Prior P&amp;L'!I34</f>
        <v>0</v>
      </c>
      <c r="J87" s="152"/>
      <c r="K87" s="152" t="n">
        <f aca="false">K34-'Prior P&amp;L'!K34</f>
        <v>0</v>
      </c>
      <c r="M87" s="210" t="n">
        <f aca="false">SUM(E87:K87)</f>
        <v>0</v>
      </c>
    </row>
    <row r="88" customFormat="false" ht="12.75" hidden="false" customHeight="false" outlineLevel="0" collapsed="false">
      <c r="A88" s="87"/>
      <c r="B88" s="87"/>
      <c r="C88" s="87" t="s">
        <v>159</v>
      </c>
      <c r="E88" s="152" t="n">
        <f aca="false">E35-'Prior P&amp;L'!E35</f>
        <v>0</v>
      </c>
      <c r="F88" s="138"/>
      <c r="G88" s="152" t="n">
        <f aca="false">G35-'Prior P&amp;L'!G35</f>
        <v>0</v>
      </c>
      <c r="H88" s="138"/>
      <c r="I88" s="152" t="n">
        <f aca="false">I35-'Prior P&amp;L'!I35</f>
        <v>0</v>
      </c>
      <c r="J88" s="152"/>
      <c r="K88" s="152" t="n">
        <f aca="false">K35-'Prior P&amp;L'!K35</f>
        <v>0</v>
      </c>
      <c r="M88" s="210" t="n">
        <f aca="false">SUM(E88:K88)</f>
        <v>0</v>
      </c>
    </row>
    <row r="89" customFormat="false" ht="12.75" hidden="false" customHeight="false" outlineLevel="0" collapsed="false">
      <c r="A89" s="87"/>
      <c r="B89" s="87"/>
      <c r="C89" s="87" t="s">
        <v>160</v>
      </c>
      <c r="E89" s="152" t="n">
        <f aca="false">E36-'Prior P&amp;L'!E36</f>
        <v>0</v>
      </c>
      <c r="F89" s="138"/>
      <c r="G89" s="152" t="n">
        <f aca="false">G36-'Prior P&amp;L'!G36</f>
        <v>0</v>
      </c>
      <c r="H89" s="138"/>
      <c r="I89" s="152" t="n">
        <f aca="false">I36-'Prior P&amp;L'!I36</f>
        <v>0</v>
      </c>
      <c r="J89" s="152"/>
      <c r="K89" s="152" t="n">
        <f aca="false">K36-'Prior P&amp;L'!K36</f>
        <v>0</v>
      </c>
      <c r="M89" s="210" t="n">
        <f aca="false">SUM(E89:K89)</f>
        <v>0</v>
      </c>
    </row>
    <row r="90" customFormat="false" ht="12.75" hidden="false" customHeight="false" outlineLevel="0" collapsed="false">
      <c r="A90" s="87"/>
      <c r="B90" s="87"/>
      <c r="C90" s="87" t="s">
        <v>161</v>
      </c>
      <c r="E90" s="152" t="n">
        <f aca="false">E37-'Prior P&amp;L'!E37</f>
        <v>0</v>
      </c>
      <c r="F90" s="138"/>
      <c r="G90" s="152" t="n">
        <f aca="false">G37-'Prior P&amp;L'!G37</f>
        <v>0</v>
      </c>
      <c r="H90" s="138"/>
      <c r="I90" s="152" t="n">
        <f aca="false">I37-'Prior P&amp;L'!I37</f>
        <v>0</v>
      </c>
      <c r="J90" s="152"/>
      <c r="K90" s="152" t="n">
        <f aca="false">K37-'Prior P&amp;L'!K37</f>
        <v>0</v>
      </c>
      <c r="M90" s="210" t="n">
        <f aca="false">SUM(E90:K90)</f>
        <v>0</v>
      </c>
    </row>
    <row r="91" customFormat="false" ht="13.5" hidden="false" customHeight="false" outlineLevel="0" collapsed="false">
      <c r="A91" s="87"/>
      <c r="B91" s="87"/>
      <c r="C91" s="87" t="s">
        <v>162</v>
      </c>
      <c r="E91" s="152" t="n">
        <f aca="false">E38-'Prior P&amp;L'!E38</f>
        <v>0</v>
      </c>
      <c r="F91" s="138"/>
      <c r="G91" s="152" t="n">
        <f aca="false">G38-'Prior P&amp;L'!G38</f>
        <v>0</v>
      </c>
      <c r="H91" s="138"/>
      <c r="I91" s="152" t="n">
        <f aca="false">I38-'Prior P&amp;L'!I38</f>
        <v>0</v>
      </c>
      <c r="J91" s="152"/>
      <c r="K91" s="152" t="n">
        <f aca="false">K38-'Prior P&amp;L'!K38</f>
        <v>0</v>
      </c>
      <c r="M91" s="212" t="n">
        <f aca="false">SUM(E91:K91)</f>
        <v>0</v>
      </c>
    </row>
    <row r="92" customFormat="false" ht="13.5" hidden="false" customHeight="false" outlineLevel="0" collapsed="false">
      <c r="A92" s="87"/>
      <c r="B92" s="87"/>
      <c r="C92" s="94" t="s">
        <v>146</v>
      </c>
      <c r="E92" s="213" t="n">
        <f aca="false">SUM(E85:E91)</f>
        <v>0</v>
      </c>
      <c r="F92" s="138"/>
      <c r="G92" s="213" t="n">
        <f aca="false">SUM(G85:G91)</f>
        <v>0</v>
      </c>
      <c r="H92" s="138"/>
      <c r="I92" s="213" t="n">
        <f aca="false">SUM(I85:I91)</f>
        <v>0</v>
      </c>
      <c r="J92" s="138"/>
      <c r="K92" s="213" t="n">
        <f aca="false">SUM(K85:K91)</f>
        <v>0</v>
      </c>
      <c r="M92" s="214" t="n">
        <f aca="false">SUM(M85:M91)</f>
        <v>0</v>
      </c>
    </row>
    <row r="93" customFormat="false" ht="12.75" hidden="false" customHeight="false" outlineLevel="0" collapsed="false">
      <c r="A93" s="87"/>
      <c r="B93" s="87"/>
      <c r="C93" s="87"/>
      <c r="E93" s="152"/>
      <c r="F93" s="138"/>
      <c r="G93" s="152"/>
      <c r="H93" s="138"/>
      <c r="I93" s="152"/>
      <c r="J93" s="152"/>
      <c r="K93" s="152"/>
      <c r="M93" s="215"/>
    </row>
    <row r="94" customFormat="false" ht="13.5" hidden="false" customHeight="false" outlineLevel="0" collapsed="false">
      <c r="A94" s="87"/>
      <c r="B94" s="174" t="s">
        <v>163</v>
      </c>
      <c r="C94" s="175"/>
      <c r="E94" s="152"/>
      <c r="F94" s="138"/>
      <c r="G94" s="152"/>
      <c r="H94" s="138"/>
      <c r="I94" s="152"/>
      <c r="J94" s="152"/>
      <c r="K94" s="152"/>
      <c r="M94" s="215"/>
    </row>
    <row r="95" customFormat="false" ht="12.75" hidden="false" customHeight="false" outlineLevel="0" collapsed="false">
      <c r="A95" s="87"/>
      <c r="B95" s="87"/>
      <c r="C95" s="87" t="s">
        <v>156</v>
      </c>
      <c r="E95" s="152" t="n">
        <f aca="false">E42-'Prior P&amp;L'!E42</f>
        <v>0</v>
      </c>
      <c r="F95" s="138"/>
      <c r="G95" s="152" t="n">
        <f aca="false">G42-'Prior P&amp;L'!G42</f>
        <v>0</v>
      </c>
      <c r="H95" s="138"/>
      <c r="I95" s="152" t="n">
        <f aca="false">I42-'Prior P&amp;L'!I42</f>
        <v>0</v>
      </c>
      <c r="J95" s="152"/>
      <c r="K95" s="152" t="n">
        <f aca="false">K42-'Prior P&amp;L'!K42</f>
        <v>0</v>
      </c>
      <c r="M95" s="210" t="n">
        <f aca="false">SUM(E95:K95)</f>
        <v>0</v>
      </c>
    </row>
    <row r="96" customFormat="false" ht="12.75" hidden="false" customHeight="false" outlineLevel="0" collapsed="false">
      <c r="A96" s="87"/>
      <c r="B96" s="87"/>
      <c r="C96" s="87" t="s">
        <v>157</v>
      </c>
      <c r="E96" s="152" t="n">
        <f aca="false">E43-'Prior P&amp;L'!E43</f>
        <v>0</v>
      </c>
      <c r="F96" s="138"/>
      <c r="G96" s="152" t="n">
        <f aca="false">G43-'Prior P&amp;L'!G43</f>
        <v>0</v>
      </c>
      <c r="H96" s="138"/>
      <c r="I96" s="152" t="n">
        <f aca="false">I43-'Prior P&amp;L'!I43</f>
        <v>0</v>
      </c>
      <c r="J96" s="152"/>
      <c r="K96" s="152" t="n">
        <f aca="false">K43-'Prior P&amp;L'!K43</f>
        <v>0</v>
      </c>
      <c r="M96" s="210" t="n">
        <f aca="false">SUM(E96:K96)</f>
        <v>0</v>
      </c>
    </row>
    <row r="97" customFormat="false" ht="12.75" hidden="false" customHeight="false" outlineLevel="0" collapsed="false">
      <c r="A97" s="87"/>
      <c r="B97" s="87"/>
      <c r="C97" s="87" t="s">
        <v>158</v>
      </c>
      <c r="E97" s="152" t="n">
        <f aca="false">E44-'Prior P&amp;L'!E44</f>
        <v>0</v>
      </c>
      <c r="F97" s="138"/>
      <c r="G97" s="152" t="n">
        <f aca="false">G44-'Prior P&amp;L'!G44</f>
        <v>0</v>
      </c>
      <c r="H97" s="138"/>
      <c r="I97" s="152" t="n">
        <f aca="false">I44-'Prior P&amp;L'!I44</f>
        <v>0</v>
      </c>
      <c r="J97" s="152"/>
      <c r="K97" s="152" t="n">
        <f aca="false">K44-'Prior P&amp;L'!K44</f>
        <v>0</v>
      </c>
      <c r="M97" s="210" t="n">
        <f aca="false">SUM(E97:K97)</f>
        <v>0</v>
      </c>
    </row>
    <row r="98" customFormat="false" ht="12.75" hidden="false" customHeight="false" outlineLevel="0" collapsed="false">
      <c r="A98" s="87"/>
      <c r="B98" s="87"/>
      <c r="C98" s="87" t="s">
        <v>159</v>
      </c>
      <c r="E98" s="152" t="n">
        <f aca="false">E45-'Prior P&amp;L'!E45</f>
        <v>0</v>
      </c>
      <c r="F98" s="138"/>
      <c r="G98" s="152" t="n">
        <f aca="false">G45-'Prior P&amp;L'!G45</f>
        <v>0</v>
      </c>
      <c r="H98" s="138"/>
      <c r="I98" s="152" t="n">
        <f aca="false">I45-'Prior P&amp;L'!I45</f>
        <v>0</v>
      </c>
      <c r="J98" s="152"/>
      <c r="K98" s="152" t="n">
        <f aca="false">K45-'Prior P&amp;L'!K45</f>
        <v>0</v>
      </c>
      <c r="M98" s="210" t="n">
        <f aca="false">SUM(E98:K98)</f>
        <v>0</v>
      </c>
    </row>
    <row r="99" customFormat="false" ht="12.75" hidden="false" customHeight="false" outlineLevel="0" collapsed="false">
      <c r="A99" s="87"/>
      <c r="B99" s="87"/>
      <c r="C99" s="87" t="s">
        <v>160</v>
      </c>
      <c r="E99" s="152" t="n">
        <f aca="false">E46-'Prior P&amp;L'!E46</f>
        <v>0</v>
      </c>
      <c r="F99" s="138"/>
      <c r="G99" s="152" t="n">
        <f aca="false">G46-'Prior P&amp;L'!G46</f>
        <v>0</v>
      </c>
      <c r="H99" s="138"/>
      <c r="I99" s="152" t="n">
        <f aca="false">I46-'Prior P&amp;L'!I46</f>
        <v>0</v>
      </c>
      <c r="J99" s="152"/>
      <c r="K99" s="152" t="n">
        <f aca="false">K46-'Prior P&amp;L'!K46</f>
        <v>0</v>
      </c>
      <c r="M99" s="210" t="n">
        <f aca="false">SUM(E99:K99)</f>
        <v>0</v>
      </c>
    </row>
    <row r="100" customFormat="false" ht="12.75" hidden="false" customHeight="false" outlineLevel="0" collapsed="false">
      <c r="A100" s="87"/>
      <c r="B100" s="87"/>
      <c r="C100" s="87" t="s">
        <v>161</v>
      </c>
      <c r="E100" s="152" t="n">
        <f aca="false">E47-'Prior P&amp;L'!E47</f>
        <v>0</v>
      </c>
      <c r="F100" s="138"/>
      <c r="G100" s="152" t="n">
        <f aca="false">G47-'Prior P&amp;L'!G47</f>
        <v>0</v>
      </c>
      <c r="H100" s="138"/>
      <c r="I100" s="152" t="n">
        <f aca="false">I47-'Prior P&amp;L'!I47</f>
        <v>0</v>
      </c>
      <c r="J100" s="152"/>
      <c r="K100" s="152" t="n">
        <f aca="false">K47-'Prior P&amp;L'!K47</f>
        <v>0</v>
      </c>
      <c r="M100" s="210" t="n">
        <f aca="false">SUM(E100:K100)</f>
        <v>0</v>
      </c>
    </row>
    <row r="101" customFormat="false" ht="13.5" hidden="false" customHeight="false" outlineLevel="0" collapsed="false">
      <c r="A101" s="87"/>
      <c r="B101" s="87"/>
      <c r="C101" s="87" t="s">
        <v>162</v>
      </c>
      <c r="E101" s="152" t="n">
        <f aca="false">E48-'Prior P&amp;L'!E48</f>
        <v>0</v>
      </c>
      <c r="F101" s="138"/>
      <c r="G101" s="152" t="n">
        <f aca="false">G48-'Prior P&amp;L'!G48</f>
        <v>0</v>
      </c>
      <c r="H101" s="138"/>
      <c r="I101" s="152" t="n">
        <f aca="false">I48-'Prior P&amp;L'!I48</f>
        <v>0</v>
      </c>
      <c r="J101" s="152"/>
      <c r="K101" s="152" t="n">
        <f aca="false">K48-'Prior P&amp;L'!K48</f>
        <v>0</v>
      </c>
      <c r="M101" s="212" t="n">
        <f aca="false">SUM(E101:K101)</f>
        <v>0</v>
      </c>
    </row>
    <row r="102" customFormat="false" ht="13.5" hidden="false" customHeight="false" outlineLevel="0" collapsed="false">
      <c r="A102" s="87"/>
      <c r="B102" s="87"/>
      <c r="C102" s="94" t="s">
        <v>146</v>
      </c>
      <c r="E102" s="213" t="n">
        <f aca="false">SUM(E95:E101)</f>
        <v>0</v>
      </c>
      <c r="F102" s="138"/>
      <c r="G102" s="213" t="n">
        <f aca="false">SUM(G95:G101)</f>
        <v>0</v>
      </c>
      <c r="H102" s="138"/>
      <c r="I102" s="213" t="n">
        <f aca="false">SUM(I95:I101)</f>
        <v>0</v>
      </c>
      <c r="J102" s="138"/>
      <c r="K102" s="213" t="n">
        <f aca="false">SUM(K95:K101)</f>
        <v>0</v>
      </c>
      <c r="M102" s="214" t="n">
        <f aca="false">SUM(M95:M101)</f>
        <v>0</v>
      </c>
    </row>
    <row r="103" customFormat="false" ht="12.75" hidden="false" customHeight="false" outlineLevel="0" collapsed="false">
      <c r="A103" s="87"/>
      <c r="B103" s="87"/>
      <c r="C103" s="87"/>
      <c r="E103" s="152"/>
      <c r="F103" s="138"/>
      <c r="G103" s="152"/>
      <c r="H103" s="138"/>
      <c r="I103" s="152"/>
      <c r="J103" s="152"/>
      <c r="K103" s="152"/>
      <c r="M103" s="215"/>
    </row>
    <row r="104" customFormat="false" ht="13.5" hidden="false" customHeight="false" outlineLevel="0" collapsed="false">
      <c r="A104" s="87"/>
      <c r="B104" s="174" t="s">
        <v>123</v>
      </c>
      <c r="C104" s="175"/>
      <c r="E104" s="152"/>
      <c r="F104" s="138"/>
      <c r="G104" s="152"/>
      <c r="H104" s="138"/>
      <c r="I104" s="152"/>
      <c r="J104" s="152"/>
      <c r="K104" s="152"/>
      <c r="M104" s="215"/>
    </row>
    <row r="105" customFormat="false" ht="12.75" hidden="false" customHeight="false" outlineLevel="0" collapsed="false">
      <c r="A105" s="87"/>
      <c r="B105" s="87"/>
      <c r="C105" s="87" t="s">
        <v>164</v>
      </c>
      <c r="E105" s="152" t="n">
        <f aca="false">E52-'Prior P&amp;L'!E52</f>
        <v>737.875</v>
      </c>
      <c r="F105" s="138"/>
      <c r="G105" s="152" t="n">
        <f aca="false">G52-'Prior P&amp;L'!G52</f>
        <v>0</v>
      </c>
      <c r="H105" s="138"/>
      <c r="I105" s="152" t="n">
        <f aca="false">I52-'Prior P&amp;L'!I52</f>
        <v>-24375</v>
      </c>
      <c r="J105" s="152"/>
      <c r="K105" s="152" t="n">
        <f aca="false">K52-'Prior P&amp;L'!K52</f>
        <v>-288.75</v>
      </c>
      <c r="M105" s="210" t="n">
        <f aca="false">SUM(E105:K105)</f>
        <v>-23925.875</v>
      </c>
    </row>
    <row r="106" customFormat="false" ht="12.75" hidden="false" customHeight="false" outlineLevel="0" collapsed="false">
      <c r="A106" s="87"/>
      <c r="B106" s="87"/>
      <c r="C106" s="87" t="s">
        <v>24</v>
      </c>
      <c r="E106" s="152" t="n">
        <f aca="false">E53-'Prior P&amp;L'!E53</f>
        <v>0</v>
      </c>
      <c r="F106" s="138"/>
      <c r="G106" s="152" t="n">
        <f aca="false">G53-'Prior P&amp;L'!G53</f>
        <v>0</v>
      </c>
      <c r="H106" s="138"/>
      <c r="I106" s="152" t="n">
        <f aca="false">I53-'Prior P&amp;L'!I53</f>
        <v>0</v>
      </c>
      <c r="J106" s="152"/>
      <c r="K106" s="152" t="n">
        <f aca="false">K53-'Prior P&amp;L'!K53</f>
        <v>0</v>
      </c>
      <c r="M106" s="210" t="n">
        <f aca="false">SUM(E106:K106)</f>
        <v>0</v>
      </c>
    </row>
    <row r="107" customFormat="false" ht="12.75" hidden="false" customHeight="false" outlineLevel="0" collapsed="false">
      <c r="A107" s="87"/>
      <c r="B107" s="87"/>
      <c r="C107" s="87" t="s">
        <v>165</v>
      </c>
      <c r="E107" s="152" t="n">
        <f aca="false">E54-'Prior P&amp;L'!E54</f>
        <v>0</v>
      </c>
      <c r="F107" s="138"/>
      <c r="G107" s="152" t="n">
        <f aca="false">G54-'Prior P&amp;L'!G54</f>
        <v>0</v>
      </c>
      <c r="H107" s="138"/>
      <c r="I107" s="152" t="n">
        <f aca="false">I54-'Prior P&amp;L'!I54</f>
        <v>0</v>
      </c>
      <c r="J107" s="152"/>
      <c r="K107" s="152" t="n">
        <f aca="false">K54-'Prior P&amp;L'!K54</f>
        <v>0</v>
      </c>
      <c r="M107" s="210" t="n">
        <f aca="false">SUM(E107:K107)</f>
        <v>0</v>
      </c>
    </row>
    <row r="108" customFormat="false" ht="13.5" hidden="false" customHeight="false" outlineLevel="0" collapsed="false">
      <c r="A108" s="87"/>
      <c r="B108" s="87"/>
      <c r="C108" s="87" t="s">
        <v>166</v>
      </c>
      <c r="E108" s="152" t="n">
        <f aca="false">E55-'Prior P&amp;L'!E55</f>
        <v>-518</v>
      </c>
      <c r="F108" s="138"/>
      <c r="G108" s="152" t="n">
        <f aca="false">G55-'Prior P&amp;L'!G55</f>
        <v>0</v>
      </c>
      <c r="H108" s="138"/>
      <c r="I108" s="152" t="n">
        <f aca="false">I55-'Prior P&amp;L'!I55</f>
        <v>-12190</v>
      </c>
      <c r="J108" s="152"/>
      <c r="K108" s="152" t="n">
        <f aca="false">K55-'Prior P&amp;L'!K55</f>
        <v>-20.5</v>
      </c>
      <c r="M108" s="212" t="n">
        <f aca="false">SUM(E108:K108)</f>
        <v>-12728.5</v>
      </c>
    </row>
    <row r="109" customFormat="false" ht="13.5" hidden="false" customHeight="false" outlineLevel="0" collapsed="false">
      <c r="A109" s="87"/>
      <c r="B109" s="87"/>
      <c r="C109" s="94" t="s">
        <v>146</v>
      </c>
      <c r="E109" s="213" t="n">
        <f aca="false">SUM(E105:E108)</f>
        <v>219.875</v>
      </c>
      <c r="F109" s="138"/>
      <c r="G109" s="213" t="n">
        <f aca="false">SUM(G105:G108)</f>
        <v>0</v>
      </c>
      <c r="H109" s="138"/>
      <c r="I109" s="213" t="n">
        <f aca="false">SUM(I105:I108)</f>
        <v>-36565</v>
      </c>
      <c r="J109" s="138"/>
      <c r="K109" s="213" t="n">
        <f aca="false">SUM(K105:K108)</f>
        <v>-309.25</v>
      </c>
      <c r="M109" s="212" t="n">
        <f aca="false">SUM(M105:M108)</f>
        <v>-36654.375</v>
      </c>
    </row>
    <row r="110" customFormat="false" ht="12.75" hidden="false" customHeight="false" outlineLevel="0" collapsed="false">
      <c r="A110" s="87"/>
      <c r="B110" s="87"/>
      <c r="C110" s="87"/>
      <c r="E110" s="138"/>
      <c r="F110" s="138"/>
      <c r="G110" s="138"/>
      <c r="H110" s="138"/>
      <c r="I110" s="138"/>
      <c r="J110" s="138"/>
      <c r="K110" s="138"/>
      <c r="M110" s="215"/>
    </row>
    <row r="111" customFormat="false" ht="12.75" hidden="false" customHeight="false" outlineLevel="0" collapsed="false">
      <c r="A111" s="87"/>
      <c r="B111" s="87"/>
      <c r="C111" s="87"/>
      <c r="E111" s="138"/>
      <c r="F111" s="138"/>
      <c r="G111" s="138"/>
      <c r="H111" s="138"/>
      <c r="I111" s="138"/>
      <c r="J111" s="138"/>
      <c r="K111" s="138"/>
      <c r="M111" s="215"/>
    </row>
    <row r="112" customFormat="false" ht="16.5" hidden="false" customHeight="false" outlineLevel="0" collapsed="false">
      <c r="A112" s="216" t="s">
        <v>169</v>
      </c>
      <c r="B112" s="216"/>
      <c r="C112" s="216"/>
      <c r="D112" s="216"/>
      <c r="E112" s="217" t="n">
        <f aca="false">SUM(E67,E77,E82,E92,E102,E109,)</f>
        <v>519.958999999275</v>
      </c>
      <c r="F112" s="217"/>
      <c r="G112" s="217" t="n">
        <f aca="false">SUM(G67,G77,G82,G92,G102,G109,)</f>
        <v>0</v>
      </c>
      <c r="H112" s="217"/>
      <c r="I112" s="217" t="n">
        <f aca="false">SUM(I67,I77,I82,I92,I102,I109,)</f>
        <v>17195.1532000001</v>
      </c>
      <c r="J112" s="217"/>
      <c r="K112" s="217" t="n">
        <f aca="false">SUM(K67,K77,K82,K92,K102,K109,)</f>
        <v>22.4133000000337</v>
      </c>
      <c r="L112" s="217"/>
      <c r="M112" s="217" t="n">
        <f aca="false">SUM(M67,M77,M82,M92,M102,M109,)</f>
        <v>17737.5254999994</v>
      </c>
    </row>
    <row r="113" customFormat="false" ht="13.5" hidden="false" customHeight="false" outlineLevel="0" collapsed="false">
      <c r="A113" s="87"/>
      <c r="B113" s="87"/>
      <c r="C113" s="87"/>
      <c r="E113" s="152"/>
      <c r="F113" s="152"/>
      <c r="G113" s="152"/>
      <c r="H113" s="152"/>
      <c r="I113" s="152"/>
      <c r="J113" s="152"/>
      <c r="K113" s="152"/>
      <c r="M113" s="215"/>
    </row>
    <row r="114" customFormat="false" ht="13.5" hidden="false" customHeight="false" outlineLevel="0" collapsed="false">
      <c r="A114" s="206" t="s">
        <v>170</v>
      </c>
      <c r="B114" s="207"/>
      <c r="C114" s="207"/>
      <c r="D114" s="207"/>
      <c r="E114" s="213" t="n">
        <f aca="false">E59</f>
        <v>4974.63639999996</v>
      </c>
      <c r="F114" s="213"/>
      <c r="G114" s="213" t="n">
        <f aca="false">G59</f>
        <v>0</v>
      </c>
      <c r="H114" s="213"/>
      <c r="I114" s="213" t="n">
        <f aca="false">I59</f>
        <v>46205.9691</v>
      </c>
      <c r="J114" s="213"/>
      <c r="K114" s="213" t="n">
        <f aca="false">K59</f>
        <v>261.9999</v>
      </c>
      <c r="L114" s="213"/>
      <c r="M114" s="213" t="n">
        <f aca="false">M59</f>
        <v>51442.6054</v>
      </c>
    </row>
    <row r="115" customFormat="false" ht="13.5" hidden="false" customHeight="false" outlineLevel="0" collapsed="false">
      <c r="A115" s="94"/>
      <c r="B115" s="87"/>
      <c r="C115" s="87"/>
      <c r="E115" s="152"/>
      <c r="F115" s="152"/>
      <c r="G115" s="152"/>
      <c r="H115" s="152"/>
      <c r="I115" s="152"/>
      <c r="J115" s="152"/>
      <c r="K115" s="152"/>
      <c r="L115" s="152"/>
      <c r="M115" s="152"/>
    </row>
    <row r="116" customFormat="false" ht="13.5" hidden="false" customHeight="false" outlineLevel="0" collapsed="false">
      <c r="A116" s="219" t="s">
        <v>171</v>
      </c>
      <c r="B116" s="220"/>
      <c r="C116" s="220"/>
      <c r="D116" s="220"/>
      <c r="E116" s="221" t="n">
        <f aca="false">E114+16180+40697</f>
        <v>61851.6364</v>
      </c>
      <c r="F116" s="221"/>
      <c r="G116" s="221" t="n">
        <f aca="false">G114</f>
        <v>0</v>
      </c>
      <c r="H116" s="221"/>
      <c r="I116" s="221" t="n">
        <f aca="false">I114+581864+30000+98186+9647+184062+300000-5292</f>
        <v>1244672.9691</v>
      </c>
      <c r="J116" s="221"/>
      <c r="K116" s="221" t="n">
        <f aca="false">K114+243+35696</f>
        <v>36200.9999</v>
      </c>
      <c r="L116" s="221"/>
      <c r="M116" s="221" t="n">
        <f aca="false">+E116+I116+K116</f>
        <v>1342725.6054</v>
      </c>
    </row>
    <row r="117" customFormat="false" ht="12.75" hidden="false" customHeight="false" outlineLevel="0" collapsed="false">
      <c r="M117" s="215"/>
    </row>
    <row r="118" customFormat="false" ht="12.75" hidden="false" customHeight="false" outlineLevel="0" collapsed="false">
      <c r="M118" s="215"/>
    </row>
    <row r="119" customFormat="false" ht="12.75" hidden="false" customHeight="false" outlineLevel="0" collapsed="false">
      <c r="C119" s="87"/>
      <c r="E119" s="222" t="s">
        <v>61</v>
      </c>
      <c r="F119" s="222"/>
      <c r="G119" s="222" t="s">
        <v>62</v>
      </c>
      <c r="H119" s="222"/>
      <c r="I119" s="222" t="s">
        <v>105</v>
      </c>
      <c r="J119" s="222"/>
      <c r="K119" s="222" t="s">
        <v>106</v>
      </c>
      <c r="L119" s="222"/>
      <c r="M119" s="222" t="s">
        <v>141</v>
      </c>
    </row>
    <row r="120" customFormat="false" ht="12.75" hidden="false" customHeight="false" outlineLevel="0" collapsed="false">
      <c r="C120" s="223" t="s">
        <v>172</v>
      </c>
      <c r="D120" s="223"/>
      <c r="E120" s="224" t="n">
        <f aca="false">E63+E80</f>
        <v>-56467.1750000001</v>
      </c>
      <c r="F120" s="224"/>
      <c r="G120" s="224" t="n">
        <f aca="false">G63+G80</f>
        <v>0</v>
      </c>
      <c r="H120" s="224"/>
      <c r="I120" s="224" t="n">
        <f aca="false">I63+I80</f>
        <v>48165.62</v>
      </c>
      <c r="J120" s="224"/>
      <c r="K120" s="224" t="n">
        <f aca="false">K63+K80</f>
        <v>0</v>
      </c>
      <c r="L120" s="224"/>
      <c r="M120" s="225" t="n">
        <f aca="false">SUM(E120:K120)</f>
        <v>-8301.55500000008</v>
      </c>
    </row>
    <row r="121" customFormat="false" ht="12.75" hidden="false" customHeight="false" outlineLevel="0" collapsed="false">
      <c r="C121" s="226" t="s">
        <v>173</v>
      </c>
      <c r="D121" s="227"/>
      <c r="E121" s="228" t="n">
        <f aca="false">'P&amp;L Without Sharing'!E121</f>
        <v>0</v>
      </c>
      <c r="F121" s="228"/>
      <c r="G121" s="228" t="n">
        <f aca="false">'P&amp;L Without Sharing'!G121</f>
        <v>0</v>
      </c>
      <c r="H121" s="228"/>
      <c r="I121" s="228" t="n">
        <f aca="false">'P&amp;L Without Sharing'!I121</f>
        <v>0</v>
      </c>
      <c r="J121" s="228"/>
      <c r="K121" s="228" t="n">
        <f aca="false">'P&amp;L Without Sharing'!K121</f>
        <v>0</v>
      </c>
      <c r="L121" s="228"/>
      <c r="M121" s="229" t="n">
        <f aca="false">SUM(E121:L121)</f>
        <v>0</v>
      </c>
    </row>
    <row r="122" customFormat="false" ht="12.75" hidden="false" customHeight="false" outlineLevel="0" collapsed="false">
      <c r="C122" s="230" t="s">
        <v>174</v>
      </c>
      <c r="D122" s="231"/>
      <c r="E122" s="232" t="n">
        <f aca="false">'P&amp;L Without Sharing'!E122</f>
        <v>0</v>
      </c>
      <c r="F122" s="232"/>
      <c r="G122" s="232" t="n">
        <f aca="false">'P&amp;L Without Sharing'!G122</f>
        <v>0</v>
      </c>
      <c r="H122" s="232"/>
      <c r="I122" s="232" t="n">
        <f aca="false">'P&amp;L Without Sharing'!I122</f>
        <v>0</v>
      </c>
      <c r="J122" s="232"/>
      <c r="K122" s="232" t="n">
        <f aca="false">'P&amp;L Without Sharing'!K122</f>
        <v>0</v>
      </c>
      <c r="L122" s="232"/>
      <c r="M122" s="233" t="n">
        <f aca="false">SUM(E122:L122)</f>
        <v>0</v>
      </c>
    </row>
    <row r="123" customFormat="false" ht="12.75" hidden="false" customHeight="false" outlineLevel="0" collapsed="false">
      <c r="C123" s="230" t="s">
        <v>175</v>
      </c>
      <c r="D123" s="231"/>
      <c r="E123" s="232" t="n">
        <f aca="false">'P&amp;L Without Sharing'!E123</f>
        <v>0</v>
      </c>
      <c r="F123" s="232"/>
      <c r="G123" s="232" t="n">
        <f aca="false">'P&amp;L Without Sharing'!G123</f>
        <v>0</v>
      </c>
      <c r="H123" s="232"/>
      <c r="I123" s="232" t="n">
        <f aca="false">'P&amp;L Without Sharing'!I123</f>
        <v>0</v>
      </c>
      <c r="J123" s="232"/>
      <c r="K123" s="232" t="n">
        <f aca="false">'P&amp;L Without Sharing'!K123</f>
        <v>0</v>
      </c>
      <c r="L123" s="232"/>
      <c r="M123" s="233" t="n">
        <f aca="false">SUM(E123:L123)</f>
        <v>0</v>
      </c>
    </row>
    <row r="124" customFormat="false" ht="12.75" hidden="false" customHeight="false" outlineLevel="0" collapsed="false">
      <c r="C124" s="230" t="s">
        <v>176</v>
      </c>
      <c r="D124" s="231"/>
      <c r="E124" s="232" t="n">
        <f aca="false">-E32-E33-E42-E43</f>
        <v>-0</v>
      </c>
      <c r="F124" s="232"/>
      <c r="G124" s="232" t="n">
        <f aca="false">-G32-G33-G42-G43</f>
        <v>-0</v>
      </c>
      <c r="H124" s="232"/>
      <c r="I124" s="232" t="n">
        <f aca="false">-I32-I33-I42-I43</f>
        <v>-0</v>
      </c>
      <c r="J124" s="232"/>
      <c r="K124" s="232" t="n">
        <f aca="false">-K32-K33-K42-K43</f>
        <v>-0</v>
      </c>
      <c r="L124" s="232"/>
      <c r="M124" s="233" t="n">
        <f aca="false">SUM(E124:L124)</f>
        <v>0</v>
      </c>
    </row>
    <row r="125" customFormat="false" ht="12.75" hidden="false" customHeight="false" outlineLevel="0" collapsed="false">
      <c r="C125" s="234" t="s">
        <v>177</v>
      </c>
      <c r="D125" s="235"/>
      <c r="E125" s="236" t="n">
        <f aca="false">E120-E121-E122-E123-E124</f>
        <v>-56467.1750000001</v>
      </c>
      <c r="F125" s="236"/>
      <c r="G125" s="236" t="n">
        <f aca="false">G120-G121-G122-G123-G124</f>
        <v>0</v>
      </c>
      <c r="H125" s="236"/>
      <c r="I125" s="236" t="n">
        <f aca="false">I120-I121-I122-I123-I124</f>
        <v>48165.62</v>
      </c>
      <c r="J125" s="236"/>
      <c r="K125" s="236" t="n">
        <f aca="false">K120-K121-K122-K123-K124</f>
        <v>0</v>
      </c>
      <c r="L125" s="236"/>
      <c r="M125" s="237" t="n">
        <f aca="false">SUM(E125:L125)</f>
        <v>-8301.55500000008</v>
      </c>
    </row>
    <row r="126" customFormat="false" ht="12.75" hidden="false" customHeight="false" outlineLevel="0" collapsed="false">
      <c r="C126" s="223" t="s">
        <v>178</v>
      </c>
      <c r="D126" s="223"/>
      <c r="E126" s="224" t="n">
        <f aca="false">SUM(E127:E130)</f>
        <v>257109</v>
      </c>
      <c r="F126" s="224"/>
      <c r="G126" s="224" t="n">
        <f aca="false">SUM(G127:G130)</f>
        <v>0</v>
      </c>
      <c r="H126" s="224"/>
      <c r="I126" s="224" t="n">
        <f aca="false">SUM(I127:I130)</f>
        <v>-122591</v>
      </c>
      <c r="J126" s="224"/>
      <c r="K126" s="224" t="n">
        <f aca="false">SUM(K127:K130)</f>
        <v>0</v>
      </c>
      <c r="L126" s="224"/>
      <c r="M126" s="225" t="n">
        <f aca="false">SUM(E126:K126)</f>
        <v>134518</v>
      </c>
    </row>
    <row r="127" customFormat="false" ht="12.75" hidden="false" customHeight="false" outlineLevel="0" collapsed="false">
      <c r="C127" s="226" t="s">
        <v>179</v>
      </c>
      <c r="D127" s="227"/>
      <c r="E127" s="228" t="n">
        <f aca="false">'Top Pages'!I2</f>
        <v>257109</v>
      </c>
      <c r="F127" s="228"/>
      <c r="G127" s="228" t="n">
        <f aca="false">'Top Pages'!I17</f>
        <v>0</v>
      </c>
      <c r="H127" s="228"/>
      <c r="I127" s="228" t="n">
        <f aca="false">'Top Pages'!I32</f>
        <v>-122591</v>
      </c>
      <c r="J127" s="228"/>
      <c r="K127" s="228" t="n">
        <f aca="false">'Top Pages'!I47</f>
        <v>0</v>
      </c>
      <c r="L127" s="228"/>
      <c r="M127" s="229" t="n">
        <f aca="false">SUM(E127:L127)</f>
        <v>134518</v>
      </c>
    </row>
    <row r="128" customFormat="false" ht="12.75" hidden="false" customHeight="false" outlineLevel="0" collapsed="false">
      <c r="C128" s="230" t="s">
        <v>180</v>
      </c>
      <c r="D128" s="231"/>
      <c r="E128" s="232" t="n">
        <f aca="false">'Top Pages'!I7</f>
        <v>0</v>
      </c>
      <c r="F128" s="232"/>
      <c r="G128" s="232" t="n">
        <f aca="false">'Top Pages'!I22</f>
        <v>0</v>
      </c>
      <c r="H128" s="232"/>
      <c r="I128" s="232" t="n">
        <f aca="false">'Top Pages'!I37</f>
        <v>0</v>
      </c>
      <c r="J128" s="232"/>
      <c r="K128" s="232" t="n">
        <f aca="false">'Top Pages'!I52</f>
        <v>0</v>
      </c>
      <c r="L128" s="232"/>
      <c r="M128" s="233" t="n">
        <f aca="false">SUM(E128:L128)</f>
        <v>0</v>
      </c>
    </row>
    <row r="129" customFormat="false" ht="12.75" hidden="false" customHeight="false" outlineLevel="0" collapsed="false">
      <c r="C129" s="230" t="s">
        <v>181</v>
      </c>
      <c r="D129" s="231"/>
      <c r="E129" s="232" t="n">
        <f aca="false">'Top Pages'!I12</f>
        <v>0</v>
      </c>
      <c r="F129" s="232"/>
      <c r="G129" s="232" t="n">
        <f aca="false">'Top Pages'!I27</f>
        <v>0</v>
      </c>
      <c r="H129" s="232"/>
      <c r="I129" s="232" t="n">
        <f aca="false">'Top Pages'!I42</f>
        <v>0</v>
      </c>
      <c r="J129" s="232"/>
      <c r="K129" s="232" t="n">
        <f aca="false">'Top Pages'!I57</f>
        <v>0</v>
      </c>
      <c r="L129" s="232"/>
      <c r="M129" s="233" t="n">
        <f aca="false">SUM(E129:L129)</f>
        <v>0</v>
      </c>
    </row>
    <row r="130" customFormat="false" ht="12.75" hidden="false" customHeight="false" outlineLevel="0" collapsed="false">
      <c r="C130" s="234" t="s">
        <v>182</v>
      </c>
      <c r="D130" s="235"/>
      <c r="E130" s="236"/>
      <c r="F130" s="236"/>
      <c r="G130" s="236"/>
      <c r="H130" s="236"/>
      <c r="I130" s="236"/>
      <c r="J130" s="236"/>
      <c r="K130" s="236"/>
      <c r="L130" s="236"/>
      <c r="M130" s="237"/>
    </row>
    <row r="131" customFormat="false" ht="12.75" hidden="false" customHeight="false" outlineLevel="0" collapsed="false">
      <c r="D131" s="238"/>
      <c r="E131" s="238"/>
      <c r="F131" s="238"/>
      <c r="G131" s="238"/>
      <c r="H131" s="238"/>
      <c r="I131" s="238"/>
      <c r="J131" s="238"/>
      <c r="K131" s="238"/>
      <c r="L131" s="238"/>
      <c r="M131" s="238"/>
    </row>
  </sheetData>
  <mergeCells count="1">
    <mergeCell ref="A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K135" activeCellId="0" sqref="K1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5.28"/>
    <col collapsed="false" customWidth="true" hidden="false" outlineLevel="0" max="3" min="3" style="0" width="21.13"/>
    <col collapsed="false" customWidth="true" hidden="false" outlineLevel="0" max="4" min="4" style="0" width="16.7"/>
    <col collapsed="false" customWidth="true" hidden="false" outlineLevel="0" max="5" min="5" style="0" width="11.28"/>
    <col collapsed="false" customWidth="true" hidden="false" outlineLevel="0" max="6" min="6" style="0" width="10.28"/>
    <col collapsed="false" customWidth="true" hidden="false" outlineLevel="0" max="7" min="7" style="0" width="11.13"/>
    <col collapsed="false" customWidth="true" hidden="false" outlineLevel="0" max="9" min="9" style="0" width="12.28"/>
    <col collapsed="false" customWidth="true" hidden="false" outlineLevel="0" max="11" min="11" style="0" width="10.13"/>
    <col collapsed="false" customWidth="true" hidden="false" outlineLevel="0" max="13" min="13" style="0" width="12.56"/>
    <col collapsed="false" customWidth="true" hidden="false" outlineLevel="0" max="14" min="14" style="0" width="10.28"/>
  </cols>
  <sheetData>
    <row r="3" customFormat="false" ht="12.75" hidden="false" customHeight="false" outlineLevel="0" collapsed="false">
      <c r="F3" s="200"/>
      <c r="G3" s="200"/>
      <c r="H3" s="200"/>
      <c r="I3" s="200"/>
      <c r="J3" s="200"/>
      <c r="K3" s="200"/>
      <c r="L3" s="200"/>
    </row>
    <row r="4" customFormat="false" ht="15" hidden="false" customHeight="false" outlineLevel="0" collapsed="false">
      <c r="E4" s="239"/>
      <c r="F4" s="202"/>
      <c r="G4" s="202"/>
      <c r="H4" s="202"/>
      <c r="I4" s="202"/>
      <c r="J4" s="202"/>
      <c r="K4" s="202"/>
      <c r="L4" s="202"/>
    </row>
    <row r="5" customFormat="false" ht="15" hidden="false" customHeight="false" outlineLevel="0" collapsed="false">
      <c r="E5" s="239"/>
      <c r="F5" s="202"/>
      <c r="G5" s="202"/>
      <c r="H5" s="202"/>
      <c r="I5" s="202"/>
      <c r="J5" s="202"/>
      <c r="K5" s="202"/>
      <c r="L5" s="202"/>
    </row>
    <row r="6" customFormat="false" ht="15" hidden="false" customHeight="false" outlineLevel="0" collapsed="false">
      <c r="E6" s="203" t="s">
        <v>61</v>
      </c>
      <c r="F6" s="204"/>
      <c r="G6" s="203" t="s">
        <v>62</v>
      </c>
      <c r="H6" s="204"/>
      <c r="I6" s="203" t="s">
        <v>105</v>
      </c>
      <c r="J6" s="204"/>
      <c r="K6" s="203" t="s">
        <v>106</v>
      </c>
      <c r="M6" s="240" t="s">
        <v>141</v>
      </c>
    </row>
    <row r="7" customFormat="false" ht="13.5" hidden="false" customHeight="false" outlineLevel="0" collapsed="false">
      <c r="E7" s="205"/>
      <c r="F7" s="205"/>
      <c r="G7" s="205"/>
      <c r="H7" s="205"/>
      <c r="I7" s="205"/>
      <c r="J7" s="205"/>
      <c r="K7" s="205"/>
    </row>
    <row r="8" customFormat="false" ht="13.5" hidden="false" customHeight="false" outlineLevel="0" collapsed="false">
      <c r="A8" s="206" t="s">
        <v>142</v>
      </c>
      <c r="B8" s="207"/>
      <c r="C8" s="208"/>
      <c r="E8" s="205"/>
      <c r="F8" s="205"/>
      <c r="G8" s="205"/>
      <c r="H8" s="205"/>
      <c r="I8" s="205"/>
      <c r="J8" s="205"/>
      <c r="K8" s="205"/>
    </row>
    <row r="9" customFormat="false" ht="13.5" hidden="false" customHeight="false" outlineLevel="0" collapsed="false">
      <c r="A9" s="87"/>
      <c r="B9" s="209" t="s">
        <v>143</v>
      </c>
      <c r="C9" s="207"/>
      <c r="E9" s="205"/>
      <c r="F9" s="205"/>
      <c r="G9" s="205"/>
      <c r="H9" s="205"/>
      <c r="I9" s="205"/>
      <c r="J9" s="205"/>
      <c r="K9" s="205"/>
    </row>
    <row r="10" customFormat="false" ht="12.75" hidden="false" customHeight="false" outlineLevel="0" collapsed="false">
      <c r="A10" s="87"/>
      <c r="B10" s="87"/>
      <c r="C10" s="87" t="s">
        <v>143</v>
      </c>
      <c r="E10" s="152" t="n">
        <v>-1445832.3</v>
      </c>
      <c r="F10" s="152"/>
      <c r="G10" s="152" t="n">
        <v>0</v>
      </c>
      <c r="H10" s="152"/>
      <c r="I10" s="152" t="n">
        <v>74895.6</v>
      </c>
      <c r="J10" s="152"/>
      <c r="K10" s="152" t="n">
        <v>0</v>
      </c>
      <c r="M10" s="241" t="n">
        <v>-1370936.7</v>
      </c>
    </row>
    <row r="11" customFormat="false" ht="12.75" hidden="false" customHeight="false" outlineLevel="0" collapsed="false">
      <c r="A11" s="87"/>
      <c r="B11" s="87"/>
      <c r="C11" s="87" t="s">
        <v>123</v>
      </c>
      <c r="E11" s="152" t="n">
        <v>0</v>
      </c>
      <c r="F11" s="152"/>
      <c r="G11" s="152" t="n">
        <v>0</v>
      </c>
      <c r="H11" s="152"/>
      <c r="I11" s="152" t="n">
        <v>0</v>
      </c>
      <c r="J11" s="152"/>
      <c r="K11" s="152" t="n">
        <v>0</v>
      </c>
      <c r="M11" s="241" t="n">
        <v>0</v>
      </c>
    </row>
    <row r="12" customFormat="false" ht="12.75" hidden="false" customHeight="false" outlineLevel="0" collapsed="false">
      <c r="A12" s="87"/>
      <c r="B12" s="87"/>
      <c r="C12" s="87" t="s">
        <v>144</v>
      </c>
      <c r="E12" s="152" t="n">
        <v>0</v>
      </c>
      <c r="F12" s="152"/>
      <c r="G12" s="152" t="n">
        <v>0</v>
      </c>
      <c r="H12" s="152"/>
      <c r="I12" s="152" t="n">
        <v>0</v>
      </c>
      <c r="J12" s="152"/>
      <c r="K12" s="152" t="n">
        <v>0</v>
      </c>
      <c r="M12" s="241" t="n">
        <v>0</v>
      </c>
    </row>
    <row r="13" customFormat="false" ht="13.5" hidden="false" customHeight="false" outlineLevel="0" collapsed="false">
      <c r="A13" s="87"/>
      <c r="B13" s="87"/>
      <c r="C13" s="87" t="s">
        <v>145</v>
      </c>
      <c r="E13" s="211" t="n">
        <v>97102</v>
      </c>
      <c r="F13" s="152"/>
      <c r="G13" s="211" t="n">
        <v>0</v>
      </c>
      <c r="H13" s="152"/>
      <c r="I13" s="211" t="n">
        <v>-1309</v>
      </c>
      <c r="J13" s="138"/>
      <c r="K13" s="211" t="n">
        <v>0</v>
      </c>
      <c r="M13" s="242" t="n">
        <v>95793</v>
      </c>
    </row>
    <row r="14" customFormat="false" ht="13.5" hidden="false" customHeight="false" outlineLevel="0" collapsed="false">
      <c r="A14" s="87"/>
      <c r="B14" s="87"/>
      <c r="C14" s="94" t="s">
        <v>146</v>
      </c>
      <c r="E14" s="213" t="n">
        <v>-1348730.3</v>
      </c>
      <c r="F14" s="92"/>
      <c r="G14" s="213" t="n">
        <v>0</v>
      </c>
      <c r="H14" s="92"/>
      <c r="I14" s="213" t="n">
        <v>73586.6</v>
      </c>
      <c r="J14" s="138"/>
      <c r="K14" s="213" t="n">
        <v>0</v>
      </c>
      <c r="M14" s="243" t="n">
        <v>-1275143.7</v>
      </c>
    </row>
    <row r="15" customFormat="false" ht="12.75" hidden="false" customHeight="false" outlineLevel="0" collapsed="false">
      <c r="A15" s="87"/>
      <c r="B15" s="87"/>
      <c r="C15" s="94"/>
      <c r="E15" s="152"/>
      <c r="F15" s="152"/>
      <c r="G15" s="152"/>
      <c r="H15" s="152"/>
      <c r="I15" s="152"/>
      <c r="J15" s="152"/>
      <c r="K15" s="152"/>
    </row>
    <row r="16" customFormat="false" ht="13.5" hidden="false" customHeight="false" outlineLevel="0" collapsed="false">
      <c r="A16" s="87"/>
      <c r="B16" s="174" t="s">
        <v>147</v>
      </c>
      <c r="C16" s="175"/>
      <c r="E16" s="152"/>
      <c r="F16" s="152"/>
      <c r="G16" s="152"/>
      <c r="H16" s="152"/>
      <c r="I16" s="152"/>
      <c r="J16" s="152"/>
      <c r="K16" s="152"/>
    </row>
    <row r="17" customFormat="false" ht="12.75" hidden="false" customHeight="false" outlineLevel="0" collapsed="false">
      <c r="A17" s="87"/>
      <c r="B17" s="87"/>
      <c r="C17" s="87" t="s">
        <v>148</v>
      </c>
      <c r="E17" s="152" t="n">
        <v>1416421.6794</v>
      </c>
      <c r="F17" s="152"/>
      <c r="G17" s="152" t="n">
        <v>0</v>
      </c>
      <c r="H17" s="152"/>
      <c r="I17" s="152" t="n">
        <v>14022.8245999999</v>
      </c>
      <c r="J17" s="152"/>
      <c r="K17" s="152" t="n">
        <v>3830.33629999997</v>
      </c>
      <c r="M17" s="241" t="n">
        <v>1434274.8403</v>
      </c>
    </row>
    <row r="18" customFormat="false" ht="12.75" hidden="false" customHeight="false" outlineLevel="0" collapsed="false">
      <c r="A18" s="87"/>
      <c r="B18" s="87"/>
      <c r="C18" s="87" t="s">
        <v>149</v>
      </c>
      <c r="E18" s="152" t="n">
        <v>0</v>
      </c>
      <c r="F18" s="152"/>
      <c r="G18" s="152" t="n">
        <v>0</v>
      </c>
      <c r="H18" s="152"/>
      <c r="I18" s="152" t="n">
        <v>0</v>
      </c>
      <c r="J18" s="152"/>
      <c r="K18" s="152" t="n">
        <v>0</v>
      </c>
      <c r="M18" s="241" t="n">
        <v>0</v>
      </c>
    </row>
    <row r="19" customFormat="false" ht="12.75" hidden="false" customHeight="false" outlineLevel="0" collapsed="false">
      <c r="A19" s="87"/>
      <c r="B19" s="87"/>
      <c r="C19" s="87" t="s">
        <v>150</v>
      </c>
      <c r="E19" s="152" t="n">
        <v>3350.516</v>
      </c>
      <c r="F19" s="152"/>
      <c r="G19" s="152" t="n">
        <v>0</v>
      </c>
      <c r="H19" s="152"/>
      <c r="I19" s="152" t="n">
        <v>12017.4434</v>
      </c>
      <c r="J19" s="152"/>
      <c r="K19" s="152" t="n">
        <v>0.0002</v>
      </c>
      <c r="M19" s="241" t="n">
        <v>15367.9596</v>
      </c>
    </row>
    <row r="20" customFormat="false" ht="12.75" hidden="false" customHeight="false" outlineLevel="0" collapsed="false">
      <c r="A20" s="87"/>
      <c r="B20" s="87"/>
      <c r="C20" s="87" t="s">
        <v>151</v>
      </c>
      <c r="E20" s="152" t="n">
        <v>238.657</v>
      </c>
      <c r="F20" s="152"/>
      <c r="G20" s="152" t="n">
        <v>0</v>
      </c>
      <c r="H20" s="152"/>
      <c r="I20" s="152" t="n">
        <v>16414.9479</v>
      </c>
      <c r="J20" s="152"/>
      <c r="K20" s="152" t="n">
        <v>0.0001</v>
      </c>
      <c r="M20" s="241" t="n">
        <v>16653.605</v>
      </c>
    </row>
    <row r="21" customFormat="false" ht="12.75" hidden="false" customHeight="false" outlineLevel="0" collapsed="false">
      <c r="A21" s="87"/>
      <c r="B21" s="87"/>
      <c r="C21" s="87" t="s">
        <v>152</v>
      </c>
      <c r="E21" s="152" t="n">
        <v>0</v>
      </c>
      <c r="F21" s="152"/>
      <c r="G21" s="152" t="n">
        <v>0</v>
      </c>
      <c r="H21" s="152"/>
      <c r="I21" s="152" t="n">
        <v>0</v>
      </c>
      <c r="J21" s="152"/>
      <c r="K21" s="152" t="n">
        <v>0</v>
      </c>
      <c r="M21" s="241" t="n">
        <v>0</v>
      </c>
    </row>
    <row r="22" customFormat="false" ht="12.75" hidden="false" customHeight="false" outlineLevel="0" collapsed="false">
      <c r="A22" s="87"/>
      <c r="B22" s="87"/>
      <c r="C22" s="87" t="s">
        <v>153</v>
      </c>
      <c r="E22" s="152" t="n">
        <v>0</v>
      </c>
      <c r="F22" s="152"/>
      <c r="G22" s="152" t="n">
        <v>0</v>
      </c>
      <c r="H22" s="152"/>
      <c r="I22" s="152" t="n">
        <v>0</v>
      </c>
      <c r="J22" s="152"/>
      <c r="K22" s="152" t="n">
        <v>0</v>
      </c>
      <c r="M22" s="241" t="n">
        <v>0</v>
      </c>
    </row>
    <row r="23" customFormat="false" ht="13.5" hidden="false" customHeight="false" outlineLevel="0" collapsed="false">
      <c r="A23" s="87"/>
      <c r="B23" s="87"/>
      <c r="C23" s="87" t="s">
        <v>104</v>
      </c>
      <c r="E23" s="211" t="n">
        <v>0</v>
      </c>
      <c r="F23" s="152"/>
      <c r="G23" s="211" t="n">
        <v>0</v>
      </c>
      <c r="H23" s="152"/>
      <c r="I23" s="211" t="n">
        <v>0</v>
      </c>
      <c r="J23" s="138"/>
      <c r="K23" s="211" t="n">
        <v>0</v>
      </c>
      <c r="M23" s="242" t="n">
        <v>0</v>
      </c>
    </row>
    <row r="24" customFormat="false" ht="13.5" hidden="false" customHeight="false" outlineLevel="0" collapsed="false">
      <c r="A24" s="87"/>
      <c r="B24" s="87"/>
      <c r="C24" s="94" t="s">
        <v>146</v>
      </c>
      <c r="E24" s="213" t="n">
        <v>1420010.8524</v>
      </c>
      <c r="F24" s="152"/>
      <c r="G24" s="211" t="n">
        <v>0</v>
      </c>
      <c r="H24" s="152"/>
      <c r="I24" s="211" t="n">
        <v>42455.2158999999</v>
      </c>
      <c r="J24" s="138"/>
      <c r="K24" s="211" t="n">
        <v>3830.33659999997</v>
      </c>
      <c r="M24" s="243" t="n">
        <v>1466296.4049</v>
      </c>
    </row>
    <row r="25" customFormat="false" ht="12.75" hidden="false" customHeight="false" outlineLevel="0" collapsed="false">
      <c r="A25" s="87"/>
      <c r="B25" s="133"/>
      <c r="C25" s="110"/>
      <c r="E25" s="152"/>
      <c r="F25" s="152"/>
      <c r="G25" s="152"/>
      <c r="H25" s="152"/>
      <c r="I25" s="152"/>
      <c r="J25" s="152"/>
      <c r="K25" s="152"/>
    </row>
    <row r="26" customFormat="false" ht="13.5" hidden="false" customHeight="false" outlineLevel="0" collapsed="false">
      <c r="A26" s="87"/>
      <c r="B26" s="174" t="s">
        <v>154</v>
      </c>
      <c r="C26" s="175"/>
      <c r="E26" s="152"/>
      <c r="F26" s="152"/>
      <c r="G26" s="152"/>
      <c r="H26" s="152"/>
      <c r="I26" s="152"/>
      <c r="J26" s="152"/>
      <c r="K26" s="152"/>
    </row>
    <row r="27" customFormat="false" ht="12.75" hidden="false" customHeight="false" outlineLevel="0" collapsed="false">
      <c r="A27" s="87"/>
      <c r="B27" s="110"/>
      <c r="C27" s="110" t="s">
        <v>143</v>
      </c>
      <c r="E27" s="152" t="n">
        <v>0</v>
      </c>
      <c r="F27" s="152"/>
      <c r="G27" s="152" t="n">
        <v>0</v>
      </c>
      <c r="H27" s="152"/>
      <c r="I27" s="152" t="n">
        <v>0</v>
      </c>
      <c r="J27" s="152"/>
      <c r="K27" s="152" t="n">
        <v>0</v>
      </c>
      <c r="M27" s="241" t="n">
        <v>0</v>
      </c>
    </row>
    <row r="28" customFormat="false" ht="13.5" hidden="false" customHeight="false" outlineLevel="0" collapsed="false">
      <c r="A28" s="87"/>
      <c r="B28" s="110"/>
      <c r="C28" s="110" t="s">
        <v>147</v>
      </c>
      <c r="E28" s="211" t="n">
        <v>0</v>
      </c>
      <c r="F28" s="152"/>
      <c r="G28" s="211" t="n">
        <v>0</v>
      </c>
      <c r="H28" s="152"/>
      <c r="I28" s="211" t="n">
        <v>0</v>
      </c>
      <c r="J28" s="138"/>
      <c r="K28" s="211" t="n">
        <v>0</v>
      </c>
      <c r="M28" s="242" t="n">
        <v>0</v>
      </c>
    </row>
    <row r="29" customFormat="false" ht="13.5" hidden="false" customHeight="false" outlineLevel="0" collapsed="false">
      <c r="A29" s="87"/>
      <c r="B29" s="110"/>
      <c r="C29" s="133" t="s">
        <v>146</v>
      </c>
      <c r="E29" s="213" t="n">
        <v>0</v>
      </c>
      <c r="F29" s="152"/>
      <c r="G29" s="211" t="n">
        <v>0</v>
      </c>
      <c r="H29" s="152"/>
      <c r="I29" s="213" t="n">
        <v>0</v>
      </c>
      <c r="J29" s="138"/>
      <c r="K29" s="211" t="n">
        <v>0</v>
      </c>
      <c r="M29" s="243" t="n">
        <v>0</v>
      </c>
    </row>
    <row r="30" customFormat="false" ht="12.75" hidden="false" customHeight="false" outlineLevel="0" collapsed="false">
      <c r="A30" s="87"/>
      <c r="B30" s="110"/>
      <c r="C30" s="110"/>
      <c r="E30" s="152"/>
      <c r="F30" s="152"/>
      <c r="G30" s="152"/>
      <c r="H30" s="152"/>
      <c r="I30" s="152"/>
      <c r="J30" s="152"/>
      <c r="K30" s="152"/>
    </row>
    <row r="31" customFormat="false" ht="13.5" hidden="false" customHeight="false" outlineLevel="0" collapsed="false">
      <c r="A31" s="87"/>
      <c r="B31" s="174" t="s">
        <v>155</v>
      </c>
      <c r="C31" s="175"/>
      <c r="E31" s="152"/>
      <c r="F31" s="152"/>
      <c r="G31" s="152"/>
      <c r="H31" s="152"/>
      <c r="I31" s="152"/>
      <c r="J31" s="152"/>
      <c r="K31" s="152"/>
    </row>
    <row r="32" customFormat="false" ht="12.75" hidden="false" customHeight="false" outlineLevel="0" collapsed="false">
      <c r="A32" s="87"/>
      <c r="B32" s="87"/>
      <c r="C32" s="87" t="s">
        <v>156</v>
      </c>
      <c r="E32" s="152" t="n">
        <v>0</v>
      </c>
      <c r="F32" s="152"/>
      <c r="G32" s="152" t="n">
        <v>0</v>
      </c>
      <c r="H32" s="152"/>
      <c r="I32" s="152" t="n">
        <v>0</v>
      </c>
      <c r="J32" s="152"/>
      <c r="K32" s="152" t="n">
        <v>0</v>
      </c>
      <c r="M32" s="241" t="n">
        <v>0</v>
      </c>
    </row>
    <row r="33" customFormat="false" ht="12.75" hidden="false" customHeight="false" outlineLevel="0" collapsed="false">
      <c r="A33" s="87"/>
      <c r="B33" s="87"/>
      <c r="C33" s="87" t="s">
        <v>157</v>
      </c>
      <c r="E33" s="152" t="n">
        <v>0</v>
      </c>
      <c r="F33" s="152"/>
      <c r="G33" s="152" t="n">
        <v>0</v>
      </c>
      <c r="H33" s="152"/>
      <c r="I33" s="152" t="n">
        <v>0</v>
      </c>
      <c r="J33" s="152"/>
      <c r="K33" s="152" t="n">
        <v>0</v>
      </c>
      <c r="M33" s="241" t="n">
        <v>0</v>
      </c>
    </row>
    <row r="34" customFormat="false" ht="12.75" hidden="false" customHeight="false" outlineLevel="0" collapsed="false">
      <c r="A34" s="87"/>
      <c r="B34" s="87"/>
      <c r="C34" s="87" t="s">
        <v>158</v>
      </c>
      <c r="E34" s="152" t="n">
        <v>0</v>
      </c>
      <c r="F34" s="152"/>
      <c r="G34" s="152" t="n">
        <v>0</v>
      </c>
      <c r="H34" s="152"/>
      <c r="I34" s="152" t="n">
        <v>0</v>
      </c>
      <c r="J34" s="152"/>
      <c r="K34" s="152" t="n">
        <v>0</v>
      </c>
      <c r="M34" s="241" t="n">
        <v>0</v>
      </c>
    </row>
    <row r="35" customFormat="false" ht="12.75" hidden="false" customHeight="false" outlineLevel="0" collapsed="false">
      <c r="A35" s="87"/>
      <c r="B35" s="87"/>
      <c r="C35" s="87" t="s">
        <v>159</v>
      </c>
      <c r="E35" s="152" t="n">
        <v>0</v>
      </c>
      <c r="F35" s="152"/>
      <c r="G35" s="152" t="n">
        <v>0</v>
      </c>
      <c r="H35" s="152"/>
      <c r="I35" s="152" t="n">
        <v>0</v>
      </c>
      <c r="J35" s="152"/>
      <c r="K35" s="152" t="n">
        <v>0</v>
      </c>
      <c r="M35" s="241" t="n">
        <v>0</v>
      </c>
    </row>
    <row r="36" customFormat="false" ht="12.75" hidden="false" customHeight="false" outlineLevel="0" collapsed="false">
      <c r="A36" s="87"/>
      <c r="B36" s="87"/>
      <c r="C36" s="87" t="s">
        <v>160</v>
      </c>
      <c r="E36" s="152" t="n">
        <v>0</v>
      </c>
      <c r="F36" s="152"/>
      <c r="G36" s="152" t="n">
        <v>0</v>
      </c>
      <c r="H36" s="152"/>
      <c r="I36" s="152" t="n">
        <v>0</v>
      </c>
      <c r="J36" s="152"/>
      <c r="K36" s="152" t="n">
        <v>0</v>
      </c>
      <c r="M36" s="241" t="n">
        <v>0</v>
      </c>
    </row>
    <row r="37" customFormat="false" ht="12.75" hidden="false" customHeight="false" outlineLevel="0" collapsed="false">
      <c r="A37" s="87"/>
      <c r="B37" s="87"/>
      <c r="C37" s="87" t="s">
        <v>161</v>
      </c>
      <c r="E37" s="152" t="n">
        <v>0</v>
      </c>
      <c r="F37" s="152"/>
      <c r="G37" s="152" t="n">
        <v>0</v>
      </c>
      <c r="H37" s="152"/>
      <c r="I37" s="152" t="n">
        <v>0</v>
      </c>
      <c r="J37" s="152"/>
      <c r="K37" s="152" t="n">
        <v>0</v>
      </c>
      <c r="M37" s="241" t="n">
        <v>0</v>
      </c>
    </row>
    <row r="38" customFormat="false" ht="13.5" hidden="false" customHeight="false" outlineLevel="0" collapsed="false">
      <c r="A38" s="87"/>
      <c r="B38" s="87"/>
      <c r="C38" s="87" t="s">
        <v>162</v>
      </c>
      <c r="E38" s="152" t="n">
        <v>0</v>
      </c>
      <c r="F38" s="152"/>
      <c r="G38" s="152" t="n">
        <v>0</v>
      </c>
      <c r="H38" s="152"/>
      <c r="I38" s="152" t="n">
        <v>0</v>
      </c>
      <c r="J38" s="152"/>
      <c r="K38" s="211" t="n">
        <v>0</v>
      </c>
      <c r="M38" s="242" t="n">
        <v>0</v>
      </c>
    </row>
    <row r="39" customFormat="false" ht="13.5" hidden="false" customHeight="false" outlineLevel="0" collapsed="false">
      <c r="A39" s="87"/>
      <c r="B39" s="87"/>
      <c r="C39" s="94" t="s">
        <v>146</v>
      </c>
      <c r="E39" s="213" t="n">
        <v>0</v>
      </c>
      <c r="F39" s="152"/>
      <c r="G39" s="213" t="n">
        <v>0</v>
      </c>
      <c r="H39" s="152"/>
      <c r="I39" s="213" t="n">
        <v>0</v>
      </c>
      <c r="J39" s="138"/>
      <c r="K39" s="211" t="n">
        <v>0</v>
      </c>
      <c r="M39" s="243" t="n">
        <v>0</v>
      </c>
    </row>
    <row r="40" customFormat="false" ht="12.75" hidden="false" customHeight="false" outlineLevel="0" collapsed="false">
      <c r="A40" s="87"/>
      <c r="B40" s="87"/>
      <c r="C40" s="87"/>
      <c r="E40" s="152"/>
      <c r="F40" s="152"/>
      <c r="G40" s="152"/>
      <c r="H40" s="152"/>
      <c r="I40" s="152"/>
      <c r="J40" s="152"/>
      <c r="K40" s="152"/>
    </row>
    <row r="41" customFormat="false" ht="13.5" hidden="false" customHeight="false" outlineLevel="0" collapsed="false">
      <c r="A41" s="87"/>
      <c r="B41" s="174" t="s">
        <v>163</v>
      </c>
      <c r="C41" s="175"/>
      <c r="E41" s="152"/>
      <c r="F41" s="152"/>
      <c r="G41" s="152"/>
      <c r="H41" s="152"/>
      <c r="I41" s="152"/>
      <c r="J41" s="152"/>
      <c r="K41" s="152"/>
    </row>
    <row r="42" customFormat="false" ht="12.75" hidden="false" customHeight="false" outlineLevel="0" collapsed="false">
      <c r="A42" s="87"/>
      <c r="B42" s="87"/>
      <c r="C42" s="87" t="s">
        <v>156</v>
      </c>
      <c r="E42" s="152" t="n">
        <v>0</v>
      </c>
      <c r="F42" s="152"/>
      <c r="G42" s="152" t="n">
        <v>0</v>
      </c>
      <c r="H42" s="152"/>
      <c r="I42" s="152" t="n">
        <v>0</v>
      </c>
      <c r="J42" s="152"/>
      <c r="K42" s="152" t="n">
        <v>0</v>
      </c>
      <c r="M42" s="241" t="n">
        <v>0</v>
      </c>
    </row>
    <row r="43" customFormat="false" ht="12.75" hidden="false" customHeight="false" outlineLevel="0" collapsed="false">
      <c r="A43" s="87"/>
      <c r="B43" s="87"/>
      <c r="C43" s="87" t="s">
        <v>157</v>
      </c>
      <c r="E43" s="152" t="n">
        <v>0</v>
      </c>
      <c r="F43" s="152"/>
      <c r="G43" s="152" t="n">
        <v>0</v>
      </c>
      <c r="H43" s="152"/>
      <c r="I43" s="152" t="n">
        <v>0</v>
      </c>
      <c r="J43" s="152"/>
      <c r="K43" s="152" t="n">
        <v>0</v>
      </c>
      <c r="M43" s="241" t="n">
        <v>0</v>
      </c>
    </row>
    <row r="44" customFormat="false" ht="12.75" hidden="false" customHeight="false" outlineLevel="0" collapsed="false">
      <c r="A44" s="87"/>
      <c r="B44" s="87"/>
      <c r="C44" s="87" t="s">
        <v>158</v>
      </c>
      <c r="E44" s="152" t="n">
        <v>0</v>
      </c>
      <c r="F44" s="152"/>
      <c r="G44" s="152" t="n">
        <v>0</v>
      </c>
      <c r="H44" s="152"/>
      <c r="I44" s="152" t="n">
        <v>0</v>
      </c>
      <c r="J44" s="152"/>
      <c r="K44" s="152" t="n">
        <v>0</v>
      </c>
      <c r="M44" s="241" t="n">
        <v>0</v>
      </c>
    </row>
    <row r="45" customFormat="false" ht="12.75" hidden="false" customHeight="false" outlineLevel="0" collapsed="false">
      <c r="A45" s="87"/>
      <c r="B45" s="87"/>
      <c r="C45" s="87" t="s">
        <v>159</v>
      </c>
      <c r="E45" s="152" t="n">
        <v>0</v>
      </c>
      <c r="F45" s="152"/>
      <c r="G45" s="152" t="n">
        <v>0</v>
      </c>
      <c r="H45" s="152"/>
      <c r="I45" s="152" t="n">
        <v>0</v>
      </c>
      <c r="J45" s="152"/>
      <c r="K45" s="152" t="n">
        <v>0</v>
      </c>
      <c r="M45" s="241" t="n">
        <v>0</v>
      </c>
    </row>
    <row r="46" customFormat="false" ht="12.75" hidden="false" customHeight="false" outlineLevel="0" collapsed="false">
      <c r="A46" s="87"/>
      <c r="B46" s="87"/>
      <c r="C46" s="87" t="s">
        <v>160</v>
      </c>
      <c r="E46" s="152" t="n">
        <v>0</v>
      </c>
      <c r="F46" s="152"/>
      <c r="G46" s="152" t="n">
        <v>0</v>
      </c>
      <c r="H46" s="152"/>
      <c r="I46" s="152" t="n">
        <v>0</v>
      </c>
      <c r="J46" s="152"/>
      <c r="K46" s="152" t="n">
        <v>0</v>
      </c>
      <c r="M46" s="241" t="n">
        <v>0</v>
      </c>
    </row>
    <row r="47" customFormat="false" ht="12.75" hidden="false" customHeight="false" outlineLevel="0" collapsed="false">
      <c r="A47" s="87"/>
      <c r="B47" s="87"/>
      <c r="C47" s="87" t="s">
        <v>161</v>
      </c>
      <c r="E47" s="152" t="n">
        <v>0</v>
      </c>
      <c r="F47" s="152"/>
      <c r="G47" s="152" t="n">
        <v>0</v>
      </c>
      <c r="H47" s="152"/>
      <c r="I47" s="152" t="n">
        <v>0</v>
      </c>
      <c r="J47" s="152"/>
      <c r="K47" s="152" t="n">
        <v>0</v>
      </c>
      <c r="M47" s="241" t="n">
        <v>0</v>
      </c>
    </row>
    <row r="48" customFormat="false" ht="13.5" hidden="false" customHeight="false" outlineLevel="0" collapsed="false">
      <c r="A48" s="87"/>
      <c r="B48" s="87"/>
      <c r="C48" s="87" t="s">
        <v>162</v>
      </c>
      <c r="E48" s="152" t="n">
        <v>0</v>
      </c>
      <c r="F48" s="152"/>
      <c r="G48" s="152" t="n">
        <v>0</v>
      </c>
      <c r="H48" s="152"/>
      <c r="I48" s="152" t="n">
        <v>0</v>
      </c>
      <c r="J48" s="152"/>
      <c r="K48" s="211" t="n">
        <v>0</v>
      </c>
      <c r="M48" s="242" t="n">
        <v>0</v>
      </c>
    </row>
    <row r="49" customFormat="false" ht="13.5" hidden="false" customHeight="false" outlineLevel="0" collapsed="false">
      <c r="A49" s="87"/>
      <c r="B49" s="87"/>
      <c r="C49" s="94" t="s">
        <v>146</v>
      </c>
      <c r="E49" s="213" t="n">
        <v>0</v>
      </c>
      <c r="F49" s="152"/>
      <c r="G49" s="213" t="n">
        <v>0</v>
      </c>
      <c r="H49" s="152"/>
      <c r="I49" s="213" t="n">
        <v>0</v>
      </c>
      <c r="J49" s="138"/>
      <c r="K49" s="211" t="n">
        <v>0</v>
      </c>
      <c r="M49" s="243" t="n">
        <v>0</v>
      </c>
    </row>
    <row r="50" customFormat="false" ht="12.75" hidden="false" customHeight="false" outlineLevel="0" collapsed="false">
      <c r="A50" s="87"/>
      <c r="B50" s="87"/>
      <c r="C50" s="87"/>
      <c r="E50" s="152"/>
      <c r="F50" s="152"/>
      <c r="G50" s="152"/>
      <c r="H50" s="152"/>
      <c r="I50" s="152"/>
      <c r="J50" s="152"/>
      <c r="K50" s="152"/>
    </row>
    <row r="51" customFormat="false" ht="13.5" hidden="false" customHeight="false" outlineLevel="0" collapsed="false">
      <c r="A51" s="87"/>
      <c r="B51" s="174" t="s">
        <v>123</v>
      </c>
      <c r="C51" s="175"/>
      <c r="E51" s="152"/>
      <c r="F51" s="152"/>
      <c r="G51" s="152"/>
      <c r="H51" s="152"/>
      <c r="I51" s="152"/>
      <c r="J51" s="152"/>
      <c r="K51" s="152"/>
    </row>
    <row r="52" customFormat="false" ht="12.75" hidden="false" customHeight="false" outlineLevel="0" collapsed="false">
      <c r="A52" s="87"/>
      <c r="B52" s="87"/>
      <c r="C52" s="87" t="s">
        <v>164</v>
      </c>
      <c r="E52" s="152" t="n">
        <v>-62370.875</v>
      </c>
      <c r="F52" s="152"/>
      <c r="G52" s="152" t="n">
        <v>0</v>
      </c>
      <c r="H52" s="152"/>
      <c r="I52" s="152" t="n">
        <v>-58021</v>
      </c>
      <c r="J52" s="152"/>
      <c r="K52" s="152" t="n">
        <v>-3351.25</v>
      </c>
      <c r="M52" s="241" t="n">
        <v>-123743.125</v>
      </c>
    </row>
    <row r="53" customFormat="false" ht="12.75" hidden="false" customHeight="false" outlineLevel="0" collapsed="false">
      <c r="A53" s="87"/>
      <c r="B53" s="87"/>
      <c r="C53" s="87" t="s">
        <v>24</v>
      </c>
      <c r="E53" s="152" t="n">
        <v>0</v>
      </c>
      <c r="F53" s="152"/>
      <c r="G53" s="152" t="n">
        <v>0</v>
      </c>
      <c r="H53" s="152"/>
      <c r="I53" s="152" t="n">
        <v>3995</v>
      </c>
      <c r="J53" s="152"/>
      <c r="K53" s="152" t="n">
        <v>0</v>
      </c>
      <c r="M53" s="241" t="n">
        <v>3995</v>
      </c>
    </row>
    <row r="54" customFormat="false" ht="12.75" hidden="false" customHeight="false" outlineLevel="0" collapsed="false">
      <c r="A54" s="87"/>
      <c r="B54" s="87"/>
      <c r="C54" s="87" t="s">
        <v>165</v>
      </c>
      <c r="E54" s="152" t="n">
        <v>0</v>
      </c>
      <c r="F54" s="152"/>
      <c r="G54" s="152" t="n">
        <v>0</v>
      </c>
      <c r="H54" s="152"/>
      <c r="I54" s="152" t="n">
        <v>0</v>
      </c>
      <c r="J54" s="152"/>
      <c r="K54" s="152" t="n">
        <v>0</v>
      </c>
      <c r="M54" s="241" t="n">
        <v>0</v>
      </c>
    </row>
    <row r="55" customFormat="false" ht="13.5" hidden="false" customHeight="false" outlineLevel="0" collapsed="false">
      <c r="A55" s="87"/>
      <c r="B55" s="87"/>
      <c r="C55" s="87" t="s">
        <v>184</v>
      </c>
      <c r="E55" s="211" t="n">
        <v>-4455</v>
      </c>
      <c r="F55" s="152"/>
      <c r="G55" s="211" t="n">
        <v>0</v>
      </c>
      <c r="H55" s="152"/>
      <c r="I55" s="211" t="n">
        <v>-33005</v>
      </c>
      <c r="J55" s="138"/>
      <c r="K55" s="211" t="n">
        <v>-239.5</v>
      </c>
      <c r="M55" s="242" t="n">
        <v>-37699.5</v>
      </c>
    </row>
    <row r="56" customFormat="false" ht="13.5" hidden="false" customHeight="false" outlineLevel="0" collapsed="false">
      <c r="A56" s="87"/>
      <c r="B56" s="87"/>
      <c r="C56" s="94" t="s">
        <v>146</v>
      </c>
      <c r="E56" s="213" t="n">
        <v>-66825.875</v>
      </c>
      <c r="F56" s="152"/>
      <c r="G56" s="213" t="n">
        <v>0</v>
      </c>
      <c r="H56" s="152"/>
      <c r="I56" s="213" t="n">
        <v>-87031</v>
      </c>
      <c r="J56" s="138"/>
      <c r="K56" s="211" t="n">
        <v>-3590.75</v>
      </c>
      <c r="M56" s="242" t="n">
        <v>-157447.625</v>
      </c>
    </row>
    <row r="57" customFormat="false" ht="12.75" hidden="false" customHeight="false" outlineLevel="0" collapsed="false">
      <c r="A57" s="87"/>
      <c r="B57" s="87"/>
      <c r="C57" s="87"/>
      <c r="E57" s="152"/>
      <c r="F57" s="152"/>
      <c r="G57" s="152"/>
      <c r="H57" s="152"/>
      <c r="I57" s="152"/>
      <c r="J57" s="152"/>
      <c r="K57" s="152"/>
    </row>
    <row r="58" customFormat="false" ht="12.75" hidden="false" customHeight="false" outlineLevel="0" collapsed="false">
      <c r="A58" s="87"/>
      <c r="B58" s="87"/>
      <c r="C58" s="87"/>
      <c r="E58" s="152"/>
      <c r="F58" s="152"/>
      <c r="G58" s="152"/>
      <c r="H58" s="152"/>
      <c r="I58" s="152"/>
      <c r="J58" s="152"/>
      <c r="K58" s="152"/>
    </row>
    <row r="59" customFormat="false" ht="16.5" hidden="false" customHeight="false" outlineLevel="0" collapsed="false">
      <c r="A59" s="216" t="s">
        <v>167</v>
      </c>
      <c r="B59" s="216"/>
      <c r="C59" s="216"/>
      <c r="E59" s="217" t="n">
        <v>4454.67740000063</v>
      </c>
      <c r="F59" s="217"/>
      <c r="G59" s="217" t="n">
        <v>0</v>
      </c>
      <c r="H59" s="217"/>
      <c r="I59" s="217" t="n">
        <v>29010.8158999999</v>
      </c>
      <c r="J59" s="217"/>
      <c r="K59" s="217" t="n">
        <v>239.586599999966</v>
      </c>
      <c r="L59" s="217"/>
      <c r="M59" s="217" t="n">
        <v>33705.0799000007</v>
      </c>
    </row>
    <row r="60" customFormat="false" ht="12.75" hidden="false" customHeight="false" outlineLevel="0" collapsed="false">
      <c r="A60" s="87"/>
      <c r="B60" s="87"/>
      <c r="C60" s="87"/>
      <c r="E60" s="152"/>
      <c r="F60" s="152"/>
      <c r="G60" s="152"/>
      <c r="H60" s="152"/>
      <c r="I60" s="152"/>
      <c r="J60" s="152"/>
      <c r="K60" s="152"/>
      <c r="L6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21" activeCellId="0" sqref="G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6" width="45.56"/>
    <col collapsed="false" customWidth="true" hidden="false" outlineLevel="0" max="2" min="2" style="246" width="13.28"/>
    <col collapsed="false" customWidth="true" hidden="false" outlineLevel="0" max="3" min="3" style="247" width="15.7"/>
    <col collapsed="false" customWidth="true" hidden="false" outlineLevel="0" max="4" min="4" style="248" width="1.7"/>
    <col collapsed="false" customWidth="true" hidden="false" outlineLevel="0" max="5" min="5" style="247" width="15.7"/>
    <col collapsed="false" customWidth="true" hidden="false" outlineLevel="0" max="6" min="6" style="246" width="1.7"/>
    <col collapsed="false" customWidth="true" hidden="false" outlineLevel="0" max="7" min="7" style="249" width="15.7"/>
    <col collapsed="false" customWidth="true" hidden="false" outlineLevel="0" max="9" min="8" style="246" width="3.42"/>
    <col collapsed="false" customWidth="true" hidden="false" outlineLevel="0" max="10" min="10" style="247" width="15.7"/>
    <col collapsed="false" customWidth="true" hidden="false" outlineLevel="0" max="11" min="11" style="246" width="1.7"/>
    <col collapsed="false" customWidth="true" hidden="false" outlineLevel="0" max="12" min="12" style="249" width="15.7"/>
    <col collapsed="false" customWidth="true" hidden="false" outlineLevel="0" max="13" min="13" style="246" width="16.99"/>
    <col collapsed="false" customWidth="true" hidden="false" outlineLevel="0" max="14" min="14" style="246" width="13.41"/>
    <col collapsed="false" customWidth="true" hidden="false" outlineLevel="0" max="15" min="15" style="246" width="14.14"/>
    <col collapsed="false" customWidth="true" hidden="false" outlineLevel="0" max="16" min="16" style="246" width="13.85"/>
    <col collapsed="false" customWidth="false" hidden="false" outlineLevel="0" max="257" min="17" style="246" width="9.14"/>
  </cols>
  <sheetData>
    <row r="1" customFormat="false" ht="15.75" hidden="false" customHeight="false" outlineLevel="0" collapsed="false">
      <c r="B1" s="250" t="s">
        <v>186</v>
      </c>
      <c r="C1" s="251" t="s">
        <v>187</v>
      </c>
      <c r="D1" s="252"/>
      <c r="E1" s="251" t="s">
        <v>188</v>
      </c>
    </row>
    <row r="2" customFormat="false" ht="17.25" hidden="false" customHeight="true" outlineLevel="0" collapsed="false">
      <c r="B2" s="253" t="n">
        <v>31</v>
      </c>
      <c r="C2" s="253" t="n">
        <f aca="false">B2-E2</f>
        <v>0</v>
      </c>
      <c r="D2" s="254"/>
      <c r="E2" s="255" t="n">
        <v>31</v>
      </c>
    </row>
    <row r="3" customFormat="false" ht="15.75" hidden="false" customHeight="true" outlineLevel="0" collapsed="false">
      <c r="A3" s="256" t="s">
        <v>189</v>
      </c>
      <c r="B3" s="117"/>
      <c r="C3" s="251" t="s">
        <v>40</v>
      </c>
      <c r="D3" s="252"/>
    </row>
    <row r="4" customFormat="false" ht="15" hidden="false" customHeight="true" outlineLevel="0" collapsed="false">
      <c r="A4" s="257" t="n">
        <v>36769</v>
      </c>
      <c r="J4" s="252"/>
      <c r="M4" s="258"/>
    </row>
    <row r="5" customFormat="false" ht="15.75" hidden="false" customHeight="false" outlineLevel="0" collapsed="false">
      <c r="C5" s="251" t="s">
        <v>190</v>
      </c>
      <c r="D5" s="252"/>
      <c r="E5" s="259"/>
      <c r="F5" s="260"/>
      <c r="G5" s="259"/>
      <c r="H5" s="260"/>
      <c r="I5" s="260"/>
      <c r="J5" s="261"/>
      <c r="L5" s="262"/>
      <c r="M5" s="258"/>
    </row>
    <row r="6" customFormat="false" ht="15.75" hidden="false" customHeight="false" outlineLevel="0" collapsed="false">
      <c r="C6" s="263" t="s">
        <v>191</v>
      </c>
      <c r="D6" s="252"/>
      <c r="E6" s="264" t="n">
        <f aca="false">A4</f>
        <v>36769</v>
      </c>
      <c r="F6" s="265" t="s">
        <v>40</v>
      </c>
      <c r="G6" s="264"/>
      <c r="H6" s="266"/>
      <c r="I6" s="260"/>
      <c r="J6" s="264" t="n">
        <v>36768</v>
      </c>
      <c r="K6" s="267" t="s">
        <v>40</v>
      </c>
      <c r="L6" s="268"/>
    </row>
    <row r="7" customFormat="false" ht="16.5" hidden="false" customHeight="false" outlineLevel="0" collapsed="false">
      <c r="A7" s="269" t="s">
        <v>192</v>
      </c>
      <c r="H7" s="270"/>
    </row>
    <row r="8" customFormat="false" ht="15.75" hidden="false" customHeight="false" outlineLevel="0" collapsed="false">
      <c r="E8" s="271" t="s">
        <v>193</v>
      </c>
      <c r="F8" s="272"/>
      <c r="G8" s="273" t="s">
        <v>194</v>
      </c>
      <c r="H8" s="274"/>
      <c r="J8" s="271" t="s">
        <v>193</v>
      </c>
      <c r="K8" s="272"/>
      <c r="L8" s="273" t="s">
        <v>194</v>
      </c>
    </row>
    <row r="9" customFormat="false" ht="15.75" hidden="false" customHeight="false" outlineLevel="0" collapsed="false">
      <c r="A9" s="246" t="s">
        <v>195</v>
      </c>
      <c r="C9" s="248"/>
      <c r="E9" s="275" t="n">
        <f aca="false">Physical!S4+Physical!S16+Physical!S28+Physical!S40</f>
        <v>10862122</v>
      </c>
      <c r="G9" s="249" t="n">
        <f aca="false">+Physical!U4+Physical!U16+Physical!U28+Physical!U40</f>
        <v>3569860</v>
      </c>
      <c r="H9" s="274"/>
      <c r="J9" s="247" t="n">
        <v>9825405</v>
      </c>
      <c r="L9" s="249" t="n">
        <v>3233601</v>
      </c>
    </row>
    <row r="10" customFormat="false" ht="15.75" hidden="false" customHeight="false" outlineLevel="0" collapsed="false">
      <c r="A10" s="246" t="s">
        <v>196</v>
      </c>
      <c r="C10" s="246"/>
      <c r="E10" s="247" t="n">
        <f aca="false">-E69</f>
        <v>-0</v>
      </c>
      <c r="G10" s="249" t="n">
        <v>0</v>
      </c>
      <c r="H10" s="274"/>
      <c r="J10" s="247" t="n">
        <v>0</v>
      </c>
      <c r="L10" s="249" t="n">
        <v>0</v>
      </c>
    </row>
    <row r="11" customFormat="false" ht="15.75" hidden="false" customHeight="false" outlineLevel="0" collapsed="false">
      <c r="A11" s="246" t="s">
        <v>197</v>
      </c>
      <c r="C11" s="246"/>
      <c r="E11" s="247" t="n">
        <f aca="false">-E38</f>
        <v>-0</v>
      </c>
      <c r="F11" s="276"/>
      <c r="G11" s="249" t="n">
        <v>0</v>
      </c>
      <c r="H11" s="274"/>
      <c r="J11" s="247" t="n">
        <v>0</v>
      </c>
      <c r="L11" s="249" t="n">
        <v>0</v>
      </c>
    </row>
    <row r="12" customFormat="false" ht="15.75" hidden="false" customHeight="false" outlineLevel="0" collapsed="false">
      <c r="A12" s="246" t="s">
        <v>198</v>
      </c>
      <c r="C12" s="246"/>
      <c r="E12" s="277" t="n">
        <f aca="false">Physical!S6+Physical!S18+Physical!S30+Physical!S42</f>
        <v>13559026</v>
      </c>
      <c r="F12" s="276"/>
      <c r="G12" s="278" t="n">
        <f aca="false">Physical!U6+Physical!U18+Physical!U30+Physical!U42</f>
        <v>3489639</v>
      </c>
      <c r="H12" s="274"/>
      <c r="J12" s="247" t="n">
        <v>11763134</v>
      </c>
      <c r="L12" s="249" t="n">
        <v>3052626</v>
      </c>
    </row>
    <row r="13" customFormat="false" ht="15.75" hidden="false" customHeight="false" outlineLevel="0" collapsed="false">
      <c r="A13" s="117" t="s">
        <v>199</v>
      </c>
      <c r="C13" s="246"/>
      <c r="E13" s="277" t="n">
        <f aca="false">SUM(E9:E12)</f>
        <v>24421148</v>
      </c>
      <c r="F13" s="276"/>
      <c r="G13" s="278" t="n">
        <f aca="false">SUM(G9:G12)</f>
        <v>7059499</v>
      </c>
      <c r="H13" s="274"/>
      <c r="J13" s="247" t="n">
        <v>21588539</v>
      </c>
      <c r="L13" s="249" t="n">
        <v>6286227</v>
      </c>
    </row>
    <row r="14" customFormat="false" ht="15.75" hidden="false" customHeight="false" outlineLevel="0" collapsed="false">
      <c r="C14" s="246"/>
      <c r="F14" s="276"/>
      <c r="H14" s="274"/>
    </row>
    <row r="15" customFormat="false" ht="15.75" hidden="false" customHeight="false" outlineLevel="0" collapsed="false">
      <c r="A15" s="246" t="s">
        <v>200</v>
      </c>
      <c r="C15" s="246"/>
      <c r="E15" s="247" t="n">
        <f aca="false">Physical!S5+Physical!S17+Physical!S29+Physical!S41</f>
        <v>10434420</v>
      </c>
      <c r="F15" s="276"/>
      <c r="G15" s="249" t="n">
        <f aca="false">Physical!U5+Physical!U17+Physical!U29+Physical!U41</f>
        <v>3103314</v>
      </c>
      <c r="H15" s="274"/>
      <c r="J15" s="247" t="n">
        <v>9444257</v>
      </c>
      <c r="L15" s="249" t="n">
        <v>2777488</v>
      </c>
    </row>
    <row r="16" customFormat="false" ht="15.75" hidden="false" customHeight="false" outlineLevel="0" collapsed="false">
      <c r="A16" s="246" t="s">
        <v>196</v>
      </c>
      <c r="C16" s="246"/>
      <c r="E16" s="275" t="n">
        <v>0</v>
      </c>
      <c r="F16" s="276"/>
      <c r="G16" s="249" t="n">
        <v>0</v>
      </c>
      <c r="H16" s="274"/>
      <c r="J16" s="247" t="n">
        <v>0</v>
      </c>
      <c r="L16" s="249" t="n">
        <v>0</v>
      </c>
    </row>
    <row r="17" customFormat="false" ht="15.75" hidden="false" customHeight="false" outlineLevel="0" collapsed="false">
      <c r="A17" s="246" t="s">
        <v>197</v>
      </c>
      <c r="C17" s="246"/>
      <c r="E17" s="247" t="n">
        <v>0</v>
      </c>
      <c r="F17" s="276"/>
      <c r="G17" s="249" t="n">
        <v>0</v>
      </c>
      <c r="H17" s="274"/>
      <c r="J17" s="247" t="n">
        <v>0</v>
      </c>
      <c r="L17" s="249" t="n">
        <v>0</v>
      </c>
    </row>
    <row r="18" customFormat="false" ht="15.75" hidden="false" customHeight="false" outlineLevel="0" collapsed="false">
      <c r="A18" s="246" t="s">
        <v>201</v>
      </c>
      <c r="C18" s="246"/>
      <c r="E18" s="279" t="n">
        <f aca="false">Physical!S7+Physical!S19+Physical!S31+Physical!S43</f>
        <v>15075824</v>
      </c>
      <c r="F18" s="276"/>
      <c r="G18" s="278" t="n">
        <f aca="false">Physical!U7+Physical!U19+Physical!U31+Physical!U43</f>
        <v>3877874</v>
      </c>
      <c r="H18" s="274"/>
      <c r="J18" s="247" t="n">
        <v>13484407</v>
      </c>
      <c r="L18" s="249" t="n">
        <v>3481628</v>
      </c>
    </row>
    <row r="19" customFormat="false" ht="15.75" hidden="false" customHeight="false" outlineLevel="0" collapsed="false">
      <c r="A19" s="117" t="s">
        <v>202</v>
      </c>
      <c r="C19" s="246"/>
      <c r="E19" s="277" t="n">
        <f aca="false">SUM(E15:E18)</f>
        <v>25510244</v>
      </c>
      <c r="F19" s="276"/>
      <c r="G19" s="278" t="n">
        <f aca="false">SUM(G15:G18)</f>
        <v>6981188</v>
      </c>
      <c r="H19" s="274"/>
      <c r="J19" s="247" t="n">
        <v>22928664</v>
      </c>
      <c r="L19" s="249" t="n">
        <v>6259116</v>
      </c>
    </row>
    <row r="20" customFormat="false" ht="15.75" hidden="false" customHeight="false" outlineLevel="0" collapsed="false">
      <c r="C20" s="246"/>
      <c r="F20" s="276"/>
      <c r="H20" s="274"/>
    </row>
    <row r="21" customFormat="false" ht="15.75" hidden="false" customHeight="false" outlineLevel="0" collapsed="false">
      <c r="A21" s="117" t="s">
        <v>203</v>
      </c>
      <c r="C21" s="246"/>
      <c r="E21" s="248" t="n">
        <f aca="false">(+E13-E19)</f>
        <v>-1089096</v>
      </c>
      <c r="F21" s="276"/>
      <c r="G21" s="280" t="n">
        <f aca="false">-G13+G19</f>
        <v>-78311</v>
      </c>
      <c r="H21" s="274"/>
      <c r="J21" s="247" t="n">
        <v>-1340125</v>
      </c>
      <c r="L21" s="249" t="n">
        <v>-27111</v>
      </c>
    </row>
    <row r="22" customFormat="false" ht="15.75" hidden="false" customHeight="false" outlineLevel="0" collapsed="false">
      <c r="C22" s="246"/>
      <c r="E22" s="248"/>
      <c r="F22" s="276"/>
      <c r="G22" s="280"/>
      <c r="H22" s="274"/>
    </row>
    <row r="23" customFormat="false" ht="15.75" hidden="false" customHeight="false" outlineLevel="0" collapsed="false">
      <c r="A23" s="117" t="s">
        <v>204</v>
      </c>
      <c r="C23" s="246"/>
      <c r="E23" s="248" t="n">
        <f aca="false">+G23*Physical!F17</f>
        <v>-290142.255</v>
      </c>
      <c r="F23" s="276"/>
      <c r="G23" s="280" t="n">
        <f aca="false">+G21</f>
        <v>-78311</v>
      </c>
      <c r="H23" s="274"/>
      <c r="J23" s="247" t="n">
        <v>-100310.7</v>
      </c>
      <c r="L23" s="249" t="n">
        <v>-27111</v>
      </c>
    </row>
    <row r="24" customFormat="false" ht="16.5" hidden="false" customHeight="false" outlineLevel="0" collapsed="false">
      <c r="F24" s="276"/>
      <c r="H24" s="274"/>
    </row>
    <row r="25" customFormat="false" ht="16.5" hidden="false" customHeight="false" outlineLevel="0" collapsed="false">
      <c r="A25" s="117" t="s">
        <v>205</v>
      </c>
      <c r="B25" s="281"/>
      <c r="C25" s="282" t="n">
        <f aca="false">+E25-J25</f>
        <v>61197.4450000001</v>
      </c>
      <c r="D25" s="252"/>
      <c r="E25" s="283" t="n">
        <f aca="false">+E21+E23</f>
        <v>-1379238.255</v>
      </c>
      <c r="F25" s="117"/>
      <c r="G25" s="262"/>
      <c r="H25" s="284"/>
      <c r="J25" s="247" t="n">
        <v>-1440435.7</v>
      </c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  <c r="IW25" s="117"/>
    </row>
    <row r="26" customFormat="false" ht="15.75" hidden="false" customHeight="false" outlineLevel="0" collapsed="false">
      <c r="H26" s="274"/>
    </row>
    <row r="27" customFormat="false" ht="16.5" hidden="false" customHeight="false" outlineLevel="0" collapsed="false">
      <c r="A27" s="285" t="s">
        <v>206</v>
      </c>
      <c r="H27" s="274"/>
      <c r="M27" s="249"/>
      <c r="N27" s="249"/>
    </row>
    <row r="28" customFormat="false" ht="15.75" hidden="false" customHeight="false" outlineLevel="0" collapsed="false">
      <c r="H28" s="274"/>
    </row>
    <row r="29" customFormat="false" ht="15.75" hidden="false" customHeight="false" outlineLevel="0" collapsed="false">
      <c r="A29" s="246" t="s">
        <v>207</v>
      </c>
      <c r="C29" s="248" t="n">
        <f aca="false">+E29-J29</f>
        <v>-268012</v>
      </c>
      <c r="E29" s="247" t="n">
        <f aca="false">Physical!D31+Physical!K31+Physical!D65+Physical!K65</f>
        <v>-268012</v>
      </c>
      <c r="H29" s="274"/>
      <c r="J29" s="247" t="n">
        <v>0</v>
      </c>
      <c r="M29" s="249"/>
      <c r="N29" s="249"/>
    </row>
    <row r="30" customFormat="false" ht="15.75" hidden="false" customHeight="false" outlineLevel="0" collapsed="false">
      <c r="A30" s="246" t="s">
        <v>94</v>
      </c>
      <c r="C30" s="248" t="n">
        <f aca="false">+E30-J30</f>
        <v>-69499</v>
      </c>
      <c r="E30" s="247" t="n">
        <f aca="false">Physical!D26+Physical!K26+Physical!D60+Physical!K60-'ENRON MIDWEST P&amp;L'!E48-'ENRON MIDWEST P&amp;L'!E49</f>
        <v>0</v>
      </c>
      <c r="H30" s="274"/>
      <c r="J30" s="247" t="n">
        <v>69499</v>
      </c>
    </row>
    <row r="31" customFormat="false" ht="15.75" hidden="false" customHeight="false" outlineLevel="0" collapsed="false">
      <c r="A31" s="246" t="s">
        <v>208</v>
      </c>
      <c r="C31" s="248" t="n">
        <f aca="false">+E31-J31</f>
        <v>0</v>
      </c>
      <c r="E31" s="286" t="n">
        <v>0</v>
      </c>
      <c r="H31" s="274"/>
      <c r="J31" s="247" t="n">
        <v>0</v>
      </c>
      <c r="O31" s="249"/>
    </row>
    <row r="32" customFormat="false" ht="15" hidden="false" customHeight="true" outlineLevel="0" collapsed="false">
      <c r="H32" s="274"/>
      <c r="O32" s="249"/>
    </row>
    <row r="33" customFormat="false" ht="16.5" hidden="false" customHeight="false" outlineLevel="0" collapsed="false">
      <c r="A33" s="287" t="s">
        <v>209</v>
      </c>
      <c r="C33" s="282" t="n">
        <f aca="false">+E33-J33</f>
        <v>-337511</v>
      </c>
      <c r="D33" s="252"/>
      <c r="E33" s="288" t="n">
        <f aca="false">SUM(E29:E32)</f>
        <v>-268012</v>
      </c>
      <c r="G33" s="249" t="s">
        <v>40</v>
      </c>
      <c r="H33" s="274"/>
      <c r="J33" s="247" t="n">
        <v>69499</v>
      </c>
      <c r="L33" s="249" t="s">
        <v>40</v>
      </c>
      <c r="N33" s="289"/>
    </row>
    <row r="34" customFormat="false" ht="15.75" hidden="false" customHeight="false" outlineLevel="0" collapsed="false">
      <c r="A34" s="117"/>
      <c r="E34" s="275"/>
      <c r="H34" s="274"/>
    </row>
    <row r="35" customFormat="false" ht="15.75" hidden="false" customHeight="false" outlineLevel="0" collapsed="false">
      <c r="A35" s="117"/>
      <c r="E35" s="248"/>
      <c r="H35" s="274"/>
    </row>
    <row r="36" customFormat="false" ht="15.75" hidden="false" customHeight="false" outlineLevel="0" collapsed="false">
      <c r="A36" s="290" t="s">
        <v>210</v>
      </c>
      <c r="E36" s="248"/>
      <c r="H36" s="274"/>
      <c r="I36" s="258"/>
      <c r="M36" s="258"/>
      <c r="N36" s="258"/>
    </row>
    <row r="37" customFormat="false" ht="15.75" hidden="false" customHeight="false" outlineLevel="0" collapsed="false">
      <c r="A37" s="117" t="s">
        <v>211</v>
      </c>
      <c r="E37" s="248"/>
      <c r="H37" s="274"/>
      <c r="I37" s="258"/>
      <c r="M37" s="258"/>
      <c r="N37" s="258"/>
    </row>
    <row r="38" customFormat="false" ht="15.75" hidden="false" customHeight="false" outlineLevel="0" collapsed="false">
      <c r="A38" s="246" t="s">
        <v>212</v>
      </c>
      <c r="C38" s="248" t="n">
        <f aca="false">+E38-J38</f>
        <v>0</v>
      </c>
      <c r="E38" s="291" t="n">
        <f aca="false">Physical!D21+Physical!K21+Physical!D55+Physical!K55</f>
        <v>0</v>
      </c>
      <c r="H38" s="274"/>
      <c r="I38" s="258"/>
      <c r="J38" s="247" t="n">
        <v>0</v>
      </c>
      <c r="M38" s="258"/>
      <c r="N38" s="258"/>
    </row>
    <row r="39" customFormat="false" ht="15.75" hidden="false" customHeight="false" outlineLevel="0" collapsed="false">
      <c r="A39" s="246" t="s">
        <v>213</v>
      </c>
      <c r="C39" s="248" t="n">
        <f aca="false">+E39-J39</f>
        <v>0</v>
      </c>
      <c r="E39" s="291" t="n">
        <f aca="false">Physical!D11+Physical!K11+Physical!D45+Physical!K45</f>
        <v>0</v>
      </c>
      <c r="H39" s="274"/>
      <c r="I39" s="258"/>
      <c r="J39" s="247" t="n">
        <v>0</v>
      </c>
      <c r="M39" s="258"/>
      <c r="N39" s="258"/>
    </row>
    <row r="40" customFormat="false" ht="15.75" hidden="false" customHeight="false" outlineLevel="0" collapsed="false">
      <c r="A40" s="246" t="s">
        <v>214</v>
      </c>
      <c r="C40" s="248" t="n">
        <f aca="false">+E40-J40</f>
        <v>0</v>
      </c>
      <c r="E40" s="291" t="n">
        <f aca="false">Physical!D15+Physical!K15+Physical!D49+Physical!K49</f>
        <v>0</v>
      </c>
      <c r="H40" s="274"/>
      <c r="I40" s="258"/>
      <c r="J40" s="247" t="n">
        <v>0</v>
      </c>
      <c r="M40" s="258"/>
      <c r="N40" s="258"/>
    </row>
    <row r="41" customFormat="false" ht="15.75" hidden="false" customHeight="false" outlineLevel="0" collapsed="false">
      <c r="A41" s="246" t="s">
        <v>215</v>
      </c>
      <c r="C41" s="248" t="n">
        <f aca="false">+E41-J41</f>
        <v>0</v>
      </c>
      <c r="E41" s="291" t="n">
        <v>0</v>
      </c>
      <c r="H41" s="274"/>
      <c r="I41" s="258"/>
      <c r="J41" s="247" t="n">
        <v>0</v>
      </c>
      <c r="M41" s="258"/>
      <c r="N41" s="258"/>
    </row>
    <row r="42" customFormat="false" ht="15.75" hidden="false" customHeight="false" outlineLevel="0" collapsed="false">
      <c r="A42" s="246" t="s">
        <v>216</v>
      </c>
      <c r="C42" s="248" t="n">
        <f aca="false">+E42-J42</f>
        <v>0</v>
      </c>
      <c r="E42" s="248" t="n">
        <v>0</v>
      </c>
      <c r="H42" s="274"/>
      <c r="I42" s="258"/>
      <c r="J42" s="247" t="n">
        <v>0</v>
      </c>
      <c r="M42" s="292"/>
      <c r="N42" s="258"/>
    </row>
    <row r="43" customFormat="false" ht="15.75" hidden="false" customHeight="false" outlineLevel="0" collapsed="false">
      <c r="A43" s="246" t="s">
        <v>217</v>
      </c>
      <c r="C43" s="277" t="n">
        <f aca="false">+E43-J43</f>
        <v>0</v>
      </c>
      <c r="E43" s="277" t="n">
        <v>0</v>
      </c>
      <c r="H43" s="274"/>
      <c r="I43" s="258"/>
      <c r="J43" s="247" t="n">
        <v>0</v>
      </c>
      <c r="M43" s="292"/>
      <c r="N43" s="258"/>
    </row>
    <row r="44" customFormat="false" ht="15.75" hidden="false" customHeight="false" outlineLevel="0" collapsed="false">
      <c r="A44" s="117"/>
      <c r="C44" s="248"/>
      <c r="E44" s="248"/>
      <c r="H44" s="274"/>
      <c r="I44" s="258"/>
      <c r="M44" s="258"/>
      <c r="N44" s="258"/>
    </row>
    <row r="45" customFormat="false" ht="15.75" hidden="false" customHeight="false" outlineLevel="0" collapsed="false">
      <c r="A45" s="287" t="s">
        <v>218</v>
      </c>
      <c r="C45" s="248" t="n">
        <f aca="false">+E45-J45</f>
        <v>0</v>
      </c>
      <c r="E45" s="248" t="n">
        <f aca="false">SUM(E38:E42)</f>
        <v>0</v>
      </c>
      <c r="H45" s="274"/>
      <c r="I45" s="258"/>
      <c r="J45" s="247" t="n">
        <v>0</v>
      </c>
      <c r="M45" s="258"/>
      <c r="N45" s="258"/>
    </row>
    <row r="46" customFormat="false" ht="15.75" hidden="false" customHeight="false" outlineLevel="0" collapsed="false">
      <c r="A46" s="117"/>
      <c r="H46" s="274"/>
      <c r="I46" s="258"/>
      <c r="M46" s="258"/>
      <c r="N46" s="258"/>
    </row>
    <row r="47" customFormat="false" ht="15.75" hidden="false" customHeight="false" outlineLevel="0" collapsed="false">
      <c r="A47" s="117" t="s">
        <v>219</v>
      </c>
      <c r="H47" s="274"/>
      <c r="I47" s="258"/>
      <c r="M47" s="258"/>
      <c r="N47" s="258"/>
    </row>
    <row r="48" customFormat="false" ht="15.75" hidden="false" customHeight="false" outlineLevel="0" collapsed="false">
      <c r="A48" s="246" t="s">
        <v>212</v>
      </c>
      <c r="C48" s="248" t="n">
        <f aca="false">+E48-J48</f>
        <v>0</v>
      </c>
      <c r="E48" s="293" t="n">
        <f aca="false">Physical!D20+Physical!K20+Physical!D54+Physical!K54</f>
        <v>0</v>
      </c>
      <c r="H48" s="274"/>
      <c r="I48" s="258"/>
      <c r="J48" s="247" t="n">
        <v>0</v>
      </c>
      <c r="M48" s="258"/>
      <c r="N48" s="258"/>
    </row>
    <row r="49" customFormat="false" ht="15.75" hidden="false" customHeight="false" outlineLevel="0" collapsed="false">
      <c r="A49" s="246" t="s">
        <v>213</v>
      </c>
      <c r="C49" s="248" t="n">
        <f aca="false">+E49-J49</f>
        <v>0</v>
      </c>
      <c r="E49" s="293" t="n">
        <f aca="false">Physical!D10+Physical!K10+Physical!D44+Physical!K44</f>
        <v>0</v>
      </c>
      <c r="H49" s="274"/>
      <c r="I49" s="258"/>
      <c r="J49" s="247" t="n">
        <v>0</v>
      </c>
      <c r="M49" s="258"/>
      <c r="N49" s="258"/>
    </row>
    <row r="50" customFormat="false" ht="15.75" hidden="false" customHeight="false" outlineLevel="0" collapsed="false">
      <c r="A50" s="246" t="s">
        <v>214</v>
      </c>
      <c r="C50" s="248" t="n">
        <f aca="false">+E50-J50</f>
        <v>0</v>
      </c>
      <c r="E50" s="293" t="n">
        <f aca="false">Physical!D14+Physical!K14+Physical!D48+Physical!K48</f>
        <v>0</v>
      </c>
      <c r="H50" s="274"/>
      <c r="I50" s="258"/>
      <c r="J50" s="247" t="n">
        <v>0</v>
      </c>
      <c r="M50" s="258"/>
      <c r="N50" s="258"/>
    </row>
    <row r="51" customFormat="false" ht="15.75" hidden="false" customHeight="false" outlineLevel="0" collapsed="false">
      <c r="A51" s="246" t="s">
        <v>215</v>
      </c>
      <c r="C51" s="248" t="n">
        <f aca="false">+E51-J51</f>
        <v>0</v>
      </c>
      <c r="E51" s="293" t="n">
        <v>0</v>
      </c>
      <c r="H51" s="274"/>
      <c r="I51" s="258"/>
      <c r="J51" s="247" t="n">
        <v>0</v>
      </c>
      <c r="M51" s="258"/>
      <c r="N51" s="258"/>
    </row>
    <row r="52" customFormat="false" ht="15.75" hidden="false" customHeight="false" outlineLevel="0" collapsed="false">
      <c r="A52" s="246" t="s">
        <v>216</v>
      </c>
      <c r="C52" s="248" t="n">
        <f aca="false">+E52-J52</f>
        <v>0</v>
      </c>
      <c r="E52" s="293" t="n">
        <v>0</v>
      </c>
      <c r="H52" s="274"/>
      <c r="I52" s="258"/>
      <c r="J52" s="247" t="n">
        <v>0</v>
      </c>
      <c r="M52" s="258"/>
      <c r="N52" s="258"/>
    </row>
    <row r="53" customFormat="false" ht="15.75" hidden="false" customHeight="false" outlineLevel="0" collapsed="false">
      <c r="A53" s="246" t="s">
        <v>217</v>
      </c>
      <c r="C53" s="277" t="n">
        <f aca="false">+E53-J53</f>
        <v>0</v>
      </c>
      <c r="E53" s="277" t="n">
        <v>0</v>
      </c>
      <c r="H53" s="274"/>
      <c r="I53" s="258"/>
      <c r="J53" s="247" t="n">
        <v>0</v>
      </c>
      <c r="M53" s="258"/>
      <c r="N53" s="258"/>
    </row>
    <row r="54" customFormat="false" ht="15.75" hidden="false" customHeight="false" outlineLevel="0" collapsed="false">
      <c r="C54" s="248"/>
      <c r="E54" s="293"/>
      <c r="H54" s="274"/>
      <c r="I54" s="258"/>
      <c r="M54" s="258"/>
      <c r="N54" s="258"/>
    </row>
    <row r="55" customFormat="false" ht="15.75" hidden="false" customHeight="false" outlineLevel="0" collapsed="false">
      <c r="A55" s="287" t="s">
        <v>220</v>
      </c>
      <c r="C55" s="248" t="n">
        <f aca="false">SUM(C48:C52)</f>
        <v>0</v>
      </c>
      <c r="E55" s="248" t="n">
        <f aca="false">SUM(E48:E52)</f>
        <v>0</v>
      </c>
      <c r="H55" s="274"/>
      <c r="I55" s="258"/>
      <c r="J55" s="247" t="n">
        <v>0</v>
      </c>
      <c r="M55" s="258"/>
      <c r="N55" s="258"/>
    </row>
    <row r="56" customFormat="false" ht="15.75" hidden="false" customHeight="false" outlineLevel="0" collapsed="false">
      <c r="A56" s="117"/>
      <c r="C56" s="248"/>
      <c r="E56" s="248"/>
      <c r="H56" s="274"/>
      <c r="I56" s="258"/>
      <c r="M56" s="258"/>
      <c r="N56" s="258"/>
    </row>
    <row r="57" customFormat="false" ht="15.75" hidden="false" customHeight="false" outlineLevel="0" collapsed="false">
      <c r="A57" s="117"/>
      <c r="C57" s="248"/>
      <c r="E57" s="248"/>
      <c r="H57" s="274"/>
      <c r="I57" s="258"/>
      <c r="M57" s="258"/>
      <c r="N57" s="258"/>
    </row>
    <row r="58" customFormat="false" ht="15.75" hidden="false" customHeight="false" outlineLevel="0" collapsed="false">
      <c r="A58" s="117"/>
      <c r="C58" s="248"/>
      <c r="E58" s="248"/>
      <c r="H58" s="274"/>
      <c r="I58" s="258"/>
      <c r="M58" s="258"/>
      <c r="N58" s="258"/>
    </row>
    <row r="59" customFormat="false" ht="15.75" hidden="false" customHeight="false" outlineLevel="0" collapsed="false">
      <c r="A59" s="117" t="s">
        <v>221</v>
      </c>
      <c r="H59" s="274"/>
    </row>
    <row r="60" customFormat="false" ht="15.75" hidden="false" customHeight="false" outlineLevel="0" collapsed="false">
      <c r="A60" s="246" t="s">
        <v>222</v>
      </c>
      <c r="C60" s="248" t="n">
        <f aca="false">+E60-J60</f>
        <v>0</v>
      </c>
      <c r="E60" s="293" t="n">
        <v>0</v>
      </c>
      <c r="H60" s="274"/>
      <c r="J60" s="247" t="n">
        <v>0</v>
      </c>
    </row>
    <row r="61" customFormat="false" ht="15.75" hidden="false" customHeight="false" outlineLevel="0" collapsed="false">
      <c r="A61" s="246" t="s">
        <v>223</v>
      </c>
      <c r="C61" s="277" t="n">
        <f aca="false">+E61-J61</f>
        <v>0</v>
      </c>
      <c r="E61" s="294" t="n">
        <v>0</v>
      </c>
      <c r="H61" s="274"/>
      <c r="J61" s="247" t="n">
        <v>0</v>
      </c>
    </row>
    <row r="62" customFormat="false" ht="15.75" hidden="false" customHeight="false" outlineLevel="0" collapsed="false">
      <c r="A62" s="117" t="s">
        <v>224</v>
      </c>
      <c r="C62" s="248" t="n">
        <f aca="false">+E62-J62</f>
        <v>0</v>
      </c>
      <c r="E62" s="248" t="n">
        <f aca="false">SUM(E60:E61)</f>
        <v>0</v>
      </c>
      <c r="H62" s="274"/>
      <c r="J62" s="247" t="n">
        <v>0</v>
      </c>
    </row>
    <row r="63" customFormat="false" ht="15.75" hidden="false" customHeight="false" outlineLevel="0" collapsed="false">
      <c r="A63" s="117"/>
      <c r="E63" s="277"/>
      <c r="H63" s="274"/>
      <c r="I63" s="258"/>
      <c r="M63" s="258"/>
      <c r="N63" s="258"/>
    </row>
    <row r="64" customFormat="false" ht="15.75" hidden="false" customHeight="false" outlineLevel="0" collapsed="false">
      <c r="A64" s="287" t="s">
        <v>225</v>
      </c>
      <c r="B64" s="117"/>
      <c r="C64" s="283" t="n">
        <f aca="false">+E64-J64</f>
        <v>0</v>
      </c>
      <c r="D64" s="252"/>
      <c r="E64" s="263" t="n">
        <f aca="false">+E45+E55+E62</f>
        <v>0</v>
      </c>
      <c r="F64" s="117"/>
      <c r="G64" s="262"/>
      <c r="H64" s="284"/>
      <c r="I64" s="258"/>
      <c r="J64" s="247" t="n">
        <v>0</v>
      </c>
      <c r="M64" s="295"/>
      <c r="N64" s="295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117"/>
      <c r="DE64" s="117"/>
      <c r="DF64" s="117"/>
      <c r="DG64" s="117"/>
      <c r="DH64" s="117"/>
      <c r="DI64" s="117"/>
      <c r="DJ64" s="117"/>
      <c r="DK64" s="117"/>
      <c r="DL64" s="117"/>
      <c r="DM64" s="117"/>
      <c r="DN64" s="117"/>
      <c r="DO64" s="117"/>
      <c r="DP64" s="117"/>
      <c r="DQ64" s="117"/>
      <c r="DR64" s="117"/>
      <c r="DS64" s="117"/>
      <c r="DT64" s="117"/>
      <c r="DU64" s="117"/>
      <c r="DV64" s="117"/>
      <c r="DW64" s="117"/>
      <c r="DX64" s="117"/>
      <c r="DY64" s="117"/>
      <c r="DZ64" s="117"/>
      <c r="EA64" s="117"/>
      <c r="EB64" s="117"/>
      <c r="EC64" s="117"/>
      <c r="ED64" s="117"/>
      <c r="EE64" s="117"/>
      <c r="EF64" s="117"/>
      <c r="EG64" s="117"/>
      <c r="EH64" s="117"/>
      <c r="EI64" s="117"/>
      <c r="EJ64" s="117"/>
      <c r="EK64" s="117"/>
      <c r="EL64" s="117"/>
      <c r="EM64" s="117"/>
      <c r="EN64" s="117"/>
      <c r="EO64" s="117"/>
      <c r="EP64" s="117"/>
      <c r="EQ64" s="117"/>
      <c r="ER64" s="117"/>
      <c r="ES64" s="117"/>
      <c r="ET64" s="117"/>
      <c r="EU64" s="117"/>
      <c r="EV64" s="117"/>
      <c r="EW64" s="117"/>
      <c r="EX64" s="117"/>
      <c r="EY64" s="117"/>
      <c r="EZ64" s="117"/>
      <c r="FA64" s="117"/>
      <c r="FB64" s="117"/>
      <c r="FC64" s="117"/>
      <c r="FD64" s="117"/>
      <c r="FE64" s="117"/>
      <c r="FF64" s="117"/>
      <c r="FG64" s="117"/>
      <c r="FH64" s="117"/>
      <c r="FI64" s="117"/>
      <c r="FJ64" s="117"/>
      <c r="FK64" s="117"/>
      <c r="FL64" s="117"/>
      <c r="FM64" s="117"/>
      <c r="FN64" s="117"/>
      <c r="FO64" s="117"/>
      <c r="FP64" s="117"/>
      <c r="FQ64" s="117"/>
      <c r="FR64" s="117"/>
      <c r="FS64" s="117"/>
      <c r="FT64" s="117"/>
      <c r="FU64" s="117"/>
      <c r="FV64" s="117"/>
      <c r="FW64" s="117"/>
      <c r="FX64" s="117"/>
      <c r="FY64" s="117"/>
      <c r="FZ64" s="117"/>
      <c r="GA64" s="117"/>
      <c r="GB64" s="117"/>
      <c r="GC64" s="117"/>
      <c r="GD64" s="117"/>
      <c r="GE64" s="117"/>
      <c r="GF64" s="117"/>
      <c r="GG64" s="117"/>
      <c r="GH64" s="117"/>
      <c r="GI64" s="117"/>
      <c r="GJ64" s="117"/>
      <c r="GK64" s="117"/>
      <c r="GL64" s="117"/>
      <c r="GM64" s="117"/>
      <c r="GN64" s="117"/>
      <c r="GO64" s="117"/>
      <c r="GP64" s="117"/>
      <c r="GQ64" s="117"/>
      <c r="GR64" s="117"/>
      <c r="GS64" s="117"/>
      <c r="GT64" s="117"/>
      <c r="GU64" s="117"/>
      <c r="GV64" s="117"/>
      <c r="GW64" s="117"/>
      <c r="GX64" s="117"/>
      <c r="GY64" s="117"/>
      <c r="GZ64" s="117"/>
      <c r="HA64" s="117"/>
      <c r="HB64" s="117"/>
      <c r="HC64" s="117"/>
      <c r="HD64" s="117"/>
      <c r="HE64" s="117"/>
      <c r="HF64" s="117"/>
      <c r="HG64" s="117"/>
      <c r="HH64" s="117"/>
      <c r="HI64" s="117"/>
      <c r="HJ64" s="117"/>
      <c r="HK64" s="117"/>
      <c r="HL64" s="117"/>
      <c r="HM64" s="117"/>
      <c r="HN64" s="117"/>
      <c r="HO64" s="117"/>
      <c r="HP64" s="117"/>
      <c r="HQ64" s="117"/>
      <c r="HR64" s="117"/>
      <c r="HS64" s="117"/>
      <c r="HT64" s="117"/>
      <c r="HU64" s="117"/>
      <c r="HV64" s="117"/>
      <c r="HW64" s="117"/>
      <c r="HX64" s="117"/>
      <c r="HY64" s="117"/>
      <c r="HZ64" s="117"/>
      <c r="IA64" s="117"/>
      <c r="IB64" s="117"/>
      <c r="IC64" s="117"/>
      <c r="ID64" s="117"/>
      <c r="IE64" s="117"/>
      <c r="IF64" s="117"/>
      <c r="IG64" s="117"/>
      <c r="IH64" s="117"/>
      <c r="II64" s="117"/>
      <c r="IJ64" s="117"/>
      <c r="IK64" s="117"/>
      <c r="IL64" s="117"/>
      <c r="IM64" s="117"/>
      <c r="IN64" s="117"/>
      <c r="IO64" s="117"/>
      <c r="IP64" s="117"/>
      <c r="IQ64" s="117"/>
      <c r="IR64" s="117"/>
      <c r="IS64" s="117"/>
      <c r="IT64" s="117"/>
      <c r="IU64" s="117"/>
      <c r="IV64" s="117"/>
      <c r="IW64" s="117"/>
    </row>
    <row r="65" customFormat="false" ht="15.75" hidden="false" customHeight="false" outlineLevel="0" collapsed="false">
      <c r="A65" s="117"/>
      <c r="C65" s="296"/>
      <c r="D65" s="296"/>
      <c r="E65" s="248"/>
      <c r="H65" s="274"/>
      <c r="I65" s="258"/>
      <c r="M65" s="258"/>
      <c r="N65" s="258"/>
    </row>
    <row r="66" customFormat="false" ht="15.75" hidden="false" customHeight="false" outlineLevel="0" collapsed="false">
      <c r="A66" s="290" t="s">
        <v>226</v>
      </c>
      <c r="E66" s="248"/>
      <c r="H66" s="274"/>
      <c r="I66" s="258"/>
      <c r="M66" s="258"/>
      <c r="N66" s="258"/>
    </row>
    <row r="67" customFormat="false" ht="15.75" hidden="false" customHeight="false" outlineLevel="0" collapsed="false">
      <c r="A67" s="117" t="s">
        <v>227</v>
      </c>
      <c r="H67" s="274"/>
      <c r="I67" s="258"/>
      <c r="M67" s="258"/>
      <c r="N67" s="258"/>
    </row>
    <row r="68" customFormat="false" ht="15.75" hidden="false" customHeight="false" outlineLevel="0" collapsed="false">
      <c r="A68" s="246" t="s">
        <v>228</v>
      </c>
      <c r="C68" s="248" t="n">
        <f aca="false">+E68-J68</f>
        <v>0</v>
      </c>
      <c r="E68" s="247" t="n">
        <v>0</v>
      </c>
      <c r="H68" s="274"/>
      <c r="I68" s="258"/>
      <c r="J68" s="247" t="n">
        <v>0</v>
      </c>
      <c r="M68" s="258"/>
      <c r="N68" s="258"/>
    </row>
    <row r="69" customFormat="false" ht="15.75" hidden="false" customHeight="false" outlineLevel="0" collapsed="false">
      <c r="A69" s="246" t="s">
        <v>229</v>
      </c>
      <c r="C69" s="248" t="n">
        <f aca="false">+E69-J69</f>
        <v>0</v>
      </c>
      <c r="E69" s="248" t="n">
        <v>0</v>
      </c>
      <c r="H69" s="274"/>
      <c r="I69" s="258"/>
      <c r="J69" s="247" t="n">
        <v>0</v>
      </c>
      <c r="M69" s="258"/>
      <c r="N69" s="258"/>
    </row>
    <row r="70" customFormat="false" ht="15.75" hidden="false" customHeight="false" outlineLevel="0" collapsed="false">
      <c r="A70" s="246" t="s">
        <v>230</v>
      </c>
      <c r="C70" s="277" t="n">
        <f aca="false">+E70-J70</f>
        <v>-0</v>
      </c>
      <c r="E70" s="277" t="n">
        <f aca="false">-E76</f>
        <v>-0</v>
      </c>
      <c r="H70" s="274"/>
      <c r="I70" s="258"/>
      <c r="J70" s="247" t="n">
        <v>0</v>
      </c>
      <c r="M70" s="258"/>
      <c r="N70" s="258"/>
    </row>
    <row r="71" customFormat="false" ht="15.75" hidden="false" customHeight="false" outlineLevel="0" collapsed="false">
      <c r="A71" s="287" t="s">
        <v>231</v>
      </c>
      <c r="C71" s="248" t="n">
        <f aca="false">+E71-J71</f>
        <v>0</v>
      </c>
      <c r="E71" s="247" t="n">
        <f aca="false">SUM(E68:E70)</f>
        <v>0</v>
      </c>
      <c r="H71" s="274"/>
      <c r="I71" s="258"/>
      <c r="J71" s="247" t="n">
        <v>0</v>
      </c>
      <c r="M71" s="258"/>
      <c r="N71" s="258"/>
    </row>
    <row r="72" customFormat="false" ht="15.75" hidden="false" customHeight="false" outlineLevel="0" collapsed="false">
      <c r="C72" s="248"/>
      <c r="H72" s="274"/>
      <c r="I72" s="258"/>
      <c r="M72" s="258"/>
      <c r="N72" s="258"/>
    </row>
    <row r="73" customFormat="false" ht="15.75" hidden="false" customHeight="false" outlineLevel="0" collapsed="false">
      <c r="A73" s="117" t="s">
        <v>232</v>
      </c>
      <c r="C73" s="248"/>
      <c r="H73" s="274"/>
      <c r="I73" s="258"/>
      <c r="M73" s="258"/>
      <c r="N73" s="258"/>
    </row>
    <row r="74" customFormat="false" ht="15.75" hidden="false" customHeight="false" outlineLevel="0" collapsed="false">
      <c r="A74" s="246" t="s">
        <v>228</v>
      </c>
      <c r="C74" s="248" t="n">
        <f aca="false">+E74-J74</f>
        <v>0</v>
      </c>
      <c r="E74" s="247" t="n">
        <v>0</v>
      </c>
      <c r="H74" s="274"/>
      <c r="I74" s="258"/>
      <c r="J74" s="247" t="n">
        <v>0</v>
      </c>
      <c r="M74" s="258"/>
      <c r="N74" s="258"/>
    </row>
    <row r="75" customFormat="false" ht="15.75" hidden="false" customHeight="false" outlineLevel="0" collapsed="false">
      <c r="A75" s="246" t="s">
        <v>229</v>
      </c>
      <c r="C75" s="248" t="n">
        <f aca="false">+E75-J75</f>
        <v>0</v>
      </c>
      <c r="E75" s="248" t="n">
        <v>0</v>
      </c>
      <c r="H75" s="274"/>
      <c r="I75" s="258"/>
      <c r="J75" s="247" t="n">
        <v>0</v>
      </c>
      <c r="M75" s="258"/>
      <c r="N75" s="258"/>
    </row>
    <row r="76" customFormat="false" ht="15.75" hidden="false" customHeight="false" outlineLevel="0" collapsed="false">
      <c r="A76" s="246" t="s">
        <v>230</v>
      </c>
      <c r="C76" s="277" t="n">
        <f aca="false">+E76-J76</f>
        <v>0</v>
      </c>
      <c r="E76" s="277" t="n">
        <v>0</v>
      </c>
      <c r="H76" s="274"/>
      <c r="I76" s="258"/>
      <c r="J76" s="247" t="n">
        <v>0</v>
      </c>
      <c r="M76" s="258"/>
      <c r="N76" s="258"/>
    </row>
    <row r="77" customFormat="false" ht="15.75" hidden="false" customHeight="false" outlineLevel="0" collapsed="false">
      <c r="A77" s="287" t="s">
        <v>231</v>
      </c>
      <c r="C77" s="248" t="n">
        <f aca="false">+E77-J77</f>
        <v>0</v>
      </c>
      <c r="E77" s="247" t="n">
        <f aca="false">SUM(E74:E76)</f>
        <v>0</v>
      </c>
      <c r="H77" s="274"/>
      <c r="I77" s="258"/>
      <c r="J77" s="247" t="n">
        <v>0</v>
      </c>
      <c r="M77" s="258"/>
      <c r="N77" s="258"/>
    </row>
    <row r="78" customFormat="false" ht="16.5" hidden="false" customHeight="false" outlineLevel="0" collapsed="false">
      <c r="E78" s="277"/>
      <c r="H78" s="274"/>
      <c r="I78" s="258"/>
      <c r="M78" s="258"/>
      <c r="N78" s="258"/>
    </row>
    <row r="79" customFormat="false" ht="16.5" hidden="false" customHeight="false" outlineLevel="0" collapsed="false">
      <c r="A79" s="287" t="s">
        <v>233</v>
      </c>
      <c r="B79" s="117"/>
      <c r="C79" s="282" t="n">
        <f aca="false">+E79-J79</f>
        <v>0</v>
      </c>
      <c r="D79" s="252"/>
      <c r="E79" s="263" t="n">
        <f aca="false">+E71+E77</f>
        <v>0</v>
      </c>
      <c r="F79" s="117"/>
      <c r="G79" s="262"/>
      <c r="H79" s="284"/>
      <c r="I79" s="258"/>
      <c r="J79" s="247" t="n">
        <v>0</v>
      </c>
      <c r="M79" s="295"/>
      <c r="N79" s="295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7"/>
      <c r="DR79" s="117"/>
      <c r="DS79" s="117"/>
      <c r="DT79" s="117"/>
      <c r="DU79" s="117"/>
      <c r="DV79" s="117"/>
      <c r="DW79" s="117"/>
      <c r="DX79" s="117"/>
      <c r="DY79" s="117"/>
      <c r="DZ79" s="117"/>
      <c r="EA79" s="117"/>
      <c r="EB79" s="117"/>
      <c r="EC79" s="117"/>
      <c r="ED79" s="117"/>
      <c r="EE79" s="117"/>
      <c r="EF79" s="117"/>
      <c r="EG79" s="117"/>
      <c r="EH79" s="117"/>
      <c r="EI79" s="117"/>
      <c r="EJ79" s="117"/>
      <c r="EK79" s="117"/>
      <c r="EL79" s="117"/>
      <c r="EM79" s="117"/>
      <c r="EN79" s="117"/>
      <c r="EO79" s="117"/>
      <c r="EP79" s="117"/>
      <c r="EQ79" s="117"/>
      <c r="ER79" s="117"/>
      <c r="ES79" s="117"/>
      <c r="ET79" s="117"/>
      <c r="EU79" s="117"/>
      <c r="EV79" s="117"/>
      <c r="EW79" s="117"/>
      <c r="EX79" s="117"/>
      <c r="EY79" s="117"/>
      <c r="EZ79" s="117"/>
      <c r="FA79" s="117"/>
      <c r="FB79" s="117"/>
      <c r="FC79" s="117"/>
      <c r="FD79" s="117"/>
      <c r="FE79" s="117"/>
      <c r="FF79" s="117"/>
      <c r="FG79" s="117"/>
      <c r="FH79" s="117"/>
      <c r="FI79" s="117"/>
      <c r="FJ79" s="117"/>
      <c r="FK79" s="117"/>
      <c r="FL79" s="117"/>
      <c r="FM79" s="117"/>
      <c r="FN79" s="117"/>
      <c r="FO79" s="117"/>
      <c r="FP79" s="117"/>
      <c r="FQ79" s="117"/>
      <c r="FR79" s="117"/>
      <c r="FS79" s="117"/>
      <c r="FT79" s="117"/>
      <c r="FU79" s="117"/>
      <c r="FV79" s="117"/>
      <c r="FW79" s="117"/>
      <c r="FX79" s="117"/>
      <c r="FY79" s="117"/>
      <c r="FZ79" s="117"/>
      <c r="GA79" s="117"/>
      <c r="GB79" s="117"/>
      <c r="GC79" s="117"/>
      <c r="GD79" s="117"/>
      <c r="GE79" s="117"/>
      <c r="GF79" s="117"/>
      <c r="GG79" s="117"/>
      <c r="GH79" s="117"/>
      <c r="GI79" s="117"/>
      <c r="GJ79" s="117"/>
      <c r="GK79" s="117"/>
      <c r="GL79" s="117"/>
      <c r="GM79" s="117"/>
      <c r="GN79" s="117"/>
      <c r="GO79" s="117"/>
      <c r="GP79" s="117"/>
      <c r="GQ79" s="117"/>
      <c r="GR79" s="117"/>
      <c r="GS79" s="117"/>
      <c r="GT79" s="117"/>
      <c r="GU79" s="117"/>
      <c r="GV79" s="117"/>
      <c r="GW79" s="117"/>
      <c r="GX79" s="117"/>
      <c r="GY79" s="117"/>
      <c r="GZ79" s="117"/>
      <c r="HA79" s="117"/>
      <c r="HB79" s="117"/>
      <c r="HC79" s="117"/>
      <c r="HD79" s="117"/>
      <c r="HE79" s="117"/>
      <c r="HF79" s="117"/>
      <c r="HG79" s="117"/>
      <c r="HH79" s="117"/>
      <c r="HI79" s="117"/>
      <c r="HJ79" s="117"/>
      <c r="HK79" s="117"/>
      <c r="HL79" s="117"/>
      <c r="HM79" s="117"/>
      <c r="HN79" s="117"/>
      <c r="HO79" s="117"/>
      <c r="HP79" s="117"/>
      <c r="HQ79" s="117"/>
      <c r="HR79" s="117"/>
      <c r="HS79" s="117"/>
      <c r="HT79" s="117"/>
      <c r="HU79" s="117"/>
      <c r="HV79" s="117"/>
      <c r="HW79" s="117"/>
      <c r="HX79" s="117"/>
      <c r="HY79" s="117"/>
      <c r="HZ79" s="117"/>
      <c r="IA79" s="117"/>
      <c r="IB79" s="117"/>
      <c r="IC79" s="117"/>
      <c r="ID79" s="117"/>
      <c r="IE79" s="117"/>
      <c r="IF79" s="117"/>
      <c r="IG79" s="117"/>
      <c r="IH79" s="117"/>
      <c r="II79" s="117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  <c r="IV79" s="117"/>
      <c r="IW79" s="117"/>
    </row>
    <row r="80" customFormat="false" ht="16.5" hidden="false" customHeight="false" outlineLevel="0" collapsed="false">
      <c r="A80" s="117"/>
      <c r="B80" s="117"/>
      <c r="C80" s="252"/>
      <c r="D80" s="252"/>
      <c r="E80" s="252"/>
      <c r="F80" s="117"/>
      <c r="G80" s="262"/>
      <c r="H80" s="284"/>
      <c r="I80" s="258"/>
      <c r="M80" s="295"/>
      <c r="N80" s="295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  <c r="DE80" s="117"/>
      <c r="DF80" s="117"/>
      <c r="DG80" s="117"/>
      <c r="DH80" s="117"/>
      <c r="DI80" s="117"/>
      <c r="DJ80" s="117"/>
      <c r="DK80" s="117"/>
      <c r="DL80" s="117"/>
      <c r="DM80" s="117"/>
      <c r="DN80" s="117"/>
      <c r="DO80" s="117"/>
      <c r="DP80" s="117"/>
      <c r="DQ80" s="117"/>
      <c r="DR80" s="117"/>
      <c r="DS80" s="117"/>
      <c r="DT80" s="117"/>
      <c r="DU80" s="117"/>
      <c r="DV80" s="117"/>
      <c r="DW80" s="117"/>
      <c r="DX80" s="117"/>
      <c r="DY80" s="117"/>
      <c r="DZ80" s="117"/>
      <c r="EA80" s="117"/>
      <c r="EB80" s="117"/>
      <c r="EC80" s="117"/>
      <c r="ED80" s="117"/>
      <c r="EE80" s="117"/>
      <c r="EF80" s="117"/>
      <c r="EG80" s="117"/>
      <c r="EH80" s="117"/>
      <c r="EI80" s="117"/>
      <c r="EJ80" s="117"/>
      <c r="EK80" s="117"/>
      <c r="EL80" s="117"/>
      <c r="EM80" s="117"/>
      <c r="EN80" s="117"/>
      <c r="EO80" s="117"/>
      <c r="EP80" s="117"/>
      <c r="EQ80" s="117"/>
      <c r="ER80" s="117"/>
      <c r="ES80" s="117"/>
      <c r="ET80" s="117"/>
      <c r="EU80" s="117"/>
      <c r="EV80" s="117"/>
      <c r="EW80" s="117"/>
      <c r="EX80" s="117"/>
      <c r="EY80" s="117"/>
      <c r="EZ80" s="117"/>
      <c r="FA80" s="117"/>
      <c r="FB80" s="117"/>
      <c r="FC80" s="117"/>
      <c r="FD80" s="117"/>
      <c r="FE80" s="117"/>
      <c r="FF80" s="117"/>
      <c r="FG80" s="117"/>
      <c r="FH80" s="117"/>
      <c r="FI80" s="117"/>
      <c r="FJ80" s="117"/>
      <c r="FK80" s="117"/>
      <c r="FL80" s="117"/>
      <c r="FM80" s="117"/>
      <c r="FN80" s="117"/>
      <c r="FO80" s="117"/>
      <c r="FP80" s="117"/>
      <c r="FQ80" s="117"/>
      <c r="FR80" s="117"/>
      <c r="FS80" s="117"/>
      <c r="FT80" s="117"/>
      <c r="FU80" s="117"/>
      <c r="FV80" s="117"/>
      <c r="FW80" s="117"/>
      <c r="FX80" s="117"/>
      <c r="FY80" s="117"/>
      <c r="FZ80" s="117"/>
      <c r="GA80" s="117"/>
      <c r="GB80" s="117"/>
      <c r="GC80" s="117"/>
      <c r="GD80" s="117"/>
      <c r="GE80" s="117"/>
      <c r="GF80" s="117"/>
      <c r="GG80" s="117"/>
      <c r="GH80" s="117"/>
      <c r="GI80" s="117"/>
      <c r="GJ80" s="117"/>
      <c r="GK80" s="117"/>
      <c r="GL80" s="117"/>
      <c r="GM80" s="117"/>
      <c r="GN80" s="117"/>
      <c r="GO80" s="117"/>
      <c r="GP80" s="117"/>
      <c r="GQ80" s="117"/>
      <c r="GR80" s="117"/>
      <c r="GS80" s="117"/>
      <c r="GT80" s="117"/>
      <c r="GU80" s="117"/>
      <c r="GV80" s="117"/>
      <c r="GW80" s="117"/>
      <c r="GX80" s="117"/>
      <c r="GY80" s="117"/>
      <c r="GZ80" s="117"/>
      <c r="HA80" s="117"/>
      <c r="HB80" s="117"/>
      <c r="HC80" s="117"/>
      <c r="HD80" s="117"/>
      <c r="HE80" s="117"/>
      <c r="HF80" s="117"/>
      <c r="HG80" s="117"/>
      <c r="HH80" s="117"/>
      <c r="HI80" s="117"/>
      <c r="HJ80" s="117"/>
      <c r="HK80" s="117"/>
      <c r="HL80" s="117"/>
      <c r="HM80" s="117"/>
      <c r="HN80" s="117"/>
      <c r="HO80" s="117"/>
      <c r="HP80" s="117"/>
      <c r="HQ80" s="117"/>
      <c r="HR80" s="117"/>
      <c r="HS80" s="117"/>
      <c r="HT80" s="117"/>
      <c r="HU80" s="117"/>
      <c r="HV80" s="117"/>
      <c r="HW80" s="117"/>
      <c r="HX80" s="117"/>
      <c r="HY80" s="117"/>
      <c r="HZ80" s="117"/>
      <c r="IA80" s="117"/>
      <c r="IB80" s="117"/>
      <c r="IC80" s="117"/>
      <c r="ID80" s="117"/>
      <c r="IE80" s="117"/>
      <c r="IF80" s="117"/>
      <c r="IG80" s="117"/>
      <c r="IH80" s="117"/>
      <c r="II80" s="117"/>
      <c r="IJ80" s="117"/>
      <c r="IK80" s="117"/>
      <c r="IL80" s="117"/>
      <c r="IM80" s="117"/>
      <c r="IN80" s="117"/>
      <c r="IO80" s="117"/>
      <c r="IP80" s="117"/>
      <c r="IQ80" s="117"/>
      <c r="IR80" s="117"/>
      <c r="IS80" s="117"/>
      <c r="IT80" s="117"/>
      <c r="IU80" s="117"/>
      <c r="IV80" s="117"/>
      <c r="IW80" s="117"/>
    </row>
    <row r="81" customFormat="false" ht="16.5" hidden="false" customHeight="false" outlineLevel="0" collapsed="false">
      <c r="A81" s="117" t="s">
        <v>234</v>
      </c>
      <c r="B81" s="117"/>
      <c r="C81" s="282" t="n">
        <f aca="false">+E81-J81</f>
        <v>0</v>
      </c>
      <c r="D81" s="252"/>
      <c r="E81" s="263" t="n">
        <f aca="false">Physical!D33+Physical!K33+Physical!D67+Physical!K67</f>
        <v>95793</v>
      </c>
      <c r="F81" s="117"/>
      <c r="G81" s="262"/>
      <c r="H81" s="284"/>
      <c r="I81" s="258"/>
      <c r="J81" s="247" t="n">
        <v>95793</v>
      </c>
      <c r="M81" s="295"/>
      <c r="N81" s="295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  <c r="DE81" s="117"/>
      <c r="DF81" s="117"/>
      <c r="DG81" s="117"/>
      <c r="DH81" s="117"/>
      <c r="DI81" s="117"/>
      <c r="DJ81" s="117"/>
      <c r="DK81" s="117"/>
      <c r="DL81" s="117"/>
      <c r="DM81" s="117"/>
      <c r="DN81" s="117"/>
      <c r="DO81" s="117"/>
      <c r="DP81" s="117"/>
      <c r="DQ81" s="117"/>
      <c r="DR81" s="117"/>
      <c r="DS81" s="117"/>
      <c r="DT81" s="117"/>
      <c r="DU81" s="117"/>
      <c r="DV81" s="117"/>
      <c r="DW81" s="117"/>
      <c r="DX81" s="117"/>
      <c r="DY81" s="117"/>
      <c r="DZ81" s="117"/>
      <c r="EA81" s="117"/>
      <c r="EB81" s="117"/>
      <c r="EC81" s="117"/>
      <c r="ED81" s="117"/>
      <c r="EE81" s="117"/>
      <c r="EF81" s="117"/>
      <c r="EG81" s="117"/>
      <c r="EH81" s="117"/>
      <c r="EI81" s="117"/>
      <c r="EJ81" s="117"/>
      <c r="EK81" s="117"/>
      <c r="EL81" s="117"/>
      <c r="EM81" s="117"/>
      <c r="EN81" s="117"/>
      <c r="EO81" s="117"/>
      <c r="EP81" s="117"/>
      <c r="EQ81" s="117"/>
      <c r="ER81" s="117"/>
      <c r="ES81" s="117"/>
      <c r="ET81" s="117"/>
      <c r="EU81" s="117"/>
      <c r="EV81" s="117"/>
      <c r="EW81" s="117"/>
      <c r="EX81" s="117"/>
      <c r="EY81" s="117"/>
      <c r="EZ81" s="117"/>
      <c r="FA81" s="117"/>
      <c r="FB81" s="117"/>
      <c r="FC81" s="117"/>
      <c r="FD81" s="117"/>
      <c r="FE81" s="117"/>
      <c r="FF81" s="117"/>
      <c r="FG81" s="117"/>
      <c r="FH81" s="117"/>
      <c r="FI81" s="117"/>
      <c r="FJ81" s="117"/>
      <c r="FK81" s="117"/>
      <c r="FL81" s="117"/>
      <c r="FM81" s="117"/>
      <c r="FN81" s="117"/>
      <c r="FO81" s="117"/>
      <c r="FP81" s="117"/>
      <c r="FQ81" s="117"/>
      <c r="FR81" s="117"/>
      <c r="FS81" s="117"/>
      <c r="FT81" s="117"/>
      <c r="FU81" s="117"/>
      <c r="FV81" s="117"/>
      <c r="FW81" s="117"/>
      <c r="FX81" s="117"/>
      <c r="FY81" s="117"/>
      <c r="FZ81" s="117"/>
      <c r="GA81" s="117"/>
      <c r="GB81" s="117"/>
      <c r="GC81" s="117"/>
      <c r="GD81" s="117"/>
      <c r="GE81" s="117"/>
      <c r="GF81" s="117"/>
      <c r="GG81" s="117"/>
      <c r="GH81" s="117"/>
      <c r="GI81" s="117"/>
      <c r="GJ81" s="117"/>
      <c r="GK81" s="117"/>
      <c r="GL81" s="117"/>
      <c r="GM81" s="117"/>
      <c r="GN81" s="117"/>
      <c r="GO81" s="117"/>
      <c r="GP81" s="117"/>
      <c r="GQ81" s="117"/>
      <c r="GR81" s="117"/>
      <c r="GS81" s="117"/>
      <c r="GT81" s="117"/>
      <c r="GU81" s="117"/>
      <c r="GV81" s="117"/>
      <c r="GW81" s="117"/>
      <c r="GX81" s="117"/>
      <c r="GY81" s="117"/>
      <c r="GZ81" s="117"/>
      <c r="HA81" s="117"/>
      <c r="HB81" s="117"/>
      <c r="HC81" s="117"/>
      <c r="HD81" s="117"/>
      <c r="HE81" s="117"/>
      <c r="HF81" s="117"/>
      <c r="HG81" s="117"/>
      <c r="HH81" s="117"/>
      <c r="HI81" s="117"/>
      <c r="HJ81" s="117"/>
      <c r="HK81" s="117"/>
      <c r="HL81" s="117"/>
      <c r="HM81" s="117"/>
      <c r="HN81" s="117"/>
      <c r="HO81" s="117"/>
      <c r="HP81" s="117"/>
      <c r="HQ81" s="117"/>
      <c r="HR81" s="117"/>
      <c r="HS81" s="117"/>
      <c r="HT81" s="117"/>
      <c r="HU81" s="117"/>
      <c r="HV81" s="117"/>
      <c r="HW81" s="117"/>
      <c r="HX81" s="117"/>
      <c r="HY81" s="117"/>
      <c r="HZ81" s="117"/>
      <c r="IA81" s="117"/>
      <c r="IB81" s="117"/>
      <c r="IC81" s="117"/>
      <c r="ID81" s="117"/>
      <c r="IE81" s="117"/>
      <c r="IF81" s="117"/>
      <c r="IG81" s="117"/>
      <c r="IH81" s="117"/>
      <c r="II81" s="117"/>
      <c r="IJ81" s="117"/>
      <c r="IK81" s="117"/>
      <c r="IL81" s="117"/>
      <c r="IM81" s="117"/>
      <c r="IN81" s="117"/>
      <c r="IO81" s="117"/>
      <c r="IP81" s="117"/>
      <c r="IQ81" s="117"/>
      <c r="IR81" s="117"/>
      <c r="IS81" s="117"/>
      <c r="IT81" s="117"/>
      <c r="IU81" s="117"/>
      <c r="IV81" s="117"/>
      <c r="IW81" s="117"/>
    </row>
    <row r="82" customFormat="false" ht="18" hidden="false" customHeight="true" outlineLevel="0" collapsed="false">
      <c r="A82" s="117" t="s">
        <v>235</v>
      </c>
      <c r="B82" s="117"/>
      <c r="C82" s="282" t="n">
        <f aca="false">+E82-J82</f>
        <v>0</v>
      </c>
      <c r="D82" s="252"/>
      <c r="E82" s="263" t="n">
        <f aca="false">Physical!D34+Physical!K34+Physical!D68+Physical!K68</f>
        <v>3995</v>
      </c>
      <c r="F82" s="117"/>
      <c r="G82" s="262"/>
      <c r="H82" s="284"/>
      <c r="I82" s="258"/>
      <c r="J82" s="247" t="n">
        <v>3995</v>
      </c>
      <c r="M82" s="295"/>
      <c r="N82" s="295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  <c r="CX82" s="117"/>
      <c r="CY82" s="117"/>
      <c r="CZ82" s="117"/>
      <c r="DA82" s="117"/>
      <c r="DB82" s="117"/>
      <c r="DC82" s="117"/>
      <c r="DD82" s="117"/>
      <c r="DE82" s="117"/>
      <c r="DF82" s="117"/>
      <c r="DG82" s="117"/>
      <c r="DH82" s="117"/>
      <c r="DI82" s="117"/>
      <c r="DJ82" s="117"/>
      <c r="DK82" s="117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17"/>
      <c r="EG82" s="117"/>
      <c r="EH82" s="117"/>
      <c r="EI82" s="117"/>
      <c r="EJ82" s="117"/>
      <c r="EK82" s="117"/>
      <c r="EL82" s="117"/>
      <c r="EM82" s="117"/>
      <c r="EN82" s="117"/>
      <c r="EO82" s="117"/>
      <c r="EP82" s="117"/>
      <c r="EQ82" s="117"/>
      <c r="ER82" s="117"/>
      <c r="ES82" s="117"/>
      <c r="ET82" s="117"/>
      <c r="EU82" s="117"/>
      <c r="EV82" s="117"/>
      <c r="EW82" s="117"/>
      <c r="EX82" s="117"/>
      <c r="EY82" s="117"/>
      <c r="EZ82" s="117"/>
      <c r="FA82" s="117"/>
      <c r="FB82" s="117"/>
      <c r="FC82" s="117"/>
      <c r="FD82" s="117"/>
      <c r="FE82" s="117"/>
      <c r="FF82" s="117"/>
      <c r="FG82" s="117"/>
      <c r="FH82" s="117"/>
      <c r="FI82" s="117"/>
      <c r="FJ82" s="117"/>
      <c r="FK82" s="117"/>
      <c r="FL82" s="117"/>
      <c r="FM82" s="117"/>
      <c r="FN82" s="117"/>
      <c r="FO82" s="117"/>
      <c r="FP82" s="117"/>
      <c r="FQ82" s="117"/>
      <c r="FR82" s="117"/>
      <c r="FS82" s="117"/>
      <c r="FT82" s="117"/>
      <c r="FU82" s="117"/>
      <c r="FV82" s="117"/>
      <c r="FW82" s="117"/>
      <c r="FX82" s="117"/>
      <c r="FY82" s="117"/>
      <c r="FZ82" s="117"/>
      <c r="GA82" s="117"/>
      <c r="GB82" s="117"/>
      <c r="GC82" s="117"/>
      <c r="GD82" s="117"/>
      <c r="GE82" s="117"/>
      <c r="GF82" s="117"/>
      <c r="GG82" s="117"/>
      <c r="GH82" s="117"/>
      <c r="GI82" s="117"/>
      <c r="GJ82" s="117"/>
      <c r="GK82" s="117"/>
      <c r="GL82" s="117"/>
      <c r="GM82" s="117"/>
      <c r="GN82" s="117"/>
      <c r="GO82" s="117"/>
      <c r="GP82" s="117"/>
      <c r="GQ82" s="117"/>
      <c r="GR82" s="117"/>
      <c r="GS82" s="117"/>
      <c r="GT82" s="117"/>
      <c r="GU82" s="117"/>
      <c r="GV82" s="117"/>
      <c r="GW82" s="117"/>
      <c r="GX82" s="117"/>
      <c r="GY82" s="117"/>
      <c r="GZ82" s="117"/>
      <c r="HA82" s="117"/>
      <c r="HB82" s="117"/>
      <c r="HC82" s="117"/>
      <c r="HD82" s="117"/>
      <c r="HE82" s="117"/>
      <c r="HF82" s="117"/>
      <c r="HG82" s="117"/>
      <c r="HH82" s="117"/>
      <c r="HI82" s="117"/>
      <c r="HJ82" s="117"/>
      <c r="HK82" s="117"/>
      <c r="HL82" s="117"/>
      <c r="HM82" s="117"/>
      <c r="HN82" s="117"/>
      <c r="HO82" s="117"/>
      <c r="HP82" s="117"/>
      <c r="HQ82" s="117"/>
      <c r="HR82" s="117"/>
      <c r="HS82" s="117"/>
      <c r="HT82" s="117"/>
      <c r="HU82" s="117"/>
      <c r="HV82" s="117"/>
      <c r="HW82" s="117"/>
      <c r="HX82" s="117"/>
      <c r="HY82" s="117"/>
      <c r="HZ82" s="117"/>
      <c r="IA82" s="117"/>
      <c r="IB82" s="117"/>
      <c r="IC82" s="117"/>
      <c r="ID82" s="117"/>
      <c r="IE82" s="117"/>
      <c r="IF82" s="117"/>
      <c r="IG82" s="117"/>
      <c r="IH82" s="117"/>
      <c r="II82" s="117"/>
      <c r="IJ82" s="117"/>
      <c r="IK82" s="117"/>
      <c r="IL82" s="117"/>
      <c r="IM82" s="117"/>
      <c r="IN82" s="117"/>
      <c r="IO82" s="117"/>
      <c r="IP82" s="117"/>
      <c r="IQ82" s="117"/>
      <c r="IR82" s="117"/>
      <c r="IS82" s="117"/>
      <c r="IT82" s="117"/>
      <c r="IU82" s="117"/>
      <c r="IV82" s="117"/>
      <c r="IW82" s="117"/>
    </row>
    <row r="83" customFormat="false" ht="15.75" hidden="false" customHeight="false" outlineLevel="0" collapsed="false">
      <c r="A83" s="117"/>
      <c r="B83" s="117"/>
      <c r="C83" s="251"/>
      <c r="D83" s="252"/>
      <c r="E83" s="252"/>
      <c r="F83" s="117"/>
      <c r="G83" s="262"/>
      <c r="H83" s="284"/>
      <c r="I83" s="258"/>
      <c r="M83" s="295"/>
      <c r="N83" s="295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  <c r="CZ83" s="117"/>
      <c r="DA83" s="117"/>
      <c r="DB83" s="117"/>
      <c r="DC83" s="117"/>
      <c r="DD83" s="117"/>
      <c r="DE83" s="117"/>
      <c r="DF83" s="117"/>
      <c r="DG83" s="117"/>
      <c r="DH83" s="117"/>
      <c r="DI83" s="117"/>
      <c r="DJ83" s="117"/>
      <c r="DK83" s="117"/>
      <c r="DL83" s="117"/>
      <c r="DM83" s="117"/>
      <c r="DN83" s="117"/>
      <c r="DO83" s="117"/>
      <c r="DP83" s="117"/>
      <c r="DQ83" s="117"/>
      <c r="DR83" s="117"/>
      <c r="DS83" s="117"/>
      <c r="DT83" s="117"/>
      <c r="DU83" s="117"/>
      <c r="DV83" s="117"/>
      <c r="DW83" s="117"/>
      <c r="DX83" s="117"/>
      <c r="DY83" s="117"/>
      <c r="DZ83" s="117"/>
      <c r="EA83" s="117"/>
      <c r="EB83" s="117"/>
      <c r="EC83" s="117"/>
      <c r="ED83" s="117"/>
      <c r="EE83" s="117"/>
      <c r="EF83" s="117"/>
      <c r="EG83" s="117"/>
      <c r="EH83" s="117"/>
      <c r="EI83" s="117"/>
      <c r="EJ83" s="117"/>
      <c r="EK83" s="117"/>
      <c r="EL83" s="117"/>
      <c r="EM83" s="117"/>
      <c r="EN83" s="117"/>
      <c r="EO83" s="117"/>
      <c r="EP83" s="117"/>
      <c r="EQ83" s="117"/>
      <c r="ER83" s="117"/>
      <c r="ES83" s="117"/>
      <c r="ET83" s="117"/>
      <c r="EU83" s="117"/>
      <c r="EV83" s="117"/>
      <c r="EW83" s="117"/>
      <c r="EX83" s="117"/>
      <c r="EY83" s="117"/>
      <c r="EZ83" s="117"/>
      <c r="FA83" s="117"/>
      <c r="FB83" s="117"/>
      <c r="FC83" s="117"/>
      <c r="FD83" s="117"/>
      <c r="FE83" s="117"/>
      <c r="FF83" s="117"/>
      <c r="FG83" s="117"/>
      <c r="FH83" s="117"/>
      <c r="FI83" s="117"/>
      <c r="FJ83" s="117"/>
      <c r="FK83" s="117"/>
      <c r="FL83" s="117"/>
      <c r="FM83" s="117"/>
      <c r="FN83" s="117"/>
      <c r="FO83" s="117"/>
      <c r="FP83" s="117"/>
      <c r="FQ83" s="117"/>
      <c r="FR83" s="117"/>
      <c r="FS83" s="117"/>
      <c r="FT83" s="117"/>
      <c r="FU83" s="117"/>
      <c r="FV83" s="117"/>
      <c r="FW83" s="117"/>
      <c r="FX83" s="117"/>
      <c r="FY83" s="117"/>
      <c r="FZ83" s="117"/>
      <c r="GA83" s="117"/>
      <c r="GB83" s="117"/>
      <c r="GC83" s="117"/>
      <c r="GD83" s="117"/>
      <c r="GE83" s="117"/>
      <c r="GF83" s="117"/>
      <c r="GG83" s="117"/>
      <c r="GH83" s="117"/>
      <c r="GI83" s="117"/>
      <c r="GJ83" s="117"/>
      <c r="GK83" s="117"/>
      <c r="GL83" s="117"/>
      <c r="GM83" s="117"/>
      <c r="GN83" s="117"/>
      <c r="GO83" s="117"/>
      <c r="GP83" s="117"/>
      <c r="GQ83" s="117"/>
      <c r="GR83" s="117"/>
      <c r="GS83" s="117"/>
      <c r="GT83" s="117"/>
      <c r="GU83" s="117"/>
      <c r="GV83" s="117"/>
      <c r="GW83" s="117"/>
      <c r="GX83" s="117"/>
      <c r="GY83" s="117"/>
      <c r="GZ83" s="117"/>
      <c r="HA83" s="117"/>
      <c r="HB83" s="117"/>
      <c r="HC83" s="117"/>
      <c r="HD83" s="117"/>
      <c r="HE83" s="117"/>
      <c r="HF83" s="117"/>
      <c r="HG83" s="117"/>
      <c r="HH83" s="117"/>
      <c r="HI83" s="117"/>
      <c r="HJ83" s="117"/>
      <c r="HK83" s="117"/>
      <c r="HL83" s="117"/>
      <c r="HM83" s="117"/>
      <c r="HN83" s="117"/>
      <c r="HO83" s="117"/>
      <c r="HP83" s="117"/>
      <c r="HQ83" s="117"/>
      <c r="HR83" s="117"/>
      <c r="HS83" s="117"/>
      <c r="HT83" s="117"/>
      <c r="HU83" s="117"/>
      <c r="HV83" s="117"/>
      <c r="HW83" s="117"/>
      <c r="HX83" s="117"/>
      <c r="HY83" s="117"/>
      <c r="HZ83" s="117"/>
      <c r="IA83" s="117"/>
      <c r="IB83" s="117"/>
      <c r="IC83" s="117"/>
      <c r="ID83" s="117"/>
      <c r="IE83" s="117"/>
      <c r="IF83" s="117"/>
      <c r="IG83" s="117"/>
      <c r="IH83" s="117"/>
      <c r="II83" s="117"/>
      <c r="IJ83" s="117"/>
      <c r="IK83" s="117"/>
      <c r="IL83" s="117"/>
      <c r="IM83" s="117"/>
      <c r="IN83" s="117"/>
      <c r="IO83" s="117"/>
      <c r="IP83" s="117"/>
      <c r="IQ83" s="117"/>
      <c r="IR83" s="117"/>
      <c r="IS83" s="117"/>
      <c r="IT83" s="117"/>
      <c r="IU83" s="117"/>
      <c r="IV83" s="117"/>
      <c r="IW83" s="117"/>
    </row>
    <row r="84" customFormat="false" ht="21.75" hidden="false" customHeight="true" outlineLevel="0" collapsed="false">
      <c r="A84" s="297" t="s">
        <v>236</v>
      </c>
      <c r="E84" s="251" t="s">
        <v>40</v>
      </c>
      <c r="H84" s="274"/>
      <c r="I84" s="258"/>
      <c r="J84" s="247" t="s">
        <v>40</v>
      </c>
      <c r="M84" s="258"/>
      <c r="N84" s="258"/>
    </row>
    <row r="85" customFormat="false" ht="15.75" hidden="false" customHeight="false" outlineLevel="0" collapsed="false">
      <c r="A85" s="298"/>
      <c r="H85" s="274"/>
      <c r="I85" s="258"/>
      <c r="M85" s="258"/>
      <c r="N85" s="258"/>
    </row>
    <row r="86" customFormat="false" ht="15.75" hidden="false" customHeight="false" outlineLevel="0" collapsed="false">
      <c r="A86" s="117" t="s">
        <v>237</v>
      </c>
      <c r="B86" s="247"/>
      <c r="C86" s="248" t="n">
        <f aca="false">+E86-J86</f>
        <v>329166.159699999</v>
      </c>
      <c r="E86" s="251" t="n">
        <f aca="false">'Total Financial'!D15+'Total Financial'!D19+'Total Financial'!D25+'Total Financial'!D29+'Total Financial'!D35+'Total Financial'!D39+66606+127591+3902</f>
        <v>1763441</v>
      </c>
      <c r="H86" s="274"/>
      <c r="I86" s="258"/>
      <c r="J86" s="247" t="n">
        <v>1434274.8403</v>
      </c>
      <c r="M86" s="258"/>
      <c r="N86" s="258"/>
    </row>
    <row r="87" customFormat="false" ht="15.75" hidden="false" customHeight="false" outlineLevel="0" collapsed="false">
      <c r="A87" s="117"/>
      <c r="B87" s="247"/>
      <c r="C87" s="248" t="s">
        <v>40</v>
      </c>
      <c r="E87" s="251"/>
      <c r="H87" s="274"/>
      <c r="I87" s="258"/>
      <c r="M87" s="258"/>
      <c r="N87" s="258"/>
    </row>
    <row r="88" customFormat="false" ht="15.75" hidden="false" customHeight="false" outlineLevel="0" collapsed="false">
      <c r="A88" s="117" t="s">
        <v>238</v>
      </c>
      <c r="B88" s="299"/>
      <c r="C88" s="248" t="n">
        <f aca="false">+E88-J88</f>
        <v>1528.38340000017</v>
      </c>
      <c r="E88" s="251" t="n">
        <f aca="false">'Total Financial'!D16+'Total Financial'!D20+'Total Financial'!D26+'Total Financial'!D30+'Total Financial'!D36+'Total Financial'!D40</f>
        <v>16896.3430000001</v>
      </c>
      <c r="H88" s="274"/>
      <c r="I88" s="258"/>
      <c r="J88" s="247" t="n">
        <v>15367.9595999999</v>
      </c>
      <c r="M88" s="258"/>
      <c r="N88" s="258"/>
    </row>
    <row r="89" customFormat="false" ht="15.75" hidden="false" customHeight="false" outlineLevel="0" collapsed="false">
      <c r="A89" s="117"/>
      <c r="B89" s="299"/>
      <c r="C89" s="248"/>
      <c r="E89" s="251"/>
      <c r="H89" s="274"/>
      <c r="I89" s="258"/>
      <c r="M89" s="258"/>
      <c r="N89" s="258"/>
    </row>
    <row r="90" customFormat="false" ht="15.75" hidden="false" customHeight="false" outlineLevel="0" collapsed="false">
      <c r="A90" s="300" t="s">
        <v>51</v>
      </c>
      <c r="B90" s="301"/>
      <c r="C90" s="302" t="n">
        <f aca="false">+E90-J90</f>
        <v>10.9124000000011</v>
      </c>
      <c r="D90" s="302"/>
      <c r="E90" s="303" t="n">
        <f aca="false">'Total Financial'!D17+'Total Financial'!D27+'Total Financial'!D37</f>
        <v>16664.5174</v>
      </c>
      <c r="F90" s="304"/>
      <c r="G90" s="305"/>
      <c r="H90" s="306"/>
      <c r="I90" s="307"/>
      <c r="J90" s="247" t="n">
        <v>16653.605</v>
      </c>
      <c r="M90" s="307"/>
      <c r="N90" s="307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304"/>
      <c r="BC90" s="304"/>
      <c r="BD90" s="304"/>
      <c r="BE90" s="304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  <c r="BQ90" s="304"/>
      <c r="BR90" s="304"/>
      <c r="BS90" s="304"/>
      <c r="BT90" s="304"/>
      <c r="BU90" s="304"/>
      <c r="BV90" s="304"/>
      <c r="BW90" s="304"/>
      <c r="BX90" s="304"/>
      <c r="BY90" s="304"/>
      <c r="BZ90" s="304"/>
      <c r="CA90" s="304"/>
      <c r="CB90" s="304"/>
      <c r="CC90" s="304"/>
      <c r="CD90" s="304"/>
      <c r="CE90" s="304"/>
      <c r="CF90" s="304"/>
      <c r="CG90" s="304"/>
      <c r="CH90" s="304"/>
      <c r="CI90" s="304"/>
      <c r="CJ90" s="304"/>
      <c r="CK90" s="304"/>
      <c r="CL90" s="304"/>
      <c r="CM90" s="304"/>
      <c r="CN90" s="304"/>
      <c r="CO90" s="304"/>
      <c r="CP90" s="304"/>
      <c r="CQ90" s="304"/>
      <c r="CR90" s="304"/>
      <c r="CS90" s="304"/>
      <c r="CT90" s="304"/>
      <c r="CU90" s="304"/>
      <c r="CV90" s="304"/>
      <c r="CW90" s="304"/>
      <c r="CX90" s="304"/>
      <c r="CY90" s="304"/>
      <c r="CZ90" s="304"/>
      <c r="DA90" s="304"/>
      <c r="DB90" s="304"/>
      <c r="DC90" s="304"/>
      <c r="DD90" s="304"/>
      <c r="DE90" s="304"/>
      <c r="DF90" s="304"/>
      <c r="DG90" s="304"/>
      <c r="DH90" s="304"/>
      <c r="DI90" s="304"/>
      <c r="DJ90" s="304"/>
      <c r="DK90" s="304"/>
      <c r="DL90" s="304"/>
      <c r="DM90" s="304"/>
      <c r="DN90" s="304"/>
      <c r="DO90" s="304"/>
      <c r="DP90" s="304"/>
      <c r="DQ90" s="304"/>
      <c r="DR90" s="304"/>
      <c r="DS90" s="304"/>
      <c r="DT90" s="304"/>
      <c r="DU90" s="304"/>
      <c r="DV90" s="304"/>
      <c r="DW90" s="304"/>
      <c r="DX90" s="304"/>
      <c r="DY90" s="304"/>
      <c r="DZ90" s="304"/>
      <c r="EA90" s="304"/>
      <c r="EB90" s="304"/>
      <c r="EC90" s="304"/>
      <c r="ED90" s="304"/>
      <c r="EE90" s="304"/>
      <c r="EF90" s="304"/>
      <c r="EG90" s="304"/>
      <c r="EH90" s="304"/>
      <c r="EI90" s="304"/>
      <c r="EJ90" s="304"/>
      <c r="EK90" s="304"/>
      <c r="EL90" s="304"/>
      <c r="EM90" s="304"/>
      <c r="EN90" s="304"/>
      <c r="EO90" s="304"/>
      <c r="EP90" s="304"/>
      <c r="EQ90" s="304"/>
      <c r="ER90" s="304"/>
      <c r="ES90" s="304"/>
      <c r="ET90" s="304"/>
      <c r="EU90" s="304"/>
      <c r="EV90" s="304"/>
      <c r="EW90" s="304"/>
      <c r="EX90" s="304"/>
      <c r="EY90" s="304"/>
      <c r="EZ90" s="304"/>
      <c r="FA90" s="304"/>
      <c r="FB90" s="304"/>
      <c r="FC90" s="304"/>
      <c r="FD90" s="304"/>
      <c r="FE90" s="304"/>
      <c r="FF90" s="304"/>
      <c r="FG90" s="304"/>
      <c r="FH90" s="304"/>
      <c r="FI90" s="304"/>
      <c r="FJ90" s="304"/>
      <c r="FK90" s="304"/>
      <c r="FL90" s="304"/>
      <c r="FM90" s="304"/>
      <c r="FN90" s="304"/>
      <c r="FO90" s="304"/>
      <c r="FP90" s="304"/>
      <c r="FQ90" s="304"/>
      <c r="FR90" s="304"/>
      <c r="FS90" s="304"/>
      <c r="FT90" s="304"/>
      <c r="FU90" s="304"/>
      <c r="FV90" s="304"/>
      <c r="FW90" s="304"/>
      <c r="FX90" s="304"/>
      <c r="FY90" s="304"/>
      <c r="FZ90" s="304"/>
      <c r="GA90" s="304"/>
      <c r="GB90" s="304"/>
      <c r="GC90" s="304"/>
      <c r="GD90" s="304"/>
      <c r="GE90" s="304"/>
      <c r="GF90" s="304"/>
      <c r="GG90" s="304"/>
      <c r="GH90" s="304"/>
      <c r="GI90" s="304"/>
      <c r="GJ90" s="304"/>
      <c r="GK90" s="304"/>
      <c r="GL90" s="304"/>
      <c r="GM90" s="304"/>
      <c r="GN90" s="304"/>
      <c r="GO90" s="304"/>
      <c r="GP90" s="304"/>
      <c r="GQ90" s="304"/>
      <c r="GR90" s="304"/>
      <c r="GS90" s="304"/>
      <c r="GT90" s="304"/>
      <c r="GU90" s="304"/>
      <c r="GV90" s="304"/>
      <c r="GW90" s="304"/>
      <c r="GX90" s="304"/>
      <c r="GY90" s="304"/>
      <c r="GZ90" s="304"/>
      <c r="HA90" s="304"/>
      <c r="HB90" s="304"/>
      <c r="HC90" s="304"/>
      <c r="HD90" s="304"/>
      <c r="HE90" s="304"/>
      <c r="HF90" s="304"/>
      <c r="HG90" s="304"/>
      <c r="HH90" s="304"/>
      <c r="HI90" s="304"/>
      <c r="HJ90" s="304"/>
      <c r="HK90" s="304"/>
      <c r="HL90" s="304"/>
      <c r="HM90" s="304"/>
      <c r="HN90" s="304"/>
      <c r="HO90" s="304"/>
      <c r="HP90" s="304"/>
      <c r="HQ90" s="304"/>
      <c r="HR90" s="304"/>
      <c r="HS90" s="304"/>
      <c r="HT90" s="304"/>
      <c r="HU90" s="304"/>
      <c r="HV90" s="304"/>
      <c r="HW90" s="304"/>
      <c r="HX90" s="304"/>
      <c r="HY90" s="304"/>
      <c r="HZ90" s="304"/>
      <c r="IA90" s="304"/>
      <c r="IB90" s="304"/>
      <c r="IC90" s="304"/>
      <c r="ID90" s="304"/>
      <c r="IE90" s="304"/>
      <c r="IF90" s="304"/>
      <c r="IG90" s="304"/>
      <c r="IH90" s="304"/>
      <c r="II90" s="304"/>
      <c r="IJ90" s="304"/>
      <c r="IK90" s="304"/>
      <c r="IL90" s="304"/>
      <c r="IM90" s="304"/>
      <c r="IN90" s="304"/>
      <c r="IO90" s="304"/>
      <c r="IP90" s="304"/>
      <c r="IQ90" s="304"/>
      <c r="IR90" s="304"/>
      <c r="IS90" s="304"/>
      <c r="IT90" s="304"/>
      <c r="IU90" s="304"/>
      <c r="IV90" s="304"/>
      <c r="IW90" s="304"/>
    </row>
    <row r="91" customFormat="false" ht="15.75" hidden="false" customHeight="false" outlineLevel="0" collapsed="false">
      <c r="A91" s="117"/>
      <c r="B91" s="299"/>
      <c r="C91" s="248"/>
      <c r="E91" s="251"/>
      <c r="H91" s="274"/>
      <c r="I91" s="258"/>
      <c r="M91" s="258"/>
      <c r="N91" s="258"/>
    </row>
    <row r="92" customFormat="false" ht="15.75" hidden="false" customHeight="false" outlineLevel="0" collapsed="false">
      <c r="A92" s="117" t="s">
        <v>44</v>
      </c>
      <c r="B92" s="299"/>
      <c r="C92" s="248" t="n">
        <f aca="false">+E92-J92</f>
        <v>0</v>
      </c>
      <c r="E92" s="251" t="n">
        <f aca="false">'Total Financial'!D18+'Total Financial'!D28+'Total Financial'!D38</f>
        <v>0</v>
      </c>
      <c r="H92" s="274"/>
      <c r="I92" s="258"/>
      <c r="J92" s="247" t="n">
        <v>0</v>
      </c>
      <c r="M92" s="258"/>
      <c r="N92" s="258"/>
    </row>
    <row r="93" customFormat="false" ht="15.75" hidden="false" customHeight="false" outlineLevel="0" collapsed="false">
      <c r="A93" s="117"/>
      <c r="B93" s="299"/>
      <c r="C93" s="248"/>
      <c r="E93" s="251"/>
      <c r="H93" s="274"/>
      <c r="I93" s="258"/>
      <c r="M93" s="258"/>
      <c r="N93" s="258"/>
    </row>
    <row r="94" customFormat="false" ht="15.75" hidden="false" customHeight="false" outlineLevel="0" collapsed="false">
      <c r="A94" s="117" t="s">
        <v>153</v>
      </c>
      <c r="C94" s="248" t="n">
        <f aca="false">+E94-J94</f>
        <v>0</v>
      </c>
      <c r="E94" s="308" t="n">
        <f aca="false">'Total Financial'!D21+'Total Financial'!D31+'Total Financial'!D41</f>
        <v>0</v>
      </c>
      <c r="H94" s="274"/>
      <c r="I94" s="258"/>
      <c r="J94" s="247" t="n">
        <v>0</v>
      </c>
      <c r="M94" s="258"/>
      <c r="N94" s="258"/>
    </row>
    <row r="95" customFormat="false" ht="15.75" hidden="false" customHeight="false" outlineLevel="0" collapsed="false">
      <c r="A95" s="117"/>
      <c r="C95" s="248"/>
      <c r="E95" s="309"/>
      <c r="H95" s="274"/>
      <c r="I95" s="258"/>
      <c r="M95" s="258"/>
      <c r="N95" s="258"/>
    </row>
    <row r="96" customFormat="false" ht="15.75" hidden="false" customHeight="false" outlineLevel="0" collapsed="false">
      <c r="A96" s="117" t="s">
        <v>24</v>
      </c>
      <c r="C96" s="248" t="n">
        <v>0</v>
      </c>
      <c r="E96" s="309" t="n">
        <v>0</v>
      </c>
      <c r="H96" s="274"/>
      <c r="I96" s="258"/>
      <c r="J96" s="247" t="n">
        <v>0</v>
      </c>
      <c r="M96" s="258"/>
      <c r="N96" s="258"/>
    </row>
    <row r="97" customFormat="false" ht="15.75" hidden="false" customHeight="false" outlineLevel="0" collapsed="false">
      <c r="A97" s="117"/>
      <c r="C97" s="277"/>
      <c r="E97" s="251"/>
      <c r="H97" s="274"/>
      <c r="I97" s="258"/>
      <c r="M97" s="258"/>
      <c r="N97" s="258"/>
    </row>
    <row r="98" customFormat="false" ht="15.75" hidden="false" customHeight="false" outlineLevel="0" collapsed="false">
      <c r="A98" s="287" t="s">
        <v>239</v>
      </c>
      <c r="C98" s="277" t="n">
        <f aca="false">+E98-J98</f>
        <v>330705.455499999</v>
      </c>
      <c r="D98" s="252"/>
      <c r="E98" s="283" t="n">
        <f aca="false">SUM(E86:E96)</f>
        <v>1797001.8604</v>
      </c>
      <c r="H98" s="274"/>
      <c r="I98" s="258"/>
      <c r="J98" s="247" t="n">
        <v>1466296.4049</v>
      </c>
      <c r="M98" s="258"/>
      <c r="N98" s="258"/>
    </row>
    <row r="99" customFormat="false" ht="18" hidden="false" customHeight="true" outlineLevel="0" collapsed="false">
      <c r="A99" s="287"/>
      <c r="C99" s="248"/>
      <c r="D99" s="252"/>
      <c r="E99" s="252"/>
      <c r="H99" s="274"/>
      <c r="I99" s="258"/>
      <c r="M99" s="258"/>
      <c r="N99" s="258"/>
    </row>
    <row r="100" customFormat="false" ht="23.25" hidden="false" customHeight="true" outlineLevel="0" collapsed="false">
      <c r="A100" s="297" t="s">
        <v>240</v>
      </c>
      <c r="C100" s="248"/>
      <c r="D100" s="252"/>
      <c r="E100" s="252"/>
      <c r="H100" s="274"/>
      <c r="I100" s="258"/>
      <c r="M100" s="258"/>
      <c r="N100" s="258"/>
    </row>
    <row r="101" customFormat="false" ht="15.75" hidden="false" customHeight="false" outlineLevel="0" collapsed="false">
      <c r="A101" s="310" t="s">
        <v>241</v>
      </c>
      <c r="C101" s="252" t="n">
        <f aca="false">+E101-J101</f>
        <v>0</v>
      </c>
      <c r="E101" s="252" t="n">
        <v>0</v>
      </c>
      <c r="H101" s="274"/>
      <c r="I101" s="258"/>
      <c r="J101" s="247" t="n">
        <v>0</v>
      </c>
      <c r="M101" s="258"/>
      <c r="N101" s="258"/>
    </row>
    <row r="102" customFormat="false" ht="15.75" hidden="false" customHeight="false" outlineLevel="0" collapsed="false">
      <c r="A102" s="246" t="s">
        <v>242</v>
      </c>
      <c r="C102" s="263" t="n">
        <f aca="false">+E102-J102</f>
        <v>0</v>
      </c>
      <c r="D102" s="252"/>
      <c r="E102" s="263" t="n">
        <v>0</v>
      </c>
      <c r="H102" s="274"/>
      <c r="I102" s="258"/>
      <c r="J102" s="247" t="n">
        <v>0</v>
      </c>
      <c r="M102" s="258"/>
      <c r="N102" s="258"/>
    </row>
    <row r="103" customFormat="false" ht="15.75" hidden="false" customHeight="false" outlineLevel="0" collapsed="false">
      <c r="C103" s="252"/>
      <c r="D103" s="252"/>
      <c r="E103" s="252"/>
      <c r="H103" s="274"/>
      <c r="I103" s="258"/>
      <c r="M103" s="258"/>
      <c r="N103" s="258"/>
    </row>
    <row r="104" customFormat="false" ht="15.75" hidden="false" customHeight="false" outlineLevel="0" collapsed="false">
      <c r="A104" s="287" t="s">
        <v>243</v>
      </c>
      <c r="C104" s="248" t="n">
        <f aca="false">+E104-J104</f>
        <v>0</v>
      </c>
      <c r="D104" s="247"/>
      <c r="E104" s="251" t="n">
        <f aca="false">SUM(E101:E102)</f>
        <v>0</v>
      </c>
      <c r="H104" s="274"/>
      <c r="J104" s="247" t="n">
        <v>0</v>
      </c>
    </row>
    <row r="105" customFormat="false" ht="24" hidden="false" customHeight="true" outlineLevel="0" collapsed="false">
      <c r="A105" s="290" t="s">
        <v>244</v>
      </c>
      <c r="E105" s="251"/>
      <c r="H105" s="274"/>
      <c r="I105" s="258"/>
      <c r="M105" s="258"/>
      <c r="N105" s="258"/>
    </row>
    <row r="106" customFormat="false" ht="18" hidden="false" customHeight="true" outlineLevel="0" collapsed="false">
      <c r="A106" s="246" t="s">
        <v>245</v>
      </c>
      <c r="C106" s="248" t="n">
        <f aca="false">+E106-J106</f>
        <v>-23925.875</v>
      </c>
      <c r="E106" s="311" t="n">
        <f aca="false">Other!E30+Other!E31+Other!E32+Other!E33</f>
        <v>-147669</v>
      </c>
      <c r="H106" s="274"/>
      <c r="I106" s="258"/>
      <c r="J106" s="247" t="n">
        <v>-123743.125</v>
      </c>
      <c r="M106" s="312"/>
      <c r="N106" s="313"/>
      <c r="O106" s="314"/>
      <c r="P106" s="314"/>
      <c r="Q106" s="258"/>
      <c r="R106" s="258"/>
    </row>
    <row r="107" customFormat="false" ht="18" hidden="false" customHeight="true" outlineLevel="0" collapsed="false">
      <c r="A107" s="246" t="s">
        <v>166</v>
      </c>
      <c r="C107" s="248" t="n">
        <f aca="false">+E107-J107</f>
        <v>-12728.5</v>
      </c>
      <c r="E107" s="311" t="n">
        <f aca="false">Other!E35+Other!E36+Other!E37+Other!E38</f>
        <v>-50428</v>
      </c>
      <c r="H107" s="274"/>
      <c r="I107" s="258"/>
      <c r="J107" s="247" t="n">
        <v>-37699.5</v>
      </c>
      <c r="M107" s="312"/>
      <c r="N107" s="313"/>
      <c r="O107" s="314"/>
      <c r="P107" s="314"/>
      <c r="Q107" s="258"/>
      <c r="R107" s="258"/>
    </row>
    <row r="108" customFormat="false" ht="18" hidden="false" customHeight="true" outlineLevel="0" collapsed="false">
      <c r="A108" s="246" t="s">
        <v>126</v>
      </c>
      <c r="C108" s="248" t="n">
        <f aca="false">+E108-J108</f>
        <v>0</v>
      </c>
      <c r="E108" s="311" t="n">
        <f aca="false">+Other!E21</f>
        <v>0</v>
      </c>
      <c r="H108" s="274"/>
      <c r="I108" s="258"/>
      <c r="J108" s="247" t="n">
        <v>0</v>
      </c>
      <c r="M108" s="312"/>
      <c r="N108" s="313"/>
      <c r="O108" s="314"/>
      <c r="P108" s="314"/>
      <c r="Q108" s="258"/>
      <c r="R108" s="258"/>
    </row>
    <row r="109" customFormat="false" ht="18" hidden="false" customHeight="true" outlineLevel="0" collapsed="false">
      <c r="A109" s="246" t="s">
        <v>246</v>
      </c>
      <c r="C109" s="248" t="n">
        <f aca="false">+E109-J109</f>
        <v>0</v>
      </c>
      <c r="E109" s="311" t="n">
        <f aca="false">+Other!E28</f>
        <v>0</v>
      </c>
      <c r="H109" s="274"/>
      <c r="I109" s="258"/>
      <c r="J109" s="247" t="n">
        <v>0</v>
      </c>
      <c r="M109" s="312" t="s">
        <v>40</v>
      </c>
      <c r="N109" s="313"/>
      <c r="O109" s="314"/>
      <c r="P109" s="314"/>
      <c r="Q109" s="258"/>
      <c r="R109" s="258"/>
    </row>
    <row r="110" customFormat="false" ht="16.5" hidden="false" customHeight="false" outlineLevel="0" collapsed="false">
      <c r="A110" s="117" t="s">
        <v>247</v>
      </c>
      <c r="C110" s="315" t="n">
        <f aca="false">+E110-J110</f>
        <v>-36654.375</v>
      </c>
      <c r="D110" s="252"/>
      <c r="E110" s="316" t="n">
        <f aca="false">SUM(E106:E109)</f>
        <v>-198097</v>
      </c>
      <c r="H110" s="274"/>
      <c r="I110" s="258"/>
      <c r="J110" s="247" t="n">
        <v>-161442.625</v>
      </c>
      <c r="M110" s="258"/>
      <c r="N110" s="313"/>
      <c r="O110" s="314"/>
      <c r="P110" s="314"/>
      <c r="Q110" s="258"/>
      <c r="R110" s="258"/>
    </row>
    <row r="111" customFormat="false" ht="15.75" hidden="false" customHeight="false" outlineLevel="0" collapsed="false">
      <c r="D111" s="247"/>
      <c r="H111" s="274"/>
      <c r="I111" s="258"/>
      <c r="M111" s="258"/>
      <c r="N111" s="313"/>
      <c r="O111" s="314"/>
      <c r="P111" s="314"/>
      <c r="Q111" s="258"/>
      <c r="R111" s="258"/>
    </row>
    <row r="112" customFormat="false" ht="15.75" hidden="false" customHeight="false" outlineLevel="0" collapsed="false">
      <c r="A112" s="117" t="s">
        <v>40</v>
      </c>
      <c r="C112" s="248" t="s">
        <v>40</v>
      </c>
      <c r="E112" s="317" t="s">
        <v>40</v>
      </c>
      <c r="H112" s="274"/>
      <c r="I112" s="258"/>
      <c r="J112" s="247" t="s">
        <v>40</v>
      </c>
      <c r="M112" s="258"/>
      <c r="N112" s="258"/>
      <c r="O112" s="314"/>
      <c r="P112" s="314"/>
      <c r="Q112" s="258"/>
      <c r="R112" s="258"/>
    </row>
    <row r="113" customFormat="false" ht="15.75" hidden="false" customHeight="false" outlineLevel="0" collapsed="false">
      <c r="C113" s="277"/>
      <c r="E113" s="263"/>
      <c r="H113" s="274"/>
      <c r="I113" s="258"/>
      <c r="M113" s="258"/>
      <c r="N113" s="258"/>
      <c r="O113" s="314"/>
      <c r="P113" s="314"/>
      <c r="Q113" s="258"/>
      <c r="R113" s="258"/>
    </row>
    <row r="114" customFormat="false" ht="16.5" hidden="false" customHeight="false" outlineLevel="0" collapsed="false">
      <c r="A114" s="287" t="s">
        <v>248</v>
      </c>
      <c r="C114" s="318" t="n">
        <f aca="false">+C25+C33+C64+C79+C81+C82+C98+C104+C110</f>
        <v>17737.5254999991</v>
      </c>
      <c r="D114" s="296"/>
      <c r="E114" s="318" t="n">
        <f aca="false">+E25+E33+E64+E79+E81+E82+E98+E104+E110</f>
        <v>51442.6054000002</v>
      </c>
      <c r="H114" s="274"/>
      <c r="I114" s="258"/>
      <c r="J114" s="247" t="n">
        <v>33705.0799000012</v>
      </c>
      <c r="M114" s="319"/>
      <c r="N114" s="313"/>
      <c r="O114" s="314"/>
      <c r="P114" s="314"/>
      <c r="Q114" s="258"/>
      <c r="R114" s="258"/>
    </row>
    <row r="115" customFormat="false" ht="16.5" hidden="false" customHeight="false" outlineLevel="0" collapsed="false">
      <c r="I115" s="258"/>
      <c r="L115" s="280"/>
      <c r="M115" s="258"/>
      <c r="N115" s="313"/>
      <c r="O115" s="314"/>
      <c r="P115" s="314"/>
      <c r="Q115" s="258"/>
      <c r="R115" s="258"/>
    </row>
    <row r="116" customFormat="false" ht="15.75" hidden="false" customHeight="false" outlineLevel="0" collapsed="false">
      <c r="A116" s="246" t="s">
        <v>40</v>
      </c>
      <c r="I116" s="258"/>
      <c r="K116" s="258"/>
      <c r="L116" s="280"/>
      <c r="M116" s="258"/>
      <c r="N116" s="313"/>
      <c r="O116" s="258"/>
      <c r="P116" s="258"/>
      <c r="Q116" s="258"/>
      <c r="R116" s="258"/>
    </row>
    <row r="117" customFormat="false" ht="15.75" hidden="false" customHeight="false" outlineLevel="0" collapsed="false">
      <c r="I117" s="258"/>
      <c r="K117" s="258"/>
      <c r="L117" s="280"/>
      <c r="M117" s="258"/>
      <c r="N117" s="258"/>
    </row>
    <row r="118" customFormat="false" ht="15.75" hidden="false" customHeight="false" outlineLevel="0" collapsed="false">
      <c r="I118" s="258"/>
      <c r="K118" s="258"/>
      <c r="L118" s="280"/>
      <c r="M118" s="258"/>
      <c r="N118" s="258"/>
    </row>
    <row r="119" customFormat="false" ht="15.75" hidden="false" customHeight="false" outlineLevel="0" collapsed="false">
      <c r="I119" s="258"/>
      <c r="K119" s="258"/>
      <c r="L119" s="280"/>
      <c r="M119" s="258"/>
      <c r="N119" s="258"/>
    </row>
    <row r="120" customFormat="false" ht="15.75" hidden="false" customHeight="false" outlineLevel="0" collapsed="false">
      <c r="I120" s="258"/>
      <c r="K120" s="258"/>
      <c r="L120" s="280"/>
      <c r="M120" s="258"/>
      <c r="N120" s="258"/>
    </row>
    <row r="121" customFormat="false" ht="15.75" hidden="false" customHeight="false" outlineLevel="0" collapsed="false">
      <c r="I121" s="258"/>
      <c r="K121" s="258"/>
      <c r="L121" s="280"/>
      <c r="M121" s="258"/>
      <c r="N121" s="258"/>
    </row>
    <row r="122" customFormat="false" ht="15.75" hidden="false" customHeight="false" outlineLevel="0" collapsed="false">
      <c r="I122" s="258"/>
      <c r="K122" s="258"/>
      <c r="L122" s="280"/>
      <c r="M122" s="258"/>
      <c r="N122" s="258"/>
    </row>
    <row r="123" customFormat="false" ht="15.75" hidden="false" customHeight="false" outlineLevel="0" collapsed="false">
      <c r="I123" s="258"/>
      <c r="K123" s="258"/>
      <c r="L123" s="280"/>
      <c r="M123" s="258"/>
      <c r="N123" s="258"/>
    </row>
    <row r="124" customFormat="false" ht="15.75" hidden="false" customHeight="false" outlineLevel="0" collapsed="false">
      <c r="I124" s="258"/>
      <c r="K124" s="258"/>
      <c r="L124" s="280"/>
      <c r="M124" s="258"/>
      <c r="N124" s="2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3.CopytoPrior">
                <anchor moveWithCells="true" sizeWithCells="false">
                  <from>
                    <xdr:col>9</xdr:col>
                    <xdr:colOff>9720</xdr:colOff>
                    <xdr:row>1</xdr:row>
                    <xdr:rowOff>0</xdr:rowOff>
                  </from>
                  <to>
                    <xdr:col>12</xdr:col>
                    <xdr:colOff>11880</xdr:colOff>
                    <xdr:row>3</xdr:row>
                    <xdr:rowOff>190440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14"/>
    <col collapsed="false" customWidth="false" hidden="false" outlineLevel="0" max="2" min="2" style="87" width="9.14"/>
    <col collapsed="false" customWidth="true" hidden="false" outlineLevel="0" max="3" min="3" style="87" width="19.56"/>
    <col collapsed="false" customWidth="true" hidden="false" outlineLevel="0" max="5" min="4" style="116" width="13.99"/>
    <col collapsed="false" customWidth="true" hidden="false" outlineLevel="0" max="6" min="6" style="87" width="13.99"/>
    <col collapsed="false" customWidth="true" hidden="false" outlineLevel="0" max="7" min="7" style="87" width="4.14"/>
    <col collapsed="false" customWidth="true" hidden="false" outlineLevel="0" max="8" min="8" style="87" width="4.85"/>
    <col collapsed="false" customWidth="false" hidden="false" outlineLevel="0" max="9" min="9" style="87" width="9.14"/>
    <col collapsed="false" customWidth="true" hidden="false" outlineLevel="0" max="10" min="10" style="87" width="20.13"/>
    <col collapsed="false" customWidth="true" hidden="false" outlineLevel="0" max="12" min="11" style="116" width="13.99"/>
    <col collapsed="false" customWidth="true" hidden="false" outlineLevel="0" max="13" min="13" style="87" width="13.99"/>
    <col collapsed="false" customWidth="false" hidden="false" outlineLevel="0" max="257" min="14" style="87" width="9.14"/>
  </cols>
  <sheetData>
    <row r="1" customFormat="false" ht="18.75" hidden="false" customHeight="false" outlineLevel="0" collapsed="false">
      <c r="B1" s="90" t="s">
        <v>249</v>
      </c>
      <c r="J1" s="320" t="s">
        <v>250</v>
      </c>
      <c r="K1" s="321" t="s">
        <v>251</v>
      </c>
      <c r="L1" s="322" t="s">
        <v>252</v>
      </c>
      <c r="M1" s="323" t="s">
        <v>253</v>
      </c>
    </row>
    <row r="2" customFormat="false" ht="19.5" hidden="false" customHeight="false" outlineLevel="0" collapsed="false">
      <c r="B2" s="90"/>
      <c r="J2" s="173" t="s">
        <v>254</v>
      </c>
      <c r="K2" s="120" t="n">
        <f aca="false">+D12-K12</f>
        <v>0</v>
      </c>
      <c r="L2" s="120" t="n">
        <f aca="false">+E12-L12</f>
        <v>0</v>
      </c>
      <c r="M2" s="324" t="n">
        <f aca="false">+L2*M29</f>
        <v>0</v>
      </c>
    </row>
    <row r="3" customFormat="false" ht="12.75" hidden="false" customHeight="false" outlineLevel="0" collapsed="false">
      <c r="E3" s="116" t="s">
        <v>146</v>
      </c>
      <c r="F3" s="92"/>
      <c r="G3" s="92"/>
      <c r="H3" s="92"/>
      <c r="L3" s="116" t="s">
        <v>146</v>
      </c>
      <c r="M3" s="92"/>
    </row>
    <row r="4" customFormat="false" ht="15" hidden="false" customHeight="false" outlineLevel="0" collapsed="false">
      <c r="B4" s="325" t="s">
        <v>255</v>
      </c>
      <c r="C4" s="175"/>
      <c r="D4" s="326" t="s">
        <v>256</v>
      </c>
      <c r="E4" s="326" t="s">
        <v>257</v>
      </c>
      <c r="F4" s="327" t="s">
        <v>258</v>
      </c>
      <c r="G4" s="92"/>
      <c r="H4" s="92"/>
      <c r="I4" s="325" t="s">
        <v>259</v>
      </c>
      <c r="J4" s="175"/>
      <c r="K4" s="326" t="s">
        <v>256</v>
      </c>
      <c r="L4" s="326" t="s">
        <v>257</v>
      </c>
      <c r="M4" s="327" t="s">
        <v>85</v>
      </c>
    </row>
    <row r="5" customFormat="false" ht="12.75" hidden="false" customHeight="false" outlineLevel="0" collapsed="false">
      <c r="A5" s="87" t="n">
        <v>1</v>
      </c>
      <c r="B5" s="328" t="s">
        <v>260</v>
      </c>
      <c r="D5" s="329" t="n">
        <v>10340342</v>
      </c>
      <c r="E5" s="330" t="n">
        <v>3448360</v>
      </c>
      <c r="F5" s="331" t="n">
        <f aca="false">D5/E5</f>
        <v>2.99862601352527</v>
      </c>
      <c r="G5" s="332"/>
      <c r="H5" s="332" t="n">
        <v>6</v>
      </c>
      <c r="I5" s="328" t="s">
        <v>261</v>
      </c>
      <c r="K5" s="329" t="n">
        <v>10231598</v>
      </c>
      <c r="L5" s="330" t="n">
        <v>3054214</v>
      </c>
      <c r="M5" s="331" t="n">
        <f aca="false">K5/L5</f>
        <v>3.34999381182851</v>
      </c>
    </row>
    <row r="6" customFormat="false" ht="12.75" hidden="false" customHeight="false" outlineLevel="0" collapsed="false">
      <c r="K6" s="116" t="s">
        <v>40</v>
      </c>
      <c r="L6" s="186"/>
    </row>
    <row r="7" customFormat="false" ht="14.25" hidden="false" customHeight="false" outlineLevel="0" collapsed="false">
      <c r="B7" s="333" t="s">
        <v>262</v>
      </c>
      <c r="E7" s="116" t="s">
        <v>146</v>
      </c>
      <c r="F7" s="92"/>
      <c r="G7" s="92"/>
      <c r="H7" s="92"/>
      <c r="I7" s="333" t="s">
        <v>262</v>
      </c>
      <c r="L7" s="116" t="s">
        <v>146</v>
      </c>
      <c r="M7" s="92"/>
    </row>
    <row r="8" customFormat="false" ht="15" hidden="false" customHeight="false" outlineLevel="0" collapsed="false">
      <c r="B8" s="325" t="s">
        <v>263</v>
      </c>
      <c r="C8" s="175"/>
      <c r="D8" s="326" t="s">
        <v>256</v>
      </c>
      <c r="E8" s="326" t="s">
        <v>257</v>
      </c>
      <c r="F8" s="327" t="s">
        <v>264</v>
      </c>
      <c r="G8" s="92"/>
      <c r="H8" s="92"/>
      <c r="I8" s="325" t="s">
        <v>265</v>
      </c>
      <c r="J8" s="175"/>
      <c r="K8" s="326" t="s">
        <v>256</v>
      </c>
      <c r="L8" s="326" t="s">
        <v>257</v>
      </c>
      <c r="M8" s="327" t="s">
        <v>264</v>
      </c>
    </row>
    <row r="9" customFormat="false" ht="12.75" hidden="false" customHeight="false" outlineLevel="0" collapsed="false">
      <c r="A9" s="87" t="n">
        <v>3</v>
      </c>
      <c r="B9" s="87" t="s">
        <v>266</v>
      </c>
      <c r="D9" s="334"/>
      <c r="E9" s="334"/>
      <c r="F9" s="331" t="e">
        <f aca="false">D9/E9</f>
        <v>#DIV/0!</v>
      </c>
      <c r="G9" s="332"/>
      <c r="H9" s="332" t="n">
        <v>8</v>
      </c>
      <c r="I9" s="87" t="s">
        <v>266</v>
      </c>
      <c r="K9" s="334"/>
      <c r="L9" s="334"/>
      <c r="M9" s="331" t="e">
        <f aca="false">K9/L9</f>
        <v>#DIV/0!</v>
      </c>
    </row>
    <row r="10" customFormat="false" ht="12.75" hidden="false" customHeight="false" outlineLevel="0" collapsed="false">
      <c r="A10" s="87" t="n">
        <v>3</v>
      </c>
      <c r="B10" s="328" t="s">
        <v>267</v>
      </c>
      <c r="D10" s="334" t="n">
        <v>11574865</v>
      </c>
      <c r="E10" s="329" t="n">
        <v>3055175</v>
      </c>
      <c r="F10" s="331" t="n">
        <f aca="false">D10/E10</f>
        <v>3.78860949045472</v>
      </c>
      <c r="G10" s="332"/>
      <c r="H10" s="332" t="n">
        <v>8</v>
      </c>
      <c r="I10" s="328" t="s">
        <v>267</v>
      </c>
      <c r="K10" s="334" t="n">
        <v>13182224</v>
      </c>
      <c r="L10" s="334" t="n">
        <v>3448329</v>
      </c>
      <c r="M10" s="331" t="n">
        <f aca="false">K10/L10</f>
        <v>3.82278605086696</v>
      </c>
    </row>
    <row r="11" customFormat="false" ht="12.75" hidden="false" customHeight="false" outlineLevel="0" collapsed="false">
      <c r="A11" s="87" t="n">
        <v>3</v>
      </c>
      <c r="B11" s="328" t="s">
        <v>268</v>
      </c>
      <c r="D11" s="334"/>
      <c r="E11" s="334"/>
      <c r="F11" s="331" t="e">
        <f aca="false">D11/E11</f>
        <v>#DIV/0!</v>
      </c>
      <c r="G11" s="332"/>
      <c r="H11" s="332" t="n">
        <v>8</v>
      </c>
      <c r="I11" s="328" t="s">
        <v>268</v>
      </c>
      <c r="K11" s="334"/>
      <c r="L11" s="334"/>
      <c r="M11" s="331" t="e">
        <f aca="false">K11/L11</f>
        <v>#DIV/0!</v>
      </c>
    </row>
    <row r="12" customFormat="false" ht="12.75" hidden="false" customHeight="false" outlineLevel="0" collapsed="false">
      <c r="A12" s="87" t="n">
        <v>3</v>
      </c>
      <c r="B12" s="328" t="s">
        <v>269</v>
      </c>
      <c r="D12" s="334"/>
      <c r="E12" s="329"/>
      <c r="F12" s="331" t="e">
        <f aca="false">D12/E12</f>
        <v>#DIV/0!</v>
      </c>
      <c r="G12" s="332"/>
      <c r="H12" s="332" t="n">
        <v>8</v>
      </c>
      <c r="I12" s="328" t="s">
        <v>269</v>
      </c>
      <c r="K12" s="334"/>
      <c r="L12" s="334"/>
      <c r="M12" s="331" t="e">
        <f aca="false">K12/L12</f>
        <v>#DIV/0!</v>
      </c>
    </row>
    <row r="13" customFormat="false" ht="12.75" hidden="false" customHeight="false" outlineLevel="0" collapsed="false">
      <c r="A13" s="87" t="n">
        <v>1</v>
      </c>
      <c r="B13" s="87" t="s">
        <v>270</v>
      </c>
      <c r="D13" s="334"/>
      <c r="E13" s="187"/>
      <c r="F13" s="331" t="e">
        <f aca="false">#REF!/D13</f>
        <v>#REF!</v>
      </c>
      <c r="G13" s="332"/>
      <c r="H13" s="332" t="n">
        <v>6</v>
      </c>
      <c r="I13" s="87" t="s">
        <v>270</v>
      </c>
      <c r="K13" s="334"/>
      <c r="L13" s="334"/>
      <c r="M13" s="331" t="e">
        <f aca="false">K13/L13</f>
        <v>#DIV/0!</v>
      </c>
    </row>
    <row r="14" customFormat="false" ht="12.75" hidden="false" customHeight="false" outlineLevel="0" collapsed="false">
      <c r="A14" s="87" t="n">
        <v>1</v>
      </c>
      <c r="B14" s="87" t="s">
        <v>271</v>
      </c>
      <c r="D14" s="334"/>
      <c r="E14" s="334"/>
      <c r="F14" s="331" t="e">
        <f aca="false">D14/E14</f>
        <v>#DIV/0!</v>
      </c>
      <c r="G14" s="332"/>
      <c r="H14" s="332" t="n">
        <v>6</v>
      </c>
      <c r="I14" s="87" t="s">
        <v>271</v>
      </c>
      <c r="K14" s="334"/>
      <c r="L14" s="334"/>
      <c r="M14" s="331" t="e">
        <f aca="false">K14/L14</f>
        <v>#DIV/0!</v>
      </c>
    </row>
    <row r="15" customFormat="false" ht="12.75" hidden="false" customHeight="false" outlineLevel="0" collapsed="false">
      <c r="A15" s="87" t="n">
        <v>3</v>
      </c>
      <c r="B15" s="87" t="s">
        <v>272</v>
      </c>
      <c r="D15" s="334"/>
      <c r="E15" s="334"/>
      <c r="F15" s="331" t="e">
        <f aca="false">D15/E15</f>
        <v>#DIV/0!</v>
      </c>
      <c r="G15" s="332"/>
      <c r="H15" s="332" t="n">
        <v>8</v>
      </c>
      <c r="I15" s="87" t="s">
        <v>273</v>
      </c>
      <c r="K15" s="334"/>
      <c r="L15" s="334"/>
      <c r="M15" s="331" t="e">
        <f aca="false">K15/L15</f>
        <v>#DIV/0!</v>
      </c>
    </row>
    <row r="16" customFormat="false" ht="12.75" hidden="false" customHeight="false" outlineLevel="0" collapsed="false">
      <c r="A16" s="87" t="n">
        <v>3</v>
      </c>
      <c r="B16" s="87" t="s">
        <v>273</v>
      </c>
      <c r="D16" s="334"/>
      <c r="E16" s="334"/>
      <c r="F16" s="331" t="e">
        <f aca="false">D16/E16</f>
        <v>#DIV/0!</v>
      </c>
      <c r="G16" s="332"/>
      <c r="H16" s="332" t="n">
        <v>16</v>
      </c>
      <c r="I16" s="328" t="s">
        <v>274</v>
      </c>
      <c r="K16" s="334"/>
      <c r="L16" s="334"/>
      <c r="M16" s="331" t="e">
        <f aca="false">K16/L16</f>
        <v>#DIV/0!</v>
      </c>
    </row>
    <row r="17" customFormat="false" ht="12.75" hidden="false" customHeight="false" outlineLevel="0" collapsed="false">
      <c r="A17" s="87" t="n">
        <v>16</v>
      </c>
      <c r="B17" s="87" t="s">
        <v>274</v>
      </c>
      <c r="D17" s="334"/>
      <c r="E17" s="334"/>
      <c r="F17" s="331" t="e">
        <f aca="false">D17/E17</f>
        <v>#DIV/0!</v>
      </c>
      <c r="G17" s="332"/>
      <c r="H17" s="332" t="n">
        <v>18</v>
      </c>
      <c r="I17" s="87" t="str">
        <f aca="false">+B18</f>
        <v>  Storage Desk</v>
      </c>
      <c r="K17" s="334"/>
      <c r="L17" s="334"/>
      <c r="M17" s="331" t="e">
        <f aca="false">K17/L17</f>
        <v>#DIV/0!</v>
      </c>
    </row>
    <row r="18" customFormat="false" ht="12.75" hidden="false" customHeight="false" outlineLevel="0" collapsed="false">
      <c r="A18" s="87" t="n">
        <v>17</v>
      </c>
      <c r="B18" s="328" t="s">
        <v>275</v>
      </c>
      <c r="D18" s="334"/>
      <c r="E18" s="334"/>
      <c r="F18" s="331" t="e">
        <f aca="false">D18/E18</f>
        <v>#DIV/0!</v>
      </c>
      <c r="G18" s="332" t="s">
        <v>40</v>
      </c>
      <c r="H18" s="332" t="n">
        <v>8</v>
      </c>
      <c r="I18" s="328" t="s">
        <v>276</v>
      </c>
      <c r="K18" s="334"/>
      <c r="L18" s="334"/>
      <c r="M18" s="331" t="e">
        <f aca="false">K18/L18</f>
        <v>#DIV/0!</v>
      </c>
    </row>
    <row r="19" customFormat="false" ht="12.75" hidden="false" customHeight="false" outlineLevel="0" collapsed="false">
      <c r="A19" s="87" t="n">
        <v>3</v>
      </c>
      <c r="B19" s="328" t="s">
        <v>276</v>
      </c>
      <c r="D19" s="334"/>
      <c r="E19" s="329"/>
      <c r="F19" s="331" t="e">
        <f aca="false">D19/E19</f>
        <v>#DIV/0!</v>
      </c>
      <c r="G19" s="332"/>
      <c r="H19" s="332" t="n">
        <v>15</v>
      </c>
      <c r="I19" s="87" t="s">
        <v>277</v>
      </c>
      <c r="K19" s="334"/>
      <c r="L19" s="334"/>
      <c r="M19" s="331" t="e">
        <f aca="false">K19/L19</f>
        <v>#DIV/0!</v>
      </c>
    </row>
    <row r="20" customFormat="false" ht="12.75" hidden="false" customHeight="false" outlineLevel="0" collapsed="false">
      <c r="A20" s="87" t="n">
        <v>14</v>
      </c>
      <c r="B20" s="87" t="s">
        <v>277</v>
      </c>
      <c r="D20" s="334"/>
      <c r="E20" s="334"/>
      <c r="F20" s="331" t="e">
        <f aca="false">D20/E20</f>
        <v>#DIV/0!</v>
      </c>
      <c r="G20" s="332"/>
      <c r="I20" s="87" t="s">
        <v>278</v>
      </c>
      <c r="K20" s="334"/>
      <c r="L20" s="334"/>
      <c r="M20" s="331" t="e">
        <f aca="false">K20/L20</f>
        <v>#DIV/0!</v>
      </c>
    </row>
    <row r="21" customFormat="false" ht="12.75" hidden="false" customHeight="false" outlineLevel="0" collapsed="false">
      <c r="A21" s="87" t="n">
        <v>10</v>
      </c>
      <c r="B21" s="328" t="s">
        <v>278</v>
      </c>
      <c r="D21" s="334"/>
      <c r="E21" s="334"/>
      <c r="F21" s="331" t="e">
        <f aca="false">D21/E21</f>
        <v>#DIV/0!</v>
      </c>
      <c r="G21" s="332"/>
      <c r="H21" s="332" t="n">
        <v>13</v>
      </c>
      <c r="I21" s="328" t="s">
        <v>279</v>
      </c>
      <c r="K21" s="334"/>
      <c r="L21" s="334"/>
      <c r="M21" s="331" t="e">
        <f aca="false">K21/L21</f>
        <v>#DIV/0!</v>
      </c>
    </row>
    <row r="22" customFormat="false" ht="12.75" hidden="false" customHeight="false" outlineLevel="0" collapsed="false">
      <c r="A22" s="87" t="n">
        <v>13</v>
      </c>
      <c r="B22" s="328" t="s">
        <v>279</v>
      </c>
      <c r="D22" s="334"/>
      <c r="E22" s="334"/>
      <c r="F22" s="331" t="e">
        <f aca="false">D22/E22</f>
        <v>#DIV/0!</v>
      </c>
      <c r="G22" s="332"/>
      <c r="H22" s="332" t="n">
        <v>6</v>
      </c>
      <c r="I22" s="335" t="s">
        <v>280</v>
      </c>
      <c r="K22" s="334"/>
      <c r="L22" s="334"/>
      <c r="M22" s="331" t="e">
        <f aca="false">K22/L22</f>
        <v>#DIV/0!</v>
      </c>
    </row>
    <row r="23" customFormat="false" ht="12.75" hidden="false" customHeight="false" outlineLevel="0" collapsed="false">
      <c r="A23" s="87" t="n">
        <v>3</v>
      </c>
      <c r="B23" s="335" t="s">
        <v>280</v>
      </c>
      <c r="D23" s="334"/>
      <c r="E23" s="334"/>
      <c r="F23" s="331" t="e">
        <f aca="false">D23/E23</f>
        <v>#DIV/0!</v>
      </c>
      <c r="G23" s="332"/>
      <c r="H23" s="332" t="n">
        <v>18</v>
      </c>
      <c r="I23" s="328" t="s">
        <v>281</v>
      </c>
      <c r="K23" s="334"/>
      <c r="L23" s="334"/>
      <c r="M23" s="331" t="e">
        <f aca="false">K23/L23</f>
        <v>#DIV/0!</v>
      </c>
    </row>
    <row r="24" customFormat="false" ht="12.75" hidden="false" customHeight="false" outlineLevel="0" collapsed="false">
      <c r="A24" s="87" t="n">
        <v>17</v>
      </c>
      <c r="B24" s="328" t="s">
        <v>281</v>
      </c>
      <c r="D24" s="334"/>
      <c r="E24" s="334"/>
      <c r="F24" s="331" t="e">
        <f aca="false">D24/E24</f>
        <v>#DIV/0!</v>
      </c>
      <c r="G24" s="332"/>
      <c r="H24" s="332"/>
      <c r="I24" s="87" t="s">
        <v>282</v>
      </c>
      <c r="K24" s="334"/>
      <c r="L24" s="334"/>
      <c r="M24" s="331" t="e">
        <f aca="false">K24/L24</f>
        <v>#DIV/0!</v>
      </c>
    </row>
    <row r="25" customFormat="false" ht="12.75" hidden="false" customHeight="false" outlineLevel="0" collapsed="false">
      <c r="B25" s="87" t="s">
        <v>282</v>
      </c>
      <c r="D25" s="334"/>
      <c r="E25" s="334"/>
      <c r="F25" s="331" t="e">
        <f aca="false">D25/E25</f>
        <v>#DIV/0!</v>
      </c>
      <c r="I25" s="336" t="s">
        <v>283</v>
      </c>
      <c r="K25" s="337" t="n">
        <f aca="false">SUM(K9:K24)</f>
        <v>13182224</v>
      </c>
      <c r="L25" s="337" t="n">
        <f aca="false">SUM(L9:L24)</f>
        <v>3448329</v>
      </c>
      <c r="M25" s="338" t="n">
        <f aca="false">K25/L25</f>
        <v>3.82278605086696</v>
      </c>
    </row>
    <row r="26" customFormat="false" ht="13.5" hidden="false" customHeight="false" outlineLevel="0" collapsed="false">
      <c r="B26" s="336" t="s">
        <v>284</v>
      </c>
      <c r="D26" s="337" t="n">
        <f aca="false">SUM(D9:D25)</f>
        <v>11574865</v>
      </c>
      <c r="E26" s="337" t="n">
        <f aca="false">SUM(E9:E25)</f>
        <v>3055175</v>
      </c>
      <c r="F26" s="338" t="n">
        <f aca="false">D26/E26</f>
        <v>3.78860949045472</v>
      </c>
      <c r="I26" s="94" t="s">
        <v>285</v>
      </c>
      <c r="K26" s="339" t="n">
        <f aca="false">+K25+K5</f>
        <v>23413822</v>
      </c>
      <c r="L26" s="339" t="n">
        <f aca="false">+L25+L5</f>
        <v>6502543</v>
      </c>
      <c r="M26" s="340" t="n">
        <f aca="false">K26/L26</f>
        <v>3.60071774996336</v>
      </c>
    </row>
    <row r="27" customFormat="false" ht="14.25" hidden="false" customHeight="false" outlineLevel="0" collapsed="false">
      <c r="B27" s="94" t="s">
        <v>286</v>
      </c>
      <c r="C27" s="94"/>
      <c r="D27" s="339" t="n">
        <f aca="false">+D26+D5</f>
        <v>21915207</v>
      </c>
      <c r="E27" s="339" t="n">
        <f aca="false">+E26+E5</f>
        <v>6503535</v>
      </c>
      <c r="F27" s="340" t="n">
        <f aca="false">D27/E27</f>
        <v>3.36973768881078</v>
      </c>
      <c r="L27" s="186"/>
    </row>
    <row r="28" customFormat="false" ht="13.5" hidden="false" customHeight="false" outlineLevel="0" collapsed="false">
      <c r="D28" s="116" t="n">
        <v>0</v>
      </c>
      <c r="G28" s="101"/>
      <c r="I28" s="341" t="s">
        <v>287</v>
      </c>
      <c r="J28" s="124"/>
      <c r="K28" s="183"/>
      <c r="L28" s="183"/>
      <c r="M28" s="342"/>
    </row>
    <row r="29" customFormat="false" ht="15" hidden="false" customHeight="false" outlineLevel="0" collapsed="false">
      <c r="A29" s="87" t="n">
        <v>31</v>
      </c>
      <c r="B29" s="325" t="s">
        <v>288</v>
      </c>
      <c r="C29" s="175"/>
      <c r="D29" s="334" t="n">
        <v>0</v>
      </c>
      <c r="E29" s="343"/>
      <c r="F29" s="106"/>
      <c r="I29" s="344" t="s">
        <v>289</v>
      </c>
      <c r="J29" s="175"/>
      <c r="K29" s="345" t="n">
        <f aca="false">K5</f>
        <v>10231598</v>
      </c>
      <c r="L29" s="345" t="n">
        <f aca="false">+L5</f>
        <v>3054214</v>
      </c>
      <c r="M29" s="346" t="n">
        <f aca="false">K29/L29</f>
        <v>3.34999381182851</v>
      </c>
    </row>
    <row r="30" customFormat="false" ht="15" hidden="false" customHeight="false" outlineLevel="0" collapsed="false">
      <c r="A30" s="87" t="n">
        <v>30</v>
      </c>
      <c r="B30" s="325" t="s">
        <v>290</v>
      </c>
      <c r="C30" s="175"/>
      <c r="D30" s="116" t="n">
        <v>-268012</v>
      </c>
      <c r="E30" s="343"/>
      <c r="L30" s="186"/>
    </row>
    <row r="31" customFormat="false" ht="15" hidden="false" customHeight="false" outlineLevel="0" collapsed="false">
      <c r="A31" s="87" t="n">
        <v>31</v>
      </c>
      <c r="B31" s="325" t="s">
        <v>291</v>
      </c>
      <c r="C31" s="175"/>
      <c r="D31" s="116" t="n">
        <v>0</v>
      </c>
      <c r="E31" s="343"/>
      <c r="L31" s="186"/>
    </row>
    <row r="32" customFormat="false" ht="12.75" hidden="false" customHeight="false" outlineLevel="0" collapsed="false">
      <c r="L32" s="186" t="s">
        <v>40</v>
      </c>
    </row>
    <row r="34" customFormat="false" ht="12.75" hidden="false" customHeight="false" outlineLevel="0" collapsed="false">
      <c r="J34" s="347"/>
    </row>
    <row r="35" customFormat="false" ht="12.75" hidden="false" customHeight="false" outlineLevel="0" collapsed="false">
      <c r="F35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false" showOutlineSymbols="true" defaultGridColor="true" view="normal" topLeftCell="C9" colorId="64" zoomScale="100" zoomScaleNormal="100" zoomScalePageLayoutView="100" workbookViewId="0">
      <selection pane="topLeft" activeCell="J40" activeCellId="0" sqref="J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14"/>
    <col collapsed="false" customWidth="false" hidden="false" outlineLevel="0" max="2" min="2" style="87" width="9.14"/>
    <col collapsed="false" customWidth="true" hidden="false" outlineLevel="0" max="3" min="3" style="87" width="19.56"/>
    <col collapsed="false" customWidth="true" hidden="false" outlineLevel="0" max="5" min="4" style="116" width="13.99"/>
    <col collapsed="false" customWidth="true" hidden="false" outlineLevel="0" max="6" min="6" style="87" width="13.99"/>
    <col collapsed="false" customWidth="true" hidden="false" outlineLevel="0" max="7" min="7" style="87" width="4.14"/>
    <col collapsed="false" customWidth="true" hidden="false" outlineLevel="0" max="8" min="8" style="87" width="4.85"/>
    <col collapsed="false" customWidth="false" hidden="false" outlineLevel="0" max="9" min="9" style="87" width="9.14"/>
    <col collapsed="false" customWidth="true" hidden="false" outlineLevel="0" max="10" min="10" style="87" width="20.13"/>
    <col collapsed="false" customWidth="true" hidden="false" outlineLevel="0" max="12" min="11" style="116" width="13.99"/>
    <col collapsed="false" customWidth="true" hidden="false" outlineLevel="0" max="13" min="13" style="87" width="13.99"/>
    <col collapsed="false" customWidth="false" hidden="false" outlineLevel="0" max="257" min="14" style="87" width="9.14"/>
  </cols>
  <sheetData>
    <row r="1" customFormat="false" ht="18.75" hidden="false" customHeight="false" outlineLevel="0" collapsed="false">
      <c r="B1" s="90" t="s">
        <v>249</v>
      </c>
      <c r="J1" s="320" t="s">
        <v>250</v>
      </c>
      <c r="K1" s="321" t="s">
        <v>251</v>
      </c>
      <c r="L1" s="322" t="s">
        <v>252</v>
      </c>
      <c r="M1" s="323" t="s">
        <v>253</v>
      </c>
    </row>
    <row r="2" customFormat="false" ht="19.5" hidden="false" customHeight="false" outlineLevel="0" collapsed="false">
      <c r="B2" s="90"/>
      <c r="J2" s="173" t="s">
        <v>254</v>
      </c>
      <c r="K2" s="120" t="n">
        <f aca="false">+D12-K12</f>
        <v>0</v>
      </c>
      <c r="L2" s="120" t="n">
        <f aca="false">+E12-L12</f>
        <v>0</v>
      </c>
      <c r="M2" s="324" t="e">
        <f aca="false">+L2*M29</f>
        <v>#DIV/0!</v>
      </c>
    </row>
    <row r="3" customFormat="false" ht="12.75" hidden="false" customHeight="false" outlineLevel="0" collapsed="false">
      <c r="E3" s="116" t="s">
        <v>146</v>
      </c>
      <c r="F3" s="92"/>
      <c r="G3" s="92"/>
      <c r="H3" s="92"/>
      <c r="L3" s="116" t="s">
        <v>146</v>
      </c>
      <c r="M3" s="92"/>
    </row>
    <row r="4" customFormat="false" ht="15" hidden="false" customHeight="false" outlineLevel="0" collapsed="false">
      <c r="B4" s="325" t="s">
        <v>255</v>
      </c>
      <c r="C4" s="175"/>
      <c r="D4" s="326" t="s">
        <v>256</v>
      </c>
      <c r="E4" s="326" t="s">
        <v>257</v>
      </c>
      <c r="F4" s="327" t="s">
        <v>258</v>
      </c>
      <c r="G4" s="92"/>
      <c r="H4" s="92"/>
      <c r="I4" s="325" t="s">
        <v>259</v>
      </c>
      <c r="J4" s="175"/>
      <c r="K4" s="326" t="s">
        <v>256</v>
      </c>
      <c r="L4" s="326" t="s">
        <v>257</v>
      </c>
      <c r="M4" s="327" t="s">
        <v>85</v>
      </c>
    </row>
    <row r="5" customFormat="false" ht="12.75" hidden="false" customHeight="false" outlineLevel="0" collapsed="false">
      <c r="A5" s="87" t="n">
        <v>1</v>
      </c>
      <c r="B5" s="328" t="s">
        <v>260</v>
      </c>
      <c r="D5" s="329"/>
      <c r="E5" s="330"/>
      <c r="F5" s="331" t="e">
        <f aca="false">D5/E5</f>
        <v>#DIV/0!</v>
      </c>
      <c r="G5" s="332"/>
      <c r="H5" s="332" t="n">
        <v>6</v>
      </c>
      <c r="I5" s="328" t="s">
        <v>261</v>
      </c>
      <c r="K5" s="329"/>
      <c r="L5" s="330"/>
      <c r="M5" s="331" t="e">
        <f aca="false">K5/L5</f>
        <v>#DIV/0!</v>
      </c>
    </row>
    <row r="6" customFormat="false" ht="12.75" hidden="false" customHeight="false" outlineLevel="0" collapsed="false">
      <c r="L6" s="186"/>
    </row>
    <row r="7" customFormat="false" ht="14.25" hidden="false" customHeight="false" outlineLevel="0" collapsed="false">
      <c r="B7" s="333" t="s">
        <v>262</v>
      </c>
      <c r="E7" s="116" t="s">
        <v>146</v>
      </c>
      <c r="F7" s="92"/>
      <c r="G7" s="92"/>
      <c r="H7" s="92"/>
      <c r="I7" s="333" t="s">
        <v>262</v>
      </c>
      <c r="L7" s="116" t="s">
        <v>146</v>
      </c>
      <c r="M7" s="92"/>
    </row>
    <row r="8" customFormat="false" ht="15" hidden="false" customHeight="false" outlineLevel="0" collapsed="false">
      <c r="B8" s="325" t="s">
        <v>263</v>
      </c>
      <c r="C8" s="175"/>
      <c r="D8" s="326" t="s">
        <v>256</v>
      </c>
      <c r="E8" s="326" t="s">
        <v>257</v>
      </c>
      <c r="F8" s="327" t="s">
        <v>264</v>
      </c>
      <c r="G8" s="92"/>
      <c r="H8" s="92"/>
      <c r="I8" s="325" t="s">
        <v>265</v>
      </c>
      <c r="J8" s="175"/>
      <c r="K8" s="326" t="s">
        <v>256</v>
      </c>
      <c r="L8" s="326" t="s">
        <v>257</v>
      </c>
      <c r="M8" s="327" t="s">
        <v>264</v>
      </c>
    </row>
    <row r="9" customFormat="false" ht="12.75" hidden="false" customHeight="false" outlineLevel="0" collapsed="false">
      <c r="A9" s="87" t="n">
        <v>3</v>
      </c>
      <c r="B9" s="87" t="s">
        <v>266</v>
      </c>
      <c r="D9" s="334"/>
      <c r="E9" s="334"/>
      <c r="F9" s="331" t="e">
        <f aca="false">D9/E9</f>
        <v>#DIV/0!</v>
      </c>
      <c r="G9" s="332"/>
      <c r="H9" s="332" t="n">
        <v>8</v>
      </c>
      <c r="I9" s="87" t="s">
        <v>266</v>
      </c>
      <c r="K9" s="334"/>
      <c r="L9" s="334"/>
      <c r="M9" s="331" t="e">
        <f aca="false">K9/L9</f>
        <v>#DIV/0!</v>
      </c>
    </row>
    <row r="10" customFormat="false" ht="12.75" hidden="false" customHeight="false" outlineLevel="0" collapsed="false">
      <c r="A10" s="87" t="n">
        <v>3</v>
      </c>
      <c r="B10" s="328" t="s">
        <v>267</v>
      </c>
      <c r="D10" s="334"/>
      <c r="E10" s="329"/>
      <c r="F10" s="331" t="e">
        <f aca="false">D10/E10</f>
        <v>#DIV/0!</v>
      </c>
      <c r="G10" s="332"/>
      <c r="H10" s="332" t="n">
        <v>8</v>
      </c>
      <c r="I10" s="328" t="s">
        <v>267</v>
      </c>
      <c r="K10" s="334"/>
      <c r="L10" s="334"/>
      <c r="M10" s="331" t="e">
        <f aca="false">K10/L10</f>
        <v>#DIV/0!</v>
      </c>
    </row>
    <row r="11" customFormat="false" ht="12.75" hidden="false" customHeight="false" outlineLevel="0" collapsed="false">
      <c r="A11" s="87" t="n">
        <v>3</v>
      </c>
      <c r="B11" s="328" t="s">
        <v>268</v>
      </c>
      <c r="D11" s="334"/>
      <c r="E11" s="334"/>
      <c r="F11" s="331" t="e">
        <f aca="false">D11/E11</f>
        <v>#DIV/0!</v>
      </c>
      <c r="G11" s="332"/>
      <c r="H11" s="332" t="n">
        <v>8</v>
      </c>
      <c r="I11" s="328" t="s">
        <v>268</v>
      </c>
      <c r="K11" s="334"/>
      <c r="L11" s="334"/>
      <c r="M11" s="331" t="e">
        <f aca="false">K11/L11</f>
        <v>#DIV/0!</v>
      </c>
    </row>
    <row r="12" customFormat="false" ht="12.75" hidden="false" customHeight="false" outlineLevel="0" collapsed="false">
      <c r="A12" s="87" t="n">
        <v>3</v>
      </c>
      <c r="B12" s="328" t="s">
        <v>269</v>
      </c>
      <c r="D12" s="334"/>
      <c r="E12" s="329"/>
      <c r="F12" s="331" t="e">
        <f aca="false">D12/E12</f>
        <v>#DIV/0!</v>
      </c>
      <c r="G12" s="332"/>
      <c r="H12" s="332" t="n">
        <v>8</v>
      </c>
      <c r="I12" s="328" t="s">
        <v>269</v>
      </c>
      <c r="K12" s="334"/>
      <c r="L12" s="334"/>
      <c r="M12" s="331" t="e">
        <f aca="false">K12/L12</f>
        <v>#DIV/0!</v>
      </c>
    </row>
    <row r="13" customFormat="false" ht="12.75" hidden="false" customHeight="false" outlineLevel="0" collapsed="false">
      <c r="A13" s="87" t="n">
        <v>1</v>
      </c>
      <c r="B13" s="87" t="s">
        <v>270</v>
      </c>
      <c r="D13" s="334"/>
      <c r="E13" s="187"/>
      <c r="F13" s="331" t="e">
        <f aca="false">#REF!/D13</f>
        <v>#REF!</v>
      </c>
      <c r="G13" s="332"/>
      <c r="H13" s="332" t="n">
        <v>6</v>
      </c>
      <c r="I13" s="87" t="s">
        <v>270</v>
      </c>
      <c r="K13" s="334"/>
      <c r="L13" s="334"/>
      <c r="M13" s="331" t="e">
        <f aca="false">K13/L13</f>
        <v>#DIV/0!</v>
      </c>
    </row>
    <row r="14" customFormat="false" ht="12.75" hidden="false" customHeight="false" outlineLevel="0" collapsed="false">
      <c r="A14" s="87" t="n">
        <v>1</v>
      </c>
      <c r="B14" s="87" t="s">
        <v>271</v>
      </c>
      <c r="D14" s="334"/>
      <c r="E14" s="334"/>
      <c r="F14" s="331" t="e">
        <f aca="false">D14/E14</f>
        <v>#DIV/0!</v>
      </c>
      <c r="G14" s="332"/>
      <c r="H14" s="332" t="n">
        <v>6</v>
      </c>
      <c r="I14" s="87" t="s">
        <v>271</v>
      </c>
      <c r="K14" s="334"/>
      <c r="L14" s="334"/>
      <c r="M14" s="331" t="e">
        <f aca="false">K14/L14</f>
        <v>#DIV/0!</v>
      </c>
    </row>
    <row r="15" customFormat="false" ht="12.75" hidden="false" customHeight="false" outlineLevel="0" collapsed="false">
      <c r="A15" s="87" t="n">
        <v>3</v>
      </c>
      <c r="B15" s="87" t="s">
        <v>272</v>
      </c>
      <c r="D15" s="334"/>
      <c r="E15" s="334"/>
      <c r="F15" s="331" t="e">
        <f aca="false">D15/E15</f>
        <v>#DIV/0!</v>
      </c>
      <c r="G15" s="332"/>
      <c r="H15" s="332" t="n">
        <v>8</v>
      </c>
      <c r="I15" s="87" t="s">
        <v>273</v>
      </c>
      <c r="K15" s="334"/>
      <c r="L15" s="334"/>
      <c r="M15" s="331" t="e">
        <f aca="false">K15/L15</f>
        <v>#DIV/0!</v>
      </c>
    </row>
    <row r="16" customFormat="false" ht="12.75" hidden="false" customHeight="false" outlineLevel="0" collapsed="false">
      <c r="A16" s="87" t="n">
        <v>3</v>
      </c>
      <c r="B16" s="87" t="s">
        <v>273</v>
      </c>
      <c r="D16" s="334"/>
      <c r="E16" s="334"/>
      <c r="F16" s="331" t="e">
        <f aca="false">D16/E16</f>
        <v>#DIV/0!</v>
      </c>
      <c r="G16" s="332"/>
      <c r="H16" s="332" t="n">
        <v>16</v>
      </c>
      <c r="I16" s="328" t="s">
        <v>274</v>
      </c>
      <c r="K16" s="334"/>
      <c r="L16" s="334"/>
      <c r="M16" s="331" t="e">
        <f aca="false">K16/L16</f>
        <v>#DIV/0!</v>
      </c>
    </row>
    <row r="17" customFormat="false" ht="12.75" hidden="false" customHeight="false" outlineLevel="0" collapsed="false">
      <c r="A17" s="87" t="n">
        <v>16</v>
      </c>
      <c r="B17" s="87" t="s">
        <v>274</v>
      </c>
      <c r="D17" s="334"/>
      <c r="E17" s="334"/>
      <c r="F17" s="331" t="e">
        <f aca="false">D17/E17</f>
        <v>#DIV/0!</v>
      </c>
      <c r="G17" s="332"/>
      <c r="H17" s="332" t="n">
        <v>18</v>
      </c>
      <c r="I17" s="87" t="str">
        <f aca="false">+B18</f>
        <v>  Storage Desk</v>
      </c>
      <c r="K17" s="334"/>
      <c r="L17" s="334"/>
      <c r="M17" s="331" t="e">
        <f aca="false">K17/L17</f>
        <v>#DIV/0!</v>
      </c>
    </row>
    <row r="18" customFormat="false" ht="12.75" hidden="false" customHeight="false" outlineLevel="0" collapsed="false">
      <c r="A18" s="87" t="n">
        <v>17</v>
      </c>
      <c r="B18" s="328" t="s">
        <v>275</v>
      </c>
      <c r="D18" s="334"/>
      <c r="E18" s="334"/>
      <c r="F18" s="331" t="e">
        <f aca="false">D18/E18</f>
        <v>#DIV/0!</v>
      </c>
      <c r="G18" s="332" t="s">
        <v>40</v>
      </c>
      <c r="H18" s="332" t="n">
        <v>8</v>
      </c>
      <c r="I18" s="328" t="s">
        <v>276</v>
      </c>
      <c r="K18" s="334"/>
      <c r="L18" s="334"/>
      <c r="M18" s="331" t="e">
        <f aca="false">K18/L18</f>
        <v>#DIV/0!</v>
      </c>
    </row>
    <row r="19" customFormat="false" ht="12.75" hidden="false" customHeight="false" outlineLevel="0" collapsed="false">
      <c r="A19" s="87" t="n">
        <v>3</v>
      </c>
      <c r="B19" s="328" t="s">
        <v>276</v>
      </c>
      <c r="D19" s="334"/>
      <c r="E19" s="329"/>
      <c r="F19" s="331" t="e">
        <f aca="false">D19/E19</f>
        <v>#DIV/0!</v>
      </c>
      <c r="G19" s="332"/>
      <c r="H19" s="332" t="n">
        <v>15</v>
      </c>
      <c r="I19" s="87" t="s">
        <v>277</v>
      </c>
      <c r="K19" s="334"/>
      <c r="L19" s="334"/>
      <c r="M19" s="331" t="e">
        <f aca="false">K19/L19</f>
        <v>#DIV/0!</v>
      </c>
    </row>
    <row r="20" customFormat="false" ht="12.75" hidden="false" customHeight="false" outlineLevel="0" collapsed="false">
      <c r="A20" s="87" t="n">
        <v>14</v>
      </c>
      <c r="B20" s="87" t="s">
        <v>277</v>
      </c>
      <c r="D20" s="334"/>
      <c r="E20" s="334"/>
      <c r="F20" s="331" t="e">
        <f aca="false">D20/E20</f>
        <v>#DIV/0!</v>
      </c>
      <c r="G20" s="332"/>
      <c r="I20" s="87" t="s">
        <v>278</v>
      </c>
      <c r="K20" s="334"/>
      <c r="L20" s="334"/>
      <c r="M20" s="331" t="e">
        <f aca="false">K20/L20</f>
        <v>#DIV/0!</v>
      </c>
    </row>
    <row r="21" customFormat="false" ht="12.75" hidden="false" customHeight="false" outlineLevel="0" collapsed="false">
      <c r="A21" s="87" t="n">
        <v>10</v>
      </c>
      <c r="B21" s="328" t="s">
        <v>278</v>
      </c>
      <c r="D21" s="334"/>
      <c r="E21" s="334"/>
      <c r="F21" s="331" t="e">
        <f aca="false">D21/E21</f>
        <v>#DIV/0!</v>
      </c>
      <c r="G21" s="332"/>
      <c r="H21" s="332" t="n">
        <v>13</v>
      </c>
      <c r="I21" s="328" t="s">
        <v>279</v>
      </c>
      <c r="K21" s="334"/>
      <c r="L21" s="334"/>
      <c r="M21" s="331" t="e">
        <f aca="false">K21/L21</f>
        <v>#DIV/0!</v>
      </c>
    </row>
    <row r="22" customFormat="false" ht="12.75" hidden="false" customHeight="false" outlineLevel="0" collapsed="false">
      <c r="A22" s="87" t="n">
        <v>13</v>
      </c>
      <c r="B22" s="328" t="s">
        <v>279</v>
      </c>
      <c r="D22" s="334"/>
      <c r="E22" s="334"/>
      <c r="F22" s="331" t="e">
        <f aca="false">D22/E22</f>
        <v>#DIV/0!</v>
      </c>
      <c r="G22" s="332"/>
      <c r="H22" s="332" t="n">
        <v>6</v>
      </c>
      <c r="I22" s="335" t="s">
        <v>280</v>
      </c>
      <c r="K22" s="334"/>
      <c r="L22" s="334"/>
      <c r="M22" s="331" t="e">
        <f aca="false">K22/L22</f>
        <v>#DIV/0!</v>
      </c>
    </row>
    <row r="23" customFormat="false" ht="12.75" hidden="false" customHeight="false" outlineLevel="0" collapsed="false">
      <c r="A23" s="87" t="n">
        <v>3</v>
      </c>
      <c r="B23" s="335" t="s">
        <v>280</v>
      </c>
      <c r="D23" s="334"/>
      <c r="E23" s="334"/>
      <c r="F23" s="331" t="e">
        <f aca="false">D23/E23</f>
        <v>#DIV/0!</v>
      </c>
      <c r="G23" s="332"/>
      <c r="H23" s="332" t="n">
        <v>18</v>
      </c>
      <c r="I23" s="328" t="s">
        <v>281</v>
      </c>
      <c r="K23" s="334"/>
      <c r="L23" s="334"/>
      <c r="M23" s="331" t="e">
        <f aca="false">K23/L23</f>
        <v>#DIV/0!</v>
      </c>
    </row>
    <row r="24" customFormat="false" ht="12.75" hidden="false" customHeight="false" outlineLevel="0" collapsed="false">
      <c r="A24" s="87" t="n">
        <v>17</v>
      </c>
      <c r="B24" s="328" t="s">
        <v>281</v>
      </c>
      <c r="D24" s="334"/>
      <c r="E24" s="334"/>
      <c r="F24" s="331" t="e">
        <f aca="false">D24/E24</f>
        <v>#DIV/0!</v>
      </c>
      <c r="G24" s="332"/>
      <c r="H24" s="332"/>
      <c r="I24" s="87" t="s">
        <v>282</v>
      </c>
      <c r="K24" s="334"/>
      <c r="L24" s="334"/>
      <c r="M24" s="331" t="e">
        <f aca="false">K24/L24</f>
        <v>#DIV/0!</v>
      </c>
    </row>
    <row r="25" customFormat="false" ht="12.75" hidden="false" customHeight="false" outlineLevel="0" collapsed="false">
      <c r="B25" s="87" t="s">
        <v>282</v>
      </c>
      <c r="D25" s="334"/>
      <c r="E25" s="334"/>
      <c r="F25" s="331" t="e">
        <f aca="false">D25/E25</f>
        <v>#DIV/0!</v>
      </c>
      <c r="I25" s="336" t="s">
        <v>283</v>
      </c>
      <c r="K25" s="337" t="n">
        <f aca="false">SUM(K9:K24)</f>
        <v>0</v>
      </c>
      <c r="L25" s="337" t="n">
        <f aca="false">SUM(L9:L24)</f>
        <v>0</v>
      </c>
      <c r="M25" s="338" t="e">
        <f aca="false">K25/L25</f>
        <v>#DIV/0!</v>
      </c>
    </row>
    <row r="26" customFormat="false" ht="13.5" hidden="false" customHeight="false" outlineLevel="0" collapsed="false">
      <c r="B26" s="336" t="s">
        <v>284</v>
      </c>
      <c r="D26" s="337" t="n">
        <f aca="false">SUM(D9:D25)</f>
        <v>0</v>
      </c>
      <c r="E26" s="337" t="n">
        <f aca="false">SUM(E9:E25)</f>
        <v>0</v>
      </c>
      <c r="F26" s="338" t="e">
        <f aca="false">D26/E26</f>
        <v>#DIV/0!</v>
      </c>
      <c r="I26" s="94" t="s">
        <v>285</v>
      </c>
      <c r="K26" s="339" t="n">
        <f aca="false">+K25+K5</f>
        <v>0</v>
      </c>
      <c r="L26" s="339" t="n">
        <f aca="false">+L25+L5</f>
        <v>0</v>
      </c>
      <c r="M26" s="340" t="e">
        <f aca="false">K26/L26</f>
        <v>#DIV/0!</v>
      </c>
    </row>
    <row r="27" customFormat="false" ht="14.25" hidden="false" customHeight="false" outlineLevel="0" collapsed="false">
      <c r="B27" s="94" t="s">
        <v>286</v>
      </c>
      <c r="C27" s="94"/>
      <c r="D27" s="339" t="n">
        <f aca="false">+D26+D5</f>
        <v>0</v>
      </c>
      <c r="E27" s="339" t="n">
        <f aca="false">+E26+E5</f>
        <v>0</v>
      </c>
      <c r="F27" s="340" t="e">
        <f aca="false">D27/E27</f>
        <v>#DIV/0!</v>
      </c>
      <c r="L27" s="186"/>
    </row>
    <row r="28" customFormat="false" ht="13.5" hidden="false" customHeight="false" outlineLevel="0" collapsed="false">
      <c r="D28" s="116" t="n">
        <v>0</v>
      </c>
      <c r="G28" s="101"/>
      <c r="I28" s="341" t="s">
        <v>287</v>
      </c>
      <c r="J28" s="124"/>
      <c r="K28" s="183"/>
      <c r="L28" s="183"/>
      <c r="M28" s="342"/>
    </row>
    <row r="29" customFormat="false" ht="15" hidden="false" customHeight="false" outlineLevel="0" collapsed="false">
      <c r="A29" s="87" t="n">
        <v>31</v>
      </c>
      <c r="B29" s="325" t="s">
        <v>288</v>
      </c>
      <c r="C29" s="175"/>
      <c r="D29" s="334" t="n">
        <v>0</v>
      </c>
      <c r="E29" s="343"/>
      <c r="F29" s="106"/>
      <c r="I29" s="344" t="s">
        <v>289</v>
      </c>
      <c r="J29" s="175"/>
      <c r="K29" s="345" t="n">
        <f aca="false">K5</f>
        <v>0</v>
      </c>
      <c r="L29" s="345" t="n">
        <f aca="false">+L5</f>
        <v>0</v>
      </c>
      <c r="M29" s="346" t="e">
        <f aca="false">K29/L29</f>
        <v>#DIV/0!</v>
      </c>
    </row>
    <row r="30" customFormat="false" ht="15" hidden="false" customHeight="false" outlineLevel="0" collapsed="false">
      <c r="A30" s="87" t="n">
        <v>30</v>
      </c>
      <c r="B30" s="325" t="s">
        <v>290</v>
      </c>
      <c r="C30" s="175"/>
      <c r="D30" s="116" t="n">
        <v>0</v>
      </c>
      <c r="E30" s="343"/>
      <c r="L30" s="186"/>
    </row>
    <row r="31" customFormat="false" ht="15" hidden="false" customHeight="false" outlineLevel="0" collapsed="false">
      <c r="A31" s="87" t="n">
        <v>31</v>
      </c>
      <c r="B31" s="325" t="s">
        <v>291</v>
      </c>
      <c r="C31" s="175"/>
      <c r="D31" s="116" t="n">
        <v>0</v>
      </c>
      <c r="E31" s="343"/>
      <c r="L31" s="186"/>
    </row>
    <row r="32" customFormat="false" ht="12.75" hidden="false" customHeight="false" outlineLevel="0" collapsed="false">
      <c r="L32" s="186" t="s">
        <v>40</v>
      </c>
    </row>
    <row r="34" customFormat="false" ht="12.75" hidden="false" customHeight="false" outlineLevel="0" collapsed="false">
      <c r="J34" s="347"/>
    </row>
    <row r="35" customFormat="false" ht="12.75" hidden="false" customHeight="false" outlineLevel="0" collapsed="false">
      <c r="F35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14"/>
    <col collapsed="false" customWidth="false" hidden="false" outlineLevel="0" max="2" min="2" style="87" width="9.14"/>
    <col collapsed="false" customWidth="true" hidden="false" outlineLevel="0" max="3" min="3" style="87" width="19.56"/>
    <col collapsed="false" customWidth="true" hidden="false" outlineLevel="0" max="5" min="4" style="116" width="13.99"/>
    <col collapsed="false" customWidth="true" hidden="false" outlineLevel="0" max="6" min="6" style="87" width="13.99"/>
    <col collapsed="false" customWidth="true" hidden="false" outlineLevel="0" max="7" min="7" style="87" width="4.14"/>
    <col collapsed="false" customWidth="true" hidden="false" outlineLevel="0" max="8" min="8" style="87" width="4.85"/>
    <col collapsed="false" customWidth="false" hidden="false" outlineLevel="0" max="9" min="9" style="87" width="9.14"/>
    <col collapsed="false" customWidth="true" hidden="false" outlineLevel="0" max="10" min="10" style="87" width="20.13"/>
    <col collapsed="false" customWidth="true" hidden="false" outlineLevel="0" max="12" min="11" style="116" width="13.99"/>
    <col collapsed="false" customWidth="true" hidden="false" outlineLevel="0" max="13" min="13" style="87" width="13.99"/>
    <col collapsed="false" customWidth="false" hidden="false" outlineLevel="0" max="257" min="14" style="87" width="9.14"/>
  </cols>
  <sheetData>
    <row r="1" customFormat="false" ht="18.75" hidden="false" customHeight="false" outlineLevel="0" collapsed="false">
      <c r="B1" s="90" t="s">
        <v>249</v>
      </c>
      <c r="J1" s="320" t="s">
        <v>250</v>
      </c>
      <c r="K1" s="321" t="s">
        <v>251</v>
      </c>
      <c r="L1" s="322" t="s">
        <v>252</v>
      </c>
      <c r="M1" s="323" t="s">
        <v>253</v>
      </c>
    </row>
    <row r="2" customFormat="false" ht="19.5" hidden="false" customHeight="false" outlineLevel="0" collapsed="false">
      <c r="B2" s="90"/>
      <c r="J2" s="173" t="s">
        <v>254</v>
      </c>
      <c r="K2" s="120" t="n">
        <f aca="false">+D12-K12</f>
        <v>0</v>
      </c>
      <c r="L2" s="120" t="n">
        <f aca="false">+E12-L12</f>
        <v>0</v>
      </c>
      <c r="M2" s="324" t="n">
        <f aca="false">+L2*M29</f>
        <v>0</v>
      </c>
    </row>
    <row r="3" customFormat="false" ht="12.75" hidden="false" customHeight="false" outlineLevel="0" collapsed="false">
      <c r="E3" s="116" t="s">
        <v>146</v>
      </c>
      <c r="F3" s="92"/>
      <c r="G3" s="92"/>
      <c r="H3" s="92"/>
      <c r="L3" s="116" t="s">
        <v>146</v>
      </c>
      <c r="M3" s="92"/>
    </row>
    <row r="4" customFormat="false" ht="15" hidden="false" customHeight="false" outlineLevel="0" collapsed="false">
      <c r="B4" s="325" t="s">
        <v>255</v>
      </c>
      <c r="C4" s="175"/>
      <c r="D4" s="326" t="s">
        <v>256</v>
      </c>
      <c r="E4" s="326" t="s">
        <v>257</v>
      </c>
      <c r="F4" s="327" t="s">
        <v>258</v>
      </c>
      <c r="G4" s="92"/>
      <c r="H4" s="92"/>
      <c r="I4" s="325" t="s">
        <v>259</v>
      </c>
      <c r="J4" s="175"/>
      <c r="K4" s="326" t="s">
        <v>256</v>
      </c>
      <c r="L4" s="326" t="s">
        <v>257</v>
      </c>
      <c r="M4" s="327" t="s">
        <v>85</v>
      </c>
    </row>
    <row r="5" customFormat="false" ht="12.75" hidden="false" customHeight="false" outlineLevel="0" collapsed="false">
      <c r="A5" s="87" t="n">
        <v>1</v>
      </c>
      <c r="B5" s="328" t="s">
        <v>260</v>
      </c>
      <c r="D5" s="329" t="n">
        <v>2361181</v>
      </c>
      <c r="E5" s="330" t="n">
        <v>521017</v>
      </c>
      <c r="F5" s="331" t="n">
        <f aca="false">D5/E5</f>
        <v>4.53186940157423</v>
      </c>
      <c r="G5" s="332"/>
      <c r="H5" s="332" t="n">
        <v>6</v>
      </c>
      <c r="I5" s="328" t="s">
        <v>261</v>
      </c>
      <c r="K5" s="329" t="n">
        <v>460042</v>
      </c>
      <c r="L5" s="330" t="n">
        <v>105406</v>
      </c>
      <c r="M5" s="331" t="n">
        <f aca="false">K5/L5</f>
        <v>4.36447640551771</v>
      </c>
    </row>
    <row r="6" customFormat="false" ht="12.75" hidden="false" customHeight="false" outlineLevel="0" collapsed="false">
      <c r="K6" s="116" t="s">
        <v>40</v>
      </c>
      <c r="L6" s="186"/>
    </row>
    <row r="7" customFormat="false" ht="14.25" hidden="false" customHeight="false" outlineLevel="0" collapsed="false">
      <c r="B7" s="333" t="s">
        <v>262</v>
      </c>
      <c r="E7" s="116" t="s">
        <v>146</v>
      </c>
      <c r="F7" s="92"/>
      <c r="G7" s="92"/>
      <c r="H7" s="92"/>
      <c r="I7" s="333" t="s">
        <v>262</v>
      </c>
      <c r="L7" s="116" t="s">
        <v>146</v>
      </c>
      <c r="M7" s="92"/>
    </row>
    <row r="8" customFormat="false" ht="15" hidden="false" customHeight="false" outlineLevel="0" collapsed="false">
      <c r="B8" s="325" t="s">
        <v>263</v>
      </c>
      <c r="C8" s="175"/>
      <c r="D8" s="326" t="s">
        <v>256</v>
      </c>
      <c r="E8" s="326" t="s">
        <v>257</v>
      </c>
      <c r="F8" s="327" t="s">
        <v>264</v>
      </c>
      <c r="G8" s="92"/>
      <c r="H8" s="92"/>
      <c r="I8" s="325" t="s">
        <v>265</v>
      </c>
      <c r="J8" s="175"/>
      <c r="K8" s="326" t="s">
        <v>256</v>
      </c>
      <c r="L8" s="326" t="s">
        <v>257</v>
      </c>
      <c r="M8" s="327" t="s">
        <v>264</v>
      </c>
    </row>
    <row r="9" customFormat="false" ht="12.75" hidden="false" customHeight="false" outlineLevel="0" collapsed="false">
      <c r="A9" s="87" t="n">
        <v>3</v>
      </c>
      <c r="B9" s="87" t="s">
        <v>266</v>
      </c>
      <c r="D9" s="334"/>
      <c r="E9" s="334"/>
      <c r="F9" s="331" t="e">
        <f aca="false">D9/E9</f>
        <v>#DIV/0!</v>
      </c>
      <c r="G9" s="332"/>
      <c r="H9" s="332" t="n">
        <v>8</v>
      </c>
      <c r="I9" s="87" t="s">
        <v>266</v>
      </c>
      <c r="K9" s="334"/>
      <c r="L9" s="334"/>
      <c r="M9" s="331" t="e">
        <f aca="false">K9/L9</f>
        <v>#DIV/0!</v>
      </c>
    </row>
    <row r="10" customFormat="false" ht="12.75" hidden="false" customHeight="false" outlineLevel="0" collapsed="false">
      <c r="A10" s="87" t="n">
        <v>3</v>
      </c>
      <c r="B10" s="328" t="s">
        <v>267</v>
      </c>
      <c r="D10" s="334" t="n">
        <v>144760</v>
      </c>
      <c r="E10" s="329" t="n">
        <v>34944</v>
      </c>
      <c r="F10" s="331" t="n">
        <f aca="false">D10/E10</f>
        <v>4.14262820512821</v>
      </c>
      <c r="G10" s="332"/>
      <c r="H10" s="332" t="n">
        <v>8</v>
      </c>
      <c r="I10" s="328" t="s">
        <v>267</v>
      </c>
      <c r="K10" s="334" t="n">
        <v>1636384</v>
      </c>
      <c r="L10" s="334" t="n">
        <v>373239</v>
      </c>
      <c r="M10" s="331" t="n">
        <f aca="false">K10/L10</f>
        <v>4.38427924198704</v>
      </c>
    </row>
    <row r="11" customFormat="false" ht="12.75" hidden="false" customHeight="false" outlineLevel="0" collapsed="false">
      <c r="A11" s="87" t="n">
        <v>3</v>
      </c>
      <c r="B11" s="328" t="s">
        <v>268</v>
      </c>
      <c r="D11" s="334"/>
      <c r="E11" s="334"/>
      <c r="F11" s="331" t="e">
        <f aca="false">D11/E11</f>
        <v>#DIV/0!</v>
      </c>
      <c r="G11" s="332"/>
      <c r="H11" s="332" t="n">
        <v>8</v>
      </c>
      <c r="I11" s="328" t="s">
        <v>268</v>
      </c>
      <c r="K11" s="334"/>
      <c r="L11" s="334"/>
      <c r="M11" s="331" t="e">
        <f aca="false">K11/L11</f>
        <v>#DIV/0!</v>
      </c>
    </row>
    <row r="12" customFormat="false" ht="12.75" hidden="false" customHeight="false" outlineLevel="0" collapsed="false">
      <c r="A12" s="87" t="n">
        <v>3</v>
      </c>
      <c r="B12" s="328" t="s">
        <v>269</v>
      </c>
      <c r="D12" s="334"/>
      <c r="E12" s="329"/>
      <c r="F12" s="331" t="e">
        <f aca="false">D12/E12</f>
        <v>#DIV/0!</v>
      </c>
      <c r="G12" s="332"/>
      <c r="H12" s="332" t="n">
        <v>8</v>
      </c>
      <c r="I12" s="328" t="s">
        <v>269</v>
      </c>
      <c r="K12" s="334"/>
      <c r="L12" s="334"/>
      <c r="M12" s="331" t="e">
        <f aca="false">K12/L12</f>
        <v>#DIV/0!</v>
      </c>
    </row>
    <row r="13" customFormat="false" ht="12.75" hidden="false" customHeight="false" outlineLevel="0" collapsed="false">
      <c r="A13" s="87" t="n">
        <v>1</v>
      </c>
      <c r="B13" s="87" t="s">
        <v>270</v>
      </c>
      <c r="D13" s="334"/>
      <c r="E13" s="187"/>
      <c r="F13" s="331" t="e">
        <f aca="false">#REF!/D13</f>
        <v>#REF!</v>
      </c>
      <c r="G13" s="332"/>
      <c r="H13" s="332" t="n">
        <v>6</v>
      </c>
      <c r="I13" s="87" t="s">
        <v>270</v>
      </c>
      <c r="K13" s="334"/>
      <c r="L13" s="334"/>
      <c r="M13" s="331" t="e">
        <f aca="false">K13/L13</f>
        <v>#DIV/0!</v>
      </c>
    </row>
    <row r="14" customFormat="false" ht="12.75" hidden="false" customHeight="false" outlineLevel="0" collapsed="false">
      <c r="A14" s="87" t="n">
        <v>1</v>
      </c>
      <c r="B14" s="87" t="s">
        <v>271</v>
      </c>
      <c r="D14" s="334"/>
      <c r="E14" s="334"/>
      <c r="F14" s="331" t="e">
        <f aca="false">D14/E14</f>
        <v>#DIV/0!</v>
      </c>
      <c r="G14" s="332"/>
      <c r="H14" s="332" t="n">
        <v>6</v>
      </c>
      <c r="I14" s="87" t="s">
        <v>271</v>
      </c>
      <c r="K14" s="334"/>
      <c r="L14" s="334"/>
      <c r="M14" s="331" t="e">
        <f aca="false">K14/L14</f>
        <v>#DIV/0!</v>
      </c>
    </row>
    <row r="15" customFormat="false" ht="12.75" hidden="false" customHeight="false" outlineLevel="0" collapsed="false">
      <c r="A15" s="87" t="n">
        <v>3</v>
      </c>
      <c r="B15" s="87" t="s">
        <v>272</v>
      </c>
      <c r="D15" s="334"/>
      <c r="E15" s="334"/>
      <c r="F15" s="331" t="e">
        <f aca="false">D15/E15</f>
        <v>#DIV/0!</v>
      </c>
      <c r="G15" s="332"/>
      <c r="H15" s="332" t="n">
        <v>8</v>
      </c>
      <c r="I15" s="87" t="s">
        <v>273</v>
      </c>
      <c r="K15" s="334"/>
      <c r="L15" s="334"/>
      <c r="M15" s="331" t="e">
        <f aca="false">K15/L15</f>
        <v>#DIV/0!</v>
      </c>
    </row>
    <row r="16" customFormat="false" ht="12.75" hidden="false" customHeight="false" outlineLevel="0" collapsed="false">
      <c r="A16" s="87" t="n">
        <v>3</v>
      </c>
      <c r="B16" s="87" t="s">
        <v>273</v>
      </c>
      <c r="D16" s="334"/>
      <c r="E16" s="334"/>
      <c r="F16" s="331" t="e">
        <f aca="false">D16/E16</f>
        <v>#DIV/0!</v>
      </c>
      <c r="G16" s="332"/>
      <c r="H16" s="332" t="n">
        <v>16</v>
      </c>
      <c r="I16" s="328" t="s">
        <v>274</v>
      </c>
      <c r="K16" s="334"/>
      <c r="L16" s="334"/>
      <c r="M16" s="331" t="e">
        <f aca="false">K16/L16</f>
        <v>#DIV/0!</v>
      </c>
    </row>
    <row r="17" customFormat="false" ht="12.75" hidden="false" customHeight="false" outlineLevel="0" collapsed="false">
      <c r="A17" s="87" t="n">
        <v>16</v>
      </c>
      <c r="B17" s="87" t="s">
        <v>274</v>
      </c>
      <c r="D17" s="334"/>
      <c r="E17" s="334"/>
      <c r="F17" s="331" t="e">
        <f aca="false">D17/E17</f>
        <v>#DIV/0!</v>
      </c>
      <c r="G17" s="332"/>
      <c r="H17" s="332" t="n">
        <v>18</v>
      </c>
      <c r="I17" s="87" t="str">
        <f aca="false">+B18</f>
        <v>  Storage Desk</v>
      </c>
      <c r="K17" s="334"/>
      <c r="L17" s="334"/>
      <c r="M17" s="331" t="e">
        <f aca="false">K17/L17</f>
        <v>#DIV/0!</v>
      </c>
    </row>
    <row r="18" customFormat="false" ht="12.75" hidden="false" customHeight="false" outlineLevel="0" collapsed="false">
      <c r="A18" s="87" t="n">
        <v>17</v>
      </c>
      <c r="B18" s="328" t="s">
        <v>275</v>
      </c>
      <c r="D18" s="334"/>
      <c r="E18" s="334"/>
      <c r="F18" s="331" t="e">
        <f aca="false">D18/E18</f>
        <v>#DIV/0!</v>
      </c>
      <c r="G18" s="332" t="s">
        <v>40</v>
      </c>
      <c r="H18" s="332" t="n">
        <v>8</v>
      </c>
      <c r="I18" s="328" t="s">
        <v>276</v>
      </c>
      <c r="K18" s="334"/>
      <c r="L18" s="334"/>
      <c r="M18" s="331" t="e">
        <f aca="false">K18/L18</f>
        <v>#DIV/0!</v>
      </c>
    </row>
    <row r="19" customFormat="false" ht="12.75" hidden="false" customHeight="false" outlineLevel="0" collapsed="false">
      <c r="A19" s="87" t="n">
        <v>3</v>
      </c>
      <c r="B19" s="328" t="s">
        <v>276</v>
      </c>
      <c r="D19" s="334"/>
      <c r="E19" s="329"/>
      <c r="F19" s="331" t="e">
        <f aca="false">D19/E19</f>
        <v>#DIV/0!</v>
      </c>
      <c r="G19" s="332"/>
      <c r="H19" s="332" t="n">
        <v>15</v>
      </c>
      <c r="I19" s="87" t="s">
        <v>277</v>
      </c>
      <c r="K19" s="334"/>
      <c r="L19" s="334"/>
      <c r="M19" s="331" t="e">
        <f aca="false">K19/L19</f>
        <v>#DIV/0!</v>
      </c>
    </row>
    <row r="20" customFormat="false" ht="12.75" hidden="false" customHeight="false" outlineLevel="0" collapsed="false">
      <c r="A20" s="87" t="n">
        <v>14</v>
      </c>
      <c r="B20" s="87" t="s">
        <v>277</v>
      </c>
      <c r="D20" s="334"/>
      <c r="E20" s="334"/>
      <c r="F20" s="331" t="e">
        <f aca="false">D20/E20</f>
        <v>#DIV/0!</v>
      </c>
      <c r="G20" s="332"/>
      <c r="I20" s="87" t="s">
        <v>278</v>
      </c>
      <c r="K20" s="334"/>
      <c r="L20" s="334"/>
      <c r="M20" s="331" t="e">
        <f aca="false">K20/L20</f>
        <v>#DIV/0!</v>
      </c>
    </row>
    <row r="21" customFormat="false" ht="12.75" hidden="false" customHeight="false" outlineLevel="0" collapsed="false">
      <c r="A21" s="87" t="n">
        <v>10</v>
      </c>
      <c r="B21" s="328" t="s">
        <v>278</v>
      </c>
      <c r="D21" s="334"/>
      <c r="E21" s="334"/>
      <c r="F21" s="331" t="e">
        <f aca="false">D21/E21</f>
        <v>#DIV/0!</v>
      </c>
      <c r="G21" s="332"/>
      <c r="H21" s="332" t="n">
        <v>13</v>
      </c>
      <c r="I21" s="328" t="s">
        <v>279</v>
      </c>
      <c r="K21" s="334"/>
      <c r="L21" s="334"/>
      <c r="M21" s="331" t="e">
        <f aca="false">K21/L21</f>
        <v>#DIV/0!</v>
      </c>
    </row>
    <row r="22" customFormat="false" ht="12.75" hidden="false" customHeight="false" outlineLevel="0" collapsed="false">
      <c r="A22" s="87" t="n">
        <v>13</v>
      </c>
      <c r="B22" s="328" t="s">
        <v>279</v>
      </c>
      <c r="D22" s="334"/>
      <c r="E22" s="334"/>
      <c r="F22" s="331" t="e">
        <f aca="false">D22/E22</f>
        <v>#DIV/0!</v>
      </c>
      <c r="G22" s="332"/>
      <c r="H22" s="332" t="n">
        <v>6</v>
      </c>
      <c r="I22" s="335" t="s">
        <v>280</v>
      </c>
      <c r="K22" s="334"/>
      <c r="L22" s="334"/>
      <c r="M22" s="331" t="e">
        <f aca="false">K22/L22</f>
        <v>#DIV/0!</v>
      </c>
    </row>
    <row r="23" customFormat="false" ht="12.75" hidden="false" customHeight="false" outlineLevel="0" collapsed="false">
      <c r="A23" s="87" t="n">
        <v>3</v>
      </c>
      <c r="B23" s="335" t="s">
        <v>280</v>
      </c>
      <c r="D23" s="334"/>
      <c r="E23" s="334"/>
      <c r="F23" s="331" t="e">
        <f aca="false">D23/E23</f>
        <v>#DIV/0!</v>
      </c>
      <c r="G23" s="332"/>
      <c r="H23" s="332" t="n">
        <v>18</v>
      </c>
      <c r="I23" s="328" t="s">
        <v>281</v>
      </c>
      <c r="K23" s="334"/>
      <c r="L23" s="334"/>
      <c r="M23" s="331" t="e">
        <f aca="false">K23/L23</f>
        <v>#DIV/0!</v>
      </c>
    </row>
    <row r="24" customFormat="false" ht="12.75" hidden="false" customHeight="false" outlineLevel="0" collapsed="false">
      <c r="A24" s="87" t="n">
        <v>17</v>
      </c>
      <c r="B24" s="328" t="s">
        <v>281</v>
      </c>
      <c r="D24" s="334"/>
      <c r="E24" s="334"/>
      <c r="F24" s="331" t="e">
        <f aca="false">D24/E24</f>
        <v>#DIV/0!</v>
      </c>
      <c r="G24" s="332"/>
      <c r="H24" s="332"/>
      <c r="I24" s="87" t="s">
        <v>282</v>
      </c>
      <c r="K24" s="334"/>
      <c r="L24" s="334"/>
      <c r="M24" s="331" t="e">
        <f aca="false">K24/L24</f>
        <v>#DIV/0!</v>
      </c>
    </row>
    <row r="25" customFormat="false" ht="12.75" hidden="false" customHeight="false" outlineLevel="0" collapsed="false">
      <c r="B25" s="87" t="s">
        <v>282</v>
      </c>
      <c r="D25" s="334"/>
      <c r="E25" s="334"/>
      <c r="F25" s="331" t="e">
        <f aca="false">D25/E25</f>
        <v>#DIV/0!</v>
      </c>
      <c r="I25" s="336" t="s">
        <v>283</v>
      </c>
      <c r="K25" s="337" t="n">
        <f aca="false">SUM(K9:K24)</f>
        <v>1636384</v>
      </c>
      <c r="L25" s="337" t="n">
        <f aca="false">SUM(L9:L24)</f>
        <v>373239</v>
      </c>
      <c r="M25" s="338" t="n">
        <f aca="false">K25/L25</f>
        <v>4.38427924198704</v>
      </c>
    </row>
    <row r="26" customFormat="false" ht="13.5" hidden="false" customHeight="false" outlineLevel="0" collapsed="false">
      <c r="B26" s="336" t="s">
        <v>284</v>
      </c>
      <c r="D26" s="337" t="n">
        <f aca="false">SUM(D9:D25)</f>
        <v>144760</v>
      </c>
      <c r="E26" s="337" t="n">
        <f aca="false">SUM(E9:E25)</f>
        <v>34944</v>
      </c>
      <c r="F26" s="338" t="n">
        <f aca="false">D26/E26</f>
        <v>4.14262820512821</v>
      </c>
      <c r="I26" s="94" t="s">
        <v>285</v>
      </c>
      <c r="K26" s="339" t="n">
        <f aca="false">+K25+K5</f>
        <v>2096426</v>
      </c>
      <c r="L26" s="339" t="n">
        <f aca="false">+L25+L5</f>
        <v>478645</v>
      </c>
      <c r="M26" s="340" t="n">
        <f aca="false">K26/L26</f>
        <v>4.37991831106561</v>
      </c>
    </row>
    <row r="27" customFormat="false" ht="14.25" hidden="false" customHeight="false" outlineLevel="0" collapsed="false">
      <c r="B27" s="94" t="s">
        <v>286</v>
      </c>
      <c r="C27" s="94"/>
      <c r="D27" s="339" t="n">
        <f aca="false">+D26+D5</f>
        <v>2505941</v>
      </c>
      <c r="E27" s="339" t="n">
        <f aca="false">+E26+E5</f>
        <v>555961</v>
      </c>
      <c r="F27" s="340" t="n">
        <f aca="false">D27/E27</f>
        <v>4.50740429634453</v>
      </c>
      <c r="L27" s="186"/>
    </row>
    <row r="28" customFormat="false" ht="13.5" hidden="false" customHeight="false" outlineLevel="0" collapsed="false">
      <c r="D28" s="116" t="n">
        <v>0</v>
      </c>
      <c r="G28" s="101"/>
      <c r="I28" s="341" t="s">
        <v>287</v>
      </c>
      <c r="J28" s="124"/>
      <c r="K28" s="183"/>
      <c r="L28" s="183"/>
      <c r="M28" s="342"/>
    </row>
    <row r="29" customFormat="false" ht="15" hidden="false" customHeight="false" outlineLevel="0" collapsed="false">
      <c r="A29" s="87" t="n">
        <v>31</v>
      </c>
      <c r="B29" s="325" t="s">
        <v>288</v>
      </c>
      <c r="C29" s="175"/>
      <c r="D29" s="334" t="n">
        <v>0</v>
      </c>
      <c r="E29" s="343"/>
      <c r="F29" s="106"/>
      <c r="I29" s="344" t="s">
        <v>289</v>
      </c>
      <c r="J29" s="175"/>
      <c r="K29" s="345" t="n">
        <f aca="false">K5</f>
        <v>460042</v>
      </c>
      <c r="L29" s="345" t="n">
        <f aca="false">L5+1</f>
        <v>105407</v>
      </c>
      <c r="M29" s="346" t="n">
        <f aca="false">K29/L29</f>
        <v>4.36443499957308</v>
      </c>
    </row>
    <row r="30" customFormat="false" ht="15" hidden="false" customHeight="false" outlineLevel="0" collapsed="false">
      <c r="A30" s="87" t="n">
        <v>30</v>
      </c>
      <c r="B30" s="325" t="s">
        <v>290</v>
      </c>
      <c r="C30" s="175"/>
      <c r="D30" s="116" t="n">
        <v>0</v>
      </c>
      <c r="E30" s="343"/>
      <c r="L30" s="186"/>
    </row>
    <row r="31" customFormat="false" ht="15" hidden="false" customHeight="false" outlineLevel="0" collapsed="false">
      <c r="A31" s="87" t="n">
        <v>31</v>
      </c>
      <c r="B31" s="325" t="s">
        <v>291</v>
      </c>
      <c r="C31" s="175"/>
      <c r="D31" s="116" t="n">
        <v>0</v>
      </c>
      <c r="E31" s="343"/>
      <c r="L31" s="186"/>
      <c r="O31" s="87" t="s">
        <v>40</v>
      </c>
    </row>
    <row r="32" customFormat="false" ht="12.75" hidden="false" customHeight="false" outlineLevel="0" collapsed="false">
      <c r="L32" s="186" t="s">
        <v>40</v>
      </c>
    </row>
    <row r="34" customFormat="false" ht="12.75" hidden="false" customHeight="false" outlineLevel="0" collapsed="false">
      <c r="J34" s="347"/>
    </row>
    <row r="35" customFormat="false" ht="12.75" hidden="false" customHeight="false" outlineLevel="0" collapsed="false">
      <c r="F35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1" topLeftCell="F36" activePane="bottomRight" state="frozen"/>
      <selection pane="topLeft" activeCell="A1" activeCellId="0" sqref="A1"/>
      <selection pane="topRight" activeCell="F1" activeCellId="0" sqref="F1"/>
      <selection pane="bottomLeft" activeCell="A36" activeCellId="0" sqref="A36"/>
      <selection pane="bottomRight" activeCell="F68" activeCellId="0" sqref="F68"/>
    </sheetView>
  </sheetViews>
  <sheetFormatPr defaultColWidth="38.5625" defaultRowHeight="12.75" customHeight="true" zeroHeight="false" outlineLevelRow="0" outlineLevelCol="0"/>
  <cols>
    <col collapsed="false" customWidth="true" hidden="false" outlineLevel="0" max="2" min="1" style="58" width="11.99"/>
    <col collapsed="false" customWidth="true" hidden="false" outlineLevel="0" max="3" min="3" style="59" width="12.85"/>
    <col collapsed="false" customWidth="true" hidden="false" outlineLevel="0" max="4" min="4" style="60" width="10.28"/>
    <col collapsed="false" customWidth="true" hidden="false" outlineLevel="0" max="5" min="5" style="61" width="14.14"/>
    <col collapsed="false" customWidth="true" hidden="false" outlineLevel="0" max="7" min="6" style="62" width="12.85"/>
    <col collapsed="false" customWidth="true" hidden="false" outlineLevel="0" max="8" min="8" style="62" width="8.7"/>
    <col collapsed="false" customWidth="true" hidden="false" outlineLevel="0" max="19" min="9" style="62" width="11.7"/>
    <col collapsed="false" customWidth="false" hidden="false" outlineLevel="0" max="257" min="20" style="63" width="38.56"/>
  </cols>
  <sheetData>
    <row r="1" customFormat="false" ht="12.75" hidden="false" customHeight="true" outlineLevel="0" collapsed="false">
      <c r="C1" s="64" t="s">
        <v>11</v>
      </c>
      <c r="D1" s="65" t="s">
        <v>12</v>
      </c>
      <c r="E1" s="66" t="s">
        <v>13</v>
      </c>
      <c r="F1" s="67" t="s">
        <v>14</v>
      </c>
      <c r="G1" s="67" t="s">
        <v>15</v>
      </c>
      <c r="H1" s="67" t="s">
        <v>16</v>
      </c>
      <c r="I1" s="67" t="s">
        <v>17</v>
      </c>
      <c r="J1" s="67" t="s">
        <v>18</v>
      </c>
      <c r="K1" s="67" t="s">
        <v>19</v>
      </c>
      <c r="L1" s="67" t="s">
        <v>20</v>
      </c>
      <c r="M1" s="67" t="s">
        <v>21</v>
      </c>
      <c r="N1" s="67" t="s">
        <v>22</v>
      </c>
      <c r="O1" s="67" t="s">
        <v>23</v>
      </c>
      <c r="P1" s="67" t="s">
        <v>24</v>
      </c>
      <c r="Q1" s="67" t="s">
        <v>25</v>
      </c>
      <c r="R1" s="67" t="s">
        <v>26</v>
      </c>
      <c r="S1" s="67" t="s">
        <v>27</v>
      </c>
    </row>
    <row r="2" customFormat="false" ht="12.75" hidden="false" customHeight="true" outlineLevel="0" collapsed="false">
      <c r="C2" s="68" t="n">
        <v>877920</v>
      </c>
      <c r="D2" s="60" t="s">
        <v>28</v>
      </c>
      <c r="E2" s="61" t="s">
        <v>29</v>
      </c>
      <c r="F2" s="62" t="n">
        <v>11440385</v>
      </c>
      <c r="G2" s="62" t="n">
        <v>11182291.6794</v>
      </c>
      <c r="H2" s="62" t="n">
        <v>0.12940798</v>
      </c>
      <c r="I2" s="62" t="n">
        <v>257109</v>
      </c>
      <c r="J2" s="62" t="n">
        <v>-14.1667</v>
      </c>
      <c r="K2" s="62" t="n">
        <v>0</v>
      </c>
      <c r="L2" s="62" t="n">
        <v>0</v>
      </c>
      <c r="M2" s="62" t="n">
        <v>0</v>
      </c>
      <c r="N2" s="62" t="n">
        <v>-750.0969</v>
      </c>
      <c r="O2" s="62" t="n">
        <v>1748.247</v>
      </c>
      <c r="P2" s="62" t="n">
        <v>0</v>
      </c>
      <c r="Q2" s="62" t="n">
        <v>0</v>
      </c>
      <c r="R2" s="62" t="n">
        <v>-0.3008</v>
      </c>
      <c r="S2" s="62" t="n">
        <v>0</v>
      </c>
    </row>
    <row r="3" customFormat="false" ht="12.75" hidden="false" customHeight="true" outlineLevel="0" collapsed="false">
      <c r="A3" s="69" t="s">
        <v>30</v>
      </c>
      <c r="B3" s="70"/>
      <c r="C3" s="71" t="n">
        <v>877920</v>
      </c>
      <c r="D3" s="60" t="s">
        <v>28</v>
      </c>
      <c r="E3" s="61" t="s">
        <v>31</v>
      </c>
      <c r="F3" s="62" t="n">
        <v>0</v>
      </c>
      <c r="G3" s="62" t="n">
        <v>0</v>
      </c>
      <c r="H3" s="62" t="n">
        <v>0</v>
      </c>
      <c r="I3" s="62" t="n">
        <v>0</v>
      </c>
      <c r="J3" s="62" t="n">
        <v>0</v>
      </c>
      <c r="K3" s="62" t="n">
        <v>0</v>
      </c>
      <c r="L3" s="62" t="n">
        <v>0</v>
      </c>
      <c r="M3" s="62" t="n">
        <v>0</v>
      </c>
      <c r="N3" s="62" t="n">
        <v>0</v>
      </c>
      <c r="O3" s="62" t="n">
        <v>0</v>
      </c>
      <c r="P3" s="62" t="n">
        <v>0</v>
      </c>
      <c r="Q3" s="62" t="n">
        <v>0</v>
      </c>
      <c r="R3" s="62" t="n">
        <v>0</v>
      </c>
      <c r="S3" s="62" t="n">
        <v>0</v>
      </c>
    </row>
    <row r="4" customFormat="false" ht="12.75" hidden="false" customHeight="true" outlineLevel="0" collapsed="false">
      <c r="A4" s="72" t="s">
        <v>32</v>
      </c>
      <c r="B4" s="73"/>
      <c r="C4" s="71" t="n">
        <v>877920</v>
      </c>
      <c r="D4" s="60" t="s">
        <v>28</v>
      </c>
      <c r="E4" s="61" t="s">
        <v>33</v>
      </c>
      <c r="F4" s="62" t="n">
        <v>0</v>
      </c>
      <c r="G4" s="62" t="n">
        <v>0</v>
      </c>
      <c r="H4" s="62" t="n">
        <v>0</v>
      </c>
      <c r="I4" s="62" t="n">
        <v>0</v>
      </c>
      <c r="J4" s="62" t="n">
        <v>0</v>
      </c>
      <c r="K4" s="62" t="n">
        <v>0</v>
      </c>
      <c r="L4" s="62" t="n">
        <v>0</v>
      </c>
      <c r="M4" s="62" t="n">
        <v>0</v>
      </c>
      <c r="N4" s="62" t="n">
        <v>0</v>
      </c>
      <c r="O4" s="62" t="n">
        <v>0</v>
      </c>
      <c r="P4" s="62" t="n">
        <v>0</v>
      </c>
      <c r="Q4" s="62" t="n">
        <v>0</v>
      </c>
      <c r="R4" s="62" t="n">
        <v>0</v>
      </c>
      <c r="S4" s="62" t="n">
        <v>0</v>
      </c>
    </row>
    <row r="5" customFormat="false" ht="12.75" hidden="false" customHeight="true" outlineLevel="0" collapsed="false">
      <c r="A5" s="74" t="s">
        <v>34</v>
      </c>
      <c r="B5" s="75" t="n">
        <f aca="false">Input!A2</f>
        <v>36769</v>
      </c>
      <c r="C5" s="71" t="n">
        <v>877920</v>
      </c>
      <c r="D5" s="60" t="s">
        <v>28</v>
      </c>
      <c r="E5" s="61" t="s">
        <v>35</v>
      </c>
      <c r="F5" s="62" t="n">
        <v>0</v>
      </c>
      <c r="G5" s="62" t="n">
        <v>0</v>
      </c>
      <c r="H5" s="62" t="n">
        <v>0</v>
      </c>
      <c r="I5" s="62" t="n">
        <v>0</v>
      </c>
      <c r="J5" s="62" t="n">
        <v>0</v>
      </c>
      <c r="K5" s="62" t="n">
        <v>0</v>
      </c>
      <c r="L5" s="62" t="n">
        <v>0</v>
      </c>
      <c r="M5" s="62" t="n">
        <v>0</v>
      </c>
      <c r="N5" s="62" t="n">
        <v>0</v>
      </c>
      <c r="O5" s="62" t="n">
        <v>0</v>
      </c>
      <c r="P5" s="62" t="n">
        <v>0</v>
      </c>
      <c r="Q5" s="62" t="n">
        <v>0</v>
      </c>
      <c r="R5" s="62" t="n">
        <v>0</v>
      </c>
      <c r="S5" s="62" t="n">
        <v>0</v>
      </c>
    </row>
    <row r="6" customFormat="false" ht="12.75" hidden="false" customHeight="true" outlineLevel="0" collapsed="false">
      <c r="A6" s="76" t="str">
        <f aca="false">Input!C2</f>
        <v>Price-NSS1</v>
      </c>
      <c r="B6" s="77" t="n">
        <f aca="false">Input!B2</f>
        <v>877920</v>
      </c>
      <c r="C6" s="71" t="n">
        <v>877920</v>
      </c>
      <c r="D6" s="60" t="s">
        <v>28</v>
      </c>
      <c r="E6" s="61" t="s">
        <v>36</v>
      </c>
      <c r="F6" s="62" t="n">
        <v>0</v>
      </c>
      <c r="G6" s="62" t="n">
        <v>0</v>
      </c>
      <c r="H6" s="62" t="n">
        <v>0</v>
      </c>
      <c r="I6" s="62" t="n">
        <v>0</v>
      </c>
      <c r="J6" s="62" t="n">
        <v>0</v>
      </c>
      <c r="K6" s="62" t="n">
        <v>0</v>
      </c>
      <c r="L6" s="62" t="n">
        <v>0</v>
      </c>
      <c r="M6" s="62" t="n">
        <v>0</v>
      </c>
      <c r="N6" s="62" t="n">
        <v>0</v>
      </c>
      <c r="O6" s="62" t="n">
        <v>0</v>
      </c>
      <c r="P6" s="62" t="n">
        <v>0</v>
      </c>
      <c r="Q6" s="62" t="n">
        <v>0</v>
      </c>
      <c r="R6" s="62" t="n">
        <v>0</v>
      </c>
      <c r="S6" s="62" t="n">
        <v>0</v>
      </c>
    </row>
    <row r="7" customFormat="false" ht="12.75" hidden="false" customHeight="true" outlineLevel="0" collapsed="false">
      <c r="A7" s="78" t="str">
        <f aca="false">Input!C3</f>
        <v>Basis-NSS1</v>
      </c>
      <c r="B7" s="77" t="n">
        <f aca="false">Input!B3</f>
        <v>877921</v>
      </c>
      <c r="C7" s="71" t="n">
        <v>877921</v>
      </c>
      <c r="D7" s="60" t="s">
        <v>28</v>
      </c>
      <c r="E7" s="61" t="s">
        <v>29</v>
      </c>
      <c r="F7" s="62" t="n">
        <v>36098.5532</v>
      </c>
      <c r="G7" s="62" t="n">
        <v>36023.516</v>
      </c>
      <c r="H7" s="62" t="n">
        <v>0</v>
      </c>
      <c r="I7" s="62" t="n">
        <v>0</v>
      </c>
      <c r="J7" s="62" t="n">
        <v>-72.4527</v>
      </c>
      <c r="K7" s="62" t="n">
        <v>0</v>
      </c>
      <c r="L7" s="62" t="n">
        <v>0</v>
      </c>
      <c r="M7" s="62" t="n">
        <v>0</v>
      </c>
      <c r="N7" s="62" t="n">
        <v>120.9209</v>
      </c>
      <c r="O7" s="62" t="n">
        <v>26.7347</v>
      </c>
      <c r="P7" s="62" t="n">
        <v>0</v>
      </c>
      <c r="Q7" s="62" t="n">
        <v>0</v>
      </c>
      <c r="R7" s="62" t="n">
        <v>-0.1657</v>
      </c>
      <c r="S7" s="62" t="n">
        <v>0</v>
      </c>
    </row>
    <row r="8" customFormat="false" ht="12.75" hidden="false" customHeight="false" outlineLevel="0" collapsed="false">
      <c r="A8" s="78" t="str">
        <f aca="false">Input!C4</f>
        <v>Index-NSS1</v>
      </c>
      <c r="B8" s="77" t="n">
        <f aca="false">Input!B4</f>
        <v>877922</v>
      </c>
      <c r="C8" s="71" t="n">
        <v>877921</v>
      </c>
      <c r="D8" s="60" t="s">
        <v>28</v>
      </c>
      <c r="E8" s="61" t="s">
        <v>31</v>
      </c>
      <c r="F8" s="62" t="n">
        <v>0</v>
      </c>
      <c r="G8" s="62" t="n">
        <v>0</v>
      </c>
      <c r="H8" s="62" t="n">
        <v>0</v>
      </c>
      <c r="I8" s="62" t="n">
        <v>0</v>
      </c>
      <c r="J8" s="62" t="n">
        <v>0</v>
      </c>
      <c r="K8" s="62" t="n">
        <v>0</v>
      </c>
      <c r="L8" s="62" t="n">
        <v>0</v>
      </c>
      <c r="M8" s="62" t="n">
        <v>0</v>
      </c>
      <c r="N8" s="62" t="n">
        <v>0</v>
      </c>
      <c r="O8" s="62" t="n">
        <v>0</v>
      </c>
      <c r="P8" s="62" t="n">
        <v>0</v>
      </c>
      <c r="Q8" s="62" t="n">
        <v>0</v>
      </c>
      <c r="R8" s="62" t="n">
        <v>0</v>
      </c>
      <c r="S8" s="62" t="n">
        <v>0</v>
      </c>
    </row>
    <row r="9" customFormat="false" ht="12.75" hidden="false" customHeight="false" outlineLevel="0" collapsed="false">
      <c r="A9" s="78" t="str">
        <f aca="false">Input!C5</f>
        <v>Price-NSS2</v>
      </c>
      <c r="B9" s="77" t="n">
        <f aca="false">Input!B5</f>
        <v>877923</v>
      </c>
      <c r="C9" s="71" t="n">
        <v>877921</v>
      </c>
      <c r="D9" s="60" t="s">
        <v>28</v>
      </c>
      <c r="E9" s="61" t="s">
        <v>33</v>
      </c>
      <c r="F9" s="62" t="n">
        <v>0</v>
      </c>
      <c r="G9" s="62" t="n">
        <v>0</v>
      </c>
      <c r="H9" s="62" t="n">
        <v>0</v>
      </c>
      <c r="I9" s="62" t="n">
        <v>0</v>
      </c>
      <c r="J9" s="62" t="n">
        <v>0</v>
      </c>
      <c r="K9" s="62" t="n">
        <v>0</v>
      </c>
      <c r="L9" s="62" t="n">
        <v>0</v>
      </c>
      <c r="M9" s="62" t="n">
        <v>0</v>
      </c>
      <c r="N9" s="62" t="n">
        <v>0</v>
      </c>
      <c r="O9" s="62" t="n">
        <v>0</v>
      </c>
      <c r="P9" s="62" t="n">
        <v>0</v>
      </c>
      <c r="Q9" s="62" t="n">
        <v>0</v>
      </c>
      <c r="R9" s="62" t="n">
        <v>0</v>
      </c>
      <c r="S9" s="62" t="n">
        <v>0</v>
      </c>
    </row>
    <row r="10" customFormat="false" ht="12.75" hidden="false" customHeight="false" outlineLevel="0" collapsed="false">
      <c r="A10" s="78" t="str">
        <f aca="false">Input!C6</f>
        <v>Basis-NSS2</v>
      </c>
      <c r="B10" s="77" t="n">
        <f aca="false">Input!B6</f>
        <v>877924</v>
      </c>
      <c r="C10" s="71" t="n">
        <v>877921</v>
      </c>
      <c r="D10" s="60" t="s">
        <v>28</v>
      </c>
      <c r="E10" s="61" t="s">
        <v>35</v>
      </c>
      <c r="F10" s="62" t="n">
        <v>0</v>
      </c>
      <c r="G10" s="62" t="n">
        <v>0</v>
      </c>
      <c r="H10" s="62" t="n">
        <v>0</v>
      </c>
      <c r="I10" s="62" t="n">
        <v>0</v>
      </c>
      <c r="J10" s="62" t="n">
        <v>0</v>
      </c>
      <c r="K10" s="62" t="n">
        <v>0</v>
      </c>
      <c r="L10" s="62" t="n">
        <v>0</v>
      </c>
      <c r="M10" s="62" t="n">
        <v>0</v>
      </c>
      <c r="N10" s="62" t="n">
        <v>0</v>
      </c>
      <c r="O10" s="62" t="n">
        <v>0</v>
      </c>
      <c r="P10" s="62" t="n">
        <v>0</v>
      </c>
      <c r="Q10" s="62" t="n">
        <v>0</v>
      </c>
      <c r="R10" s="62" t="n">
        <v>0</v>
      </c>
      <c r="S10" s="62" t="n">
        <v>0</v>
      </c>
    </row>
    <row r="11" customFormat="false" ht="12.75" hidden="false" customHeight="false" outlineLevel="0" collapsed="false">
      <c r="A11" s="78" t="str">
        <f aca="false">Input!C7</f>
        <v>Index-NSS2</v>
      </c>
      <c r="B11" s="77" t="n">
        <f aca="false">Input!B7</f>
        <v>877925</v>
      </c>
      <c r="C11" s="71" t="n">
        <v>877921</v>
      </c>
      <c r="D11" s="60" t="s">
        <v>28</v>
      </c>
      <c r="E11" s="79" t="s">
        <v>36</v>
      </c>
      <c r="F11" s="62" t="n">
        <v>0</v>
      </c>
      <c r="G11" s="62" t="n">
        <v>0</v>
      </c>
      <c r="H11" s="62" t="n">
        <v>0</v>
      </c>
      <c r="I11" s="62" t="n">
        <v>0</v>
      </c>
      <c r="J11" s="62" t="n">
        <v>0</v>
      </c>
      <c r="K11" s="62" t="n">
        <v>0</v>
      </c>
      <c r="L11" s="62" t="n">
        <v>0</v>
      </c>
      <c r="M11" s="62" t="n">
        <v>0</v>
      </c>
      <c r="N11" s="62" t="n">
        <v>0</v>
      </c>
      <c r="O11" s="62" t="n">
        <v>0</v>
      </c>
      <c r="P11" s="62" t="n">
        <v>0</v>
      </c>
      <c r="Q11" s="62" t="n">
        <v>0</v>
      </c>
      <c r="R11" s="62" t="n">
        <v>0</v>
      </c>
      <c r="S11" s="62" t="n">
        <v>0</v>
      </c>
    </row>
    <row r="12" customFormat="false" ht="12.75" hidden="false" customHeight="false" outlineLevel="0" collapsed="false">
      <c r="A12" s="78" t="str">
        <f aca="false">Input!C8</f>
        <v>Price-MEH</v>
      </c>
      <c r="B12" s="77" t="n">
        <f aca="false">Input!B8</f>
        <v>877926</v>
      </c>
      <c r="C12" s="71" t="n">
        <v>877922</v>
      </c>
      <c r="D12" s="60" t="s">
        <v>28</v>
      </c>
      <c r="E12" s="61" t="s">
        <v>29</v>
      </c>
      <c r="F12" s="62" t="n">
        <v>-8026.4418</v>
      </c>
      <c r="G12" s="62" t="n">
        <v>-8031.343</v>
      </c>
      <c r="H12" s="62" t="n">
        <v>0.9033349</v>
      </c>
      <c r="I12" s="62" t="n">
        <v>0</v>
      </c>
      <c r="J12" s="62" t="n">
        <v>0</v>
      </c>
      <c r="K12" s="62" t="n">
        <v>0</v>
      </c>
      <c r="L12" s="62" t="n">
        <v>0</v>
      </c>
      <c r="M12" s="62" t="n">
        <v>0</v>
      </c>
      <c r="N12" s="62" t="n">
        <v>1.5561</v>
      </c>
      <c r="O12" s="62" t="n">
        <v>3.3542</v>
      </c>
      <c r="P12" s="62" t="n">
        <v>0</v>
      </c>
      <c r="Q12" s="62" t="n">
        <v>0</v>
      </c>
      <c r="R12" s="62" t="n">
        <v>-0.0091</v>
      </c>
      <c r="S12" s="62" t="n">
        <v>0</v>
      </c>
    </row>
    <row r="13" customFormat="false" ht="12.75" hidden="false" customHeight="false" outlineLevel="0" collapsed="false">
      <c r="A13" s="78" t="str">
        <f aca="false">Input!C9</f>
        <v>Basis-MEH</v>
      </c>
      <c r="B13" s="77" t="n">
        <f aca="false">Input!B9</f>
        <v>877927</v>
      </c>
      <c r="C13" s="71" t="n">
        <v>877922</v>
      </c>
      <c r="D13" s="60" t="s">
        <v>28</v>
      </c>
      <c r="E13" s="61" t="s">
        <v>31</v>
      </c>
      <c r="F13" s="62" t="n">
        <v>0</v>
      </c>
      <c r="G13" s="62" t="n">
        <v>0</v>
      </c>
      <c r="H13" s="62" t="n">
        <v>0</v>
      </c>
      <c r="I13" s="62" t="n">
        <v>0</v>
      </c>
      <c r="J13" s="62" t="n">
        <v>0</v>
      </c>
      <c r="K13" s="62" t="n">
        <v>0</v>
      </c>
      <c r="L13" s="62" t="n">
        <v>0</v>
      </c>
      <c r="M13" s="62" t="n">
        <v>0</v>
      </c>
      <c r="N13" s="62" t="n">
        <v>0</v>
      </c>
      <c r="O13" s="62" t="n">
        <v>0</v>
      </c>
      <c r="P13" s="62" t="n">
        <v>0</v>
      </c>
      <c r="Q13" s="62" t="n">
        <v>0</v>
      </c>
      <c r="R13" s="62" t="n">
        <v>0</v>
      </c>
      <c r="S13" s="62" t="n">
        <v>0</v>
      </c>
    </row>
    <row r="14" customFormat="false" ht="12.75" hidden="false" customHeight="false" outlineLevel="0" collapsed="false">
      <c r="A14" s="78" t="str">
        <f aca="false">Input!C10</f>
        <v>Index-MEH</v>
      </c>
      <c r="B14" s="77" t="n">
        <f aca="false">Input!B10</f>
        <v>877928</v>
      </c>
      <c r="C14" s="71" t="n">
        <v>877922</v>
      </c>
      <c r="D14" s="60" t="s">
        <v>28</v>
      </c>
      <c r="E14" s="61" t="s">
        <v>33</v>
      </c>
      <c r="F14" s="62" t="n">
        <v>0</v>
      </c>
      <c r="G14" s="62" t="n">
        <v>0</v>
      </c>
      <c r="H14" s="62" t="n">
        <v>0</v>
      </c>
      <c r="I14" s="62" t="n">
        <v>0</v>
      </c>
      <c r="J14" s="62" t="n">
        <v>0</v>
      </c>
      <c r="K14" s="62" t="n">
        <v>0</v>
      </c>
      <c r="L14" s="62" t="n">
        <v>0</v>
      </c>
      <c r="M14" s="62" t="n">
        <v>0</v>
      </c>
      <c r="N14" s="62" t="n">
        <v>0</v>
      </c>
      <c r="O14" s="62" t="n">
        <v>0</v>
      </c>
      <c r="P14" s="62" t="n">
        <v>0</v>
      </c>
      <c r="Q14" s="62" t="n">
        <v>0</v>
      </c>
      <c r="R14" s="62" t="n">
        <v>0</v>
      </c>
      <c r="S14" s="62" t="n">
        <v>0</v>
      </c>
    </row>
    <row r="15" customFormat="false" ht="12.75" hidden="false" customHeight="false" outlineLevel="0" collapsed="false">
      <c r="A15" s="78" t="str">
        <f aca="false">Input!C11</f>
        <v>TP-EMWNSS</v>
      </c>
      <c r="B15" s="77" t="n">
        <f aca="false">Input!B11</f>
        <v>877929</v>
      </c>
      <c r="C15" s="71" t="n">
        <v>877922</v>
      </c>
      <c r="D15" s="60" t="s">
        <v>28</v>
      </c>
      <c r="E15" s="61" t="s">
        <v>35</v>
      </c>
      <c r="F15" s="62" t="n">
        <v>0</v>
      </c>
      <c r="G15" s="62" t="n">
        <v>0</v>
      </c>
      <c r="H15" s="62" t="n">
        <v>0</v>
      </c>
      <c r="I15" s="62" t="n">
        <v>0</v>
      </c>
      <c r="J15" s="62" t="n">
        <v>0</v>
      </c>
      <c r="K15" s="62" t="n">
        <v>0</v>
      </c>
      <c r="L15" s="62" t="n">
        <v>0</v>
      </c>
      <c r="M15" s="62" t="n">
        <v>0</v>
      </c>
      <c r="N15" s="62" t="n">
        <v>0</v>
      </c>
      <c r="O15" s="62" t="n">
        <v>0</v>
      </c>
      <c r="P15" s="62" t="n">
        <v>0</v>
      </c>
      <c r="Q15" s="62" t="n">
        <v>0</v>
      </c>
      <c r="R15" s="62" t="n">
        <v>0</v>
      </c>
      <c r="S15" s="62" t="n">
        <v>0</v>
      </c>
    </row>
    <row r="16" customFormat="false" ht="12.75" hidden="false" customHeight="false" outlineLevel="0" collapsed="false">
      <c r="A16" s="78" t="str">
        <f aca="false">Input!C12</f>
        <v>TP-EMWNSS</v>
      </c>
      <c r="B16" s="77" t="n">
        <f aca="false">Input!B12</f>
        <v>877930</v>
      </c>
      <c r="C16" s="71" t="n">
        <v>877922</v>
      </c>
      <c r="D16" s="60" t="s">
        <v>28</v>
      </c>
      <c r="E16" s="61" t="s">
        <v>36</v>
      </c>
      <c r="F16" s="62" t="n">
        <v>0</v>
      </c>
      <c r="G16" s="62" t="n">
        <v>0</v>
      </c>
      <c r="H16" s="62" t="n">
        <v>0</v>
      </c>
      <c r="I16" s="62" t="n">
        <v>0</v>
      </c>
      <c r="J16" s="62" t="n">
        <v>0</v>
      </c>
      <c r="K16" s="62" t="n">
        <v>0</v>
      </c>
      <c r="L16" s="62" t="n">
        <v>0</v>
      </c>
      <c r="M16" s="62" t="n">
        <v>0</v>
      </c>
      <c r="N16" s="62" t="n">
        <v>0</v>
      </c>
      <c r="O16" s="62" t="n">
        <v>0</v>
      </c>
      <c r="P16" s="62" t="n">
        <v>0</v>
      </c>
      <c r="Q16" s="62" t="n">
        <v>0</v>
      </c>
      <c r="R16" s="62" t="n">
        <v>0</v>
      </c>
      <c r="S16" s="62" t="n">
        <v>0</v>
      </c>
    </row>
    <row r="17" customFormat="false" ht="12" hidden="false" customHeight="true" outlineLevel="0" collapsed="false">
      <c r="A17" s="80" t="str">
        <f aca="false">Input!C13</f>
        <v>TP-EMWNSS</v>
      </c>
      <c r="B17" s="77" t="n">
        <f aca="false">Input!B13</f>
        <v>877931</v>
      </c>
      <c r="C17" s="71" t="n">
        <v>877923</v>
      </c>
      <c r="D17" s="60" t="s">
        <v>28</v>
      </c>
      <c r="E17" s="61" t="s">
        <v>29</v>
      </c>
      <c r="F17" s="62" t="n">
        <v>0</v>
      </c>
      <c r="G17" s="62" t="n">
        <v>0</v>
      </c>
      <c r="H17" s="62" t="n">
        <v>0</v>
      </c>
      <c r="I17" s="62" t="n">
        <v>0</v>
      </c>
      <c r="J17" s="62" t="n">
        <v>0</v>
      </c>
      <c r="K17" s="62" t="n">
        <v>0</v>
      </c>
      <c r="L17" s="62" t="n">
        <v>0</v>
      </c>
      <c r="M17" s="62" t="n">
        <v>0</v>
      </c>
      <c r="N17" s="62" t="n">
        <v>0</v>
      </c>
      <c r="O17" s="62" t="n">
        <v>0</v>
      </c>
      <c r="P17" s="62" t="n">
        <v>0</v>
      </c>
      <c r="Q17" s="62" t="n">
        <v>0</v>
      </c>
      <c r="R17" s="62" t="n">
        <v>0</v>
      </c>
      <c r="S17" s="62" t="n">
        <v>0</v>
      </c>
    </row>
    <row r="18" customFormat="false" ht="12.75" hidden="false" customHeight="true" outlineLevel="0" collapsed="false">
      <c r="A18" s="81"/>
      <c r="C18" s="71" t="n">
        <v>877923</v>
      </c>
      <c r="D18" s="60" t="s">
        <v>28</v>
      </c>
      <c r="E18" s="61" t="s">
        <v>31</v>
      </c>
      <c r="F18" s="62" t="n">
        <v>0</v>
      </c>
      <c r="G18" s="62" t="n">
        <v>0</v>
      </c>
      <c r="H18" s="62" t="n">
        <v>0</v>
      </c>
      <c r="I18" s="62" t="n">
        <v>0</v>
      </c>
      <c r="J18" s="62" t="n">
        <v>0</v>
      </c>
      <c r="K18" s="62" t="n">
        <v>0</v>
      </c>
      <c r="L18" s="62" t="n">
        <v>0</v>
      </c>
      <c r="M18" s="62" t="n">
        <v>0</v>
      </c>
      <c r="N18" s="62" t="n">
        <v>0</v>
      </c>
      <c r="O18" s="62" t="n">
        <v>0</v>
      </c>
      <c r="P18" s="62" t="n">
        <v>0</v>
      </c>
      <c r="Q18" s="62" t="n">
        <v>0</v>
      </c>
      <c r="R18" s="62" t="n">
        <v>0</v>
      </c>
      <c r="S18" s="62" t="n">
        <v>0</v>
      </c>
    </row>
    <row r="19" customFormat="false" ht="13.5" hidden="false" customHeight="true" outlineLevel="0" collapsed="false">
      <c r="C19" s="71" t="n">
        <v>877923</v>
      </c>
      <c r="D19" s="60" t="s">
        <v>28</v>
      </c>
      <c r="E19" s="61" t="s">
        <v>33</v>
      </c>
      <c r="F19" s="62" t="n">
        <v>0</v>
      </c>
      <c r="G19" s="62" t="n">
        <v>0</v>
      </c>
      <c r="H19" s="62" t="n">
        <v>0</v>
      </c>
      <c r="I19" s="62" t="n">
        <v>0</v>
      </c>
      <c r="J19" s="62" t="n">
        <v>0</v>
      </c>
      <c r="K19" s="62" t="n">
        <v>0</v>
      </c>
      <c r="L19" s="62" t="n">
        <v>0</v>
      </c>
      <c r="M19" s="62" t="n">
        <v>0</v>
      </c>
      <c r="N19" s="62" t="n">
        <v>0</v>
      </c>
      <c r="O19" s="62" t="n">
        <v>0</v>
      </c>
      <c r="P19" s="62" t="n">
        <v>0</v>
      </c>
      <c r="Q19" s="62" t="n">
        <v>0</v>
      </c>
      <c r="R19" s="62" t="n">
        <v>0</v>
      </c>
      <c r="S19" s="62" t="n">
        <v>0</v>
      </c>
    </row>
    <row r="20" customFormat="false" ht="13.5" hidden="false" customHeight="true" outlineLevel="0" collapsed="false">
      <c r="C20" s="71" t="n">
        <v>877923</v>
      </c>
      <c r="D20" s="60" t="s">
        <v>28</v>
      </c>
      <c r="E20" s="61" t="s">
        <v>35</v>
      </c>
      <c r="F20" s="62" t="n">
        <v>0</v>
      </c>
      <c r="G20" s="62" t="n">
        <v>0</v>
      </c>
      <c r="H20" s="62" t="n">
        <v>0</v>
      </c>
      <c r="I20" s="62" t="n">
        <v>0</v>
      </c>
      <c r="J20" s="62" t="n">
        <v>0</v>
      </c>
      <c r="K20" s="62" t="n">
        <v>0</v>
      </c>
      <c r="L20" s="62" t="n">
        <v>0</v>
      </c>
      <c r="M20" s="62" t="n">
        <v>0</v>
      </c>
      <c r="N20" s="62" t="n">
        <v>0</v>
      </c>
      <c r="O20" s="62" t="n">
        <v>0</v>
      </c>
      <c r="P20" s="62" t="n">
        <v>0</v>
      </c>
      <c r="Q20" s="62" t="n">
        <v>0</v>
      </c>
      <c r="R20" s="62" t="n">
        <v>0</v>
      </c>
      <c r="S20" s="62" t="n">
        <v>0</v>
      </c>
    </row>
    <row r="21" customFormat="false" ht="11.25" hidden="false" customHeight="true" outlineLevel="0" collapsed="false">
      <c r="C21" s="71" t="n">
        <v>877923</v>
      </c>
      <c r="D21" s="60" t="s">
        <v>28</v>
      </c>
      <c r="E21" s="61" t="s">
        <v>36</v>
      </c>
      <c r="F21" s="62" t="n">
        <v>0</v>
      </c>
      <c r="G21" s="62" t="n">
        <v>0</v>
      </c>
      <c r="H21" s="62" t="n">
        <v>0</v>
      </c>
      <c r="I21" s="62" t="n">
        <v>0</v>
      </c>
      <c r="J21" s="62" t="n">
        <v>0</v>
      </c>
      <c r="K21" s="62" t="n">
        <v>0</v>
      </c>
      <c r="L21" s="62" t="n">
        <v>0</v>
      </c>
      <c r="M21" s="62" t="n">
        <v>0</v>
      </c>
      <c r="N21" s="62" t="n">
        <v>0</v>
      </c>
      <c r="O21" s="62" t="n">
        <v>0</v>
      </c>
      <c r="P21" s="62" t="n">
        <v>0</v>
      </c>
      <c r="Q21" s="62" t="n">
        <v>0</v>
      </c>
      <c r="R21" s="62" t="n">
        <v>0</v>
      </c>
      <c r="S21" s="62" t="n">
        <v>0</v>
      </c>
    </row>
    <row r="22" customFormat="false" ht="12.75" hidden="false" customHeight="false" outlineLevel="0" collapsed="false">
      <c r="C22" s="71" t="n">
        <v>877924</v>
      </c>
      <c r="D22" s="60" t="s">
        <v>28</v>
      </c>
      <c r="E22" s="61" t="s">
        <v>29</v>
      </c>
      <c r="F22" s="62" t="n">
        <v>0</v>
      </c>
      <c r="G22" s="62" t="n">
        <v>0</v>
      </c>
      <c r="H22" s="62" t="n">
        <v>0</v>
      </c>
      <c r="I22" s="62" t="n">
        <v>0</v>
      </c>
      <c r="J22" s="62" t="n">
        <v>0</v>
      </c>
      <c r="K22" s="62" t="n">
        <v>0</v>
      </c>
      <c r="L22" s="62" t="n">
        <v>0</v>
      </c>
      <c r="M22" s="62" t="n">
        <v>0</v>
      </c>
      <c r="N22" s="62" t="n">
        <v>0</v>
      </c>
      <c r="O22" s="62" t="n">
        <v>0</v>
      </c>
      <c r="P22" s="62" t="n">
        <v>0</v>
      </c>
      <c r="Q22" s="62" t="n">
        <v>0</v>
      </c>
      <c r="R22" s="62" t="n">
        <v>0</v>
      </c>
      <c r="S22" s="62" t="n">
        <v>0</v>
      </c>
    </row>
    <row r="23" customFormat="false" ht="12.75" hidden="false" customHeight="false" outlineLevel="0" collapsed="false">
      <c r="C23" s="71" t="n">
        <v>877924</v>
      </c>
      <c r="D23" s="60" t="s">
        <v>28</v>
      </c>
      <c r="E23" s="61" t="s">
        <v>31</v>
      </c>
      <c r="F23" s="62" t="n">
        <v>0</v>
      </c>
      <c r="G23" s="62" t="n">
        <v>0</v>
      </c>
      <c r="H23" s="62" t="n">
        <v>0</v>
      </c>
      <c r="I23" s="62" t="n">
        <v>0</v>
      </c>
      <c r="J23" s="62" t="n">
        <v>0</v>
      </c>
      <c r="K23" s="62" t="n">
        <v>0</v>
      </c>
      <c r="L23" s="62" t="n">
        <v>0</v>
      </c>
      <c r="M23" s="62" t="n">
        <v>0</v>
      </c>
      <c r="N23" s="62" t="n">
        <v>0</v>
      </c>
      <c r="O23" s="62" t="n">
        <v>0</v>
      </c>
      <c r="P23" s="62" t="n">
        <v>0</v>
      </c>
      <c r="Q23" s="62" t="n">
        <v>0</v>
      </c>
      <c r="R23" s="62" t="n">
        <v>0</v>
      </c>
      <c r="S23" s="62" t="n">
        <v>0</v>
      </c>
    </row>
    <row r="24" customFormat="false" ht="12.75" hidden="false" customHeight="false" outlineLevel="0" collapsed="false">
      <c r="C24" s="71" t="n">
        <v>877924</v>
      </c>
      <c r="D24" s="60" t="s">
        <v>28</v>
      </c>
      <c r="E24" s="61" t="s">
        <v>33</v>
      </c>
      <c r="F24" s="62" t="n">
        <v>0</v>
      </c>
      <c r="G24" s="62" t="n">
        <v>0</v>
      </c>
      <c r="H24" s="62" t="n">
        <v>0</v>
      </c>
      <c r="I24" s="62" t="n">
        <v>0</v>
      </c>
      <c r="J24" s="62" t="n">
        <v>0</v>
      </c>
      <c r="K24" s="62" t="n">
        <v>0</v>
      </c>
      <c r="L24" s="62" t="n">
        <v>0</v>
      </c>
      <c r="M24" s="62" t="n">
        <v>0</v>
      </c>
      <c r="N24" s="62" t="n">
        <v>0</v>
      </c>
      <c r="O24" s="62" t="n">
        <v>0</v>
      </c>
      <c r="P24" s="62" t="n">
        <v>0</v>
      </c>
      <c r="Q24" s="62" t="n">
        <v>0</v>
      </c>
      <c r="R24" s="62" t="n">
        <v>0</v>
      </c>
      <c r="S24" s="62" t="n">
        <v>0</v>
      </c>
    </row>
    <row r="25" customFormat="false" ht="12.75" hidden="false" customHeight="false" outlineLevel="0" collapsed="false">
      <c r="C25" s="71" t="n">
        <v>877924</v>
      </c>
      <c r="D25" s="60" t="s">
        <v>28</v>
      </c>
      <c r="E25" s="61" t="s">
        <v>35</v>
      </c>
      <c r="F25" s="62" t="n">
        <v>0</v>
      </c>
      <c r="G25" s="62" t="n">
        <v>0</v>
      </c>
      <c r="H25" s="62" t="n">
        <v>0</v>
      </c>
      <c r="I25" s="62" t="n">
        <v>0</v>
      </c>
      <c r="J25" s="62" t="n">
        <v>0</v>
      </c>
      <c r="K25" s="62" t="n">
        <v>0</v>
      </c>
      <c r="L25" s="62" t="n">
        <v>0</v>
      </c>
      <c r="M25" s="62" t="n">
        <v>0</v>
      </c>
      <c r="N25" s="62" t="n">
        <v>0</v>
      </c>
      <c r="O25" s="62" t="n">
        <v>0</v>
      </c>
      <c r="P25" s="62" t="n">
        <v>0</v>
      </c>
      <c r="Q25" s="62" t="n">
        <v>0</v>
      </c>
      <c r="R25" s="62" t="n">
        <v>0</v>
      </c>
      <c r="S25" s="62" t="n">
        <v>0</v>
      </c>
    </row>
    <row r="26" customFormat="false" ht="12.75" hidden="false" customHeight="false" outlineLevel="0" collapsed="false">
      <c r="C26" s="71" t="n">
        <v>877924</v>
      </c>
      <c r="D26" s="60" t="s">
        <v>28</v>
      </c>
      <c r="E26" s="61" t="s">
        <v>36</v>
      </c>
      <c r="F26" s="62" t="n">
        <v>0</v>
      </c>
      <c r="G26" s="62" t="n">
        <v>0</v>
      </c>
      <c r="H26" s="62" t="n">
        <v>0</v>
      </c>
      <c r="I26" s="62" t="n">
        <v>0</v>
      </c>
      <c r="J26" s="62" t="n">
        <v>0</v>
      </c>
      <c r="K26" s="62" t="n">
        <v>0</v>
      </c>
      <c r="L26" s="62" t="n">
        <v>0</v>
      </c>
      <c r="M26" s="62" t="n">
        <v>0</v>
      </c>
      <c r="N26" s="62" t="n">
        <v>0</v>
      </c>
      <c r="O26" s="62" t="n">
        <v>0</v>
      </c>
      <c r="P26" s="62" t="n">
        <v>0</v>
      </c>
      <c r="Q26" s="62" t="n">
        <v>0</v>
      </c>
      <c r="R26" s="62" t="n">
        <v>0</v>
      </c>
      <c r="S26" s="62" t="n">
        <v>0</v>
      </c>
    </row>
    <row r="27" customFormat="false" ht="12.75" hidden="false" customHeight="false" outlineLevel="0" collapsed="false">
      <c r="C27" s="71" t="n">
        <v>877925</v>
      </c>
      <c r="D27" s="60" t="s">
        <v>28</v>
      </c>
      <c r="E27" s="61" t="s">
        <v>29</v>
      </c>
      <c r="F27" s="62" t="n">
        <v>0</v>
      </c>
      <c r="G27" s="62" t="n">
        <v>0</v>
      </c>
      <c r="H27" s="62" t="n">
        <v>0</v>
      </c>
      <c r="I27" s="62" t="n">
        <v>0</v>
      </c>
      <c r="J27" s="62" t="n">
        <v>0</v>
      </c>
      <c r="K27" s="62" t="n">
        <v>0</v>
      </c>
      <c r="L27" s="62" t="n">
        <v>0</v>
      </c>
      <c r="M27" s="62" t="n">
        <v>0</v>
      </c>
      <c r="N27" s="62" t="n">
        <v>0</v>
      </c>
      <c r="O27" s="62" t="n">
        <v>0</v>
      </c>
      <c r="P27" s="62" t="n">
        <v>0</v>
      </c>
      <c r="Q27" s="62" t="n">
        <v>0</v>
      </c>
      <c r="R27" s="62" t="n">
        <v>0</v>
      </c>
      <c r="S27" s="62" t="n">
        <v>0</v>
      </c>
    </row>
    <row r="28" customFormat="false" ht="12.75" hidden="false" customHeight="false" outlineLevel="0" collapsed="false">
      <c r="C28" s="71" t="n">
        <v>877925</v>
      </c>
      <c r="D28" s="60" t="s">
        <v>28</v>
      </c>
      <c r="E28" s="61" t="s">
        <v>31</v>
      </c>
      <c r="F28" s="62" t="n">
        <v>0</v>
      </c>
      <c r="G28" s="62" t="n">
        <v>0</v>
      </c>
      <c r="H28" s="62" t="n">
        <v>0</v>
      </c>
      <c r="I28" s="62" t="n">
        <v>0</v>
      </c>
      <c r="J28" s="62" t="n">
        <v>0</v>
      </c>
      <c r="K28" s="62" t="n">
        <v>0</v>
      </c>
      <c r="L28" s="62" t="n">
        <v>0</v>
      </c>
      <c r="M28" s="62" t="n">
        <v>0</v>
      </c>
      <c r="N28" s="62" t="n">
        <v>0</v>
      </c>
      <c r="O28" s="62" t="n">
        <v>0</v>
      </c>
      <c r="P28" s="62" t="n">
        <v>0</v>
      </c>
      <c r="Q28" s="62" t="n">
        <v>0</v>
      </c>
      <c r="R28" s="62" t="n">
        <v>0</v>
      </c>
      <c r="S28" s="62" t="n">
        <v>0</v>
      </c>
    </row>
    <row r="29" customFormat="false" ht="12.75" hidden="false" customHeight="false" outlineLevel="0" collapsed="false">
      <c r="C29" s="71" t="n">
        <v>877925</v>
      </c>
      <c r="D29" s="60" t="s">
        <v>28</v>
      </c>
      <c r="E29" s="61" t="s">
        <v>33</v>
      </c>
      <c r="F29" s="62" t="n">
        <v>0</v>
      </c>
      <c r="G29" s="62" t="n">
        <v>0</v>
      </c>
      <c r="H29" s="62" t="n">
        <v>0</v>
      </c>
      <c r="I29" s="62" t="n">
        <v>0</v>
      </c>
      <c r="J29" s="62" t="n">
        <v>0</v>
      </c>
      <c r="K29" s="62" t="n">
        <v>0</v>
      </c>
      <c r="L29" s="62" t="n">
        <v>0</v>
      </c>
      <c r="M29" s="62" t="n">
        <v>0</v>
      </c>
      <c r="N29" s="62" t="n">
        <v>0</v>
      </c>
      <c r="O29" s="62" t="n">
        <v>0</v>
      </c>
      <c r="P29" s="62" t="n">
        <v>0</v>
      </c>
      <c r="Q29" s="62" t="n">
        <v>0</v>
      </c>
      <c r="R29" s="62" t="n">
        <v>0</v>
      </c>
      <c r="S29" s="62" t="n">
        <v>0</v>
      </c>
    </row>
    <row r="30" customFormat="false" ht="12.75" hidden="false" customHeight="false" outlineLevel="0" collapsed="false">
      <c r="C30" s="71" t="n">
        <v>877925</v>
      </c>
      <c r="D30" s="60" t="s">
        <v>28</v>
      </c>
      <c r="E30" s="61" t="s">
        <v>35</v>
      </c>
      <c r="F30" s="62" t="n">
        <v>0</v>
      </c>
      <c r="G30" s="62" t="n">
        <v>0</v>
      </c>
      <c r="H30" s="62" t="n">
        <v>0</v>
      </c>
      <c r="I30" s="62" t="n">
        <v>0</v>
      </c>
      <c r="J30" s="62" t="n">
        <v>0</v>
      </c>
      <c r="K30" s="62" t="n">
        <v>0</v>
      </c>
      <c r="L30" s="62" t="n">
        <v>0</v>
      </c>
      <c r="M30" s="62" t="n">
        <v>0</v>
      </c>
      <c r="N30" s="62" t="n">
        <v>0</v>
      </c>
      <c r="O30" s="62" t="n">
        <v>0</v>
      </c>
      <c r="P30" s="62" t="n">
        <v>0</v>
      </c>
      <c r="Q30" s="62" t="n">
        <v>0</v>
      </c>
      <c r="R30" s="62" t="n">
        <v>0</v>
      </c>
      <c r="S30" s="62" t="n">
        <v>0</v>
      </c>
    </row>
    <row r="31" customFormat="false" ht="12.75" hidden="false" customHeight="false" outlineLevel="0" collapsed="false">
      <c r="C31" s="71" t="n">
        <v>877925</v>
      </c>
      <c r="D31" s="60" t="s">
        <v>28</v>
      </c>
      <c r="E31" s="61" t="s">
        <v>36</v>
      </c>
      <c r="F31" s="62" t="n">
        <v>0</v>
      </c>
      <c r="G31" s="62" t="n">
        <v>0</v>
      </c>
      <c r="H31" s="62" t="n">
        <v>0</v>
      </c>
      <c r="I31" s="62" t="n">
        <v>0</v>
      </c>
      <c r="J31" s="62" t="n">
        <v>0</v>
      </c>
      <c r="K31" s="62" t="n">
        <v>0</v>
      </c>
      <c r="L31" s="62" t="n">
        <v>0</v>
      </c>
      <c r="M31" s="62" t="n">
        <v>0</v>
      </c>
      <c r="N31" s="62" t="n">
        <v>0</v>
      </c>
      <c r="O31" s="62" t="n">
        <v>0</v>
      </c>
      <c r="P31" s="62" t="n">
        <v>0</v>
      </c>
      <c r="Q31" s="62" t="n">
        <v>0</v>
      </c>
      <c r="R31" s="62" t="n">
        <v>0</v>
      </c>
      <c r="S31" s="62" t="n">
        <v>0</v>
      </c>
    </row>
    <row r="32" customFormat="false" ht="12.75" hidden="false" customHeight="false" outlineLevel="0" collapsed="false">
      <c r="C32" s="71" t="n">
        <v>877926</v>
      </c>
      <c r="D32" s="60" t="s">
        <v>28</v>
      </c>
      <c r="E32" s="61" t="s">
        <v>29</v>
      </c>
      <c r="F32" s="62" t="n">
        <v>2857154</v>
      </c>
      <c r="G32" s="62" t="n">
        <v>2980609.8247</v>
      </c>
      <c r="H32" s="62" t="n">
        <v>0</v>
      </c>
      <c r="I32" s="62" t="n">
        <v>-122591</v>
      </c>
      <c r="J32" s="62" t="n">
        <v>-0.0002</v>
      </c>
      <c r="K32" s="62" t="n">
        <v>0</v>
      </c>
      <c r="L32" s="62" t="n">
        <v>0</v>
      </c>
      <c r="M32" s="62" t="n">
        <v>0</v>
      </c>
      <c r="N32" s="62" t="n">
        <v>-1392.4925</v>
      </c>
      <c r="O32" s="62" t="n">
        <v>520.4291</v>
      </c>
      <c r="P32" s="62" t="n">
        <v>0</v>
      </c>
      <c r="Q32" s="62" t="n">
        <v>0</v>
      </c>
      <c r="R32" s="62" t="n">
        <v>6.836</v>
      </c>
      <c r="S32" s="62" t="n">
        <v>0</v>
      </c>
    </row>
    <row r="33" customFormat="false" ht="12.75" hidden="false" customHeight="false" outlineLevel="0" collapsed="false">
      <c r="C33" s="71" t="n">
        <v>877926</v>
      </c>
      <c r="D33" s="60" t="s">
        <v>28</v>
      </c>
      <c r="E33" s="61" t="s">
        <v>31</v>
      </c>
      <c r="F33" s="62" t="n">
        <v>0</v>
      </c>
      <c r="G33" s="62" t="n">
        <v>0</v>
      </c>
      <c r="H33" s="62" t="n">
        <v>0</v>
      </c>
      <c r="I33" s="62" t="n">
        <v>0</v>
      </c>
      <c r="J33" s="62" t="n">
        <v>0</v>
      </c>
      <c r="K33" s="62" t="n">
        <v>0</v>
      </c>
      <c r="L33" s="62" t="n">
        <v>0</v>
      </c>
      <c r="M33" s="62" t="n">
        <v>0</v>
      </c>
      <c r="N33" s="62" t="n">
        <v>0</v>
      </c>
      <c r="O33" s="62" t="n">
        <v>0</v>
      </c>
      <c r="P33" s="62" t="n">
        <v>0</v>
      </c>
      <c r="Q33" s="62" t="n">
        <v>0</v>
      </c>
      <c r="R33" s="62" t="n">
        <v>0</v>
      </c>
      <c r="S33" s="62" t="n">
        <v>0</v>
      </c>
    </row>
    <row r="34" customFormat="false" ht="12.75" hidden="false" customHeight="false" outlineLevel="0" collapsed="false">
      <c r="C34" s="71" t="n">
        <v>877926</v>
      </c>
      <c r="D34" s="60" t="s">
        <v>28</v>
      </c>
      <c r="E34" s="61" t="s">
        <v>33</v>
      </c>
      <c r="F34" s="62" t="n">
        <v>0</v>
      </c>
      <c r="G34" s="62" t="n">
        <v>0</v>
      </c>
      <c r="H34" s="62" t="n">
        <v>0</v>
      </c>
      <c r="I34" s="62" t="n">
        <v>0</v>
      </c>
      <c r="J34" s="62" t="n">
        <v>0</v>
      </c>
      <c r="K34" s="62" t="n">
        <v>0</v>
      </c>
      <c r="L34" s="62" t="n">
        <v>0</v>
      </c>
      <c r="M34" s="62" t="n">
        <v>0</v>
      </c>
      <c r="N34" s="62" t="n">
        <v>0</v>
      </c>
      <c r="O34" s="62" t="n">
        <v>0</v>
      </c>
      <c r="P34" s="62" t="n">
        <v>0</v>
      </c>
      <c r="Q34" s="62" t="n">
        <v>0</v>
      </c>
      <c r="R34" s="62" t="n">
        <v>0</v>
      </c>
      <c r="S34" s="62" t="n">
        <v>0</v>
      </c>
    </row>
    <row r="35" customFormat="false" ht="12.75" hidden="false" customHeight="false" outlineLevel="0" collapsed="false">
      <c r="C35" s="71" t="n">
        <v>877926</v>
      </c>
      <c r="D35" s="60" t="s">
        <v>28</v>
      </c>
      <c r="E35" s="61" t="s">
        <v>35</v>
      </c>
      <c r="F35" s="62" t="n">
        <v>0</v>
      </c>
      <c r="G35" s="62" t="n">
        <v>0</v>
      </c>
      <c r="H35" s="62" t="n">
        <v>0</v>
      </c>
      <c r="I35" s="62" t="n">
        <v>0</v>
      </c>
      <c r="J35" s="62" t="n">
        <v>0</v>
      </c>
      <c r="K35" s="62" t="n">
        <v>0</v>
      </c>
      <c r="L35" s="62" t="n">
        <v>0</v>
      </c>
      <c r="M35" s="62" t="n">
        <v>0</v>
      </c>
      <c r="N35" s="62" t="n">
        <v>0</v>
      </c>
      <c r="O35" s="62" t="n">
        <v>0</v>
      </c>
      <c r="P35" s="62" t="n">
        <v>0</v>
      </c>
      <c r="Q35" s="62" t="n">
        <v>0</v>
      </c>
      <c r="R35" s="62" t="n">
        <v>0</v>
      </c>
      <c r="S35" s="62" t="n">
        <v>0</v>
      </c>
    </row>
    <row r="36" customFormat="false" ht="12.75" hidden="false" customHeight="false" outlineLevel="0" collapsed="false">
      <c r="C36" s="71" t="n">
        <v>877926</v>
      </c>
      <c r="D36" s="60" t="s">
        <v>28</v>
      </c>
      <c r="E36" s="61" t="s">
        <v>36</v>
      </c>
      <c r="F36" s="62" t="n">
        <v>0</v>
      </c>
      <c r="G36" s="62" t="n">
        <v>0</v>
      </c>
      <c r="H36" s="62" t="n">
        <v>0</v>
      </c>
      <c r="I36" s="62" t="n">
        <v>0</v>
      </c>
      <c r="J36" s="62" t="n">
        <v>0</v>
      </c>
      <c r="K36" s="62" t="n">
        <v>0</v>
      </c>
      <c r="L36" s="62" t="n">
        <v>0</v>
      </c>
      <c r="M36" s="62" t="n">
        <v>0</v>
      </c>
      <c r="N36" s="62" t="n">
        <v>0</v>
      </c>
      <c r="O36" s="62" t="n">
        <v>0</v>
      </c>
      <c r="P36" s="62" t="n">
        <v>0</v>
      </c>
      <c r="Q36" s="62" t="n">
        <v>0</v>
      </c>
      <c r="R36" s="62" t="n">
        <v>0</v>
      </c>
      <c r="S36" s="62" t="n">
        <v>0</v>
      </c>
    </row>
    <row r="37" customFormat="false" ht="12.75" hidden="false" customHeight="false" outlineLevel="0" collapsed="false">
      <c r="C37" s="71" t="n">
        <v>877927</v>
      </c>
      <c r="D37" s="60" t="s">
        <v>28</v>
      </c>
      <c r="E37" s="61" t="s">
        <v>29</v>
      </c>
      <c r="F37" s="82" t="n">
        <v>1665900.79</v>
      </c>
      <c r="G37" s="62" t="n">
        <v>1664447.4434</v>
      </c>
      <c r="H37" s="62" t="n">
        <v>0</v>
      </c>
      <c r="I37" s="62" t="n">
        <v>0</v>
      </c>
      <c r="J37" s="62" t="n">
        <v>0</v>
      </c>
      <c r="K37" s="62" t="n">
        <v>0</v>
      </c>
      <c r="L37" s="62" t="n">
        <v>0</v>
      </c>
      <c r="M37" s="62" t="n">
        <v>0</v>
      </c>
      <c r="N37" s="62" t="n">
        <v>1144.6539</v>
      </c>
      <c r="O37" s="62" t="n">
        <v>310.4972</v>
      </c>
      <c r="P37" s="62" t="n">
        <v>0</v>
      </c>
      <c r="Q37" s="62" t="n">
        <v>0</v>
      </c>
      <c r="R37" s="62" t="n">
        <v>-1.8045</v>
      </c>
      <c r="S37" s="62" t="n">
        <v>0</v>
      </c>
    </row>
    <row r="38" customFormat="false" ht="12.75" hidden="false" customHeight="false" outlineLevel="0" collapsed="false">
      <c r="C38" s="71" t="n">
        <v>877927</v>
      </c>
      <c r="D38" s="60" t="s">
        <v>28</v>
      </c>
      <c r="E38" s="61" t="s">
        <v>31</v>
      </c>
      <c r="F38" s="62" t="n">
        <v>0</v>
      </c>
      <c r="G38" s="62" t="n">
        <v>0</v>
      </c>
      <c r="H38" s="62" t="n">
        <v>0</v>
      </c>
      <c r="I38" s="62" t="n">
        <v>0</v>
      </c>
      <c r="J38" s="62" t="n">
        <v>0</v>
      </c>
      <c r="K38" s="62" t="n">
        <v>0</v>
      </c>
      <c r="L38" s="62" t="n">
        <v>0</v>
      </c>
      <c r="M38" s="62" t="n">
        <v>0</v>
      </c>
      <c r="N38" s="62" t="n">
        <v>0</v>
      </c>
      <c r="O38" s="62" t="n">
        <v>0</v>
      </c>
      <c r="P38" s="62" t="n">
        <v>0</v>
      </c>
      <c r="Q38" s="62" t="n">
        <v>0</v>
      </c>
      <c r="R38" s="62" t="n">
        <v>0</v>
      </c>
      <c r="S38" s="62" t="n">
        <v>0</v>
      </c>
    </row>
    <row r="39" customFormat="false" ht="12.75" hidden="false" customHeight="false" outlineLevel="0" collapsed="false">
      <c r="C39" s="71" t="n">
        <v>877927</v>
      </c>
      <c r="D39" s="60" t="s">
        <v>28</v>
      </c>
      <c r="E39" s="61" t="s">
        <v>33</v>
      </c>
      <c r="F39" s="62" t="n">
        <v>0</v>
      </c>
      <c r="G39" s="62" t="n">
        <v>0</v>
      </c>
      <c r="H39" s="62" t="n">
        <v>0</v>
      </c>
      <c r="I39" s="62" t="n">
        <v>0</v>
      </c>
      <c r="J39" s="62" t="n">
        <v>0</v>
      </c>
      <c r="K39" s="62" t="n">
        <v>0</v>
      </c>
      <c r="L39" s="62" t="n">
        <v>0</v>
      </c>
      <c r="M39" s="62" t="n">
        <v>0</v>
      </c>
      <c r="N39" s="62" t="n">
        <v>0</v>
      </c>
      <c r="O39" s="62" t="n">
        <v>0</v>
      </c>
      <c r="P39" s="62" t="n">
        <v>0</v>
      </c>
      <c r="Q39" s="62" t="n">
        <v>0</v>
      </c>
      <c r="R39" s="62" t="n">
        <v>0</v>
      </c>
      <c r="S39" s="62" t="n">
        <v>0</v>
      </c>
    </row>
    <row r="40" customFormat="false" ht="12.75" hidden="false" customHeight="false" outlineLevel="0" collapsed="false">
      <c r="C40" s="71" t="n">
        <v>877927</v>
      </c>
      <c r="D40" s="60" t="s">
        <v>28</v>
      </c>
      <c r="E40" s="61" t="s">
        <v>35</v>
      </c>
      <c r="F40" s="62" t="n">
        <v>0</v>
      </c>
      <c r="G40" s="62" t="n">
        <v>0</v>
      </c>
      <c r="H40" s="62" t="n">
        <v>0</v>
      </c>
      <c r="I40" s="62" t="n">
        <v>0</v>
      </c>
      <c r="J40" s="62" t="n">
        <v>0</v>
      </c>
      <c r="K40" s="62" t="n">
        <v>0</v>
      </c>
      <c r="L40" s="62" t="n">
        <v>0</v>
      </c>
      <c r="M40" s="62" t="n">
        <v>0</v>
      </c>
      <c r="N40" s="62" t="n">
        <v>0</v>
      </c>
      <c r="O40" s="62" t="n">
        <v>0</v>
      </c>
      <c r="P40" s="62" t="n">
        <v>0</v>
      </c>
      <c r="Q40" s="62" t="n">
        <v>0</v>
      </c>
      <c r="R40" s="62" t="n">
        <v>0</v>
      </c>
      <c r="S40" s="62" t="n">
        <v>0</v>
      </c>
    </row>
    <row r="41" customFormat="false" ht="12.75" hidden="false" customHeight="false" outlineLevel="0" collapsed="false">
      <c r="C41" s="71" t="n">
        <v>877927</v>
      </c>
      <c r="D41" s="60" t="s">
        <v>28</v>
      </c>
      <c r="E41" s="61" t="s">
        <v>36</v>
      </c>
      <c r="F41" s="62" t="n">
        <v>0</v>
      </c>
      <c r="G41" s="62" t="n">
        <v>0</v>
      </c>
      <c r="H41" s="62" t="n">
        <v>0</v>
      </c>
      <c r="I41" s="62" t="n">
        <v>0</v>
      </c>
      <c r="J41" s="62" t="n">
        <v>0</v>
      </c>
      <c r="K41" s="62" t="n">
        <v>0</v>
      </c>
      <c r="L41" s="62" t="n">
        <v>0</v>
      </c>
      <c r="M41" s="62" t="n">
        <v>0</v>
      </c>
      <c r="N41" s="62" t="n">
        <v>0</v>
      </c>
      <c r="O41" s="62" t="n">
        <v>0</v>
      </c>
      <c r="P41" s="62" t="n">
        <v>0</v>
      </c>
      <c r="Q41" s="62" t="n">
        <v>0</v>
      </c>
      <c r="R41" s="62" t="n">
        <v>0</v>
      </c>
      <c r="S41" s="62" t="n">
        <v>0</v>
      </c>
    </row>
    <row r="42" customFormat="false" ht="12.75" hidden="false" customHeight="false" outlineLevel="0" collapsed="false">
      <c r="C42" s="71" t="n">
        <v>877928</v>
      </c>
      <c r="D42" s="60" t="s">
        <v>28</v>
      </c>
      <c r="E42" s="61" t="s">
        <v>29</v>
      </c>
      <c r="F42" s="62" t="n">
        <v>16638.9591</v>
      </c>
      <c r="G42" s="62" t="n">
        <v>16632.9479</v>
      </c>
      <c r="H42" s="62" t="n">
        <v>0</v>
      </c>
      <c r="I42" s="62" t="n">
        <v>0</v>
      </c>
      <c r="J42" s="62" t="n">
        <v>0</v>
      </c>
      <c r="K42" s="62" t="n">
        <v>0</v>
      </c>
      <c r="L42" s="62" t="n">
        <v>0</v>
      </c>
      <c r="M42" s="62" t="n">
        <v>0</v>
      </c>
      <c r="N42" s="62" t="n">
        <v>3.001</v>
      </c>
      <c r="O42" s="62" t="n">
        <v>3.0213</v>
      </c>
      <c r="P42" s="62" t="n">
        <v>0</v>
      </c>
      <c r="Q42" s="62" t="n">
        <v>0</v>
      </c>
      <c r="R42" s="62" t="n">
        <v>-0.0111</v>
      </c>
      <c r="S42" s="62" t="n">
        <v>0</v>
      </c>
    </row>
    <row r="43" customFormat="false" ht="12.75" hidden="false" customHeight="false" outlineLevel="0" collapsed="false">
      <c r="C43" s="71" t="n">
        <v>877928</v>
      </c>
      <c r="D43" s="60" t="s">
        <v>28</v>
      </c>
      <c r="E43" s="61" t="s">
        <v>31</v>
      </c>
      <c r="F43" s="62" t="n">
        <v>0</v>
      </c>
      <c r="G43" s="62" t="n">
        <v>0</v>
      </c>
      <c r="H43" s="62" t="n">
        <v>0</v>
      </c>
      <c r="I43" s="62" t="n">
        <v>0</v>
      </c>
      <c r="J43" s="62" t="n">
        <v>0</v>
      </c>
      <c r="K43" s="62" t="n">
        <v>0</v>
      </c>
      <c r="L43" s="62" t="n">
        <v>0</v>
      </c>
      <c r="M43" s="62" t="n">
        <v>0</v>
      </c>
      <c r="N43" s="62" t="n">
        <v>0</v>
      </c>
      <c r="O43" s="62" t="n">
        <v>0</v>
      </c>
      <c r="P43" s="62" t="n">
        <v>0</v>
      </c>
      <c r="Q43" s="62" t="n">
        <v>0</v>
      </c>
      <c r="R43" s="62" t="n">
        <v>0</v>
      </c>
      <c r="S43" s="62" t="n">
        <v>0</v>
      </c>
    </row>
    <row r="44" customFormat="false" ht="12.75" hidden="false" customHeight="false" outlineLevel="0" collapsed="false">
      <c r="C44" s="71" t="n">
        <v>877928</v>
      </c>
      <c r="D44" s="60" t="s">
        <v>28</v>
      </c>
      <c r="E44" s="61" t="s">
        <v>33</v>
      </c>
      <c r="F44" s="62" t="n">
        <v>0</v>
      </c>
      <c r="G44" s="62" t="n">
        <v>0</v>
      </c>
      <c r="H44" s="62" t="n">
        <v>0</v>
      </c>
      <c r="I44" s="62" t="n">
        <v>0</v>
      </c>
      <c r="J44" s="62" t="n">
        <v>0</v>
      </c>
      <c r="K44" s="62" t="n">
        <v>0</v>
      </c>
      <c r="L44" s="62" t="n">
        <v>0</v>
      </c>
      <c r="M44" s="62" t="n">
        <v>0</v>
      </c>
      <c r="N44" s="62" t="n">
        <v>0</v>
      </c>
      <c r="O44" s="62" t="n">
        <v>0</v>
      </c>
      <c r="P44" s="62" t="n">
        <v>0</v>
      </c>
      <c r="Q44" s="62" t="n">
        <v>0</v>
      </c>
      <c r="R44" s="62" t="n">
        <v>0</v>
      </c>
      <c r="S44" s="62" t="n">
        <v>0</v>
      </c>
    </row>
    <row r="45" customFormat="false" ht="12.75" hidden="false" customHeight="false" outlineLevel="0" collapsed="false">
      <c r="C45" s="71" t="n">
        <v>877928</v>
      </c>
      <c r="D45" s="60" t="s">
        <v>28</v>
      </c>
      <c r="E45" s="61" t="s">
        <v>35</v>
      </c>
      <c r="F45" s="62" t="n">
        <v>0</v>
      </c>
      <c r="G45" s="62" t="n">
        <v>0</v>
      </c>
      <c r="H45" s="62" t="n">
        <v>0</v>
      </c>
      <c r="I45" s="62" t="n">
        <v>0</v>
      </c>
      <c r="J45" s="62" t="n">
        <v>0</v>
      </c>
      <c r="K45" s="62" t="n">
        <v>0</v>
      </c>
      <c r="L45" s="62" t="n">
        <v>0</v>
      </c>
      <c r="M45" s="62" t="n">
        <v>0</v>
      </c>
      <c r="N45" s="62" t="n">
        <v>0</v>
      </c>
      <c r="O45" s="62" t="n">
        <v>0</v>
      </c>
      <c r="P45" s="62" t="n">
        <v>0</v>
      </c>
      <c r="Q45" s="62" t="n">
        <v>0</v>
      </c>
      <c r="R45" s="62" t="n">
        <v>0</v>
      </c>
      <c r="S45" s="62" t="n">
        <v>0</v>
      </c>
    </row>
    <row r="46" customFormat="false" ht="12.75" hidden="false" customHeight="false" outlineLevel="0" collapsed="false">
      <c r="C46" s="71" t="n">
        <v>877928</v>
      </c>
      <c r="D46" s="60" t="s">
        <v>28</v>
      </c>
      <c r="E46" s="61" t="s">
        <v>36</v>
      </c>
      <c r="F46" s="62" t="n">
        <v>0</v>
      </c>
      <c r="G46" s="62" t="n">
        <v>0</v>
      </c>
      <c r="H46" s="62" t="n">
        <v>0</v>
      </c>
      <c r="I46" s="62" t="n">
        <v>0</v>
      </c>
      <c r="J46" s="62" t="n">
        <v>0</v>
      </c>
      <c r="K46" s="62" t="n">
        <v>0</v>
      </c>
      <c r="L46" s="62" t="n">
        <v>0</v>
      </c>
      <c r="M46" s="62" t="n">
        <v>0</v>
      </c>
      <c r="N46" s="62" t="n">
        <v>0</v>
      </c>
      <c r="O46" s="62" t="n">
        <v>0</v>
      </c>
      <c r="P46" s="62" t="n">
        <v>0</v>
      </c>
      <c r="Q46" s="62" t="n">
        <v>0</v>
      </c>
      <c r="R46" s="62" t="n">
        <v>0</v>
      </c>
      <c r="S46" s="62" t="n">
        <v>0</v>
      </c>
    </row>
    <row r="47" customFormat="false" ht="12.75" hidden="false" customHeight="false" outlineLevel="0" collapsed="false">
      <c r="C47" s="71" t="n">
        <v>877929</v>
      </c>
      <c r="D47" s="60" t="s">
        <v>28</v>
      </c>
      <c r="E47" s="61" t="s">
        <v>29</v>
      </c>
      <c r="F47" s="62" t="n">
        <v>575279</v>
      </c>
      <c r="G47" s="62" t="n">
        <v>578849.3363</v>
      </c>
      <c r="H47" s="62" t="n">
        <v>-3902</v>
      </c>
      <c r="I47" s="62" t="n">
        <v>0</v>
      </c>
      <c r="J47" s="62" t="n">
        <v>-0.0001</v>
      </c>
      <c r="K47" s="62" t="n">
        <v>0</v>
      </c>
      <c r="L47" s="62" t="n">
        <v>0</v>
      </c>
      <c r="M47" s="62" t="n">
        <v>0</v>
      </c>
      <c r="N47" s="62" t="n">
        <v>225.1076</v>
      </c>
      <c r="O47" s="62" t="n">
        <v>107.542</v>
      </c>
      <c r="P47" s="62" t="n">
        <v>0</v>
      </c>
      <c r="Q47" s="62" t="n">
        <v>0</v>
      </c>
      <c r="R47" s="62" t="n">
        <v>-0.5012</v>
      </c>
      <c r="S47" s="62" t="n">
        <v>0</v>
      </c>
    </row>
    <row r="48" customFormat="false" ht="12.75" hidden="false" customHeight="false" outlineLevel="0" collapsed="false">
      <c r="C48" s="71" t="n">
        <v>877929</v>
      </c>
      <c r="D48" s="60" t="s">
        <v>28</v>
      </c>
      <c r="E48" s="61" t="s">
        <v>31</v>
      </c>
      <c r="F48" s="62" t="n">
        <v>0</v>
      </c>
      <c r="G48" s="62" t="n">
        <v>0</v>
      </c>
      <c r="H48" s="62" t="n">
        <v>0</v>
      </c>
      <c r="I48" s="62" t="n">
        <v>0</v>
      </c>
      <c r="J48" s="62" t="n">
        <v>0</v>
      </c>
      <c r="K48" s="62" t="n">
        <v>0</v>
      </c>
      <c r="L48" s="62" t="n">
        <v>0</v>
      </c>
      <c r="M48" s="62" t="n">
        <v>0</v>
      </c>
      <c r="N48" s="62" t="n">
        <v>0</v>
      </c>
      <c r="O48" s="62" t="n">
        <v>0</v>
      </c>
      <c r="P48" s="62" t="n">
        <v>0</v>
      </c>
      <c r="Q48" s="62" t="n">
        <v>0</v>
      </c>
      <c r="R48" s="62" t="n">
        <v>0</v>
      </c>
      <c r="S48" s="62" t="n">
        <v>0</v>
      </c>
    </row>
    <row r="49" customFormat="false" ht="12.75" hidden="false" customHeight="false" outlineLevel="0" collapsed="false">
      <c r="C49" s="71" t="n">
        <v>877929</v>
      </c>
      <c r="D49" s="60" t="s">
        <v>28</v>
      </c>
      <c r="E49" s="61" t="s">
        <v>33</v>
      </c>
      <c r="F49" s="62" t="n">
        <v>0</v>
      </c>
      <c r="G49" s="62" t="n">
        <v>0</v>
      </c>
      <c r="H49" s="62" t="n">
        <v>0</v>
      </c>
      <c r="I49" s="62" t="n">
        <v>0</v>
      </c>
      <c r="J49" s="62" t="n">
        <v>0</v>
      </c>
      <c r="K49" s="62" t="n">
        <v>0</v>
      </c>
      <c r="L49" s="62" t="n">
        <v>0</v>
      </c>
      <c r="M49" s="62" t="n">
        <v>0</v>
      </c>
      <c r="N49" s="62" t="n">
        <v>0</v>
      </c>
      <c r="O49" s="62" t="n">
        <v>0</v>
      </c>
      <c r="P49" s="62" t="n">
        <v>0</v>
      </c>
      <c r="Q49" s="62" t="n">
        <v>0</v>
      </c>
      <c r="R49" s="62" t="n">
        <v>0</v>
      </c>
      <c r="S49" s="62" t="n">
        <v>0</v>
      </c>
    </row>
    <row r="50" customFormat="false" ht="12.75" hidden="false" customHeight="false" outlineLevel="0" collapsed="false">
      <c r="C50" s="71" t="n">
        <v>877929</v>
      </c>
      <c r="D50" s="60" t="s">
        <v>28</v>
      </c>
      <c r="E50" s="61" t="s">
        <v>35</v>
      </c>
      <c r="F50" s="62" t="n">
        <v>0</v>
      </c>
      <c r="G50" s="62" t="n">
        <v>0</v>
      </c>
      <c r="H50" s="62" t="n">
        <v>0</v>
      </c>
      <c r="I50" s="62" t="n">
        <v>0</v>
      </c>
      <c r="J50" s="62" t="n">
        <v>0</v>
      </c>
      <c r="K50" s="62" t="n">
        <v>0</v>
      </c>
      <c r="L50" s="62" t="n">
        <v>0</v>
      </c>
      <c r="M50" s="62" t="n">
        <v>0</v>
      </c>
      <c r="N50" s="62" t="n">
        <v>0</v>
      </c>
      <c r="O50" s="62" t="n">
        <v>0</v>
      </c>
      <c r="P50" s="62" t="n">
        <v>0</v>
      </c>
      <c r="Q50" s="62" t="n">
        <v>0</v>
      </c>
      <c r="R50" s="62" t="n">
        <v>0</v>
      </c>
      <c r="S50" s="62" t="n">
        <v>0</v>
      </c>
    </row>
    <row r="51" customFormat="false" ht="12.75" hidden="false" customHeight="false" outlineLevel="0" collapsed="false">
      <c r="C51" s="71" t="n">
        <v>877929</v>
      </c>
      <c r="D51" s="60" t="s">
        <v>28</v>
      </c>
      <c r="E51" s="61" t="s">
        <v>36</v>
      </c>
      <c r="F51" s="62" t="n">
        <v>0</v>
      </c>
      <c r="G51" s="62" t="n">
        <v>0</v>
      </c>
      <c r="H51" s="62" t="n">
        <v>0</v>
      </c>
      <c r="I51" s="62" t="n">
        <v>0</v>
      </c>
      <c r="J51" s="62" t="n">
        <v>0</v>
      </c>
      <c r="K51" s="62" t="n">
        <v>0</v>
      </c>
      <c r="L51" s="62" t="n">
        <v>0</v>
      </c>
      <c r="M51" s="62" t="n">
        <v>0</v>
      </c>
      <c r="N51" s="62" t="n">
        <v>0</v>
      </c>
      <c r="O51" s="62" t="n">
        <v>0</v>
      </c>
      <c r="P51" s="62" t="n">
        <v>0</v>
      </c>
      <c r="Q51" s="62" t="n">
        <v>0</v>
      </c>
      <c r="R51" s="62" t="n">
        <v>0</v>
      </c>
      <c r="S51" s="62" t="n">
        <v>0</v>
      </c>
    </row>
    <row r="52" customFormat="false" ht="12.75" hidden="false" customHeight="false" outlineLevel="0" collapsed="false">
      <c r="C52" s="71" t="n">
        <v>877930</v>
      </c>
      <c r="D52" s="60" t="s">
        <v>28</v>
      </c>
      <c r="E52" s="61" t="s">
        <v>29</v>
      </c>
      <c r="F52" s="62" t="n">
        <v>-0.0002</v>
      </c>
      <c r="G52" s="62" t="n">
        <v>0.0002</v>
      </c>
      <c r="H52" s="62" t="n">
        <v>-3E-008</v>
      </c>
      <c r="I52" s="62" t="n">
        <v>0</v>
      </c>
      <c r="J52" s="62" t="n">
        <v>-0.0001</v>
      </c>
      <c r="K52" s="62" t="n">
        <v>0</v>
      </c>
      <c r="L52" s="62" t="n">
        <v>0</v>
      </c>
      <c r="M52" s="62" t="n">
        <v>0</v>
      </c>
      <c r="N52" s="62" t="n">
        <v>-0.0001</v>
      </c>
      <c r="O52" s="62" t="n">
        <v>-0.0003</v>
      </c>
      <c r="P52" s="62" t="n">
        <v>0</v>
      </c>
      <c r="Q52" s="62" t="n">
        <v>0</v>
      </c>
      <c r="R52" s="62" t="n">
        <v>0.0001</v>
      </c>
      <c r="S52" s="62" t="n">
        <v>0</v>
      </c>
    </row>
    <row r="53" customFormat="false" ht="12.75" hidden="false" customHeight="false" outlineLevel="0" collapsed="false">
      <c r="C53" s="71" t="n">
        <v>877930</v>
      </c>
      <c r="D53" s="60" t="s">
        <v>28</v>
      </c>
      <c r="E53" s="61" t="s">
        <v>31</v>
      </c>
      <c r="F53" s="62" t="n">
        <v>0</v>
      </c>
      <c r="G53" s="62" t="n">
        <v>0</v>
      </c>
      <c r="H53" s="62" t="n">
        <v>0</v>
      </c>
      <c r="I53" s="62" t="n">
        <v>0</v>
      </c>
      <c r="J53" s="62" t="n">
        <v>0</v>
      </c>
      <c r="K53" s="62" t="n">
        <v>0</v>
      </c>
      <c r="L53" s="62" t="n">
        <v>0</v>
      </c>
      <c r="M53" s="62" t="n">
        <v>0</v>
      </c>
      <c r="N53" s="62" t="n">
        <v>0</v>
      </c>
      <c r="O53" s="62" t="n">
        <v>0</v>
      </c>
      <c r="P53" s="62" t="n">
        <v>0</v>
      </c>
      <c r="Q53" s="62" t="n">
        <v>0</v>
      </c>
      <c r="R53" s="62" t="n">
        <v>0</v>
      </c>
      <c r="S53" s="62" t="n">
        <v>0</v>
      </c>
    </row>
    <row r="54" customFormat="false" ht="12.75" hidden="false" customHeight="false" outlineLevel="0" collapsed="false">
      <c r="C54" s="71" t="n">
        <v>877930</v>
      </c>
      <c r="D54" s="60" t="s">
        <v>28</v>
      </c>
      <c r="E54" s="61" t="s">
        <v>33</v>
      </c>
      <c r="F54" s="62" t="n">
        <v>0</v>
      </c>
      <c r="G54" s="62" t="n">
        <v>0</v>
      </c>
      <c r="H54" s="62" t="n">
        <v>0</v>
      </c>
      <c r="I54" s="62" t="n">
        <v>0</v>
      </c>
      <c r="J54" s="62" t="n">
        <v>0</v>
      </c>
      <c r="K54" s="62" t="n">
        <v>0</v>
      </c>
      <c r="L54" s="62" t="n">
        <v>0</v>
      </c>
      <c r="M54" s="62" t="n">
        <v>0</v>
      </c>
      <c r="N54" s="62" t="n">
        <v>0</v>
      </c>
      <c r="O54" s="62" t="n">
        <v>0</v>
      </c>
      <c r="P54" s="62" t="n">
        <v>0</v>
      </c>
      <c r="Q54" s="62" t="n">
        <v>0</v>
      </c>
      <c r="R54" s="62" t="n">
        <v>0</v>
      </c>
      <c r="S54" s="62" t="n">
        <v>0</v>
      </c>
    </row>
    <row r="55" customFormat="false" ht="12.75" hidden="false" customHeight="false" outlineLevel="0" collapsed="false">
      <c r="C55" s="71" t="n">
        <v>877930</v>
      </c>
      <c r="D55" s="60" t="s">
        <v>28</v>
      </c>
      <c r="E55" s="61" t="s">
        <v>35</v>
      </c>
      <c r="F55" s="62" t="n">
        <v>0</v>
      </c>
      <c r="G55" s="62" t="n">
        <v>0</v>
      </c>
      <c r="H55" s="62" t="n">
        <v>0</v>
      </c>
      <c r="I55" s="62" t="n">
        <v>0</v>
      </c>
      <c r="J55" s="62" t="n">
        <v>0</v>
      </c>
      <c r="K55" s="62" t="n">
        <v>0</v>
      </c>
      <c r="L55" s="62" t="n">
        <v>0</v>
      </c>
      <c r="M55" s="62" t="n">
        <v>0</v>
      </c>
      <c r="N55" s="62" t="n">
        <v>0</v>
      </c>
      <c r="O55" s="62" t="n">
        <v>0</v>
      </c>
      <c r="P55" s="62" t="n">
        <v>0</v>
      </c>
      <c r="Q55" s="62" t="n">
        <v>0</v>
      </c>
      <c r="R55" s="62" t="n">
        <v>0</v>
      </c>
      <c r="S55" s="62" t="n">
        <v>0</v>
      </c>
    </row>
    <row r="56" customFormat="false" ht="12.75" hidden="false" customHeight="false" outlineLevel="0" collapsed="false">
      <c r="C56" s="71" t="n">
        <v>877930</v>
      </c>
      <c r="D56" s="60" t="s">
        <v>28</v>
      </c>
      <c r="E56" s="61" t="s">
        <v>36</v>
      </c>
      <c r="F56" s="62" t="n">
        <v>0</v>
      </c>
      <c r="G56" s="62" t="n">
        <v>0</v>
      </c>
      <c r="H56" s="62" t="n">
        <v>0</v>
      </c>
      <c r="I56" s="62" t="n">
        <v>0</v>
      </c>
      <c r="J56" s="62" t="n">
        <v>0</v>
      </c>
      <c r="K56" s="62" t="n">
        <v>0</v>
      </c>
      <c r="L56" s="62" t="n">
        <v>0</v>
      </c>
      <c r="M56" s="62" t="n">
        <v>0</v>
      </c>
      <c r="N56" s="62" t="n">
        <v>0</v>
      </c>
      <c r="O56" s="62" t="n">
        <v>0</v>
      </c>
      <c r="P56" s="62" t="n">
        <v>0</v>
      </c>
      <c r="Q56" s="62" t="n">
        <v>0</v>
      </c>
      <c r="R56" s="62" t="n">
        <v>0</v>
      </c>
      <c r="S56" s="62" t="n">
        <v>0</v>
      </c>
    </row>
    <row r="57" customFormat="false" ht="12.75" hidden="false" customHeight="false" outlineLevel="0" collapsed="false">
      <c r="C57" s="71" t="n">
        <v>877931</v>
      </c>
      <c r="D57" s="60" t="s">
        <v>28</v>
      </c>
      <c r="E57" s="61" t="s">
        <v>29</v>
      </c>
      <c r="F57" s="62" t="n">
        <v>0.0001</v>
      </c>
      <c r="G57" s="62" t="n">
        <v>0.0001</v>
      </c>
      <c r="H57" s="62" t="n">
        <v>-3E-008</v>
      </c>
      <c r="I57" s="62" t="n">
        <v>0</v>
      </c>
      <c r="J57" s="62" t="n">
        <v>0</v>
      </c>
      <c r="K57" s="62" t="n">
        <v>0</v>
      </c>
      <c r="L57" s="62" t="n">
        <v>0</v>
      </c>
      <c r="M57" s="62" t="n">
        <v>0</v>
      </c>
      <c r="N57" s="62" t="n">
        <v>0.0001</v>
      </c>
      <c r="O57" s="62" t="n">
        <v>-0.0005</v>
      </c>
      <c r="P57" s="62" t="n">
        <v>0</v>
      </c>
      <c r="Q57" s="62" t="n">
        <v>0</v>
      </c>
      <c r="R57" s="62" t="n">
        <v>0.0004</v>
      </c>
      <c r="S57" s="62" t="n">
        <v>0</v>
      </c>
    </row>
    <row r="58" customFormat="false" ht="12.75" hidden="false" customHeight="false" outlineLevel="0" collapsed="false">
      <c r="C58" s="71" t="n">
        <v>877931</v>
      </c>
      <c r="D58" s="60" t="s">
        <v>28</v>
      </c>
      <c r="E58" s="61" t="s">
        <v>31</v>
      </c>
      <c r="F58" s="62" t="n">
        <v>0</v>
      </c>
      <c r="G58" s="62" t="n">
        <v>0</v>
      </c>
      <c r="H58" s="62" t="n">
        <v>0</v>
      </c>
      <c r="I58" s="62" t="n">
        <v>0</v>
      </c>
      <c r="J58" s="62" t="n">
        <v>0</v>
      </c>
      <c r="K58" s="62" t="n">
        <v>0</v>
      </c>
      <c r="L58" s="62" t="n">
        <v>0</v>
      </c>
      <c r="M58" s="62" t="n">
        <v>0</v>
      </c>
      <c r="N58" s="62" t="n">
        <v>0</v>
      </c>
      <c r="O58" s="62" t="n">
        <v>0</v>
      </c>
      <c r="P58" s="62" t="n">
        <v>0</v>
      </c>
      <c r="Q58" s="62" t="n">
        <v>0</v>
      </c>
      <c r="R58" s="62" t="n">
        <v>0</v>
      </c>
      <c r="S58" s="62" t="n">
        <v>0</v>
      </c>
    </row>
    <row r="59" customFormat="false" ht="12.75" hidden="false" customHeight="false" outlineLevel="0" collapsed="false">
      <c r="C59" s="71" t="n">
        <v>877931</v>
      </c>
      <c r="D59" s="60" t="s">
        <v>28</v>
      </c>
      <c r="E59" s="61" t="s">
        <v>33</v>
      </c>
      <c r="F59" s="62" t="n">
        <v>0</v>
      </c>
      <c r="G59" s="62" t="n">
        <v>0</v>
      </c>
      <c r="H59" s="62" t="n">
        <v>0</v>
      </c>
      <c r="I59" s="62" t="n">
        <v>0</v>
      </c>
      <c r="J59" s="62" t="n">
        <v>0</v>
      </c>
      <c r="K59" s="62" t="n">
        <v>0</v>
      </c>
      <c r="L59" s="62" t="n">
        <v>0</v>
      </c>
      <c r="M59" s="62" t="n">
        <v>0</v>
      </c>
      <c r="N59" s="62" t="n">
        <v>0</v>
      </c>
      <c r="O59" s="62" t="n">
        <v>0</v>
      </c>
      <c r="P59" s="62" t="n">
        <v>0</v>
      </c>
      <c r="Q59" s="62" t="n">
        <v>0</v>
      </c>
      <c r="R59" s="62" t="n">
        <v>0</v>
      </c>
      <c r="S59" s="62" t="n">
        <v>0</v>
      </c>
    </row>
    <row r="60" customFormat="false" ht="12.75" hidden="false" customHeight="false" outlineLevel="0" collapsed="false">
      <c r="C60" s="71" t="n">
        <v>877931</v>
      </c>
      <c r="D60" s="60" t="s">
        <v>28</v>
      </c>
      <c r="E60" s="61" t="s">
        <v>35</v>
      </c>
      <c r="F60" s="62" t="n">
        <v>0</v>
      </c>
      <c r="G60" s="62" t="n">
        <v>0</v>
      </c>
      <c r="H60" s="62" t="n">
        <v>0</v>
      </c>
      <c r="I60" s="62" t="n">
        <v>0</v>
      </c>
      <c r="J60" s="62" t="n">
        <v>0</v>
      </c>
      <c r="K60" s="62" t="n">
        <v>0</v>
      </c>
      <c r="L60" s="62" t="n">
        <v>0</v>
      </c>
      <c r="M60" s="62" t="n">
        <v>0</v>
      </c>
      <c r="N60" s="62" t="n">
        <v>0</v>
      </c>
      <c r="O60" s="62" t="n">
        <v>0</v>
      </c>
      <c r="P60" s="62" t="n">
        <v>0</v>
      </c>
      <c r="Q60" s="62" t="n">
        <v>0</v>
      </c>
      <c r="R60" s="62" t="n">
        <v>0</v>
      </c>
      <c r="S60" s="62" t="n">
        <v>0</v>
      </c>
    </row>
    <row r="61" customFormat="false" ht="12.75" hidden="false" customHeight="false" outlineLevel="0" collapsed="false">
      <c r="C61" s="71" t="n">
        <v>877931</v>
      </c>
      <c r="D61" s="60" t="s">
        <v>28</v>
      </c>
      <c r="E61" s="61" t="s">
        <v>36</v>
      </c>
      <c r="F61" s="62" t="n">
        <v>0</v>
      </c>
      <c r="G61" s="62" t="n">
        <v>0</v>
      </c>
      <c r="H61" s="62" t="n">
        <v>0</v>
      </c>
      <c r="I61" s="62" t="n">
        <v>0</v>
      </c>
      <c r="J61" s="62" t="n">
        <v>0</v>
      </c>
      <c r="K61" s="62" t="n">
        <v>0</v>
      </c>
      <c r="L61" s="62" t="n">
        <v>0</v>
      </c>
      <c r="M61" s="62" t="n">
        <v>0</v>
      </c>
      <c r="N61" s="62" t="n">
        <v>0</v>
      </c>
      <c r="O61" s="62" t="n">
        <v>0</v>
      </c>
      <c r="P61" s="62" t="n">
        <v>0</v>
      </c>
      <c r="Q61" s="62" t="n">
        <v>0</v>
      </c>
      <c r="R61" s="62" t="n">
        <v>0</v>
      </c>
      <c r="S61" s="62" t="n">
        <v>0</v>
      </c>
    </row>
    <row r="65" customFormat="false" ht="12.75" hidden="false" customHeight="false" outlineLevel="0" collapsed="false">
      <c r="C65" s="83"/>
    </row>
    <row r="66" customFormat="false" ht="12.75" hidden="false" customHeight="false" outlineLevel="0" collapsed="false">
      <c r="C66" s="83"/>
    </row>
    <row r="67" customFormat="false" ht="12.75" hidden="false" customHeight="false" outlineLevel="0" collapsed="false">
      <c r="C67" s="83"/>
    </row>
    <row r="68" customFormat="false" ht="12.75" hidden="false" customHeight="false" outlineLevel="0" collapsed="false">
      <c r="C68" s="83"/>
    </row>
    <row r="69" customFormat="false" ht="12.75" hidden="false" customHeight="false" outlineLevel="0" collapsed="false">
      <c r="C69" s="83"/>
    </row>
    <row r="70" customFormat="false" ht="12.75" hidden="false" customHeight="false" outlineLevel="0" collapsed="false">
      <c r="C70" s="83"/>
      <c r="F70" s="82"/>
    </row>
    <row r="71" customFormat="false" ht="12.75" hidden="false" customHeight="false" outlineLevel="0" collapsed="false">
      <c r="C71" s="83"/>
    </row>
    <row r="72" customFormat="false" ht="12.75" hidden="false" customHeight="false" outlineLevel="0" collapsed="false">
      <c r="C72" s="83"/>
    </row>
    <row r="73" customFormat="false" ht="12.75" hidden="false" customHeight="false" outlineLevel="0" collapsed="false">
      <c r="C73" s="83"/>
    </row>
    <row r="74" customFormat="false" ht="12.75" hidden="false" customHeight="false" outlineLevel="0" collapsed="false">
      <c r="C74" s="83"/>
    </row>
    <row r="75" customFormat="false" ht="12.75" hidden="false" customHeight="false" outlineLevel="0" collapsed="false">
      <c r="C75" s="83"/>
    </row>
    <row r="76" customFormat="false" ht="12.75" hidden="false" customHeight="false" outlineLevel="0" collapsed="false">
      <c r="C76" s="83"/>
    </row>
    <row r="77" customFormat="false" ht="12.75" hidden="false" customHeight="false" outlineLevel="0" collapsed="false">
      <c r="C77" s="83"/>
    </row>
    <row r="78" customFormat="false" ht="12.75" hidden="false" customHeight="false" outlineLevel="0" collapsed="false">
      <c r="C78" s="83"/>
    </row>
    <row r="79" customFormat="false" ht="12.75" hidden="false" customHeight="false" outlineLevel="0" collapsed="false">
      <c r="C79" s="83"/>
    </row>
    <row r="80" customFormat="false" ht="12.75" hidden="false" customHeight="false" outlineLevel="0" collapsed="false">
      <c r="C80" s="83"/>
    </row>
    <row r="81" customFormat="false" ht="12.75" hidden="false" customHeight="false" outlineLevel="0" collapsed="false">
      <c r="C81" s="83"/>
    </row>
    <row r="82" customFormat="false" ht="12.75" hidden="false" customHeight="false" outlineLevel="0" collapsed="false">
      <c r="C82" s="83"/>
    </row>
    <row r="83" customFormat="false" ht="12.75" hidden="false" customHeight="false" outlineLevel="0" collapsed="false">
      <c r="C83" s="83"/>
    </row>
    <row r="84" customFormat="false" ht="12.75" hidden="false" customHeight="false" outlineLevel="0" collapsed="false">
      <c r="C84" s="83"/>
    </row>
    <row r="85" customFormat="false" ht="12.75" hidden="false" customHeight="false" outlineLevel="0" collapsed="false">
      <c r="C85" s="83"/>
    </row>
    <row r="86" customFormat="false" ht="12.75" hidden="false" customHeight="false" outlineLevel="0" collapsed="false">
      <c r="C86" s="83"/>
    </row>
    <row r="87" customFormat="false" ht="12.75" hidden="false" customHeight="false" outlineLevel="0" collapsed="false">
      <c r="C87" s="83"/>
    </row>
    <row r="88" customFormat="false" ht="12.75" hidden="false" customHeight="false" outlineLevel="0" collapsed="false">
      <c r="C88" s="83"/>
    </row>
    <row r="89" customFormat="false" ht="12.75" hidden="false" customHeight="false" outlineLevel="0" collapsed="false">
      <c r="C89" s="83"/>
    </row>
    <row r="90" customFormat="false" ht="12.75" hidden="false" customHeight="false" outlineLevel="0" collapsed="false">
      <c r="C90" s="83"/>
    </row>
    <row r="91" customFormat="false" ht="12.75" hidden="false" customHeight="false" outlineLevel="0" collapsed="false">
      <c r="C91" s="83"/>
    </row>
    <row r="92" customFormat="false" ht="12.75" hidden="false" customHeight="false" outlineLevel="0" collapsed="false">
      <c r="C92" s="83"/>
    </row>
    <row r="93" customFormat="false" ht="12.75" hidden="false" customHeight="false" outlineLevel="0" collapsed="false">
      <c r="C93" s="83"/>
    </row>
    <row r="94" customFormat="false" ht="12.75" hidden="false" customHeight="false" outlineLevel="0" collapsed="false">
      <c r="C94" s="83"/>
    </row>
    <row r="268" customFormat="false" ht="12.75" hidden="false" customHeight="false" outlineLevel="0" collapsed="false">
      <c r="B268" s="84"/>
    </row>
    <row r="306" customFormat="false" ht="12.75" hidden="false" customHeight="false" outlineLevel="0" collapsed="false">
      <c r="A306" s="84"/>
    </row>
    <row r="308" customFormat="false" ht="12.75" hidden="false" customHeight="false" outlineLevel="0" collapsed="false">
      <c r="C308" s="85"/>
      <c r="D308" s="86"/>
      <c r="AZ308" s="87"/>
      <c r="BA308" s="87"/>
      <c r="BB308" s="87"/>
      <c r="BC308" s="87"/>
      <c r="BD308" s="87"/>
      <c r="BE308" s="87"/>
      <c r="BF308" s="87"/>
      <c r="BG308" s="87"/>
      <c r="BH308" s="87"/>
      <c r="BI308" s="87"/>
      <c r="BJ308" s="87"/>
      <c r="BK308" s="87"/>
      <c r="BL308" s="87"/>
      <c r="BM308" s="87"/>
      <c r="BN308" s="87"/>
      <c r="BO308" s="87"/>
      <c r="BP308" s="87"/>
      <c r="BQ308" s="87"/>
      <c r="BR308" s="87"/>
      <c r="BS308" s="87"/>
      <c r="BT308" s="87"/>
      <c r="BU308" s="87"/>
      <c r="BV308" s="87"/>
      <c r="BW308" s="87"/>
      <c r="BX308" s="87"/>
      <c r="BY308" s="87"/>
      <c r="BZ308" s="87"/>
      <c r="CA308" s="87"/>
      <c r="CB308" s="87"/>
      <c r="CC308" s="87"/>
      <c r="CD308" s="87"/>
      <c r="CE308" s="87"/>
      <c r="CF308" s="87"/>
      <c r="CG308" s="87"/>
      <c r="CH308" s="87"/>
      <c r="CI308" s="87"/>
      <c r="CJ308" s="87"/>
      <c r="CK308" s="87"/>
      <c r="CL308" s="87"/>
      <c r="CM308" s="87"/>
      <c r="CN308" s="87"/>
      <c r="CO308" s="87"/>
      <c r="CP308" s="87"/>
      <c r="CQ308" s="87"/>
      <c r="CR308" s="87"/>
      <c r="CS308" s="87"/>
      <c r="CT308" s="87"/>
      <c r="CU308" s="87"/>
      <c r="CV308" s="87"/>
      <c r="CW308" s="87"/>
      <c r="CX308" s="87"/>
      <c r="CY308" s="87"/>
      <c r="CZ308" s="87"/>
      <c r="DA308" s="87"/>
      <c r="DB308" s="87"/>
      <c r="DC308" s="87"/>
      <c r="DD308" s="87"/>
      <c r="DE308" s="87"/>
      <c r="DF308" s="87"/>
      <c r="DG308" s="87"/>
      <c r="DH308" s="87"/>
      <c r="DI308" s="87"/>
      <c r="DJ308" s="87"/>
      <c r="DK308" s="87"/>
      <c r="DL308" s="87"/>
      <c r="DM308" s="87"/>
      <c r="DN308" s="87"/>
      <c r="DO308" s="87"/>
      <c r="DP308" s="87"/>
      <c r="DQ308" s="87"/>
      <c r="DR308" s="87"/>
      <c r="DS308" s="87"/>
      <c r="DT308" s="87"/>
      <c r="DU308" s="87"/>
      <c r="DV308" s="87"/>
      <c r="DW308" s="87"/>
      <c r="DX308" s="87"/>
      <c r="DY308" s="87"/>
      <c r="DZ308" s="87"/>
      <c r="EA308" s="87"/>
      <c r="EB308" s="87"/>
      <c r="EC308" s="87"/>
      <c r="ED308" s="87"/>
      <c r="EE308" s="87"/>
      <c r="EF308" s="87"/>
      <c r="EG308" s="87"/>
      <c r="EH308" s="87"/>
      <c r="EI308" s="87"/>
      <c r="EJ308" s="87"/>
      <c r="EK308" s="87"/>
      <c r="EL308" s="87"/>
      <c r="EM308" s="87"/>
      <c r="EN308" s="87"/>
      <c r="EO308" s="87"/>
      <c r="EP308" s="87"/>
      <c r="EQ308" s="87"/>
      <c r="ER308" s="87"/>
      <c r="ES308" s="87"/>
      <c r="ET308" s="87"/>
      <c r="EU308" s="87"/>
      <c r="EV308" s="87"/>
      <c r="EW308" s="87"/>
      <c r="EX308" s="87"/>
      <c r="EY308" s="87"/>
      <c r="EZ308" s="87"/>
      <c r="FA308" s="87"/>
      <c r="FB308" s="87"/>
      <c r="FC308" s="87"/>
      <c r="FD308" s="87"/>
      <c r="FE308" s="87"/>
      <c r="FF308" s="87"/>
      <c r="FG308" s="87"/>
      <c r="FH308" s="87"/>
      <c r="FI308" s="87"/>
      <c r="FJ308" s="87"/>
      <c r="FK308" s="87"/>
      <c r="FL308" s="87"/>
      <c r="FM308" s="87"/>
      <c r="FN308" s="87"/>
      <c r="FO308" s="87"/>
      <c r="FP308" s="87"/>
      <c r="FQ308" s="87"/>
      <c r="FR308" s="87"/>
      <c r="FS308" s="87"/>
      <c r="FT308" s="87"/>
      <c r="FU308" s="87"/>
      <c r="FV308" s="87"/>
      <c r="FW308" s="87"/>
      <c r="FX308" s="87"/>
      <c r="FY308" s="87"/>
      <c r="FZ308" s="87"/>
      <c r="GA308" s="87"/>
      <c r="GB308" s="87"/>
      <c r="GC308" s="87"/>
      <c r="GD308" s="87"/>
      <c r="GE308" s="87"/>
      <c r="GF308" s="87"/>
      <c r="GG308" s="87"/>
      <c r="GH308" s="87"/>
      <c r="GI308" s="87"/>
      <c r="GJ308" s="87"/>
      <c r="GK308" s="87"/>
      <c r="GL308" s="87"/>
      <c r="GM308" s="87"/>
      <c r="GN308" s="87"/>
      <c r="GO308" s="87"/>
      <c r="GP308" s="87"/>
      <c r="GQ308" s="87"/>
      <c r="GR308" s="87"/>
      <c r="GS308" s="87"/>
      <c r="GT308" s="87"/>
      <c r="GU308" s="87"/>
      <c r="GV308" s="87"/>
      <c r="GW308" s="87"/>
      <c r="GX308" s="87"/>
      <c r="GY308" s="87"/>
      <c r="GZ308" s="87"/>
      <c r="HA308" s="87"/>
      <c r="HB308" s="87"/>
      <c r="HC308" s="87"/>
      <c r="HD308" s="87"/>
      <c r="HE308" s="87"/>
      <c r="HF308" s="87"/>
      <c r="HG308" s="87"/>
      <c r="HH308" s="87"/>
      <c r="HI308" s="87"/>
      <c r="HJ308" s="87"/>
      <c r="HK308" s="87"/>
      <c r="HL308" s="87"/>
      <c r="HM308" s="87"/>
      <c r="HN308" s="87"/>
      <c r="HO308" s="87"/>
      <c r="HP308" s="87"/>
      <c r="HQ308" s="87"/>
      <c r="HR308" s="87"/>
      <c r="HS308" s="87"/>
      <c r="HT308" s="87"/>
      <c r="HU308" s="87"/>
      <c r="HV308" s="87"/>
      <c r="HW308" s="87"/>
      <c r="HX308" s="87"/>
      <c r="HY308" s="87"/>
      <c r="HZ308" s="87"/>
      <c r="IA308" s="87"/>
      <c r="IB308" s="87"/>
      <c r="IC308" s="87"/>
      <c r="ID308" s="87"/>
      <c r="IE308" s="87"/>
      <c r="IF308" s="87"/>
      <c r="IG308" s="87"/>
      <c r="IH308" s="87"/>
      <c r="II308" s="87"/>
      <c r="IJ308" s="87"/>
      <c r="IK308" s="87"/>
      <c r="IL308" s="87"/>
      <c r="IM308" s="87"/>
      <c r="IN308" s="87"/>
      <c r="IO308" s="87"/>
      <c r="IP308" s="87"/>
      <c r="IQ308" s="87"/>
      <c r="IR308" s="87"/>
      <c r="IS308" s="87"/>
      <c r="IT308" s="87"/>
      <c r="IU308" s="87"/>
      <c r="IV308" s="87"/>
      <c r="IW308" s="87"/>
    </row>
  </sheetData>
  <printOptions headings="false" gridLines="false" gridLinesSet="true" horizontalCentered="false" verticalCentered="false"/>
  <pageMargins left="0.25" right="0.25" top="0.5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true" showOutlineSymbols="true" defaultGridColor="true" view="normal" topLeftCell="A56" colorId="64" zoomScale="100" zoomScaleNormal="100" zoomScalePageLayoutView="100" workbookViewId="0">
      <selection pane="topLeft" activeCell="H83" activeCellId="0" sqref="H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48" width="7.99"/>
    <col collapsed="false" customWidth="true" hidden="false" outlineLevel="0" max="2" min="2" style="0" width="2.56"/>
    <col collapsed="false" customWidth="true" hidden="false" outlineLevel="0" max="3" min="3" style="0" width="29.41"/>
    <col collapsed="false" customWidth="true" hidden="false" outlineLevel="0" max="9" min="4" style="349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50" t="s">
        <v>292</v>
      </c>
      <c r="B1" s="350"/>
      <c r="C1" s="350"/>
      <c r="D1" s="350"/>
      <c r="E1" s="350"/>
      <c r="F1" s="351"/>
      <c r="G1" s="351"/>
      <c r="H1" s="351"/>
      <c r="I1" s="351"/>
      <c r="J1" s="352"/>
      <c r="K1" s="352"/>
      <c r="L1" s="352"/>
      <c r="M1" s="352"/>
      <c r="N1" s="353"/>
      <c r="O1" s="353"/>
      <c r="P1" s="353"/>
      <c r="Q1" s="353"/>
      <c r="R1" s="353"/>
      <c r="S1" s="353"/>
      <c r="T1" s="354"/>
      <c r="U1" s="354"/>
      <c r="V1" s="354"/>
      <c r="W1" s="354"/>
      <c r="X1" s="354"/>
      <c r="Y1" s="354"/>
      <c r="Z1" s="354"/>
    </row>
    <row r="2" customFormat="false" ht="12.75" hidden="false" customHeight="false" outlineLevel="0" collapsed="false">
      <c r="A2" s="350" t="s">
        <v>293</v>
      </c>
      <c r="B2" s="350"/>
      <c r="C2" s="350"/>
      <c r="D2" s="350"/>
      <c r="E2" s="350"/>
      <c r="F2" s="351"/>
      <c r="G2" s="351"/>
      <c r="H2" s="351"/>
      <c r="I2" s="351"/>
      <c r="J2" s="352"/>
      <c r="K2" s="352"/>
      <c r="L2" s="352"/>
      <c r="M2" s="352"/>
      <c r="N2" s="353"/>
      <c r="O2" s="353"/>
      <c r="P2" s="353"/>
      <c r="Q2" s="353"/>
      <c r="R2" s="353"/>
      <c r="S2" s="353"/>
      <c r="T2" s="354"/>
      <c r="U2" s="354"/>
      <c r="V2" s="354"/>
      <c r="W2" s="354"/>
      <c r="X2" s="354"/>
      <c r="Y2" s="354"/>
      <c r="Z2" s="354"/>
    </row>
    <row r="3" customFormat="false" ht="12.75" hidden="false" customHeight="false" outlineLevel="0" collapsed="false">
      <c r="A3" s="350" t="s">
        <v>294</v>
      </c>
      <c r="B3" s="350"/>
      <c r="C3" s="350"/>
      <c r="D3" s="350"/>
      <c r="E3" s="350"/>
      <c r="F3" s="215"/>
      <c r="G3" s="215"/>
      <c r="H3" s="215"/>
      <c r="I3" s="215"/>
      <c r="J3" s="215"/>
      <c r="K3" s="215"/>
      <c r="L3" s="215"/>
      <c r="M3" s="215"/>
    </row>
    <row r="4" customFormat="false" ht="12.75" hidden="false" customHeight="false" outlineLevel="0" collapsed="false">
      <c r="A4" s="350" t="s">
        <v>295</v>
      </c>
      <c r="B4" s="350"/>
      <c r="C4" s="350"/>
      <c r="D4" s="350"/>
      <c r="E4" s="350"/>
      <c r="F4" s="351"/>
      <c r="G4" s="351"/>
      <c r="H4" s="351"/>
      <c r="I4" s="351"/>
      <c r="J4" s="352"/>
      <c r="K4" s="352"/>
      <c r="L4" s="352"/>
      <c r="M4" s="352"/>
      <c r="N4" s="353"/>
      <c r="O4" s="353"/>
      <c r="P4" s="353"/>
      <c r="Q4" s="353"/>
      <c r="R4" s="353"/>
      <c r="S4" s="353"/>
      <c r="T4" s="354"/>
      <c r="U4" s="354"/>
      <c r="V4" s="354"/>
      <c r="W4" s="354"/>
      <c r="X4" s="354"/>
      <c r="Y4" s="354"/>
      <c r="Z4" s="354"/>
    </row>
    <row r="5" customFormat="false" ht="12.75" hidden="false" customHeight="false" outlineLevel="0" collapsed="false">
      <c r="A5" s="350" t="s">
        <v>296</v>
      </c>
      <c r="B5" s="350"/>
      <c r="C5" s="350"/>
      <c r="D5" s="350"/>
      <c r="E5" s="350"/>
      <c r="F5" s="351"/>
      <c r="G5" s="351"/>
      <c r="H5" s="351"/>
      <c r="I5" s="351"/>
      <c r="J5" s="352"/>
      <c r="K5" s="352"/>
      <c r="L5" s="352"/>
      <c r="M5" s="352"/>
      <c r="N5" s="353"/>
      <c r="O5" s="353"/>
      <c r="P5" s="353"/>
      <c r="Q5" s="353"/>
      <c r="R5" s="353"/>
      <c r="S5" s="353"/>
      <c r="T5" s="354"/>
      <c r="U5" s="354"/>
      <c r="V5" s="354"/>
      <c r="W5" s="354"/>
      <c r="X5" s="354"/>
      <c r="Y5" s="354"/>
      <c r="Z5" s="354"/>
    </row>
    <row r="6" customFormat="false" ht="12.75" hidden="false" customHeight="false" outlineLevel="0" collapsed="false">
      <c r="A6" s="350"/>
      <c r="B6" s="350"/>
      <c r="C6" s="350"/>
      <c r="D6" s="351"/>
      <c r="E6" s="351"/>
      <c r="F6" s="351"/>
      <c r="G6" s="351"/>
      <c r="H6" s="351"/>
      <c r="I6" s="351"/>
      <c r="J6" s="352"/>
      <c r="K6" s="352"/>
      <c r="L6" s="352"/>
      <c r="M6" s="352"/>
      <c r="N6" s="353"/>
      <c r="O6" s="353"/>
      <c r="P6" s="353"/>
      <c r="Q6" s="353"/>
      <c r="R6" s="353"/>
      <c r="S6" s="353"/>
      <c r="T6" s="354"/>
      <c r="U6" s="354"/>
      <c r="V6" s="354"/>
      <c r="W6" s="354"/>
      <c r="X6" s="354"/>
      <c r="Y6" s="354"/>
      <c r="Z6" s="354"/>
    </row>
    <row r="7" customFormat="false" ht="12.75" hidden="false" customHeight="false" outlineLevel="0" collapsed="false">
      <c r="A7" s="355"/>
      <c r="B7" s="356"/>
      <c r="C7" s="356"/>
      <c r="J7" s="357"/>
      <c r="K7" s="357"/>
      <c r="L7" s="357"/>
      <c r="M7" s="357"/>
      <c r="N7" s="357"/>
      <c r="O7" s="357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</row>
    <row r="8" customFormat="false" ht="12.75" hidden="false" customHeight="false" outlineLevel="0" collapsed="false">
      <c r="A8" s="358"/>
      <c r="B8" s="227"/>
      <c r="C8" s="359"/>
      <c r="D8" s="360" t="s">
        <v>297</v>
      </c>
      <c r="E8" s="360"/>
      <c r="F8" s="361"/>
      <c r="G8" s="351"/>
      <c r="H8" s="361"/>
      <c r="I8" s="351"/>
      <c r="J8" s="361"/>
      <c r="K8" s="361"/>
      <c r="L8" s="361"/>
      <c r="M8" s="361"/>
      <c r="N8" s="238"/>
      <c r="O8" s="238"/>
    </row>
    <row r="9" customFormat="false" ht="12.75" hidden="false" customHeight="false" outlineLevel="0" collapsed="false">
      <c r="A9" s="362"/>
      <c r="B9" s="231"/>
      <c r="C9" s="363"/>
      <c r="D9" s="364" t="s">
        <v>252</v>
      </c>
      <c r="E9" s="365" t="s">
        <v>298</v>
      </c>
      <c r="F9" s="351"/>
      <c r="G9" s="351"/>
      <c r="H9" s="351"/>
      <c r="I9" s="351"/>
      <c r="J9" s="350"/>
      <c r="K9" s="351"/>
      <c r="L9" s="350"/>
      <c r="M9" s="351"/>
      <c r="N9" s="238"/>
      <c r="O9" s="238"/>
    </row>
    <row r="10" customFormat="false" ht="12.75" hidden="false" customHeight="false" outlineLevel="0" collapsed="false">
      <c r="A10" s="366"/>
      <c r="B10" s="367" t="s">
        <v>299</v>
      </c>
      <c r="C10" s="363"/>
      <c r="D10" s="368"/>
      <c r="E10" s="369"/>
      <c r="J10" s="238"/>
      <c r="K10" s="238"/>
      <c r="L10" s="238"/>
      <c r="M10" s="238"/>
      <c r="N10" s="238"/>
      <c r="O10" s="238"/>
    </row>
    <row r="11" customFormat="false" ht="12.75" hidden="false" customHeight="false" outlineLevel="0" collapsed="false">
      <c r="A11" s="366" t="n">
        <v>1</v>
      </c>
      <c r="B11" s="231"/>
      <c r="C11" s="370" t="s">
        <v>300</v>
      </c>
      <c r="D11" s="371" t="n">
        <f aca="false">MEH!E5+NSS1!E5+NSS2!E5</f>
        <v>3969377</v>
      </c>
      <c r="E11" s="372" t="n">
        <f aca="false">MEH!D5+NSS1!D5+NSS2!D5</f>
        <v>12701523</v>
      </c>
      <c r="J11" s="349"/>
      <c r="K11" s="349"/>
      <c r="L11" s="349"/>
      <c r="M11" s="349"/>
      <c r="N11" s="238"/>
      <c r="O11" s="238"/>
    </row>
    <row r="12" customFormat="false" ht="12.75" hidden="false" customHeight="false" outlineLevel="0" collapsed="false">
      <c r="A12" s="366" t="n">
        <v>2</v>
      </c>
      <c r="B12" s="231"/>
      <c r="C12" s="370" t="s">
        <v>301</v>
      </c>
      <c r="D12" s="371"/>
      <c r="E12" s="372"/>
      <c r="J12" s="349"/>
      <c r="K12" s="349"/>
      <c r="L12" s="349"/>
      <c r="M12" s="349"/>
      <c r="N12" s="238"/>
      <c r="O12" s="238"/>
    </row>
    <row r="13" customFormat="false" ht="12.75" hidden="false" customHeight="false" outlineLevel="0" collapsed="false">
      <c r="A13" s="366" t="n">
        <v>3</v>
      </c>
      <c r="B13" s="231"/>
      <c r="C13" s="370" t="s">
        <v>302</v>
      </c>
      <c r="D13" s="371" t="n">
        <f aca="false">MEH!E10+MEH!E11+MEH!E12+MEH!E19+MEH!E23+MEH!E16+NSS1!E10+NSS1!E11+NSS1!E12+NSS1!E16+NSS1!E19+NSS1!E23+NSS2!E10+NSS2!E11+NSS2!E12+NSS2!E16+NSS2!E19+NSS2!E23</f>
        <v>3090119</v>
      </c>
      <c r="E13" s="372" t="n">
        <f aca="false">MEH!D9+MEH!D10+MEH!D11+MEH!D12+MEH!D19+MEH!D23+MEH!D16+NSS1!D10+NSS1!D11+NSS1!D12+NSS1!D16+NSS1!D19+NSS1!D23+NSS2!D10+NSS2!D11+NSS2!D12+NSS2!D16+NSS2!D19+NSS2!D23+NSS1!D9+NSS2!D9</f>
        <v>11719625</v>
      </c>
      <c r="J13" s="349"/>
      <c r="K13" s="349"/>
      <c r="L13" s="349"/>
      <c r="M13" s="349"/>
      <c r="N13" s="238"/>
      <c r="O13" s="238"/>
    </row>
    <row r="14" customFormat="false" ht="12.75" hidden="false" customHeight="false" outlineLevel="0" collapsed="false">
      <c r="A14" s="366" t="n">
        <v>4</v>
      </c>
      <c r="B14" s="231"/>
      <c r="C14" s="370" t="s">
        <v>303</v>
      </c>
      <c r="D14" s="371" t="e">
        <f aca="false">SUMIF(MEH!$A$1:$F$68,'[3]OA Flash '!$A14,MEH!$E$1:$E$68)+SUMIF(MEH!$H$1:$M$67,'[3]OA Flash '!$A14,MEH!$L$1:$L$67)+SUMIF(Other!$A$1:$E$21,'[3]OA Flash '!$A14,Other!$D$1:$D$21)+SUMIF('Total Financial'!$A$1:$D$73,'[3]OA Flash '!$A14,'Total Financial'!$C$1:$C$73)+SUMIF(NSS1!$A$1:$F$68,'[3]OA Flash '!$A14,NSS1!$E$1:$E$68)+SUMIF(NSS1!$H$1:$M$67,'[3]OA Flash '!$A14,NSS1!$L$1:$L$67)+SUMIF(NSS1!$A$1:$F$68,'[3]OA Flash '!$A14,NSS2!$E$1:$E$68)+SUMIF(NSS2!$H$1:$M$67,'[3]OA Flash '!$A14,NSS2!$L$1:$L$67)</f>
        <v>#DIV/0!</v>
      </c>
      <c r="E14" s="372" t="e">
        <f aca="false">SUMIF(MEH!$A$1:$F$68,'[3]OA Flash '!$A14,MEH!$D$1:$D$68)+SUMIF(MEH!$H$1:$M$67,'[3]OA Flash '!$A14,MEH!$K$1:$K$67)+SUMIF(Other!$A$1:$E$21,'[3]OA Flash '!$A14,Other!$E$1:$E$21)+SUMIF('Total Financial'!$A$1:$D$73,'[3]OA Flash '!$A14,'Total Financial'!$D$1:$D$73)+SUMIF(NSS1!$A$1:$F$68,'[3]OA Flash '!$A14,NSS1!$D$1:$D$68)+SUMIF(NSS1!$H$1:$M$67,'[3]OA Flash '!$A14,NSS1!$K$1:$K$67)+SUMIF(NSS2!$A$1:$F$68,'[3]OA Flash '!$A14,NSS2!$D$1:$D$68)+SUMIF(NSS2!$H$1:$M$67,'[3]OA Flash '!$A14,NSS2!$K$1:$K$67)</f>
        <v>#DIV/0!</v>
      </c>
      <c r="J14" s="349"/>
      <c r="K14" s="349"/>
      <c r="L14" s="349"/>
      <c r="M14" s="349"/>
      <c r="N14" s="238"/>
      <c r="O14" s="238"/>
    </row>
    <row r="15" customFormat="false" ht="12.75" hidden="false" customHeight="false" outlineLevel="0" collapsed="false">
      <c r="A15" s="366" t="n">
        <v>5</v>
      </c>
      <c r="B15" s="231"/>
      <c r="C15" s="370" t="s">
        <v>304</v>
      </c>
      <c r="D15" s="371" t="e">
        <f aca="false">SUMIF(MEH!$A$1:$F$68,'[3]OA Flash '!$A15,MEH!$E$1:$E$68)+SUMIF(MEH!$H$1:$M$67,'[3]OA Flash '!$A15,MEH!$L$1:$L$67)+SUMIF(Other!$A$1:$E$21,'[3]OA Flash '!$A15,Other!$D$1:$D$21)+SUMIF('Total Financial'!$A$1:$D$73,'[3]OA Flash '!$A15,'Total Financial'!$C$1:$C$73)+SUMIF(NSS1!$A$1:$F$68,'[3]OA Flash '!$A15,NSS1!$E$1:$E$68)+SUMIF(NSS1!$H$1:$M$67,'[3]OA Flash '!$A15,NSS1!$L$1:$L$67)+SUMIF(NSS2!$A$1:$F$68,'[3]OA Flash '!$A15,NSS2!$E$1:$E$68)+SUMIF(NSS2!$H$1:$M$67,'[3]OA Flash '!$A15,NSS2!$L$1:$L$67)</f>
        <v>#DIV/0!</v>
      </c>
      <c r="E15" s="372" t="e">
        <f aca="false">SUMIF(MEH!$A$1:$F$68,'[3]OA Flash '!$A15,MEH!$D$1:$D$68)+SUMIF(MEH!$H$1:$M$67,'[3]OA Flash '!$A15,MEH!$K$1:$K$67)+SUMIF(Other!$A$1:$E$21,'[3]OA Flash '!$A15,Other!$E$1:$E$21)+SUMIF('Total Financial'!$A$1:$D$73,'[3]OA Flash '!$A15,'Total Financial'!$D$1:$D$73)+SUMIF(NSS1!$A$1:$F$68,'[3]OA Flash '!$A15,NSS1!$D$1:$D$68)+SUMIF(NSS1!$H$1:$M$67,'[3]OA Flash '!$A15,NSS1!$K$1:$K$67)+SUMIF(NSS2!$A$1:$F$68,'[3]OA Flash '!$A15,NSS2!$D$1:$D$68)+SUMIF(NSS2!$H$1:$M$67,'[3]OA Flash '!$A15,NSS2!$K$1:$K$67)</f>
        <v>#DIV/0!</v>
      </c>
      <c r="J15" s="349"/>
      <c r="K15" s="349"/>
      <c r="L15" s="349"/>
      <c r="M15" s="349"/>
      <c r="N15" s="238"/>
      <c r="O15" s="238"/>
    </row>
    <row r="16" customFormat="false" ht="12.75" hidden="false" customHeight="false" outlineLevel="0" collapsed="false">
      <c r="A16" s="366"/>
      <c r="B16" s="231" t="s">
        <v>305</v>
      </c>
      <c r="C16" s="363"/>
      <c r="D16" s="373" t="e">
        <f aca="false">SUM(D11:D15)</f>
        <v>#DIV/0!</v>
      </c>
      <c r="E16" s="374" t="e">
        <f aca="false">SUM(E11:E15)</f>
        <v>#DIV/0!</v>
      </c>
      <c r="J16" s="349"/>
      <c r="K16" s="349"/>
      <c r="L16" s="349"/>
      <c r="M16" s="349"/>
      <c r="N16" s="238"/>
      <c r="O16" s="238"/>
    </row>
    <row r="17" customFormat="false" ht="12.75" hidden="false" customHeight="false" outlineLevel="0" collapsed="false">
      <c r="A17" s="366"/>
      <c r="B17" s="231"/>
      <c r="C17" s="363"/>
      <c r="D17" s="371"/>
      <c r="E17" s="372"/>
      <c r="J17" s="349"/>
      <c r="K17" s="349"/>
      <c r="L17" s="349"/>
      <c r="M17" s="349"/>
      <c r="N17" s="238"/>
      <c r="O17" s="238"/>
    </row>
    <row r="18" customFormat="false" ht="12.75" hidden="false" customHeight="false" outlineLevel="0" collapsed="false">
      <c r="A18" s="366"/>
      <c r="B18" s="367" t="s">
        <v>306</v>
      </c>
      <c r="C18" s="363"/>
      <c r="D18" s="371"/>
      <c r="E18" s="372"/>
      <c r="J18" s="349"/>
      <c r="K18" s="349"/>
      <c r="L18" s="349"/>
      <c r="M18" s="349"/>
      <c r="N18" s="238"/>
      <c r="O18" s="238"/>
    </row>
    <row r="19" customFormat="false" ht="12.75" hidden="false" customHeight="false" outlineLevel="0" collapsed="false">
      <c r="A19" s="366" t="n">
        <v>6</v>
      </c>
      <c r="B19" s="231"/>
      <c r="C19" s="370" t="s">
        <v>300</v>
      </c>
      <c r="D19" s="371" t="n">
        <f aca="false">-MEH!L22-MEH!L5+-NSS1!L22-NSS1!L5+-NSS2!L22-NSS2!L5</f>
        <v>-3159620</v>
      </c>
      <c r="E19" s="372" t="n">
        <f aca="false">-MEH!K22-MEH!K5+-NSS1!K22-NSS1!K5+-NSS2!K22-NSS2!K5</f>
        <v>-10691640</v>
      </c>
      <c r="H19" s="375"/>
      <c r="J19" s="349"/>
      <c r="K19" s="349"/>
      <c r="L19" s="349"/>
      <c r="M19" s="349"/>
      <c r="N19" s="238"/>
      <c r="O19" s="238"/>
    </row>
    <row r="20" customFormat="false" ht="12.75" hidden="false" customHeight="false" outlineLevel="0" collapsed="false">
      <c r="A20" s="366" t="n">
        <v>7</v>
      </c>
      <c r="B20" s="231"/>
      <c r="C20" s="370" t="s">
        <v>301</v>
      </c>
      <c r="D20" s="371"/>
      <c r="E20" s="372"/>
      <c r="J20" s="349"/>
      <c r="K20" s="349"/>
      <c r="L20" s="349"/>
      <c r="M20" s="349"/>
      <c r="N20" s="238"/>
      <c r="O20" s="238"/>
    </row>
    <row r="21" customFormat="false" ht="12.75" hidden="false" customHeight="false" outlineLevel="0" collapsed="false">
      <c r="A21" s="366" t="n">
        <v>8</v>
      </c>
      <c r="B21" s="231"/>
      <c r="C21" s="370" t="s">
        <v>302</v>
      </c>
      <c r="D21" s="371" t="n">
        <f aca="false">-MEH!L9-MEH!L10-MEH!L11-MEH!L12-MEH!L15-MEH!L18+-NSS1!L9-NSS1!L10-NSS1!L11-NSS1!L12-NSS1!L15-NSS1!L18+-NSS2!L9-NSS2!L10-NSS2!L11-NSS2!L12-NSS2!L15-NSS2!L18</f>
        <v>-3821568</v>
      </c>
      <c r="E21" s="372" t="n">
        <f aca="false">-MEH!K9-MEH!K10-MEH!K11-MEH!K12-MEH!K15-MEH!K18+-NSS1!K9-NSS1!K10-NSS1!K11-NSS1!K12-NSS1!K15-NSS1!K18+-NSS2!K9-NSS2!K10-NSS2!K11-NSS2!K12-NSS2!K15-NSS2!K18</f>
        <v>-14818608</v>
      </c>
      <c r="J21" s="349"/>
      <c r="K21" s="349"/>
      <c r="L21" s="349"/>
      <c r="M21" s="349"/>
      <c r="N21" s="238"/>
      <c r="O21" s="238"/>
    </row>
    <row r="22" customFormat="false" ht="12.75" hidden="false" customHeight="false" outlineLevel="0" collapsed="false">
      <c r="A22" s="366" t="n">
        <v>9</v>
      </c>
      <c r="B22" s="231"/>
      <c r="C22" s="370" t="s">
        <v>303</v>
      </c>
      <c r="D22" s="371"/>
      <c r="E22" s="372"/>
      <c r="J22" s="349"/>
      <c r="K22" s="349"/>
      <c r="L22" s="349"/>
      <c r="M22" s="349"/>
      <c r="N22" s="238"/>
      <c r="O22" s="238"/>
    </row>
    <row r="23" customFormat="false" ht="12.75" hidden="false" customHeight="false" outlineLevel="0" collapsed="false">
      <c r="A23" s="366" t="n">
        <v>10</v>
      </c>
      <c r="B23" s="231"/>
      <c r="C23" s="370" t="s">
        <v>307</v>
      </c>
      <c r="D23" s="376" t="n">
        <f aca="false">MEH!E21+NSS1!E21+NSS2!E21</f>
        <v>0</v>
      </c>
      <c r="E23" s="377" t="n">
        <f aca="false">MEH!D21+NSS1!D21+NSS2!D21</f>
        <v>0</v>
      </c>
      <c r="J23" s="349"/>
      <c r="K23" s="349"/>
      <c r="L23" s="349"/>
      <c r="M23" s="349"/>
      <c r="N23" s="238"/>
      <c r="O23" s="238"/>
    </row>
    <row r="24" customFormat="false" ht="12.75" hidden="false" customHeight="false" outlineLevel="0" collapsed="false">
      <c r="A24" s="366"/>
      <c r="B24" s="231" t="s">
        <v>308</v>
      </c>
      <c r="C24" s="363"/>
      <c r="D24" s="373" t="n">
        <f aca="false">SUM(D19:D23)</f>
        <v>-6981188</v>
      </c>
      <c r="E24" s="374" t="n">
        <f aca="false">SUM(E19:E23)</f>
        <v>-25510248</v>
      </c>
      <c r="J24" s="349"/>
      <c r="K24" s="349"/>
      <c r="L24" s="349"/>
      <c r="M24" s="349"/>
      <c r="N24" s="238"/>
      <c r="O24" s="238"/>
    </row>
    <row r="25" customFormat="false" ht="12.75" hidden="false" customHeight="false" outlineLevel="0" collapsed="false">
      <c r="A25" s="366"/>
      <c r="B25" s="231"/>
      <c r="C25" s="363"/>
      <c r="D25" s="371"/>
      <c r="E25" s="372"/>
      <c r="J25" s="349"/>
      <c r="K25" s="349"/>
      <c r="L25" s="349"/>
      <c r="M25" s="349"/>
      <c r="N25" s="238"/>
      <c r="O25" s="238"/>
    </row>
    <row r="26" customFormat="false" ht="12.75" hidden="false" customHeight="false" outlineLevel="0" collapsed="false">
      <c r="A26" s="366"/>
      <c r="B26" s="378" t="s">
        <v>309</v>
      </c>
      <c r="C26" s="363"/>
      <c r="D26" s="371"/>
      <c r="E26" s="372"/>
      <c r="J26" s="349"/>
      <c r="K26" s="349"/>
      <c r="L26" s="349"/>
      <c r="M26" s="349"/>
      <c r="N26" s="238"/>
      <c r="O26" s="238"/>
    </row>
    <row r="27" customFormat="false" ht="12.75" hidden="false" customHeight="false" outlineLevel="0" collapsed="false">
      <c r="A27" s="366" t="n">
        <v>11</v>
      </c>
      <c r="B27" s="231"/>
      <c r="C27" s="370" t="s">
        <v>260</v>
      </c>
      <c r="D27" s="371"/>
      <c r="E27" s="372"/>
      <c r="J27" s="349"/>
      <c r="K27" s="349"/>
      <c r="L27" s="349"/>
      <c r="M27" s="349"/>
      <c r="N27" s="238"/>
      <c r="O27" s="238"/>
    </row>
    <row r="28" customFormat="false" ht="12.75" hidden="false" customHeight="false" outlineLevel="0" collapsed="false">
      <c r="A28" s="366" t="n">
        <v>12</v>
      </c>
      <c r="B28" s="231"/>
      <c r="C28" s="370" t="s">
        <v>261</v>
      </c>
      <c r="D28" s="371"/>
      <c r="E28" s="372"/>
      <c r="J28" s="349"/>
      <c r="K28" s="349"/>
      <c r="L28" s="349"/>
      <c r="M28" s="349"/>
      <c r="N28" s="238"/>
      <c r="O28" s="238"/>
    </row>
    <row r="29" customFormat="false" ht="12.75" hidden="false" customHeight="false" outlineLevel="0" collapsed="false">
      <c r="A29" s="366"/>
      <c r="B29" s="231" t="s">
        <v>310</v>
      </c>
      <c r="C29" s="363"/>
      <c r="D29" s="373" t="n">
        <f aca="false">SUM(D27:D28)</f>
        <v>0</v>
      </c>
      <c r="E29" s="374" t="n">
        <f aca="false">SUM(E27:E28)</f>
        <v>0</v>
      </c>
      <c r="J29" s="349"/>
      <c r="K29" s="349"/>
      <c r="L29" s="349"/>
      <c r="M29" s="349"/>
      <c r="N29" s="238"/>
      <c r="O29" s="238"/>
    </row>
    <row r="30" customFormat="false" ht="12.75" hidden="false" customHeight="false" outlineLevel="0" collapsed="false">
      <c r="A30" s="366"/>
      <c r="B30" s="231"/>
      <c r="C30" s="363"/>
      <c r="D30" s="371"/>
      <c r="E30" s="372"/>
      <c r="J30" s="349"/>
      <c r="K30" s="349"/>
      <c r="L30" s="349"/>
      <c r="M30" s="349"/>
      <c r="N30" s="238"/>
      <c r="O30" s="238"/>
    </row>
    <row r="31" customFormat="false" ht="12.75" hidden="false" customHeight="false" outlineLevel="0" collapsed="false">
      <c r="A31" s="366"/>
      <c r="B31" s="367" t="s">
        <v>311</v>
      </c>
      <c r="C31" s="363"/>
      <c r="D31" s="371"/>
      <c r="E31" s="372"/>
      <c r="J31" s="349"/>
      <c r="K31" s="349"/>
      <c r="L31" s="349"/>
      <c r="M31" s="349"/>
      <c r="N31" s="238"/>
      <c r="O31" s="238"/>
    </row>
    <row r="32" customFormat="false" ht="12.75" hidden="false" customHeight="false" outlineLevel="0" collapsed="false">
      <c r="A32" s="366" t="n">
        <v>13</v>
      </c>
      <c r="B32" s="231"/>
      <c r="C32" s="370" t="s">
        <v>312</v>
      </c>
      <c r="D32" s="371" t="n">
        <f aca="false">+MEH!E22-MEH!L21+NSS1!E22-NSS1!L21+NSS2!E22-NSS2!L21</f>
        <v>0</v>
      </c>
      <c r="E32" s="372" t="n">
        <f aca="false">+MEH!D22-MEH!K21+NSS1!D22-NSS1!K21+NSS2!D22-NSS2!K21</f>
        <v>0</v>
      </c>
      <c r="J32" s="349"/>
      <c r="K32" s="349"/>
      <c r="L32" s="349"/>
      <c r="M32" s="349"/>
      <c r="N32" s="238"/>
      <c r="O32" s="238"/>
    </row>
    <row r="33" customFormat="false" ht="12.75" hidden="false" customHeight="false" outlineLevel="0" collapsed="false">
      <c r="A33" s="366" t="n">
        <v>14</v>
      </c>
      <c r="B33" s="231"/>
      <c r="C33" s="370" t="s">
        <v>313</v>
      </c>
      <c r="D33" s="371" t="n">
        <f aca="false">(SUMIF(MEH!$A$1:$F$68,'[3]OA Flash '!$A33,MEH!$E$1:$E$68))+(SUMIF(NSS1!$A$1:$F$68,'[3]OA Flash '!$A33,NSS1!$E$1:$E$68))+(SUMIF(NSS2!$A$1:$F$68,'[3]OA Flash '!$A33,NSS2!$E$1:$E$68))</f>
        <v>10150043</v>
      </c>
      <c r="E33" s="372" t="e">
        <f aca="false">(SUMIF(MEH!$A$1:$F$68,'[3]OA Flash '!$A33,MEH!$D$1:$D$68))+(SUMIF(NSS1!$A$1:$F$68,'[3]OA Flash '!$A33,NSS1!$D$1:$D$68))+(SUMIF(NSS2!$A$1:$F$68,'[3]OA Flash '!$A33,NSS2!$D$1:$D$68))</f>
        <v>#DIV/0!</v>
      </c>
      <c r="J33" s="349"/>
      <c r="K33" s="349"/>
      <c r="L33" s="349"/>
      <c r="M33" s="349"/>
      <c r="N33" s="238"/>
      <c r="O33" s="238"/>
    </row>
    <row r="34" customFormat="false" ht="12.75" hidden="false" customHeight="false" outlineLevel="0" collapsed="false">
      <c r="A34" s="366" t="n">
        <v>15</v>
      </c>
      <c r="B34" s="231"/>
      <c r="C34" s="370" t="s">
        <v>314</v>
      </c>
      <c r="D34" s="371" t="e">
        <f aca="false">SUMIF(MEH!$H$1:$M$67,'[3]OA Flash '!$A34,MEH!$L$1:$L$67)+SUMIF(NSS1!$H$1:$M$67,'[3]OA Flash '!$A34,NSS1!$L$1:$L$67)+SUMIF(NSS2!$H$1:$M$67,'[3]OA Flash '!$A34,NSS2!$L$1:$L$67)</f>
        <v>#DIV/0!</v>
      </c>
      <c r="E34" s="372" t="e">
        <f aca="false">SUMIF(MEH!$H$1:$M$67,'[3]OA Flash '!$A34,MEH!$K$1:$K$67)+SUMIF(NSS1!$H$1:$M$67,'[3]OA Flash '!$A34,NSS1!$K$1:$K$67)+SUMIF(NSS2!$H$1:$M$67,'[3]OA Flash '!$A34,NSS2!$K$1:$K$67)</f>
        <v>#DIV/0!</v>
      </c>
      <c r="J34" s="349"/>
      <c r="K34" s="349"/>
      <c r="L34" s="349"/>
      <c r="M34" s="349"/>
      <c r="N34" s="238"/>
      <c r="O34" s="238"/>
    </row>
    <row r="35" customFormat="false" ht="12.75" hidden="false" customHeight="false" outlineLevel="0" collapsed="false">
      <c r="A35" s="366" t="n">
        <v>16</v>
      </c>
      <c r="B35" s="231"/>
      <c r="C35" s="370" t="s">
        <v>242</v>
      </c>
      <c r="D35" s="371" t="e">
        <f aca="false">(SUMIF(MEH!$A$1:$F$68,'[3]OA Flash '!$A35,MEH!$E$1:$E$68)+(SUMIF(MEH!$H$1:$M$67,'[3]OA Flash '!$A35,MEH!$L$1:$L$67)*-1))+(SUMIF(NSS1!$A$1:$F$68,'[3]OA Flash '!$A35,NSS1!$E$1:$E$68)+(SUMIF(NSS1!$H$1:$M$67,'[3]OA Flash '!$A35,NSS1!$L$1:$L$67)*-1))+(SUMIF(NSS2!$A$1:$F$68,'[3]OA Flash '!$A35,NSS2!$E$1:$E$68)+(SUMIF(NSS2!$H$1:$M$67,'[3]OA Flash '!$A35,NSS2!$L$1:$L$67)*-1))</f>
        <v>#DIV/0!</v>
      </c>
      <c r="E35" s="372" t="e">
        <f aca="false">(SUMIF(MEH!$A$1:$F$68,'[3]OA Flash '!$A35,MEH!$D$1:$D$68)+(SUMIF(MEH!$H$1:$M$67,'[3]OA Flash '!$A35,MEH!$K$1:$K$67)*-1))+(SUMIF(NSS1!$A$1:$F$68,'[3]OA Flash '!$A35,NSS1!$D$1:$D$68)+(SUMIF(NSS1!$H$1:$M$67,'[3]OA Flash '!$A35,NSS1!$K$1:$K$67)*-1))+(SUMIF(NSS2!$A$1:$F$68,'[3]OA Flash '!$A35,NSS2!$D$1:$D$68)+(SUMIF(NSS2!$H$1:$M$67,'[3]OA Flash '!$A35,NSS2!$K$1:$K$67)*-1))</f>
        <v>#DIV/0!</v>
      </c>
      <c r="J35" s="349"/>
      <c r="K35" s="349"/>
      <c r="L35" s="349"/>
      <c r="M35" s="349"/>
      <c r="N35" s="238"/>
      <c r="O35" s="238"/>
    </row>
    <row r="36" customFormat="false" ht="12.75" hidden="false" customHeight="false" outlineLevel="0" collapsed="false">
      <c r="A36" s="366"/>
      <c r="B36" s="231" t="s">
        <v>315</v>
      </c>
      <c r="C36" s="363"/>
      <c r="D36" s="373" t="e">
        <f aca="false">SUM(D32:D35)</f>
        <v>#DIV/0!</v>
      </c>
      <c r="E36" s="374" t="e">
        <f aca="false">SUM(E32:E35)</f>
        <v>#DIV/0!</v>
      </c>
      <c r="J36" s="349"/>
      <c r="K36" s="349"/>
      <c r="L36" s="349"/>
      <c r="M36" s="349"/>
      <c r="N36" s="238"/>
      <c r="O36" s="238"/>
    </row>
    <row r="37" customFormat="false" ht="12.75" hidden="false" customHeight="false" outlineLevel="0" collapsed="false">
      <c r="A37" s="366"/>
      <c r="B37" s="231"/>
      <c r="C37" s="363"/>
      <c r="D37" s="371"/>
      <c r="E37" s="372"/>
      <c r="J37" s="349"/>
      <c r="K37" s="349"/>
      <c r="L37" s="349"/>
      <c r="M37" s="349"/>
      <c r="N37" s="238"/>
      <c r="O37" s="238"/>
    </row>
    <row r="38" customFormat="false" ht="12.75" hidden="false" customHeight="false" outlineLevel="0" collapsed="false">
      <c r="A38" s="366"/>
      <c r="B38" s="367" t="s">
        <v>316</v>
      </c>
      <c r="C38" s="363"/>
      <c r="D38" s="371"/>
      <c r="E38" s="372"/>
      <c r="J38" s="349"/>
      <c r="K38" s="349"/>
      <c r="L38" s="349"/>
      <c r="M38" s="349"/>
      <c r="N38" s="238"/>
      <c r="O38" s="238"/>
    </row>
    <row r="39" customFormat="false" ht="12.75" hidden="false" customHeight="false" outlineLevel="0" collapsed="false">
      <c r="A39" s="366" t="n">
        <v>17</v>
      </c>
      <c r="B39" s="231"/>
      <c r="C39" s="370" t="s">
        <v>317</v>
      </c>
      <c r="D39" s="371" t="e">
        <f aca="false">SUMIF(MEH!$A$1:$F$68,'[3]OA Flash '!$A39,MEH!$E$1:$E$68)+SUMIF(MEH!$H$1:$M$67,'[3]OA Flash '!$A39,MEH!$L$1:$L$67)+SUMIF(Other!$A$1:$E$21,'[3]OA Flash '!$A39,Other!$D$1:$D$21)+SUMIF('Total Financial'!$A$1:$D$73,'[3]OA Flash '!$A39,'Total Financial'!$C$1:$C$73)+SUMIF(NSS1!$A$1:$F$68,'[3]OA Flash '!$A39,NSS1!$E$1:$E$68)+SUMIF(NSS1!$H$1:$M$67,'[3]OA Flash '!$A39,NSS1!$L$1:$L$67)+SUMIF(NSS2!$A$1:$F$68,'[3]OA Flash '!$A39,NSS2!$E$1:$E$68)+SUMIF(NSS2!$H$1:$M$67,'[3]OA Flash '!$A39,NSS2!$L$1:$L$67)</f>
        <v>#DIV/0!</v>
      </c>
      <c r="E39" s="372" t="e">
        <f aca="false">SUMIF(MEH!$A$1:$F$68,'[3]OA Flash '!$A39,MEH!$D$1:$D$68)+SUMIF(MEH!$H$1:$M$67,'[3]OA Flash '!$A39,MEH!$K$1:$K$67)+SUMIF(Other!$A$1:$E$21,'[3]OA Flash '!$A39,Other!$E$1:$E$21)+SUMIF('Total Financial'!$A$1:$D$73,'[3]OA Flash '!$A39,'Total Financial'!$D$1:$D$73)+SUMIF(NSS1!$A$1:$F$68,'[3]OA Flash '!$A39,NSS1!$D$1:$D$68)+SUMIF(NSS1!$H$1:$M$67,'[3]OA Flash '!$A39,NSS1!$K$1:$K$67)+SUMIF(NSS2!$A$1:$F$68,'[3]OA Flash '!$A39,NSS2!$D$1:$D$68)+SUMIF(NSS2!$H$1:$M$67,'[3]OA Flash '!$A39,NSS2!$K$1:$K$67)</f>
        <v>#DIV/0!</v>
      </c>
      <c r="J39" s="349"/>
      <c r="K39" s="349"/>
      <c r="L39" s="349"/>
      <c r="M39" s="349"/>
      <c r="N39" s="238"/>
      <c r="O39" s="238"/>
    </row>
    <row r="40" customFormat="false" ht="22.5" hidden="false" customHeight="true" outlineLevel="0" collapsed="false">
      <c r="A40" s="366" t="n">
        <v>18</v>
      </c>
      <c r="B40" s="231"/>
      <c r="C40" s="370" t="s">
        <v>318</v>
      </c>
      <c r="D40" s="371" t="e">
        <f aca="false">(SUMIF(MEH!$A$1:$F$68,'[3]OA Flash '!$A40,MEH!$E$1:$E$68)+SUMIF(MEH!$H$1:$M$67,'[3]OA Flash '!$A40,MEH!$L$1:$L$67)+SUMIF(Other!$A$1:$E$21,'[3]OA Flash '!$A40,Other!$E$1:$E$21)+SUMIF('Total Financial'!$A$1:$D$73,'[3]OA Flash '!$A40,'Total Financial'!$D$1:$D$73)+SUMIF(NSS1!$A$1:$F$68,'[3]OA Flash '!$A40,NSS1!$E$1:$E$68)+SUMIF(NSS1!$H$1:$M$67,'[3]OA Flash '!$A40,NSS1!$L$1:$L$67)+SUMIF(NSS2!$A$1:$F$68,'[3]OA Flash '!$A40,NSS2!$E$1:$E$68)+SUMIF(NSS2!$H$1:$M$67,'[3]OA Flash '!$A40,NSS2!$L$1:$L$67))*-1</f>
        <v>#DIV/0!</v>
      </c>
      <c r="E40" s="372" t="e">
        <f aca="false">(SUMIF(MEH!$A$1:$F$68,'[3]OA Flash '!$A40,MEH!$D$1:$D$68)+SUMIF(MEH!$H$1:$M$67,'[3]OA Flash '!$A40,MEH!$K$1:$K$67)+SUMIF(Other!$A$1:$E$21,'[3]OA Flash '!$A40,Other!$E$1:$E$21)+SUMIF('Total Financial'!$A$1:$D$73,'[3]OA Flash '!$A40,'Total Financial'!$D$1:$D$73)+SUMIF(NSS1!$A$1:$F$68,'[3]OA Flash '!$A40,NSS1!$D$1:$D$68)+SUMIF(NSS1!$H$1:$M$67,'[3]OA Flash '!$A40,NSS1!$K$1:$K$67)+SUMIF(NSS2!$A$1:$F$68,'[3]OA Flash '!$A40,NSS2!$D$1:$D$68)+SUMIF(NSS2!$H$1:$M$67,'[3]OA Flash '!$A40,NSS2!$K$1:$K$67))*-1</f>
        <v>#DIV/0!</v>
      </c>
      <c r="J40" s="349"/>
      <c r="K40" s="349"/>
      <c r="L40" s="349"/>
      <c r="M40" s="349"/>
      <c r="N40" s="238"/>
      <c r="O40" s="238"/>
    </row>
    <row r="41" customFormat="false" ht="12.75" hidden="false" customHeight="false" outlineLevel="0" collapsed="false">
      <c r="A41" s="366" t="n">
        <v>19</v>
      </c>
      <c r="B41" s="231"/>
      <c r="C41" s="370" t="s">
        <v>319</v>
      </c>
      <c r="D41" s="371" t="e">
        <f aca="false">SUMIF(MEH!$A$1:$F$68,'[3]OA Flash '!$A41,MEH!$E$1:$E$68)+SUMIF(MEH!$H$1:$M$67,'[3]OA Flash '!$A41,MEH!$L$1:$L$67)+SUMIF(Other!$A$1:$E$21,'[3]OA Flash '!$A41,Other!$D$1:$D$21)+SUMIF('Total Financial'!$A$1:$D$73,'[3]OA Flash '!$A41,'Total Financial'!$C$1:$C$73)+SUMIF(NSS1!$A$1:$F$68,'[3]OA Flash '!$A41,NSS1!$E$1:$E$68)+SUMIF(NSS1!$H$1:$M$67,'[3]OA Flash '!$A41,NSS1!$L$1:$L$67)+SUMIF(NSS2!$A$1:$F$68,'[3]OA Flash '!$A41,NSS2!$E$1:$E$68)+SUMIF(NSS2!$H$1:$M$67,'[3]OA Flash '!$A41,NSS2!$L$1:$L$67)</f>
        <v>#DIV/0!</v>
      </c>
      <c r="E41" s="372" t="e">
        <f aca="false">SUMIF(MEH!$A$1:$F$68,'[3]OA Flash '!$A41,MEH!$D$1:$D$68)+SUMIF(MEH!$H$1:$M$67,'[3]OA Flash '!$A41,MEH!$K$1:$K$67)+SUMIF(Other!$A$1:$E$21,'[3]OA Flash '!$A41,Other!$E$1:$E$21)+SUMIF('Total Financial'!$A$1:$D$73,'[3]OA Flash '!$A41,'Total Financial'!$D$1:$D$73)+SUMIF(NSS1!$A$1:$F$68,'[3]OA Flash '!$A41,NSS1!$D$1:$D$68)+SUMIF(NSS1!$H$1:$M$67,'[3]OA Flash '!$A41,NSS1!$K$1:$K$67)+SUMIF(NSS2!$A$1:$F$68,'[3]OA Flash '!$A41,NSS2!$D$1:$D$68)+SUMIF(NSS2!$H$1:$M$67,'[3]OA Flash '!$A41,NSS2!$K$1:$K$67)</f>
        <v>#DIV/0!</v>
      </c>
      <c r="J41" s="349"/>
      <c r="K41" s="349"/>
      <c r="L41" s="349"/>
      <c r="M41" s="349"/>
      <c r="N41" s="238"/>
      <c r="O41" s="238"/>
    </row>
    <row r="42" customFormat="false" ht="12.75" hidden="false" customHeight="false" outlineLevel="0" collapsed="false">
      <c r="A42" s="366"/>
      <c r="B42" s="231"/>
      <c r="C42" s="379" t="s">
        <v>320</v>
      </c>
      <c r="D42" s="373" t="e">
        <f aca="false">SUM(D40:D41)</f>
        <v>#DIV/0!</v>
      </c>
      <c r="E42" s="374" t="e">
        <f aca="false">SUM(E40:E41)</f>
        <v>#DIV/0!</v>
      </c>
      <c r="J42" s="349"/>
      <c r="K42" s="349"/>
      <c r="L42" s="349"/>
      <c r="M42" s="349"/>
      <c r="N42" s="238"/>
      <c r="O42" s="238"/>
    </row>
    <row r="43" customFormat="false" ht="21" hidden="false" customHeight="true" outlineLevel="0" collapsed="false">
      <c r="A43" s="366"/>
      <c r="B43" s="231" t="s">
        <v>321</v>
      </c>
      <c r="C43" s="363"/>
      <c r="D43" s="373" t="e">
        <f aca="false">D42+D39</f>
        <v>#DIV/0!</v>
      </c>
      <c r="E43" s="374" t="e">
        <f aca="false">E42+E39</f>
        <v>#DIV/0!</v>
      </c>
      <c r="J43" s="349"/>
      <c r="K43" s="349"/>
      <c r="L43" s="349"/>
      <c r="M43" s="349"/>
      <c r="N43" s="238"/>
      <c r="O43" s="238"/>
    </row>
    <row r="44" customFormat="false" ht="12.75" hidden="false" customHeight="false" outlineLevel="0" collapsed="false">
      <c r="A44" s="366"/>
      <c r="B44" s="231"/>
      <c r="C44" s="363"/>
      <c r="D44" s="371"/>
      <c r="E44" s="372"/>
      <c r="J44" s="349"/>
      <c r="K44" s="349"/>
      <c r="L44" s="349"/>
      <c r="M44" s="349"/>
      <c r="N44" s="238"/>
      <c r="O44" s="238"/>
    </row>
    <row r="45" customFormat="false" ht="11.25" hidden="false" customHeight="true" outlineLevel="0" collapsed="false">
      <c r="A45" s="366" t="n">
        <v>20</v>
      </c>
      <c r="B45" s="367" t="s">
        <v>322</v>
      </c>
      <c r="C45" s="363"/>
      <c r="D45" s="371" t="e">
        <f aca="false">SUMIF(MEH!$A$1:$F$68,'[3]OA Flash '!$A45,MEH!$E$1:$E$68)+SUMIF(MEH!$H$1:$M$67,'[3]OA Flash '!$A45,MEH!$L$1:$L$67)+SUMIF(Other!$A$1:$E$21,'[3]OA Flash '!$A45,Other!$D$1:$D$21)+SUMIF('Total Financial'!$A$1:$D$73,'[3]OA Flash '!$A45,'Total Financial'!$C$1:$C$73)+SUMIF(NSS1!$A$1:$F$68,'[3]OA Flash '!$A45,NSS1!$E$1:$E$68)+SUMIF(NSS1!$H$1:$M$67,'[3]OA Flash '!$A45,NSS1!$L$1:$L$67)+SUMIF(NSS2!$A$1:$F$68,'[3]OA Flash '!$A45,NSS2!$E$1:$E$68)+SUMIF(NSS2!$H$1:$M$67,'[3]OA Flash '!$A45,NSS2!$L$1:$L$67)</f>
        <v>#DIV/0!</v>
      </c>
      <c r="E45" s="372" t="e">
        <f aca="false">SUMIF(MEH!$A$1:$F$68,'[3]OA Flash '!$A45,MEH!$D$1:$D$68)+SUMIF(MEH!$H$1:$M$67,'[3]OA Flash '!$A45,MEH!$K$1:$K$67)+SUMIF(Other!$A$1:$E$21,'[3]OA Flash '!$A45,Other!$E$1:$E$21)+SUMIF('Total Financial'!$A$1:$D$73,'[3]OA Flash '!$A45,'Total Financial'!$D$1:$D$73)+SUMIF(NSS1!$A$1:$F$68,'[3]OA Flash '!$A45,NSS1!$D$1:$D$68)+SUMIF(NSS1!$H$1:$M$67,'[3]OA Flash '!$A45,NSS1!$K$1:$K$67)+SUMIF(NSS2!$A$1:$F$68,'[3]OA Flash '!$A45,NSS2!$D$1:$D$68)+SUMIF(NSS2!$H$1:$M$67,'[3]OA Flash '!$A45,NSS2!$K$1:$K$67)</f>
        <v>#DIV/0!</v>
      </c>
      <c r="J45" s="349"/>
      <c r="K45" s="349"/>
      <c r="L45" s="349"/>
      <c r="M45" s="349"/>
      <c r="N45" s="238"/>
      <c r="O45" s="238"/>
    </row>
    <row r="46" customFormat="false" ht="12.75" hidden="false" customHeight="false" outlineLevel="0" collapsed="false">
      <c r="A46" s="366"/>
      <c r="B46" s="367"/>
      <c r="C46" s="363"/>
      <c r="D46" s="371"/>
      <c r="E46" s="372"/>
      <c r="J46" s="349"/>
      <c r="K46" s="349"/>
      <c r="L46" s="349"/>
      <c r="M46" s="349"/>
      <c r="N46" s="238"/>
      <c r="O46" s="238"/>
    </row>
    <row r="47" customFormat="false" ht="12.75" hidden="false" customHeight="false" outlineLevel="0" collapsed="false">
      <c r="A47" s="366" t="n">
        <v>21</v>
      </c>
      <c r="B47" s="367" t="s">
        <v>323</v>
      </c>
      <c r="C47" s="363"/>
      <c r="D47" s="371" t="e">
        <f aca="false">SUMIF(MEH!$A$1:$F$68,'[3]OA Flash '!$A47,MEH!$E$1:$E$68)+SUMIF(MEH!$H$1:$M$67,'[3]OA Flash '!$A47,MEH!$L$1:$L$67)+SUMIF(Other!$A$1:$E$21,'[3]OA Flash '!$A47,Other!$D$1:$D$21)+SUMIF('Total Financial'!$A$1:$D$73,'[3]OA Flash '!$A47,'Total Financial'!$C$1:$C$73)+SUMIF(NSS1!$A$1:$F$68,'[3]OA Flash '!$A47,NSS1!$E$1:$E$68)+SUMIF(NSS1!$H$1:$M$67,'[3]OA Flash '!$A47,NSS1!$L$1:$L$67)+SUMIF(NSS2!$A$1:$F$68,'[3]OA Flash '!$A47,NSS2!$E$1:$E$68)+SUMIF(NSS2!$H$1:$M$67,'[3]OA Flash '!$A47,NSS2!$L$1:$L$67)</f>
        <v>#DIV/0!</v>
      </c>
      <c r="E47" s="372" t="e">
        <f aca="false">SUMIF(MEH!$A$1:$F$68,'[3]OA Flash '!$A47,MEH!$D$1:$D$68)+SUMIF(MEH!$H$1:$M$67,'[3]OA Flash '!$A47,MEH!$K$1:$K$67)+SUMIF(Other!$A$1:$E$21,'[3]OA Flash '!$A47,Other!$E$1:$E$21)+SUMIF('Total Financial'!$A$1:$D$73,'[3]OA Flash '!$A47,'Total Financial'!$D$1:$D$73)+SUMIF(NSS1!$A$1:$F$68,'[3]OA Flash '!$A47,NSS1!$D$1:$D$68)+SUMIF(NSS1!$H$1:$M$67,'[3]OA Flash '!$A47,NSS1!$K$1:$K$67)+SUMIF(NSS2!$A$1:$F$68,'[3]OA Flash '!$A47,NSS2!$D$1:$D$68)+SUMIF(NSS2!$H$1:$M$67,'[3]OA Flash '!$A47,NSS2!$K$1:$K$67)</f>
        <v>#DIV/0!</v>
      </c>
      <c r="J47" s="349"/>
      <c r="K47" s="349"/>
      <c r="L47" s="349"/>
      <c r="M47" s="349"/>
      <c r="N47" s="238"/>
      <c r="O47" s="238"/>
    </row>
    <row r="48" customFormat="false" ht="12.75" hidden="false" customHeight="false" outlineLevel="0" collapsed="false">
      <c r="A48" s="366"/>
      <c r="B48" s="231"/>
      <c r="C48" s="363"/>
      <c r="D48" s="371"/>
      <c r="E48" s="372"/>
      <c r="J48" s="349"/>
      <c r="K48" s="349"/>
      <c r="L48" s="349"/>
      <c r="M48" s="349"/>
      <c r="N48" s="238"/>
      <c r="O48" s="238"/>
    </row>
    <row r="49" customFormat="false" ht="12.75" hidden="false" customHeight="false" outlineLevel="0" collapsed="false">
      <c r="A49" s="366" t="n">
        <v>22</v>
      </c>
      <c r="B49" s="367" t="s">
        <v>324</v>
      </c>
      <c r="C49" s="363"/>
      <c r="D49" s="371" t="n">
        <f aca="false">+'ENRON MIDWEST P&amp;L'!G23</f>
        <v>-78311</v>
      </c>
      <c r="E49" s="372" t="n">
        <f aca="false">+'ENRON MIDWEST P&amp;L'!E23</f>
        <v>-290142.255</v>
      </c>
      <c r="J49" s="349"/>
      <c r="K49" s="349"/>
      <c r="L49" s="349"/>
      <c r="M49" s="349"/>
      <c r="N49" s="238"/>
      <c r="O49" s="238"/>
    </row>
    <row r="50" customFormat="false" ht="12.75" hidden="false" customHeight="false" outlineLevel="0" collapsed="false">
      <c r="A50" s="366"/>
      <c r="B50" s="231"/>
      <c r="C50" s="363"/>
      <c r="D50" s="371"/>
      <c r="E50" s="372"/>
      <c r="J50" s="349"/>
      <c r="K50" s="349"/>
      <c r="L50" s="349"/>
      <c r="M50" s="349"/>
      <c r="N50" s="238"/>
      <c r="O50" s="238"/>
    </row>
    <row r="51" customFormat="false" ht="12.75" hidden="false" customHeight="false" outlineLevel="0" collapsed="false">
      <c r="A51" s="366" t="n">
        <v>23</v>
      </c>
      <c r="B51" s="367" t="s">
        <v>325</v>
      </c>
      <c r="C51" s="363"/>
      <c r="D51" s="371" t="n">
        <f aca="false">-D23</f>
        <v>-0</v>
      </c>
      <c r="E51" s="372" t="n">
        <f aca="false">-E23</f>
        <v>-0</v>
      </c>
      <c r="J51" s="349"/>
      <c r="K51" s="349"/>
      <c r="L51" s="349"/>
      <c r="M51" s="349"/>
      <c r="N51" s="238"/>
      <c r="O51" s="238"/>
    </row>
    <row r="52" customFormat="false" ht="12.75" hidden="false" customHeight="false" outlineLevel="0" collapsed="false">
      <c r="A52" s="366"/>
      <c r="B52" s="231"/>
      <c r="C52" s="363"/>
      <c r="D52" s="371"/>
      <c r="E52" s="372"/>
      <c r="J52" s="349"/>
      <c r="K52" s="349"/>
      <c r="L52" s="349"/>
      <c r="M52" s="349"/>
      <c r="N52" s="238"/>
      <c r="O52" s="238"/>
    </row>
    <row r="53" customFormat="false" ht="12.75" hidden="false" customHeight="false" outlineLevel="0" collapsed="false">
      <c r="A53" s="366"/>
      <c r="B53" s="367" t="s">
        <v>326</v>
      </c>
      <c r="C53" s="363"/>
      <c r="D53" s="371"/>
      <c r="E53" s="372"/>
      <c r="J53" s="349"/>
      <c r="K53" s="349"/>
      <c r="L53" s="349"/>
      <c r="M53" s="349"/>
      <c r="N53" s="238"/>
      <c r="O53" s="238"/>
    </row>
    <row r="54" customFormat="false" ht="12.75" hidden="false" customHeight="false" outlineLevel="0" collapsed="false">
      <c r="A54" s="366" t="n">
        <v>24</v>
      </c>
      <c r="B54" s="231"/>
      <c r="C54" s="370" t="s">
        <v>327</v>
      </c>
      <c r="D54" s="371" t="e">
        <f aca="false">SUMIF(MEH!$A$1:$F$68,'[3]OA Flash '!$A54,MEH!$E$1:$E$68)+SUMIF(MEH!$H$1:$M$67,'[3]OA Flash '!$A54,MEH!$L$1:$L$67)+SUMIF(Other!$A$1:$E$21,'[3]OA Flash '!$A54,Other!$D$1:$D$21)+SUMIF('Total Financial'!$A$1:$D$73,'[3]OA Flash '!$A54,'Total Financial'!$C$1:$C$73)+SUMIF(NSS1!$A$1:$F$68,'[3]OA Flash '!$A54,NSS1!$E$1:$E$68)+SUMIF(NSS1!$H$1:$M$67,'[3]OA Flash '!$A54,NSS1!$L$1:$L$67)+SUMIF(NSS2!$A$1:$F$68,'[3]OA Flash '!$A54,NSS2!$E$1:$E$68)+SUMIF(NSS2!$H$1:$M$67,'[3]OA Flash '!$A54,NSS2!$L$1:$L$67)</f>
        <v>#DIV/0!</v>
      </c>
      <c r="E54" s="372" t="n">
        <f aca="false">+Other!E5+Other!E6+Other!E7-E51</f>
        <v>0</v>
      </c>
      <c r="J54" s="349"/>
      <c r="K54" s="349"/>
      <c r="L54" s="349"/>
      <c r="M54" s="349"/>
      <c r="N54" s="238"/>
      <c r="O54" s="238"/>
    </row>
    <row r="55" customFormat="false" ht="12.75" hidden="false" customHeight="false" outlineLevel="0" collapsed="false">
      <c r="A55" s="366" t="n">
        <v>25</v>
      </c>
      <c r="B55" s="231"/>
      <c r="C55" s="370" t="s">
        <v>328</v>
      </c>
      <c r="D55" s="371" t="e">
        <f aca="false">SUMIF(MEH!$A$1:$F$68,'[3]OA Flash '!$A55,MEH!$E$1:$E$68)+SUMIF(MEH!$H$1:$M$67,'[3]OA Flash '!$A55,MEH!$L$1:$L$67)+SUMIF(Other!$A$1:$E$21,'[3]OA Flash '!$A55,Other!$D$1:$D$21)+SUMIF('Total Financial'!$A$1:$D$73,'[3]OA Flash '!$A55,'Total Financial'!$C$1:$C$73)+SUMIF(NSS1!$A$1:$F$68,'[3]OA Flash '!$A55,NSS1!$E$1:$E$68)+SUMIF(NSS1!$H$1:$M$67,'[3]OA Flash '!$A55,NSS1!$L$1:$L$67)+SUMIF(NSS2!$A$1:$F$68,'[3]OA Flash '!$A55,NSS2!$E$1:$E$68)+SUMIF(NSS2!$H$1:$M$67,'[3]OA Flash '!$A55,NSS2!$L$1:$L$67)</f>
        <v>#DIV/0!</v>
      </c>
      <c r="E55" s="372" t="e">
        <f aca="false">SUMIF(MEH!$A$1:$F$68,'[3]OA Flash '!$A55,MEH!$D$1:$D$68)+SUMIF(MEH!$H$1:$M$67,'[3]OA Flash '!$A55,MEH!$K$1:$K$67)+SUMIF(Other!$A$1:$E$21,'[3]OA Flash '!$A55,Other!$E$1:$E$21)+SUMIF('Total Financial'!$A$1:$D$73,'[3]OA Flash '!$A55,'Total Financial'!$D$1:$D$73)+SUMIF(NSS1!$A$1:$F$68,'[3]OA Flash '!$A55,NSS1!$D$1:$D$68)+SUMIF(NSS1!$H$1:$M$67,'[3]OA Flash '!$A55,NSS1!$K$1:$K$67)+SUMIF(NSS2!$A$1:$F$68,'[3]OA Flash '!$A55,NSS2!$D$1:$D$68)+SUMIF(NSS2!$H$1:$M$67,'[3]OA Flash '!$A55,NSS2!$K$1:$K$67)</f>
        <v>#DIV/0!</v>
      </c>
      <c r="J55" s="349"/>
      <c r="K55" s="349"/>
      <c r="L55" s="349"/>
      <c r="M55" s="349"/>
      <c r="N55" s="238"/>
      <c r="O55" s="238"/>
    </row>
    <row r="56" customFormat="false" ht="12.75" hidden="false" customHeight="false" outlineLevel="0" collapsed="false">
      <c r="A56" s="366"/>
      <c r="B56" s="231" t="s">
        <v>329</v>
      </c>
      <c r="C56" s="363"/>
      <c r="D56" s="373" t="e">
        <f aca="false">SUM(D54:D55)</f>
        <v>#DIV/0!</v>
      </c>
      <c r="E56" s="374" t="e">
        <f aca="false">SUM(E54:E55)</f>
        <v>#DIV/0!</v>
      </c>
      <c r="J56" s="349"/>
      <c r="K56" s="349"/>
      <c r="L56" s="349"/>
      <c r="M56" s="349"/>
      <c r="N56" s="238"/>
      <c r="O56" s="238"/>
    </row>
    <row r="57" customFormat="false" ht="12.75" hidden="false" customHeight="false" outlineLevel="0" collapsed="false">
      <c r="A57" s="366"/>
      <c r="B57" s="231"/>
      <c r="C57" s="363"/>
      <c r="D57" s="371"/>
      <c r="E57" s="372"/>
      <c r="J57" s="349"/>
      <c r="K57" s="349"/>
      <c r="L57" s="349"/>
      <c r="M57" s="349"/>
      <c r="N57" s="238"/>
      <c r="O57" s="238"/>
    </row>
    <row r="58" customFormat="false" ht="12.75" hidden="false" customHeight="false" outlineLevel="0" collapsed="false">
      <c r="A58" s="366"/>
      <c r="B58" s="367" t="s">
        <v>330</v>
      </c>
      <c r="C58" s="363"/>
      <c r="D58" s="371"/>
      <c r="E58" s="372"/>
      <c r="J58" s="349"/>
      <c r="K58" s="349"/>
      <c r="L58" s="349"/>
      <c r="M58" s="349"/>
      <c r="N58" s="238"/>
      <c r="O58" s="238"/>
    </row>
    <row r="59" customFormat="false" ht="12.75" hidden="false" customHeight="false" outlineLevel="0" collapsed="false">
      <c r="A59" s="366" t="n">
        <v>26</v>
      </c>
      <c r="B59" s="367"/>
      <c r="C59" s="370" t="s">
        <v>331</v>
      </c>
      <c r="D59" s="371" t="e">
        <f aca="false">SUMIF(MEH!$A$1:$F$68,'[3]OA Flash '!$A59,MEH!$E$1:$E$68)+SUMIF(MEH!$H$1:$M$67,'[3]OA Flash '!$A59,MEH!$L$1:$L$67)+SUMIF(Other!$A$1:$E$21,'[3]OA Flash '!$A59,Other!$D$1:$D$21)+SUMIF('Total Financial'!$A$1:$D$73,'[3]OA Flash '!$A59,'Total Financial'!$C$1:$C$73)+SUMIF(NSS1!$A$1:$F$68,'[3]OA Flash '!$A59,NSS1!$E$1:$E$68)+SUMIF(NSS1!$H$1:$M$67,'[3]OA Flash '!$A59,NSS1!$L$1:$L$67)+SUMIF(NSS2!$A$1:$F$68,'[3]OA Flash '!$A59,NSS2!$E$1:$E$68)+SUMIF(NSS2!$H$1:$M$67,'[3]OA Flash '!$A59,NSS2!$L$1:$L$67)</f>
        <v>#DIV/0!</v>
      </c>
      <c r="E59" s="372" t="e">
        <f aca="false">SUMIF(MEH!$A$1:$F$68,'[3]OA Flash '!$A59,MEH!$D$1:$D$68)+SUMIF(MEH!$H$1:$M$67,'[3]OA Flash '!$A59,MEH!$K$1:$K$67)+SUMIF(Other!$A$1:$E$21,'[3]OA Flash '!$A59,Other!$E$1:$E$21)+SUMIF('Total Financial'!$A$1:$D$73,'[3]OA Flash '!$A59,'Total Financial'!$D$1:$D$73)+SUMIF(NSS1!$A$1:$F$68,'[3]OA Flash '!$A59,NSS1!$D$1:$D$68)+SUMIF(NSS1!$H$1:$M$67,'[3]OA Flash '!$A59,NSS1!$K$1:$K$67)+SUMIF(NSS2!$A$1:$F$68,'[3]OA Flash '!$A59,NSS2!$D$1:$D$68)+SUMIF(NSS2!$H$1:$M$67,'[3]OA Flash '!$A59,NSS2!$K$1:$K$67)</f>
        <v>#DIV/0!</v>
      </c>
      <c r="J59" s="349"/>
      <c r="K59" s="349"/>
      <c r="L59" s="349"/>
      <c r="M59" s="349"/>
      <c r="N59" s="349"/>
      <c r="O59" s="349"/>
    </row>
    <row r="60" customFormat="false" ht="12.75" hidden="false" customHeight="false" outlineLevel="0" collapsed="false">
      <c r="A60" s="366" t="n">
        <v>27</v>
      </c>
      <c r="B60" s="367"/>
      <c r="C60" s="370" t="s">
        <v>332</v>
      </c>
      <c r="D60" s="371" t="e">
        <f aca="false">SUMIF(MEH!$A$1:$F$68,'[3]OA Flash '!$A60,MEH!$E$1:$E$68)+SUMIF(MEH!$H$1:$M$67,'[3]OA Flash '!$A60,MEH!$L$1:$L$67)+SUMIF(Other!$A$1:$E$21,'[3]OA Flash '!$A60,Other!$D$1:$D$21)+SUMIF('Total Financial'!$A$1:$D$73,'[3]OA Flash '!$A60,'Total Financial'!$C$1:$C$73)+SUMIF(NSS1!$A$1:$F$68,'[3]OA Flash '!$A60,NSS1!$E$1:$E$68)+SUMIF(NSS1!$H$1:$M$67,'[3]OA Flash '!$A60,NSS2!$L$1:$L$67)+SUMIF(NSS2!$A$1:$F$68,'[3]OA Flash '!$A60,NSS2!$E$1:$E$68)+SUMIF(NSS1!$H$1:$M$67,'[3]OA Flash '!$A60,NSS2!$L$1:$L$67)</f>
        <v>#DIV/0!</v>
      </c>
      <c r="E60" s="372" t="e">
        <f aca="false">SUMIF(MEH!$A$1:$F$68,'[3]OA Flash '!$A60,MEH!$D$1:$D$68)+SUMIF(MEH!$H$1:$M$67,'[3]OA Flash '!$A60,MEH!$K$1:$K$67)+SUMIF(Other!$A$1:$E$21,'[3]OA Flash '!$A60,Other!$E$1:$E$21)+SUMIF('Total Financial'!$A$1:$D$73,'[3]OA Flash '!$A60,'Total Financial'!$D$1:$D$73)+SUMIF(NSS1!$A$1:$F$68,'[3]OA Flash '!$A60,NSS1!$D$1:$D$68)+SUMIF(NSS1!$H$1:$M$67,'[3]OA Flash '!$A60,NSS1!$K$1:$K$67)+SUMIF(NSS2!$A$1:$F$68,'[3]OA Flash '!$A60,NSS2!$D$1:$D$68)+SUMIF(NSS2!$H$1:$M$67,'[3]OA Flash '!$A60,NSS2!$K$1:$K$67)</f>
        <v>#DIV/0!</v>
      </c>
      <c r="J60" s="349"/>
      <c r="K60" s="349"/>
      <c r="L60" s="349"/>
      <c r="M60" s="349"/>
      <c r="N60" s="238"/>
      <c r="O60" s="238"/>
    </row>
    <row r="61" customFormat="false" ht="12.75" hidden="false" customHeight="false" outlineLevel="0" collapsed="false">
      <c r="A61" s="366"/>
      <c r="B61" s="380" t="s">
        <v>333</v>
      </c>
      <c r="C61" s="363"/>
      <c r="D61" s="373" t="e">
        <f aca="false">SUM(D59:D60)</f>
        <v>#DIV/0!</v>
      </c>
      <c r="E61" s="374" t="e">
        <f aca="false">SUM(E59:E60)</f>
        <v>#DIV/0!</v>
      </c>
      <c r="J61" s="349"/>
      <c r="K61" s="349"/>
      <c r="L61" s="349"/>
      <c r="M61" s="349"/>
      <c r="N61" s="238"/>
      <c r="O61" s="238"/>
    </row>
    <row r="62" customFormat="false" ht="12.75" hidden="false" customHeight="false" outlineLevel="0" collapsed="false">
      <c r="A62" s="366"/>
      <c r="B62" s="231"/>
      <c r="C62" s="363"/>
      <c r="D62" s="371"/>
      <c r="E62" s="372"/>
      <c r="J62" s="349"/>
      <c r="K62" s="349"/>
      <c r="L62" s="349"/>
      <c r="M62" s="349"/>
      <c r="N62" s="238"/>
      <c r="O62" s="238"/>
    </row>
    <row r="63" customFormat="false" ht="12.75" hidden="false" customHeight="false" outlineLevel="0" collapsed="false">
      <c r="A63" s="366"/>
      <c r="B63" s="378" t="s">
        <v>309</v>
      </c>
      <c r="C63" s="363"/>
      <c r="D63" s="371"/>
      <c r="E63" s="372"/>
      <c r="J63" s="349"/>
      <c r="K63" s="349"/>
      <c r="L63" s="349"/>
      <c r="M63" s="349"/>
      <c r="N63" s="238"/>
      <c r="O63" s="238"/>
    </row>
    <row r="64" customFormat="false" ht="12.75" hidden="false" customHeight="false" outlineLevel="0" collapsed="false">
      <c r="A64" s="366" t="n">
        <v>28</v>
      </c>
      <c r="B64" s="231"/>
      <c r="C64" s="370" t="s">
        <v>334</v>
      </c>
      <c r="D64" s="371" t="e">
        <f aca="false">SUMIF(MEH!$A$1:$F$68,'[3]OA Flash '!$A64,MEH!$E$1:$E$68)+SUMIF(MEH!$H$1:$M$67,'[3]OA Flash '!$A64,MEH!$L$1:$L$67)+SUMIF(Other!$A$1:$E$21,'[3]OA Flash '!$A64,Other!$D$1:$D$21)+SUMIF('Total Financial'!$A$1:$D$73,'[3]OA Flash '!$A64,'Total Financial'!$C$1:$C$73)+SUMIF(NSS1!$A$1:$F$68,'[3]OA Flash '!$A64,NSS1!$E$1:$E$68)+SUMIF(NSS1!$H$1:$M$67,'[3]OA Flash '!$A64,NSS1!$L$1:$L$67)+SUMIF(NSS2!$A$1:$F$68,'[3]OA Flash '!$A64,NSS2!$E$1:$E$68)+SUMIF(NSS2!$H$1:$M$67,'[3]OA Flash '!$A64,NSS2!$L$1:$L$67)</f>
        <v>#DIV/0!</v>
      </c>
      <c r="E64" s="372" t="e">
        <f aca="false">SUMIF(MEH!$A$1:$F$68,'[3]OA Flash '!$A64,MEH!$D$1:$D$68)+SUMIF(MEH!$H$1:$M$67,'[3]OA Flash '!$A64,MEH!$K$1:$K$67)+SUMIF(Other!$A$1:$E$21,'[3]OA Flash '!$A64,Other!$E$1:$E$21)+SUMIF('Total Financial'!$A$1:$D$73,'[3]OA Flash '!$A64,'Total Financial'!$D$1:$D$73)+SUMIF(NSS1!$A$1:$F$68,'[3]OA Flash '!$A64,NSS1!$D$1:$D$68)+SUMIF(NSS1!$H$1:$M$67,'[3]OA Flash '!$A64,NSS1!$K$1:$K$67)+SUMIF(NSS2!$A$1:$F$68,'[3]OA Flash '!$A64,NSS2!$D$1:$D$68)+SUMIF(NSS2!$H$1:$M$67,'[3]OA Flash '!$A64,NSS2!$K$1:$K$67)</f>
        <v>#DIV/0!</v>
      </c>
      <c r="J64" s="349"/>
      <c r="K64" s="349"/>
      <c r="L64" s="349"/>
      <c r="M64" s="349"/>
      <c r="N64" s="238"/>
      <c r="O64" s="238"/>
    </row>
    <row r="65" customFormat="false" ht="12.75" hidden="false" customHeight="false" outlineLevel="0" collapsed="false">
      <c r="A65" s="366" t="n">
        <v>29</v>
      </c>
      <c r="B65" s="367"/>
      <c r="C65" s="370" t="s">
        <v>88</v>
      </c>
      <c r="D65" s="371" t="e">
        <f aca="false">SUMIF(MEH!$A$1:$F$68,'[3]OA Flash '!$A65,MEH!$E$1:$E$68)+SUMIF(MEH!$H$1:$M$67,'[3]OA Flash '!$A65,MEH!$L$1:$L$67)+SUMIF(Other!$A$1:$E$21,'[3]OA Flash '!$A65,Other!$D$1:$D$21)+SUMIF('Total Financial'!$A$1:$D$73,'[3]OA Flash '!$A65,'Total Financial'!$C$1:$C$73)+SUMIF(NSS1!$A$1:$F$68,'[3]OA Flash '!$A65,NSS1!$E$1:$E$68)+SUMIF(NSS1!$H$1:$M$67,'[3]OA Flash '!$A65,NSS1!$L$1:$L$67)+SUMIF(NSS2!$A$1:$F$68,'[3]OA Flash '!$A65,NSS2!$E$1:$E$68)+SUMIF(NSS2!$H$1:$M$67,'[3]OA Flash '!$A65,NSS2!$L$1:$L$67)</f>
        <v>#DIV/0!</v>
      </c>
      <c r="E65" s="372" t="e">
        <f aca="false">SUMIF(MEH!$A$1:$F$68,'[3]OA Flash '!$A65,MEH!$D$1:$D$68)+SUMIF(MEH!$H$1:$M$67,'[3]OA Flash '!$A65,MEH!$K$1:$K$67)+SUMIF(Other!$A$1:$E$21,'[3]OA Flash '!$A65,Other!$E$1:$E$21)+SUMIF('Total Financial'!$A$1:$D$73,'[3]OA Flash '!$A65,'Total Financial'!$D$1:$D$73)+SUMIF(NSS1!$A$1:$F$68,'[3]OA Flash '!$A65,NSS1!$D$1:$D$68)+SUMIF(NSS1!$H$1:$M$67,'[3]OA Flash '!$A65,NSS1!$K$1:$K$67)+SUMIF(NSS2!$A$1:$F$68,'[3]OA Flash '!$A65,NSS2!$D$1:$D$68)+SUMIF(NSS2!$H$1:$M$67,'[3]OA Flash '!$A65,NSS2!$K$1:$K$67)</f>
        <v>#DIV/0!</v>
      </c>
      <c r="J65" s="349"/>
      <c r="K65" s="349"/>
      <c r="L65" s="349"/>
      <c r="M65" s="349"/>
      <c r="N65" s="238"/>
      <c r="O65" s="238"/>
    </row>
    <row r="66" customFormat="false" ht="12.75" hidden="false" customHeight="false" outlineLevel="0" collapsed="false">
      <c r="A66" s="366"/>
      <c r="B66" s="231" t="s">
        <v>335</v>
      </c>
      <c r="C66" s="363"/>
      <c r="D66" s="373" t="e">
        <f aca="false">SUM(D64:D65)</f>
        <v>#DIV/0!</v>
      </c>
      <c r="E66" s="374" t="e">
        <f aca="false">SUM(E64:E65)</f>
        <v>#DIV/0!</v>
      </c>
      <c r="J66" s="349"/>
      <c r="K66" s="349"/>
      <c r="L66" s="349"/>
      <c r="M66" s="349"/>
      <c r="N66" s="238"/>
      <c r="O66" s="238"/>
    </row>
    <row r="67" customFormat="false" ht="12.75" hidden="false" customHeight="false" outlineLevel="0" collapsed="false">
      <c r="A67" s="366"/>
      <c r="B67" s="231"/>
      <c r="C67" s="363"/>
      <c r="D67" s="371"/>
      <c r="E67" s="372"/>
      <c r="J67" s="349"/>
      <c r="K67" s="349"/>
      <c r="L67" s="349"/>
      <c r="M67" s="349"/>
      <c r="N67" s="238"/>
      <c r="O67" s="238"/>
    </row>
    <row r="68" customFormat="false" ht="12.75" hidden="false" customHeight="false" outlineLevel="0" collapsed="false">
      <c r="A68" s="366"/>
      <c r="B68" s="367" t="s">
        <v>336</v>
      </c>
      <c r="C68" s="363"/>
      <c r="D68" s="371"/>
      <c r="E68" s="372"/>
      <c r="J68" s="349"/>
      <c r="K68" s="349"/>
      <c r="L68" s="349"/>
      <c r="M68" s="349"/>
      <c r="N68" s="238"/>
      <c r="O68" s="238"/>
    </row>
    <row r="69" customFormat="false" ht="12.75" hidden="false" customHeight="false" outlineLevel="0" collapsed="false">
      <c r="A69" s="366"/>
      <c r="B69" s="238"/>
      <c r="C69" s="381" t="s">
        <v>337</v>
      </c>
      <c r="D69" s="371"/>
      <c r="E69" s="372"/>
      <c r="J69" s="349"/>
      <c r="K69" s="349"/>
      <c r="L69" s="349"/>
      <c r="M69" s="349"/>
      <c r="N69" s="238"/>
      <c r="O69" s="238"/>
    </row>
    <row r="70" customFormat="false" ht="12.75" hidden="false" customHeight="false" outlineLevel="0" collapsed="false">
      <c r="A70" s="366" t="n">
        <v>30</v>
      </c>
      <c r="B70" s="238"/>
      <c r="C70" s="381" t="s">
        <v>338</v>
      </c>
      <c r="D70" s="371" t="e">
        <f aca="false">SUMIF(MEH!$A$1:$F$68,'[3]OA Flash '!$A70,MEH!$E$1:$E$68)+SUMIF(MEH!$H$1:$M$67,'[3]OA Flash '!$A70,MEH!$L$1:$L$67)+SUMIF(Other!$A$1:$E$21,'[3]OA Flash '!$A70,Other!$D$1:$D$21)+SUMIF('Total Financial'!$A$1:$D$73,'[3]OA Flash '!$A70,'Total Financial'!$C$1:$C$73)+SUMIF(NSS1!$A$1:$F$68,'[3]OA Flash '!$A70,NSS1!$E$1:$E$68)+SUMIF(NSS1!$H$1:$M$67,'[3]OA Flash '!$A70,NSS1!$L$1:$L$67)+SUMIF(NSS2!$A$1:$F$68,'[3]OA Flash '!$A70,NSS2!$E$1:$E$68)+SUMIF(NSS2!$H$1:$M$67,'[3]OA Flash '!$A70,NSS2!$L$1:$L$67)</f>
        <v>#DIV/0!</v>
      </c>
      <c r="E70" s="372" t="n">
        <f aca="false">+'Total Financial'!D42+MEH!D30+NSS1!D30+NSS2!D30</f>
        <v>14029524.8604</v>
      </c>
      <c r="J70" s="349"/>
      <c r="K70" s="349"/>
      <c r="L70" s="349"/>
      <c r="M70" s="349"/>
      <c r="N70" s="238"/>
      <c r="O70" s="238"/>
    </row>
    <row r="71" customFormat="false" ht="12.75" hidden="false" customHeight="false" outlineLevel="0" collapsed="false">
      <c r="A71" s="366" t="n">
        <v>31</v>
      </c>
      <c r="B71" s="238"/>
      <c r="C71" s="381" t="s">
        <v>339</v>
      </c>
      <c r="D71" s="371" t="e">
        <f aca="false">SUMIF(MEH!$A$1:$F$68,'[3]OA Flash '!$A71,MEH!$E$1:$E$68)+SUMIF(MEH!$H$1:$M$67,'[3]OA Flash '!$A71,MEH!$L$1:$L$67)+SUMIF(Other!$A$1:$E$21,'[3]OA Flash '!$A71,Other!$D$1:$D$21)+SUMIF('Total Financial'!$A$1:$D$73,'[3]OA Flash '!$A71,'Total Financial'!$C$1:$C$73)+SUMIF(NSS1!$A$1:$F$68,'[3]OA Flash '!$A71,NSS1!$E$1:$E$68)+SUMIF(NSS1!$H$1:$M$67,'[3]OA Flash '!$A71,NSS1!$L$1:$L$67)+SUMIF(NSS2!$A$1:$F$68,'[3]OA Flash '!$A71,NSS2!$E$1:$E$68)+SUMIF(NSS2!$H$1:$M$67,'[3]OA Flash '!$A71,NSS2!$L$1:$L$67)</f>
        <v>#DIV/0!</v>
      </c>
      <c r="E71" s="372" t="n">
        <f aca="false">+'Total Financial'!D22+MEH!D31+NSS1!D31+NSS2!D31</f>
        <v>-13897193</v>
      </c>
      <c r="J71" s="349"/>
      <c r="K71" s="349"/>
      <c r="L71" s="349"/>
      <c r="M71" s="349"/>
      <c r="N71" s="238"/>
      <c r="O71" s="238"/>
    </row>
    <row r="72" customFormat="false" ht="12.75" hidden="false" customHeight="false" outlineLevel="0" collapsed="false">
      <c r="A72" s="366"/>
      <c r="B72" s="238"/>
      <c r="C72" s="382" t="s">
        <v>340</v>
      </c>
      <c r="D72" s="373" t="e">
        <f aca="false">SUM(D70:D71)</f>
        <v>#DIV/0!</v>
      </c>
      <c r="E72" s="374" t="n">
        <f aca="false">SUM(E70:E71)</f>
        <v>132331.860400001</v>
      </c>
      <c r="J72" s="349"/>
      <c r="K72" s="349"/>
      <c r="L72" s="349"/>
      <c r="M72" s="349"/>
      <c r="N72" s="238"/>
      <c r="O72" s="238"/>
    </row>
    <row r="73" customFormat="false" ht="12.75" hidden="false" customHeight="false" outlineLevel="0" collapsed="false">
      <c r="A73" s="366" t="n">
        <v>32</v>
      </c>
      <c r="B73" s="238"/>
      <c r="C73" s="381" t="s">
        <v>341</v>
      </c>
      <c r="D73" s="371" t="e">
        <f aca="false">SUMIF(MEH!$A$1:$F$68,'[3]OA Flash '!$A73,MEH!$E$1:$E$68)+SUMIF(MEH!$H$1:$M$67,'[3]OA Flash '!$A73,MEH!$L$1:$L$67)+SUMIF(Other!$A$1:$E$21,'[3]OA Flash '!$A73,Other!$D$1:$D$21)+SUMIF('Total Financial'!$A$1:$D$73,'[3]OA Flash '!$A73,'Total Financial'!$C$1:$C$73)+SUMIF(NSS1!$A$1:$F$68,'[3]OA Flash '!$A73,NSS1!$E$1:$E$68)+SUMIF(NSS1!$H$1:$M$67,'[3]OA Flash '!$A73,NSS1!$L$1:$L$67)+SUMIF(NSS2!$A$1:$F$68,'[3]OA Flash '!$A73,NSS2!$E$1:$E$68)+SUMIF(NSS2!$H$1:$M$67,'[3]OA Flash '!$A73,NSS2!$L$1:$L$67)</f>
        <v>#DIV/0!</v>
      </c>
      <c r="E73" s="372" t="e">
        <f aca="false">SUMIF(MEH!$A$1:$F$68,'[3]OA Flash '!$A73,MEH!$D$1:$D$68)+SUMIF(MEH!$H$1:$M$67,'[3]OA Flash '!$A73,MEH!$K$1:$K$67)+SUMIF(Other!$A$1:$E$21,'[3]OA Flash '!$A73,Other!$E$1:$E$21)+SUMIF('Total Financial'!$A$1:$D$73,'[3]OA Flash '!$A73,'Total Financial'!$D$1:$D$73)+SUMIF(NSS1!$A$1:$F$68,'[3]OA Flash '!$A73,NSS1!$D$1:$D$68)+SUMIF(NSS1!$H$1:$M$67,'[3]OA Flash '!$A73,NSS1!$K$1:$K$67)+SUMIF(NSS2!$A$1:$F$68,'[3]OA Flash '!$A73,NSS2!$D$1:$D$68)+SUMIF(NSS2!$H$1:$M$67,'[3]OA Flash '!$A73,NSS2!$K$1:$K$67)</f>
        <v>#DIV/0!</v>
      </c>
      <c r="J73" s="349"/>
      <c r="K73" s="349"/>
      <c r="L73" s="349"/>
      <c r="M73" s="349"/>
      <c r="N73" s="238"/>
      <c r="O73" s="238"/>
    </row>
    <row r="74" customFormat="false" ht="12.75" hidden="false" customHeight="false" outlineLevel="0" collapsed="false">
      <c r="A74" s="366" t="n">
        <v>33</v>
      </c>
      <c r="B74" s="238"/>
      <c r="C74" s="381" t="s">
        <v>342</v>
      </c>
      <c r="D74" s="371" t="e">
        <f aca="false">SUMIF(MEH!$A$1:$F$68,'[3]OA Flash '!$A74,MEH!$E$1:$E$68)+SUMIF(MEH!$H$1:$M$67,'[3]OA Flash '!$A74,MEH!$L$1:$L$67)+SUMIF(Other!$A$1:$E$21,'[3]OA Flash '!$A74,Other!$D$1:$D$21)+SUMIF('Total Financial'!$A$1:$D$73,'[3]OA Flash '!$A74,'Total Financial'!$C$1:$C$73)+SUMIF(NSS1!$A$1:$F$68,'[3]OA Flash '!$A74,NSS1!$E$1:$E$68)+SUMIF(NSS1!$H$1:$M$67,'[3]OA Flash '!$A74,NSS1!$L$1:$L$67)+SUMIF(NSS2!$A$1:$F$68,'[3]OA Flash '!$A74,NSS2!$E$1:$E$68)+SUMIF(NSS2!$H$1:$M$67,'[3]OA Flash '!$A74,NSS2!$L$1:$L$67)</f>
        <v>#DIV/0!</v>
      </c>
      <c r="E74" s="372" t="n">
        <f aca="false">+'Total Financial'!D32</f>
        <v>1198559</v>
      </c>
      <c r="J74" s="349"/>
      <c r="K74" s="349"/>
      <c r="L74" s="349"/>
      <c r="M74" s="349"/>
      <c r="N74" s="238"/>
      <c r="O74" s="238"/>
    </row>
    <row r="75" customFormat="false" ht="12.75" hidden="false" customHeight="false" outlineLevel="0" collapsed="false">
      <c r="A75" s="366" t="n">
        <v>34</v>
      </c>
      <c r="B75" s="238"/>
      <c r="C75" s="381" t="s">
        <v>235</v>
      </c>
      <c r="D75" s="371" t="e">
        <f aca="false">SUMIF(MEH!$A$1:$F$68,'[3]OA Flash '!$A75,MEH!$E$1:$E$68)+SUMIF(MEH!$H$1:$M$67,'[3]OA Flash '!$A75,MEH!$L$1:$L$67)+SUMIF(Other!$A$1:$E$21,'[3]OA Flash '!$A75,Other!$D$1:$D$21)+SUMIF('Total Financial'!$A$1:$D$73,'[3]OA Flash '!$A75,'Total Financial'!$C$1:$C$73)+SUMIF(NSS1!$A$1:$F$68,'[3]OA Flash '!$A75,NSS1!$E$1:$E$68)+SUMIF(NSS1!$H$1:$M$67,'[3]OA Flash '!$A75,NSS1!$L$1:$L$67)+SUMIF(NSS2!$A$1:$F$68,'[3]OA Flash '!$A75,NSS2!$E$1:$E$68)+SUMIF(NSS2!$H$1:$M$67,'[3]OA Flash '!$A75,NSS2!$L$1:$L$67)</f>
        <v>#DIV/0!</v>
      </c>
      <c r="E75" s="372" t="e">
        <f aca="false">SUMIF(MEH!$A$1:$F$68,'[3]OA Flash '!$A75,MEH!$D$1:$D$68)+SUMIF(MEH!$H$1:$M$67,'[3]OA Flash '!$A75,MEH!$K$1:$K$67)+SUMIF(Other!$A$1:$E$21,'[3]OA Flash '!$A75,Other!$E$1:$E$21)+SUMIF('Total Financial'!$A$1:$D$73,'[3]OA Flash '!$A75,'Total Financial'!$D$1:$D$73)+SUMIF(NSS1!$A$1:$F$68,'[3]OA Flash '!$A75,NSS1!$D$1:$D$68)+SUMIF(NSS1!$H$1:$M$67,'[3]OA Flash '!$A75,NSS1!$K$1:$K$67)+SUMIF(NSS2!$A$1:$F$68,'[3]OA Flash '!$A75,NSS2!$D$1:$D$68)+SUMIF(NSS2!$H$1:$M$67,'[3]OA Flash '!$A75,NSS2!$K$1:$K$67)</f>
        <v>#DIV/0!</v>
      </c>
      <c r="J75" s="349"/>
      <c r="K75" s="349"/>
      <c r="L75" s="349"/>
      <c r="M75" s="349"/>
      <c r="N75" s="238"/>
      <c r="O75" s="238"/>
    </row>
    <row r="76" customFormat="false" ht="12.75" hidden="false" customHeight="false" outlineLevel="0" collapsed="false">
      <c r="A76" s="366" t="n">
        <v>35</v>
      </c>
      <c r="B76" s="238"/>
      <c r="C76" s="381" t="s">
        <v>104</v>
      </c>
      <c r="D76" s="371" t="e">
        <f aca="false">SUMIF(MEH!$A$1:$F$68,'[3]OA Flash '!$A76,MEH!$E$1:$E$68)+SUMIF(MEH!$H$1:$M$67,'[3]OA Flash '!$A76,MEH!$L$1:$L$67)+SUMIF(Other!$A$1:$E$21,'[3]OA Flash '!$A76,Other!$D$1:$D$21)+SUMIF('Total Financial'!$A$1:$D$73,'[3]OA Flash '!$A76,'Total Financial'!$C$1:$C$73)+SUMIF(NSS1!$A$1:$F$68,'[3]OA Flash '!$A76,NSS1!$E$1:$E$68)+SUMIF(NSS1!$H$1:$M$67,'[3]OA Flash '!$A76,NSS1!$L$1:$L$67)+SUMIF(NSS2!$A$1:$F$68,'[3]OA Flash '!$A76,NSS2!$E$1:$E$68)+SUMIF(NSS2!$H$1:$M$67,'[3]OA Flash '!$A76,NSS2!$L$1:$L$67)</f>
        <v>#DIV/0!</v>
      </c>
      <c r="E76" s="372" t="e">
        <f aca="false">SUMIF(MEH!$A$1:$F$68,'[3]OA Flash '!$A76,MEH!$D$1:$D$68)+SUMIF(MEH!$H$1:$M$67,'[3]OA Flash '!$A76,MEH!$K$1:$K$67)+SUMIF(Other!$A$1:$E$21,'[3]OA Flash '!$A76,Other!$E$1:$E$21)+SUMIF('Total Financial'!$A$1:$D$73,'[3]OA Flash '!$A76,'Total Financial'!$D$1:$D$73)+SUMIF(NSS1!$A$1:$F$68,'[3]OA Flash '!$A76,NSS1!$D$1:$D$68)+SUMIF(NSS1!$H$1:$M$67,'[3]OA Flash '!$A76,NSS1!$K$1:$K$67)+SUMIF(NSS2!$A$1:$F$68,'[3]OA Flash '!$A76,NSS2!$D$1:$D$68)+SUMIF(NSS2!$H$1:$M$67,'[3]OA Flash '!$A76,NSS2!$K$1:$K$67)</f>
        <v>#DIV/0!</v>
      </c>
      <c r="J76" s="349"/>
      <c r="K76" s="349"/>
      <c r="L76" s="349"/>
      <c r="M76" s="349"/>
      <c r="N76" s="238"/>
      <c r="O76" s="238"/>
    </row>
    <row r="77" customFormat="false" ht="12.75" hidden="false" customHeight="false" outlineLevel="0" collapsed="false">
      <c r="A77" s="366" t="n">
        <v>36</v>
      </c>
      <c r="B77" s="238"/>
      <c r="C77" s="381" t="s">
        <v>343</v>
      </c>
      <c r="D77" s="371" t="e">
        <f aca="false">SUMIF(MEH!$A$1:$F$68,'[3]OA Flash '!$A77,MEH!$E$1:$E$68)+SUMIF(MEH!$H$1:$M$67,'[3]OA Flash '!$A77,MEH!$L$1:$L$67)+SUMIF(Other!$A$1:$E$21,'[3]OA Flash '!$A77,Other!$D$1:$D$21)+SUMIF('Total Financial'!$A$1:$D$73,'[3]OA Flash '!$A77,'Total Financial'!$C$1:$C$73)+SUMIF(NSS1!$A$1:$F$68,'[3]OA Flash '!$A77,NSS1!$E$1:$E$68)+SUMIF(NSS1!$H$1:$M$67,'[3]OA Flash '!$A77,NSS1!$L$1:$L$67)+SUMIF(NSS2!$A$1:$F$68,'[3]OA Flash '!$A77,NSS2!$E$1:$E$68)+SUMIF(NSS2!$H$1:$M$67,'[3]OA Flash '!$A77,NSS2!$L$1:$L$67)</f>
        <v>#DIV/0!</v>
      </c>
      <c r="E77" s="372" t="e">
        <f aca="false">SUMIF(MEH!$A$1:$F$68,'[3]OA Flash '!$A77,MEH!$D$1:$D$68)+SUMIF(MEH!$H$1:$M$67,'[3]OA Flash '!$A77,MEH!$K$1:$K$67)+SUMIF(Other!$A$1:$E$21,'[3]OA Flash '!$A77,Other!$E$1:$E$21)+SUMIF('Total Financial'!$A$1:$D$73,'[3]OA Flash '!$A77,'Total Financial'!$D$1:$D$73)+SUMIF(NSS1!$A$1:$F$68,'[3]OA Flash '!$A77,NSS1!$D$1:$D$68)+SUMIF(NSS1!$H$1:$M$67,'[3]OA Flash '!$A77,NSS1!$K$1:$K$67)+SUMIF(NSS2!$A$1:$F$68,'[3]OA Flash '!$A77,NSS2!$D$1:$D$68)+SUMIF(NSS2!$H$1:$M$67,'[3]OA Flash '!$A77,NSS2!$K$1:$K$67)</f>
        <v>#DIV/0!</v>
      </c>
      <c r="J77" s="349"/>
      <c r="K77" s="349"/>
      <c r="L77" s="349"/>
      <c r="M77" s="349"/>
      <c r="N77" s="238"/>
      <c r="O77" s="238"/>
    </row>
    <row r="78" customFormat="false" ht="12.75" hidden="false" customHeight="false" outlineLevel="0" collapsed="false">
      <c r="A78" s="366" t="n">
        <v>37</v>
      </c>
      <c r="B78" s="238"/>
      <c r="C78" s="381" t="s">
        <v>344</v>
      </c>
      <c r="D78" s="371" t="e">
        <f aca="false">SUMIF(MEH!$A$1:$F$68,'[3]OA Flash '!$A78,MEH!$E$1:$E$68)+SUMIF(MEH!$H$1:$M$67,'[3]OA Flash '!$A78,MEH!$L$1:$L$67)+SUMIF(Other!$A$1:$E$21,'[3]OA Flash '!$A78,Other!$D$1:$D$21)+SUMIF('Total Financial'!$A$1:$D$73,'[3]OA Flash '!$A78,'Total Financial'!$C$1:$C$73)+SUMIF(NSS1!$A$1:$F$68,'[3]OA Flash '!$A78,NSS1!$E$1:$E$68)+SUMIF(NSS1!$H$1:$M$67,'[3]OA Flash '!$A78,NSS1!$L$1:$L$67)+SUMIF(NSS2!$A$1:$F$68,'[3]OA Flash '!$A78,NSS2!$E$1:$E$68)+SUMIF(NSS2!$H$1:$M$67,'[3]OA Flash '!$A78,NSS2!$L$1:$L$67)</f>
        <v>#DIV/0!</v>
      </c>
      <c r="E78" s="372" t="e">
        <f aca="false">SUMIF(MEH!$A$1:$F$68,'[3]OA Flash '!$A78,MEH!$D$1:$D$68)+SUMIF(MEH!$H$1:$M$67,'[3]OA Flash '!$A78,MEH!$K$1:$K$67)+SUMIF(Other!$A$1:$E$21,'[3]OA Flash '!$A78,Other!$E$1:$E$21)+SUMIF('Total Financial'!$A$1:$D$73,'[3]OA Flash '!$A78,'Total Financial'!$D$1:$D$73)+SUMIF(NSS1!$A$1:$F$68,'[3]OA Flash '!$A78,NSS1!$D$1:$D$68)+SUMIF(NSS1!$H$1:$M$67,'[3]OA Flash '!$A78,NSS1!$K$1:$K$67)+SUMIF(NSS2!$A$1:$F$68,'[3]OA Flash '!$A78,NSS2!$D$1:$D$68)+SUMIF(NSS2!$H$1:$M$67,'[3]OA Flash '!$A78,NSS2!$K$1:$K$67)</f>
        <v>#DIV/0!</v>
      </c>
      <c r="J78" s="349"/>
      <c r="K78" s="349"/>
      <c r="L78" s="349"/>
      <c r="M78" s="349"/>
      <c r="N78" s="238"/>
      <c r="O78" s="238"/>
    </row>
    <row r="79" customFormat="false" ht="12.75" hidden="false" customHeight="false" outlineLevel="0" collapsed="false">
      <c r="A79" s="366" t="n">
        <v>38</v>
      </c>
      <c r="B79" s="238"/>
      <c r="C79" s="381" t="s">
        <v>345</v>
      </c>
      <c r="D79" s="371" t="e">
        <f aca="false">SUMIF(MEH!$A$1:$F$68,'[3]OA Flash '!$A79,MEH!$E$1:$E$68)+SUMIF(MEH!$H$1:$M$67,'[3]OA Flash '!$A79,MEH!$L$1:$L$67)+SUMIF(Other!$A$1:$E$21,'[3]OA Flash '!$A79,Other!$D$1:$D$21)+SUMIF('Total Financial'!$A$1:$D$73,'[3]OA Flash '!$A79,'Total Financial'!$C$1:$C$73)+SUMIF(NSS1!$A$1:$F$68,'[3]OA Flash '!$A79,NSS1!$E$1:$E$68)+SUMIF(NSS1!$H$1:$M$67,'[3]OA Flash '!$A79,NSS1!$L$1:$L$67)+SUMIF(NSS2!$A$1:$F$68,'[3]OA Flash '!$A79,NSS2!$E$1:$E$68)+SUMIF(NSS2!$H$1:$M$67,'[3]OA Flash '!$A79,NSS2!$L$1:$L$67)</f>
        <v>#DIV/0!</v>
      </c>
      <c r="E79" s="372" t="e">
        <f aca="false">SUMIF(MEH!$A$1:$F$68,'[3]OA Flash '!$A79,MEH!$D$1:$D$68)+SUMIF(MEH!$H$1:$M$67,'[3]OA Flash '!$A79,MEH!$K$1:$K$67)+SUMIF(Other!$A$1:$E$21,'[3]OA Flash '!$A79,Other!$E$1:$E$21)+SUMIF('Total Financial'!$A$1:$D$73,'[3]OA Flash '!$A79,'Total Financial'!$D$1:$D$73)+SUMIF(NSS1!$A$1:$F$68,'[3]OA Flash '!$A79,NSS1!$D$1:$D$68)+SUMIF(NSS1!$H$1:$M$67,'[3]OA Flash '!$A79,NSS1!$K$1:$K$67)+SUMIF(NSS2!$A$1:$F$68,'[3]OA Flash '!$A79,NSS2!$D$1:$D$68)+SUMIF(NSS2!$H$1:$M$67,'[3]OA Flash '!$A79,NSS2!$K$1:$K$67)</f>
        <v>#DIV/0!</v>
      </c>
      <c r="J79" s="349"/>
      <c r="K79" s="349"/>
      <c r="L79" s="349"/>
      <c r="M79" s="349"/>
      <c r="N79" s="238"/>
      <c r="O79" s="238"/>
    </row>
    <row r="80" customFormat="false" ht="12.75" hidden="false" customHeight="false" outlineLevel="0" collapsed="false">
      <c r="A80" s="366" t="n">
        <v>39</v>
      </c>
      <c r="B80" s="238"/>
      <c r="C80" s="381" t="s">
        <v>346</v>
      </c>
      <c r="D80" s="371" t="e">
        <f aca="false">SUMIF(MEH!$A$1:$F$68,'[3]OA Flash '!$A80,MEH!$E$1:$E$68)+SUMIF(MEH!$H$1:$M$67,'[3]OA Flash '!$A80,MEH!$L$1:$L$67)+SUMIF(Other!$A$1:$E$21,'[3]OA Flash '!$A80,Other!$D$1:$D$21)+SUMIF('Total Financial'!$A$1:$D$73,'[3]OA Flash '!$A80,'Total Financial'!$C$1:$C$73)+SUMIF(NSS1!$A$1:$F$68,'[3]OA Flash '!$A80,NSS1!$E$1:$E$68)+SUMIF(NSS1!$H$1:$M$67,'[3]OA Flash '!$A80,NSS1!$L$1:$L$67)+SUMIF(NSS2!$A$1:$F$68,'[3]OA Flash '!$A80,NSS2!$E$1:$E$68)+SUMIF(NSS2!$H$1:$M$67,'[3]OA Flash '!$A80,NSS2!$L$1:$L$67)</f>
        <v>#DIV/0!</v>
      </c>
      <c r="E80" s="372" t="e">
        <f aca="false">SUMIF(MEH!$A$1:$F$68,'[3]OA Flash '!$A80,MEH!$D$1:$D$68)+SUMIF(MEH!$H$1:$M$67,'[3]OA Flash '!$A80,MEH!$K$1:$K$67)+SUMIF(Other!$A$1:$E$21,'[3]OA Flash '!$A80,Other!$E$1:$E$21)+SUMIF('Total Financial'!$A$1:$D$73,'[3]OA Flash '!$A80,'Total Financial'!$D$1:$D$73)+SUMIF(NSS1!$A$1:$F$68,'[3]OA Flash '!$A80,NSS1!$D$1:$D$68)+SUMIF(NSS1!$H$1:$M$67,'[3]OA Flash '!$A80,NSS1!$K$1:$K$67)+SUMIF(NSS2!$A$1:$F$68,'[3]OA Flash '!$A80,NSS2!$D$1:$D$68)+SUMIF(NSS2!$H$1:$M$67,'[3]OA Flash '!$A80,NSS2!$K$1:$K$67)</f>
        <v>#DIV/0!</v>
      </c>
      <c r="J80" s="349"/>
      <c r="K80" s="349"/>
      <c r="L80" s="349"/>
      <c r="M80" s="349"/>
      <c r="N80" s="238"/>
      <c r="O80" s="238"/>
    </row>
    <row r="81" customFormat="false" ht="12.75" hidden="false" customHeight="false" outlineLevel="0" collapsed="false">
      <c r="A81" s="366" t="n">
        <v>40</v>
      </c>
      <c r="B81" s="238"/>
      <c r="C81" s="381" t="s">
        <v>347</v>
      </c>
      <c r="D81" s="371" t="e">
        <f aca="false">SUMIF(MEH!$A$1:$F$68,'[3]OA Flash '!$A81,MEH!$E$1:$E$68)+SUMIF(MEH!$H$1:$M$67,'[3]OA Flash '!$A81,MEH!$L$1:$L$67)+SUMIF(Other!$A$1:$E$21,'[3]OA Flash '!$A81,Other!$D$1:$D$21)+SUMIF('Total Financial'!$A$1:$D$73,'[3]OA Flash '!$A81,'Total Financial'!$C$1:$C$73)+SUMIF(NSS1!$A$1:$F$68,'[3]OA Flash '!$A81,NSS1!$E$1:$E$68)+SUMIF(NSS1!$H$1:$M$67,'[3]OA Flash '!$A81,NSS1!$L$1:$L$67)+SUMIF(NSS2!$A$1:$F$68,'[3]OA Flash '!$A81,NSS2!$E$1:$E$68)+SUMIF(NSS2!$H$1:$M$67,'[3]OA Flash '!$A81,NSS2!$L$1:$L$67)</f>
        <v>#DIV/0!</v>
      </c>
      <c r="E81" s="372" t="n">
        <f aca="false">+Other!G18</f>
        <v>-10361002.2551</v>
      </c>
      <c r="J81" s="349"/>
      <c r="K81" s="349"/>
      <c r="L81" s="349"/>
      <c r="M81" s="349"/>
      <c r="N81" s="238"/>
      <c r="O81" s="238"/>
    </row>
    <row r="82" customFormat="false" ht="20.25" hidden="false" customHeight="true" outlineLevel="0" collapsed="false">
      <c r="A82" s="383"/>
      <c r="B82" s="384"/>
      <c r="C82" s="385" t="s">
        <v>146</v>
      </c>
      <c r="D82" s="386" t="e">
        <f aca="false">D16+D24+D29+D36+D43+D45+D47+D49</f>
        <v>#DIV/0!</v>
      </c>
      <c r="E82" s="387" t="e">
        <f aca="false">SUM(E72:E81)+E16+E24+E29+E36+E43+E45+E47+E49+E51+E56+E61+E66</f>
        <v>#DIV/0!</v>
      </c>
      <c r="F82" s="388"/>
      <c r="G82" s="388"/>
      <c r="H82" s="388"/>
      <c r="I82" s="388"/>
      <c r="J82" s="388"/>
      <c r="K82" s="388"/>
      <c r="L82" s="388"/>
      <c r="M82" s="388"/>
      <c r="N82" s="389"/>
      <c r="O82" s="389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</row>
    <row r="83" customFormat="false" ht="13.5" hidden="false" customHeight="false" outlineLevel="0" collapsed="false">
      <c r="A83" s="390"/>
      <c r="B83" s="238"/>
      <c r="J83" s="238"/>
      <c r="K83" s="238"/>
      <c r="L83" s="238"/>
      <c r="M83" s="238"/>
      <c r="N83" s="238"/>
      <c r="O83" s="238"/>
    </row>
    <row r="84" customFormat="false" ht="12.75" hidden="false" customHeight="false" outlineLevel="0" collapsed="false">
      <c r="A84" s="390"/>
      <c r="B84" s="238"/>
      <c r="D84" s="349" t="s">
        <v>348</v>
      </c>
      <c r="E84" s="349" t="n">
        <f aca="false">'ENRON MIDWEST P&amp;L'!E114</f>
        <v>51442.6054000002</v>
      </c>
      <c r="J84" s="238"/>
      <c r="K84" s="238"/>
      <c r="L84" s="238"/>
      <c r="M84" s="238"/>
      <c r="N84" s="238"/>
      <c r="O84" s="238"/>
    </row>
    <row r="85" customFormat="false" ht="12.75" hidden="false" customHeight="false" outlineLevel="0" collapsed="false">
      <c r="A85" s="390"/>
      <c r="B85" s="238"/>
      <c r="K85" s="391"/>
    </row>
    <row r="86" customFormat="false" ht="12.75" hidden="false" customHeight="false" outlineLevel="0" collapsed="false">
      <c r="A86" s="390"/>
      <c r="B86" s="238"/>
      <c r="D86" s="349" t="s">
        <v>77</v>
      </c>
      <c r="E86" s="349" t="e">
        <f aca="false">E82-E84</f>
        <v>#DIV/0!</v>
      </c>
    </row>
    <row r="87" customFormat="false" ht="12.75" hidden="false" customHeight="false" outlineLevel="0" collapsed="false">
      <c r="A87" s="390"/>
      <c r="B87" s="238"/>
    </row>
    <row r="88" customFormat="false" ht="12.75" hidden="false" customHeight="false" outlineLevel="0" collapsed="false">
      <c r="A88" s="390"/>
      <c r="B88" s="238"/>
    </row>
    <row r="89" customFormat="false" ht="12.75" hidden="false" customHeight="false" outlineLevel="0" collapsed="false">
      <c r="A89" s="390"/>
      <c r="B89" s="238"/>
    </row>
    <row r="90" customFormat="false" ht="12.75" hidden="false" customHeight="false" outlineLevel="0" collapsed="false">
      <c r="A90" s="390"/>
      <c r="B90" s="238"/>
    </row>
    <row r="91" customFormat="false" ht="12.75" hidden="false" customHeight="false" outlineLevel="0" collapsed="false">
      <c r="A91" s="390"/>
      <c r="B91" s="238"/>
    </row>
    <row r="92" customFormat="false" ht="12.75" hidden="false" customHeight="false" outlineLevel="0" collapsed="false">
      <c r="A92" s="390"/>
      <c r="B92" s="238"/>
    </row>
    <row r="93" customFormat="false" ht="12.75" hidden="false" customHeight="false" outlineLevel="0" collapsed="false">
      <c r="A93" s="390"/>
      <c r="B93" s="238"/>
    </row>
    <row r="94" customFormat="false" ht="12.75" hidden="false" customHeight="false" outlineLevel="0" collapsed="false">
      <c r="A94" s="390"/>
      <c r="B94" s="238"/>
    </row>
    <row r="95" customFormat="false" ht="12.75" hidden="false" customHeight="false" outlineLevel="0" collapsed="false">
      <c r="A95" s="390"/>
      <c r="B95" s="238"/>
    </row>
    <row r="96" customFormat="false" ht="12.75" hidden="false" customHeight="false" outlineLevel="0" collapsed="false">
      <c r="A96" s="390"/>
      <c r="B96" s="238"/>
    </row>
    <row r="97" customFormat="false" ht="12.75" hidden="false" customHeight="false" outlineLevel="0" collapsed="false">
      <c r="A97" s="390"/>
      <c r="B97" s="238"/>
    </row>
    <row r="98" customFormat="false" ht="12.75" hidden="false" customHeight="false" outlineLevel="0" collapsed="false">
      <c r="A98" s="390"/>
      <c r="B98" s="238"/>
    </row>
    <row r="99" customFormat="false" ht="12.75" hidden="false" customHeight="false" outlineLevel="0" collapsed="false">
      <c r="A99" s="390"/>
      <c r="B99" s="238"/>
    </row>
    <row r="100" customFormat="false" ht="12.75" hidden="false" customHeight="false" outlineLevel="0" collapsed="false">
      <c r="A100" s="390"/>
      <c r="B100" s="238"/>
    </row>
    <row r="101" customFormat="false" ht="12.75" hidden="false" customHeight="false" outlineLevel="0" collapsed="false">
      <c r="A101" s="390"/>
      <c r="B101" s="238"/>
    </row>
    <row r="102" customFormat="false" ht="12.75" hidden="false" customHeight="false" outlineLevel="0" collapsed="false">
      <c r="A102" s="390"/>
      <c r="B102" s="238"/>
    </row>
    <row r="103" customFormat="false" ht="12.75" hidden="false" customHeight="false" outlineLevel="0" collapsed="false">
      <c r="A103" s="390"/>
      <c r="B103" s="238"/>
    </row>
    <row r="104" customFormat="false" ht="12.75" hidden="false" customHeight="false" outlineLevel="0" collapsed="false">
      <c r="A104" s="390"/>
      <c r="B104" s="238"/>
    </row>
    <row r="105" customFormat="false" ht="12.75" hidden="false" customHeight="false" outlineLevel="0" collapsed="false">
      <c r="A105" s="390"/>
      <c r="B105" s="238"/>
    </row>
    <row r="106" customFormat="false" ht="12.75" hidden="false" customHeight="false" outlineLevel="0" collapsed="false">
      <c r="A106" s="390"/>
      <c r="B106" s="238"/>
    </row>
    <row r="107" customFormat="false" ht="12.75" hidden="false" customHeight="false" outlineLevel="0" collapsed="false">
      <c r="A107" s="390"/>
      <c r="B107" s="238"/>
    </row>
    <row r="108" customFormat="false" ht="12.75" hidden="false" customHeight="false" outlineLevel="0" collapsed="false">
      <c r="A108" s="390"/>
      <c r="B108" s="238"/>
    </row>
    <row r="109" customFormat="false" ht="12.75" hidden="false" customHeight="false" outlineLevel="0" collapsed="false">
      <c r="A109" s="390"/>
      <c r="B109" s="238"/>
    </row>
    <row r="110" customFormat="false" ht="12.75" hidden="false" customHeight="false" outlineLevel="0" collapsed="false">
      <c r="A110" s="390"/>
      <c r="B110" s="238"/>
    </row>
    <row r="111" customFormat="false" ht="12.75" hidden="false" customHeight="false" outlineLevel="0" collapsed="false">
      <c r="A111" s="390"/>
      <c r="B111" s="238"/>
    </row>
    <row r="112" customFormat="false" ht="12.75" hidden="false" customHeight="false" outlineLevel="0" collapsed="false">
      <c r="A112" s="390"/>
      <c r="B112" s="238"/>
    </row>
    <row r="113" customFormat="false" ht="12.75" hidden="false" customHeight="false" outlineLevel="0" collapsed="false">
      <c r="A113" s="390"/>
      <c r="B113" s="238"/>
    </row>
    <row r="114" customFormat="false" ht="12.75" hidden="false" customHeight="false" outlineLevel="0" collapsed="false">
      <c r="A114" s="390"/>
      <c r="B114" s="238"/>
    </row>
    <row r="115" customFormat="false" ht="12.75" hidden="false" customHeight="false" outlineLevel="0" collapsed="false">
      <c r="A115" s="390"/>
      <c r="B115" s="238"/>
    </row>
    <row r="116" customFormat="false" ht="12.75" hidden="false" customHeight="false" outlineLevel="0" collapsed="false">
      <c r="A116" s="390"/>
      <c r="B116" s="238"/>
    </row>
    <row r="117" customFormat="false" ht="12.75" hidden="false" customHeight="false" outlineLevel="0" collapsed="false">
      <c r="A117" s="390"/>
      <c r="B117" s="238"/>
    </row>
    <row r="118" customFormat="false" ht="12.75" hidden="false" customHeight="false" outlineLevel="0" collapsed="false">
      <c r="A118" s="390"/>
      <c r="B118" s="238"/>
    </row>
    <row r="119" customFormat="false" ht="12.75" hidden="false" customHeight="false" outlineLevel="0" collapsed="false">
      <c r="A119" s="390"/>
      <c r="B119" s="238"/>
    </row>
    <row r="120" customFormat="false" ht="12.75" hidden="false" customHeight="false" outlineLevel="0" collapsed="false">
      <c r="A120" s="390"/>
      <c r="B120" s="238"/>
    </row>
    <row r="121" customFormat="false" ht="12.75" hidden="false" customHeight="false" outlineLevel="0" collapsed="false">
      <c r="A121" s="390"/>
      <c r="B121" s="238"/>
    </row>
    <row r="122" customFormat="false" ht="12.75" hidden="false" customHeight="false" outlineLevel="0" collapsed="false">
      <c r="A122" s="390"/>
      <c r="B122" s="238"/>
    </row>
    <row r="123" customFormat="false" ht="12.75" hidden="false" customHeight="false" outlineLevel="0" collapsed="false">
      <c r="A123" s="390"/>
      <c r="B123" s="238"/>
    </row>
    <row r="124" customFormat="false" ht="12.75" hidden="false" customHeight="false" outlineLevel="0" collapsed="false">
      <c r="A124" s="390"/>
      <c r="B124" s="238"/>
    </row>
    <row r="125" customFormat="false" ht="12.75" hidden="false" customHeight="false" outlineLevel="0" collapsed="false">
      <c r="A125" s="390"/>
      <c r="B125" s="238"/>
    </row>
    <row r="126" customFormat="false" ht="12.75" hidden="false" customHeight="false" outlineLevel="0" collapsed="false">
      <c r="A126" s="390"/>
      <c r="B126" s="238"/>
    </row>
    <row r="127" customFormat="false" ht="12.75" hidden="false" customHeight="false" outlineLevel="0" collapsed="false">
      <c r="A127" s="390"/>
      <c r="B127" s="238"/>
    </row>
    <row r="128" customFormat="false" ht="12.75" hidden="false" customHeight="false" outlineLevel="0" collapsed="false">
      <c r="A128" s="390"/>
      <c r="B128" s="238"/>
    </row>
    <row r="129" customFormat="false" ht="12.75" hidden="false" customHeight="false" outlineLevel="0" collapsed="false">
      <c r="A129" s="390"/>
      <c r="B129" s="238"/>
    </row>
    <row r="130" customFormat="false" ht="12.75" hidden="false" customHeight="false" outlineLevel="0" collapsed="false">
      <c r="A130" s="390"/>
      <c r="B130" s="238"/>
    </row>
    <row r="131" customFormat="false" ht="12.75" hidden="false" customHeight="false" outlineLevel="0" collapsed="false">
      <c r="A131" s="390"/>
      <c r="B131" s="238"/>
    </row>
    <row r="132" customFormat="false" ht="12.75" hidden="false" customHeight="false" outlineLevel="0" collapsed="false">
      <c r="A132" s="390"/>
      <c r="B132" s="238"/>
    </row>
    <row r="133" customFormat="false" ht="12.75" hidden="false" customHeight="false" outlineLevel="0" collapsed="false">
      <c r="A133" s="390"/>
      <c r="B133" s="238"/>
    </row>
    <row r="134" customFormat="false" ht="12.75" hidden="false" customHeight="false" outlineLevel="0" collapsed="false">
      <c r="A134" s="390"/>
      <c r="B134" s="238"/>
    </row>
    <row r="135" customFormat="false" ht="12.75" hidden="false" customHeight="false" outlineLevel="0" collapsed="false">
      <c r="A135" s="390"/>
      <c r="B135" s="238"/>
    </row>
    <row r="136" customFormat="false" ht="12.75" hidden="false" customHeight="false" outlineLevel="0" collapsed="false">
      <c r="A136" s="390"/>
      <c r="B136" s="238"/>
    </row>
    <row r="137" customFormat="false" ht="12.75" hidden="false" customHeight="false" outlineLevel="0" collapsed="false">
      <c r="A137" s="390"/>
      <c r="B137" s="238"/>
    </row>
    <row r="138" customFormat="false" ht="12.75" hidden="false" customHeight="false" outlineLevel="0" collapsed="false">
      <c r="A138" s="390"/>
      <c r="B138" s="238"/>
    </row>
    <row r="139" customFormat="false" ht="12.75" hidden="false" customHeight="false" outlineLevel="0" collapsed="false">
      <c r="A139" s="390"/>
      <c r="B139" s="238"/>
    </row>
    <row r="140" customFormat="false" ht="12.75" hidden="false" customHeight="false" outlineLevel="0" collapsed="false">
      <c r="A140" s="390"/>
      <c r="B140" s="238"/>
    </row>
    <row r="141" customFormat="false" ht="12.75" hidden="false" customHeight="false" outlineLevel="0" collapsed="false">
      <c r="A141" s="390"/>
      <c r="B141" s="238"/>
    </row>
    <row r="142" customFormat="false" ht="12.75" hidden="false" customHeight="false" outlineLevel="0" collapsed="false">
      <c r="A142" s="390"/>
      <c r="B142" s="238"/>
    </row>
    <row r="143" customFormat="false" ht="12.75" hidden="false" customHeight="false" outlineLevel="0" collapsed="false">
      <c r="A143" s="390"/>
      <c r="B143" s="238"/>
    </row>
    <row r="144" customFormat="false" ht="12.75" hidden="false" customHeight="false" outlineLevel="0" collapsed="false">
      <c r="A144" s="390"/>
      <c r="B144" s="238"/>
    </row>
    <row r="145" customFormat="false" ht="12.75" hidden="false" customHeight="false" outlineLevel="0" collapsed="false">
      <c r="A145" s="390"/>
      <c r="B145" s="238"/>
    </row>
    <row r="146" customFormat="false" ht="12.75" hidden="false" customHeight="false" outlineLevel="0" collapsed="false">
      <c r="A146" s="390"/>
      <c r="B146" s="238"/>
    </row>
    <row r="147" customFormat="false" ht="12.75" hidden="false" customHeight="false" outlineLevel="0" collapsed="false">
      <c r="A147" s="390"/>
      <c r="B147" s="238"/>
    </row>
    <row r="148" customFormat="false" ht="12.75" hidden="false" customHeight="false" outlineLevel="0" collapsed="false">
      <c r="A148" s="390"/>
      <c r="B148" s="238"/>
    </row>
    <row r="149" customFormat="false" ht="12.75" hidden="false" customHeight="false" outlineLevel="0" collapsed="false">
      <c r="A149" s="390"/>
      <c r="B149" s="238"/>
    </row>
    <row r="150" customFormat="false" ht="12.75" hidden="false" customHeight="false" outlineLevel="0" collapsed="false">
      <c r="A150" s="390"/>
      <c r="B150" s="238"/>
    </row>
    <row r="151" customFormat="false" ht="12.75" hidden="false" customHeight="false" outlineLevel="0" collapsed="false">
      <c r="A151" s="390"/>
      <c r="B151" s="238"/>
    </row>
    <row r="152" customFormat="false" ht="12.75" hidden="false" customHeight="false" outlineLevel="0" collapsed="false">
      <c r="A152" s="390"/>
      <c r="B152" s="238"/>
    </row>
    <row r="153" customFormat="false" ht="12.75" hidden="false" customHeight="false" outlineLevel="0" collapsed="false">
      <c r="A153" s="390"/>
      <c r="B153" s="238"/>
    </row>
    <row r="154" customFormat="false" ht="12.75" hidden="false" customHeight="false" outlineLevel="0" collapsed="false">
      <c r="A154" s="390"/>
      <c r="B154" s="238"/>
    </row>
    <row r="155" customFormat="false" ht="12.75" hidden="false" customHeight="false" outlineLevel="0" collapsed="false">
      <c r="A155" s="390"/>
      <c r="B155" s="238"/>
    </row>
    <row r="156" customFormat="false" ht="12.75" hidden="false" customHeight="false" outlineLevel="0" collapsed="false">
      <c r="A156" s="390"/>
      <c r="B156" s="238"/>
    </row>
    <row r="157" customFormat="false" ht="12.75" hidden="false" customHeight="false" outlineLevel="0" collapsed="false">
      <c r="A157" s="390"/>
      <c r="B157" s="238"/>
    </row>
    <row r="158" customFormat="false" ht="12.75" hidden="false" customHeight="false" outlineLevel="0" collapsed="false">
      <c r="A158" s="390"/>
      <c r="B158" s="238"/>
    </row>
    <row r="159" customFormat="false" ht="12.75" hidden="false" customHeight="false" outlineLevel="0" collapsed="false">
      <c r="A159" s="390"/>
      <c r="B159" s="238"/>
    </row>
    <row r="160" customFormat="false" ht="12.75" hidden="false" customHeight="false" outlineLevel="0" collapsed="false">
      <c r="A160" s="390"/>
      <c r="B160" s="238"/>
    </row>
    <row r="161" customFormat="false" ht="12.75" hidden="false" customHeight="false" outlineLevel="0" collapsed="false">
      <c r="A161" s="390"/>
      <c r="B161" s="238"/>
    </row>
    <row r="162" customFormat="false" ht="12.75" hidden="false" customHeight="false" outlineLevel="0" collapsed="false">
      <c r="A162" s="390"/>
      <c r="B162" s="238"/>
    </row>
    <row r="163" customFormat="false" ht="12.75" hidden="false" customHeight="false" outlineLevel="0" collapsed="false">
      <c r="A163" s="390"/>
      <c r="B163" s="238"/>
    </row>
    <row r="164" customFormat="false" ht="12.75" hidden="false" customHeight="false" outlineLevel="0" collapsed="false">
      <c r="A164" s="390"/>
      <c r="B164" s="238"/>
    </row>
    <row r="165" customFormat="false" ht="12.75" hidden="false" customHeight="false" outlineLevel="0" collapsed="false">
      <c r="A165" s="390"/>
      <c r="B165" s="238"/>
    </row>
    <row r="166" customFormat="false" ht="12.75" hidden="false" customHeight="false" outlineLevel="0" collapsed="false">
      <c r="A166" s="390"/>
      <c r="B166" s="238"/>
    </row>
    <row r="167" customFormat="false" ht="12.75" hidden="false" customHeight="false" outlineLevel="0" collapsed="false">
      <c r="A167" s="390"/>
      <c r="B167" s="238"/>
    </row>
    <row r="168" customFormat="false" ht="12.75" hidden="false" customHeight="false" outlineLevel="0" collapsed="false">
      <c r="A168" s="390"/>
      <c r="B168" s="238"/>
    </row>
    <row r="169" customFormat="false" ht="12.75" hidden="false" customHeight="false" outlineLevel="0" collapsed="false">
      <c r="A169" s="390"/>
      <c r="B169" s="238"/>
    </row>
    <row r="170" customFormat="false" ht="12.75" hidden="false" customHeight="false" outlineLevel="0" collapsed="false">
      <c r="A170" s="390"/>
      <c r="B170" s="238"/>
    </row>
    <row r="171" customFormat="false" ht="12.75" hidden="false" customHeight="false" outlineLevel="0" collapsed="false">
      <c r="A171" s="390"/>
      <c r="B171" s="238"/>
    </row>
    <row r="172" customFormat="false" ht="12.75" hidden="false" customHeight="false" outlineLevel="0" collapsed="false">
      <c r="A172" s="390"/>
      <c r="B172" s="238"/>
    </row>
    <row r="173" customFormat="false" ht="12.75" hidden="false" customHeight="false" outlineLevel="0" collapsed="false">
      <c r="A173" s="390"/>
      <c r="B173" s="238"/>
    </row>
    <row r="174" customFormat="false" ht="12.75" hidden="false" customHeight="false" outlineLevel="0" collapsed="false">
      <c r="A174" s="390"/>
      <c r="B174" s="238"/>
    </row>
    <row r="175" customFormat="false" ht="12.75" hidden="false" customHeight="false" outlineLevel="0" collapsed="false">
      <c r="A175" s="390"/>
      <c r="B175" s="238"/>
    </row>
    <row r="176" customFormat="false" ht="12.75" hidden="false" customHeight="false" outlineLevel="0" collapsed="false">
      <c r="A176" s="390"/>
      <c r="B176" s="238"/>
    </row>
    <row r="177" customFormat="false" ht="12.75" hidden="false" customHeight="false" outlineLevel="0" collapsed="false">
      <c r="A177" s="390"/>
      <c r="B177" s="238"/>
    </row>
    <row r="178" customFormat="false" ht="12.75" hidden="false" customHeight="false" outlineLevel="0" collapsed="false">
      <c r="A178" s="390"/>
      <c r="B178" s="238"/>
    </row>
    <row r="179" customFormat="false" ht="12.75" hidden="false" customHeight="false" outlineLevel="0" collapsed="false">
      <c r="A179" s="390"/>
      <c r="B179" s="238"/>
    </row>
    <row r="180" customFormat="false" ht="12.75" hidden="false" customHeight="false" outlineLevel="0" collapsed="false">
      <c r="A180" s="390"/>
      <c r="B180" s="238"/>
    </row>
    <row r="181" customFormat="false" ht="12.75" hidden="false" customHeight="false" outlineLevel="0" collapsed="false">
      <c r="A181" s="390"/>
      <c r="B181" s="238"/>
    </row>
    <row r="182" customFormat="false" ht="12.75" hidden="false" customHeight="false" outlineLevel="0" collapsed="false">
      <c r="A182" s="390"/>
      <c r="B182" s="238"/>
    </row>
    <row r="183" customFormat="false" ht="12.75" hidden="false" customHeight="false" outlineLevel="0" collapsed="false">
      <c r="A183" s="390"/>
      <c r="B183" s="238"/>
    </row>
    <row r="184" customFormat="false" ht="12.75" hidden="false" customHeight="false" outlineLevel="0" collapsed="false">
      <c r="A184" s="390"/>
      <c r="B184" s="238"/>
    </row>
    <row r="185" customFormat="false" ht="12.75" hidden="false" customHeight="false" outlineLevel="0" collapsed="false">
      <c r="A185" s="390"/>
      <c r="B185" s="238"/>
    </row>
    <row r="186" customFormat="false" ht="12.75" hidden="false" customHeight="false" outlineLevel="0" collapsed="false">
      <c r="A186" s="390"/>
      <c r="B186" s="238"/>
    </row>
    <row r="187" customFormat="false" ht="12.75" hidden="false" customHeight="false" outlineLevel="0" collapsed="false">
      <c r="A187" s="390"/>
      <c r="B187" s="238"/>
    </row>
  </sheetData>
  <mergeCells count="6">
    <mergeCell ref="A1:E1"/>
    <mergeCell ref="A2:E2"/>
    <mergeCell ref="A3:E3"/>
    <mergeCell ref="A4:E4"/>
    <mergeCell ref="A5:E5"/>
    <mergeCell ref="D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37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38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'Top Pages'!F2</f>
        <v>11440385</v>
      </c>
      <c r="E4" s="98" t="s">
        <v>40</v>
      </c>
      <c r="F4" s="99"/>
      <c r="G4" s="100"/>
      <c r="H4" s="101"/>
    </row>
    <row r="5" customFormat="false" ht="12.75" hidden="false" customHeight="false" outlineLevel="0" collapsed="false">
      <c r="B5" s="87" t="s">
        <v>41</v>
      </c>
      <c r="D5" s="102" t="n">
        <f aca="false">'Top Pages'!I2</f>
        <v>257109</v>
      </c>
      <c r="E5" s="98"/>
      <c r="F5" s="99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'Top Pages'!F7</f>
        <v>36098.5532</v>
      </c>
      <c r="E6" s="98"/>
      <c r="F6" s="99"/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'Top Pages'!F12</f>
        <v>-8026.4418</v>
      </c>
      <c r="E7" s="104"/>
      <c r="F7" s="99"/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v>0</v>
      </c>
      <c r="F9" s="99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v>0</v>
      </c>
      <c r="F10" s="99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v>0</v>
      </c>
      <c r="F11" s="99"/>
      <c r="G11" s="87"/>
      <c r="H11" s="87"/>
    </row>
    <row r="12" customFormat="false" ht="12.75" hidden="false" customHeight="false" outlineLevel="0" collapsed="false">
      <c r="D12" s="88" t="n">
        <f aca="false">SUM(D4:D11)-D5</f>
        <v>11468457.1114</v>
      </c>
      <c r="F12" s="106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v>-9765870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v>-32673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v>8270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SUM(D15:D21)</f>
        <v>-9790273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">
        <v>49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v>1541520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v>-104464</v>
      </c>
    </row>
    <row r="27" customFormat="false" ht="12.75" hidden="false" customHeight="false" outlineLevel="0" collapsed="false">
      <c r="B27" s="103" t="s">
        <v>43</v>
      </c>
      <c r="C27" s="103"/>
      <c r="D27" s="88" t="n">
        <v>-26117</v>
      </c>
    </row>
    <row r="28" customFormat="false" ht="12.75" hidden="false" customHeight="false" outlineLevel="0" collapsed="false">
      <c r="B28" s="87" t="s">
        <v>44</v>
      </c>
      <c r="D28" s="88" t="n">
        <v>0</v>
      </c>
    </row>
    <row r="29" customFormat="false" ht="12.75" hidden="false" customHeight="false" outlineLevel="0" collapsed="false">
      <c r="B29" s="87" t="s">
        <v>45</v>
      </c>
      <c r="D29" s="88" t="n">
        <v>0</v>
      </c>
    </row>
    <row r="30" customFormat="false" ht="12.75" hidden="false" customHeight="false" outlineLevel="0" collapsed="false">
      <c r="B30" s="87" t="s">
        <v>46</v>
      </c>
      <c r="D30" s="88" t="n">
        <v>0</v>
      </c>
    </row>
    <row r="31" customFormat="false" ht="12.75" hidden="false" customHeight="false" outlineLevel="0" collapsed="false">
      <c r="B31" s="87" t="s">
        <v>47</v>
      </c>
      <c r="D31" s="109" t="n">
        <v>0</v>
      </c>
    </row>
    <row r="32" customFormat="false" ht="12.75" hidden="false" customHeight="false" outlineLevel="0" collapsed="false">
      <c r="A32" s="87" t="n">
        <v>33</v>
      </c>
      <c r="D32" s="88" t="n">
        <f aca="false">SUM(D25:D31)</f>
        <v>1410939</v>
      </c>
    </row>
    <row r="34" customFormat="false" ht="14.25" hidden="false" customHeight="false" outlineLevel="0" collapsed="false">
      <c r="B34" s="95" t="s">
        <v>50</v>
      </c>
    </row>
    <row r="35" customFormat="false" ht="12.75" hidden="false" customHeight="false" outlineLevel="0" collapsed="false">
      <c r="B35" s="87" t="s">
        <v>39</v>
      </c>
      <c r="D35" s="93" t="n">
        <f aca="false">D4-D25</f>
        <v>9898865</v>
      </c>
    </row>
    <row r="36" customFormat="false" ht="12.75" hidden="false" customHeight="false" outlineLevel="0" collapsed="false">
      <c r="B36" s="87" t="s">
        <v>42</v>
      </c>
      <c r="D36" s="93" t="n">
        <f aca="false">+D6-D26</f>
        <v>140562.5532</v>
      </c>
    </row>
    <row r="37" customFormat="false" ht="12.75" hidden="false" customHeight="false" outlineLevel="0" collapsed="false">
      <c r="B37" s="103" t="s">
        <v>51</v>
      </c>
      <c r="C37" s="103"/>
      <c r="D37" s="93" t="n">
        <f aca="false">D7-D27</f>
        <v>18090.5582</v>
      </c>
    </row>
    <row r="38" customFormat="false" ht="12.75" hidden="false" customHeight="false" outlineLevel="0" collapsed="false">
      <c r="B38" s="87" t="s">
        <v>44</v>
      </c>
      <c r="D38" s="93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93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93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11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93" t="n">
        <f aca="false">SUM(D35:D41)</f>
        <v>10057518.1114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52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53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'Top Pages'!F17</f>
        <v>0</v>
      </c>
      <c r="E4" s="112" t="s">
        <v>40</v>
      </c>
      <c r="F4" s="99"/>
      <c r="G4" s="100"/>
      <c r="H4" s="101"/>
    </row>
    <row r="5" customFormat="false" ht="12.75" hidden="false" customHeight="false" outlineLevel="0" collapsed="false">
      <c r="B5" s="87" t="s">
        <v>41</v>
      </c>
      <c r="D5" s="102" t="n">
        <f aca="false">'Top Pages'!I17</f>
        <v>0</v>
      </c>
      <c r="E5" s="112"/>
      <c r="F5" s="99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'Top Pages'!F22</f>
        <v>0</v>
      </c>
      <c r="E6" s="112" t="s">
        <v>40</v>
      </c>
      <c r="F6" s="99"/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'Top Pages'!F27</f>
        <v>0</v>
      </c>
      <c r="E7" s="112" t="s">
        <v>40</v>
      </c>
      <c r="F7" s="99"/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v>0</v>
      </c>
      <c r="F9" s="99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v>0</v>
      </c>
      <c r="F10" s="99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v>0</v>
      </c>
      <c r="F11" s="99"/>
      <c r="G11" s="87"/>
      <c r="H11" s="87"/>
    </row>
    <row r="12" customFormat="false" ht="12.75" hidden="false" customHeight="false" outlineLevel="0" collapsed="false">
      <c r="D12" s="88" t="n">
        <f aca="false">SUM(D4:D11)-D5</f>
        <v>0</v>
      </c>
      <c r="F12" s="106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v>0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v>0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v>0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SUM(D15:D21)</f>
        <v>0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tr">
        <f aca="false">+'Intra-EMWNSS1'!B24</f>
        <v>Financial Liquidations - August only (Enter liquidations at end of month)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v>0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v>0</v>
      </c>
    </row>
    <row r="27" customFormat="false" ht="12.75" hidden="false" customHeight="false" outlineLevel="0" collapsed="false">
      <c r="B27" s="103" t="s">
        <v>43</v>
      </c>
      <c r="C27" s="103"/>
      <c r="D27" s="88" t="n">
        <v>0</v>
      </c>
    </row>
    <row r="28" customFormat="false" ht="12.75" hidden="false" customHeight="false" outlineLevel="0" collapsed="false">
      <c r="B28" s="87" t="s">
        <v>44</v>
      </c>
      <c r="D28" s="88" t="n">
        <v>0</v>
      </c>
    </row>
    <row r="29" customFormat="false" ht="12.75" hidden="false" customHeight="false" outlineLevel="0" collapsed="false">
      <c r="B29" s="87" t="s">
        <v>45</v>
      </c>
      <c r="D29" s="88" t="n">
        <v>0</v>
      </c>
    </row>
    <row r="30" customFormat="false" ht="12.75" hidden="false" customHeight="false" outlineLevel="0" collapsed="false">
      <c r="B30" s="87" t="s">
        <v>46</v>
      </c>
      <c r="D30" s="88" t="n">
        <v>0</v>
      </c>
    </row>
    <row r="31" customFormat="false" ht="12.75" hidden="false" customHeight="false" outlineLevel="0" collapsed="false">
      <c r="B31" s="87" t="s">
        <v>47</v>
      </c>
      <c r="D31" s="109" t="n">
        <v>0</v>
      </c>
    </row>
    <row r="32" customFormat="false" ht="12.75" hidden="false" customHeight="false" outlineLevel="0" collapsed="false">
      <c r="A32" s="87" t="n">
        <v>33</v>
      </c>
      <c r="D32" s="88" t="n">
        <f aca="false">SUM(D25:D31)</f>
        <v>0</v>
      </c>
    </row>
    <row r="34" customFormat="false" ht="14.25" hidden="false" customHeight="false" outlineLevel="0" collapsed="false">
      <c r="B34" s="95" t="str">
        <f aca="false">+'Intra-EMWNSS1'!B34</f>
        <v>MTM Values (Sept-out)</v>
      </c>
    </row>
    <row r="35" customFormat="false" ht="12.75" hidden="false" customHeight="false" outlineLevel="0" collapsed="false">
      <c r="B35" s="87" t="s">
        <v>39</v>
      </c>
      <c r="D35" s="93" t="n">
        <f aca="false">D4+-D25</f>
        <v>0</v>
      </c>
    </row>
    <row r="36" customFormat="false" ht="12.75" hidden="false" customHeight="false" outlineLevel="0" collapsed="false">
      <c r="B36" s="87" t="s">
        <v>42</v>
      </c>
      <c r="D36" s="93" t="n">
        <f aca="false">+D6-D26</f>
        <v>0</v>
      </c>
    </row>
    <row r="37" customFormat="false" ht="12.75" hidden="false" customHeight="false" outlineLevel="0" collapsed="false">
      <c r="B37" s="103" t="s">
        <v>51</v>
      </c>
      <c r="C37" s="103"/>
      <c r="D37" s="93" t="n">
        <f aca="false">D7-D27</f>
        <v>0</v>
      </c>
    </row>
    <row r="38" customFormat="false" ht="12.75" hidden="false" customHeight="false" outlineLevel="0" collapsed="false">
      <c r="B38" s="87" t="s">
        <v>44</v>
      </c>
      <c r="D38" s="93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93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93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11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93" t="n">
        <f aca="false">SUM(D35:D41)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54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53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'Top Pages'!F32-F4</f>
        <v>1673645</v>
      </c>
      <c r="E4" s="113" t="s">
        <v>55</v>
      </c>
      <c r="F4" s="106" t="n">
        <v>1183509</v>
      </c>
      <c r="G4" s="100"/>
      <c r="H4" s="101"/>
    </row>
    <row r="5" customFormat="false" ht="12.75" hidden="false" customHeight="false" outlineLevel="0" collapsed="false">
      <c r="B5" s="87" t="s">
        <v>41</v>
      </c>
      <c r="D5" s="102" t="n">
        <f aca="false">'Top Pages'!I32-F5</f>
        <v>-122591</v>
      </c>
      <c r="E5" s="113"/>
      <c r="F5" s="106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'Top Pages'!F37-F6</f>
        <v>1762075.79</v>
      </c>
      <c r="E6" s="113" t="s">
        <v>55</v>
      </c>
      <c r="F6" s="106" t="n">
        <v>-96175</v>
      </c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'Top Pages'!F42</f>
        <v>16638.9591</v>
      </c>
      <c r="E7" s="113" t="s">
        <v>55</v>
      </c>
      <c r="F7" s="99" t="n">
        <v>75</v>
      </c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v>0</v>
      </c>
      <c r="F9" s="99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v>0</v>
      </c>
      <c r="F10" s="99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v>0</v>
      </c>
      <c r="F11" s="99"/>
      <c r="G11" s="87"/>
      <c r="H11" s="87"/>
    </row>
    <row r="12" customFormat="false" ht="12.75" hidden="false" customHeight="false" outlineLevel="0" collapsed="false">
      <c r="D12" s="88" t="n">
        <f aca="false">SUM(D4:D11)-D5</f>
        <v>3452359.7491</v>
      </c>
      <c r="F12" s="106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v>-1783078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v>-1748605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v>-218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SUM(D15:D21)</f>
        <v>-3531901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tr">
        <f aca="false">+'Intra-EMWNSS1'!B24</f>
        <v>Financial Liquidations - August only (Enter liquidations at end of month)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v>-207930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v>-858</v>
      </c>
    </row>
    <row r="27" customFormat="false" ht="12.75" hidden="false" customHeight="false" outlineLevel="0" collapsed="false">
      <c r="B27" s="103" t="s">
        <v>43</v>
      </c>
      <c r="C27" s="103"/>
      <c r="D27" s="88" t="n">
        <v>310</v>
      </c>
    </row>
    <row r="28" customFormat="false" ht="12.75" hidden="false" customHeight="false" outlineLevel="0" collapsed="false">
      <c r="B28" s="87" t="s">
        <v>44</v>
      </c>
      <c r="D28" s="88" t="n">
        <v>0</v>
      </c>
    </row>
    <row r="29" customFormat="false" ht="12.75" hidden="false" customHeight="false" outlineLevel="0" collapsed="false">
      <c r="B29" s="87" t="s">
        <v>45</v>
      </c>
      <c r="D29" s="88" t="n">
        <v>0</v>
      </c>
    </row>
    <row r="30" customFormat="false" ht="12.75" hidden="false" customHeight="false" outlineLevel="0" collapsed="false">
      <c r="B30" s="87" t="s">
        <v>46</v>
      </c>
      <c r="D30" s="88" t="n">
        <v>0</v>
      </c>
    </row>
    <row r="31" customFormat="false" ht="12.75" hidden="false" customHeight="false" outlineLevel="0" collapsed="false">
      <c r="B31" s="87" t="s">
        <v>47</v>
      </c>
      <c r="D31" s="109" t="n">
        <v>0</v>
      </c>
    </row>
    <row r="32" customFormat="false" ht="12.75" hidden="false" customHeight="false" outlineLevel="0" collapsed="false">
      <c r="A32" s="87" t="n">
        <v>33</v>
      </c>
      <c r="D32" s="88" t="n">
        <f aca="false">SUM(D25:D31)</f>
        <v>-208478</v>
      </c>
    </row>
    <row r="34" customFormat="false" ht="14.25" hidden="false" customHeight="false" outlineLevel="0" collapsed="false">
      <c r="B34" s="95" t="str">
        <f aca="false">+'Intra-EMWNSS1'!B34</f>
        <v>MTM Values (Sept-out)</v>
      </c>
    </row>
    <row r="35" customFormat="false" ht="12.75" hidden="false" customHeight="false" outlineLevel="0" collapsed="false">
      <c r="B35" s="87" t="s">
        <v>39</v>
      </c>
      <c r="D35" s="93" t="n">
        <f aca="false">D4-D25</f>
        <v>1881575</v>
      </c>
    </row>
    <row r="36" customFormat="false" ht="12.75" hidden="false" customHeight="false" outlineLevel="0" collapsed="false">
      <c r="B36" s="87" t="s">
        <v>42</v>
      </c>
      <c r="D36" s="93" t="n">
        <f aca="false">+D6-D26</f>
        <v>1762933.79</v>
      </c>
    </row>
    <row r="37" customFormat="false" ht="12.75" hidden="false" customHeight="false" outlineLevel="0" collapsed="false">
      <c r="B37" s="103" t="s">
        <v>51</v>
      </c>
      <c r="C37" s="103"/>
      <c r="D37" s="93" t="n">
        <f aca="false">D7-D27</f>
        <v>16328.9591</v>
      </c>
    </row>
    <row r="38" customFormat="false" ht="12.75" hidden="false" customHeight="false" outlineLevel="0" collapsed="false">
      <c r="B38" s="87" t="s">
        <v>44</v>
      </c>
      <c r="D38" s="93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93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93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11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93" t="n">
        <f aca="false">SUM(D35:D41)</f>
        <v>3660837.7491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32" activeCellId="0" sqref="D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56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53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'Top Pages'!F47</f>
        <v>575279</v>
      </c>
      <c r="E4" s="98" t="s">
        <v>40</v>
      </c>
      <c r="F4" s="99"/>
      <c r="G4" s="100"/>
      <c r="H4" s="101"/>
    </row>
    <row r="5" customFormat="false" ht="12.75" hidden="false" customHeight="false" outlineLevel="0" collapsed="false">
      <c r="B5" s="87" t="s">
        <v>41</v>
      </c>
      <c r="D5" s="102" t="n">
        <f aca="false">'Top Pages'!I47</f>
        <v>0</v>
      </c>
      <c r="E5" s="98" t="s">
        <v>40</v>
      </c>
      <c r="F5" s="99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'Top Pages'!F52</f>
        <v>-0.0002</v>
      </c>
      <c r="E6" s="98"/>
      <c r="F6" s="99"/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'Top Pages'!F57</f>
        <v>0.0001</v>
      </c>
      <c r="E7" s="104"/>
      <c r="F7" s="99"/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v>0</v>
      </c>
      <c r="F9" s="96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v>0</v>
      </c>
      <c r="F10" s="87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v>0</v>
      </c>
      <c r="F11" s="87"/>
      <c r="G11" s="87"/>
      <c r="H11" s="87"/>
    </row>
    <row r="12" customFormat="false" ht="12.75" hidden="false" customHeight="false" outlineLevel="0" collapsed="false">
      <c r="D12" s="88" t="n">
        <f aca="false">SUM(D4:D11)-D5</f>
        <v>575278.9999</v>
      </c>
      <c r="F12" s="87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v>-575019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v>0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v>0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SUM(D15:D21)</f>
        <v>-575019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tr">
        <f aca="false">+'Intra-EMWNSS1'!B24</f>
        <v>Financial Liquidations - August only (Enter liquidations at end of month)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v>-3902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v>0</v>
      </c>
    </row>
    <row r="27" customFormat="false" ht="12.75" hidden="false" customHeight="false" outlineLevel="0" collapsed="false">
      <c r="B27" s="103" t="s">
        <v>43</v>
      </c>
      <c r="C27" s="103"/>
      <c r="D27" s="88" t="n">
        <v>0</v>
      </c>
    </row>
    <row r="28" customFormat="false" ht="12.75" hidden="false" customHeight="false" outlineLevel="0" collapsed="false">
      <c r="B28" s="87" t="s">
        <v>44</v>
      </c>
      <c r="D28" s="88" t="n">
        <v>0</v>
      </c>
    </row>
    <row r="29" customFormat="false" ht="12.75" hidden="false" customHeight="false" outlineLevel="0" collapsed="false">
      <c r="B29" s="87" t="s">
        <v>45</v>
      </c>
      <c r="D29" s="88" t="n">
        <v>0</v>
      </c>
    </row>
    <row r="30" customFormat="false" ht="12.75" hidden="false" customHeight="false" outlineLevel="0" collapsed="false">
      <c r="B30" s="87" t="s">
        <v>46</v>
      </c>
      <c r="D30" s="88" t="n">
        <v>0</v>
      </c>
    </row>
    <row r="31" customFormat="false" ht="12.75" hidden="false" customHeight="false" outlineLevel="0" collapsed="false">
      <c r="B31" s="87" t="s">
        <v>47</v>
      </c>
      <c r="D31" s="109" t="n">
        <v>0</v>
      </c>
    </row>
    <row r="32" customFormat="false" ht="12.75" hidden="false" customHeight="false" outlineLevel="0" collapsed="false">
      <c r="A32" s="87" t="n">
        <v>33</v>
      </c>
      <c r="D32" s="88" t="n">
        <f aca="false">SUM(D25:D31)</f>
        <v>-3902</v>
      </c>
    </row>
    <row r="34" customFormat="false" ht="14.25" hidden="false" customHeight="false" outlineLevel="0" collapsed="false">
      <c r="B34" s="95" t="str">
        <f aca="false">+'Intra-EMWNSS1'!B34</f>
        <v>MTM Values (Sept-out)</v>
      </c>
    </row>
    <row r="35" customFormat="false" ht="12.75" hidden="false" customHeight="false" outlineLevel="0" collapsed="false">
      <c r="B35" s="87" t="s">
        <v>39</v>
      </c>
      <c r="D35" s="93" t="n">
        <f aca="false">D4+-D25</f>
        <v>579181</v>
      </c>
    </row>
    <row r="36" customFormat="false" ht="12.75" hidden="false" customHeight="false" outlineLevel="0" collapsed="false">
      <c r="B36" s="87" t="s">
        <v>42</v>
      </c>
      <c r="D36" s="93" t="n">
        <f aca="false">+D6-D26</f>
        <v>-0.0002</v>
      </c>
    </row>
    <row r="37" customFormat="false" ht="12.75" hidden="false" customHeight="false" outlineLevel="0" collapsed="false">
      <c r="B37" s="103" t="s">
        <v>51</v>
      </c>
      <c r="C37" s="103"/>
      <c r="D37" s="93" t="n">
        <f aca="false">D7-D27</f>
        <v>0.0001</v>
      </c>
    </row>
    <row r="38" customFormat="false" ht="12.75" hidden="false" customHeight="false" outlineLevel="0" collapsed="false">
      <c r="B38" s="87" t="s">
        <v>44</v>
      </c>
      <c r="D38" s="93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93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93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11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93" t="n">
        <f aca="false">SUM(D35:D41)</f>
        <v>579180.9999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4.56"/>
    <col collapsed="false" customWidth="true" hidden="false" outlineLevel="0" max="2" min="2" style="87" width="13.7"/>
    <col collapsed="false" customWidth="true" hidden="false" outlineLevel="0" max="3" min="3" style="87" width="17.56"/>
    <col collapsed="false" customWidth="true" hidden="false" outlineLevel="0" max="4" min="4" style="88" width="13.14"/>
    <col collapsed="false" customWidth="true" hidden="false" outlineLevel="0" max="5" min="5" style="87" width="12.56"/>
    <col collapsed="false" customWidth="true" hidden="false" outlineLevel="0" max="6" min="6" style="89" width="13.99"/>
    <col collapsed="false" customWidth="true" hidden="false" outlineLevel="0" max="7" min="7" style="89" width="12.99"/>
    <col collapsed="false" customWidth="true" hidden="false" outlineLevel="0" max="8" min="8" style="89" width="14.7"/>
    <col collapsed="false" customWidth="true" hidden="false" outlineLevel="0" max="9" min="9" style="87" width="10.71"/>
    <col collapsed="false" customWidth="true" hidden="false" outlineLevel="0" max="10" min="10" style="87" width="10.13"/>
    <col collapsed="false" customWidth="false" hidden="false" outlineLevel="0" max="11" min="11" style="87" width="9.14"/>
    <col collapsed="false" customWidth="true" hidden="false" outlineLevel="0" max="12" min="12" style="87" width="11.99"/>
    <col collapsed="false" customWidth="false" hidden="false" outlineLevel="0" max="257" min="13" style="87" width="9.14"/>
  </cols>
  <sheetData>
    <row r="1" customFormat="false" ht="18.75" hidden="false" customHeight="false" outlineLevel="0" collapsed="false">
      <c r="B1" s="90" t="s">
        <v>57</v>
      </c>
      <c r="H1" s="91"/>
      <c r="I1" s="92"/>
    </row>
    <row r="2" customFormat="false" ht="12.75" hidden="false" customHeight="false" outlineLevel="0" collapsed="false">
      <c r="D2" s="93"/>
      <c r="F2" s="94"/>
      <c r="G2" s="94"/>
      <c r="H2" s="94"/>
    </row>
    <row r="3" customFormat="false" ht="14.25" hidden="false" customHeight="false" outlineLevel="0" collapsed="false">
      <c r="B3" s="95" t="s">
        <v>53</v>
      </c>
      <c r="F3" s="96"/>
      <c r="G3" s="96"/>
      <c r="H3" s="96"/>
      <c r="I3" s="89"/>
    </row>
    <row r="4" customFormat="false" ht="12.75" hidden="false" customHeight="false" outlineLevel="0" collapsed="false">
      <c r="B4" s="87" t="s">
        <v>39</v>
      </c>
      <c r="D4" s="97" t="n">
        <f aca="false">'Intra-EMWNSS1'!D4+'Intra-EMWNSS2'!D4+'Intra-EMWMEH'!D4+'TP-EMWNSS'!D4</f>
        <v>13689309</v>
      </c>
      <c r="E4" s="98"/>
      <c r="F4" s="99"/>
      <c r="G4" s="100"/>
      <c r="H4" s="101"/>
    </row>
    <row r="5" customFormat="false" ht="12.75" hidden="false" customHeight="false" outlineLevel="0" collapsed="false">
      <c r="B5" s="87" t="s">
        <v>41</v>
      </c>
      <c r="D5" s="102" t="n">
        <f aca="false">'Intra-EMWNSS1'!D5+'Intra-EMWNSS2'!D5+'Intra-EMWMEH'!D5+'TP-EMWNSS'!D5</f>
        <v>134518</v>
      </c>
      <c r="E5" s="98"/>
      <c r="F5" s="99"/>
      <c r="G5" s="100"/>
      <c r="H5" s="101"/>
    </row>
    <row r="6" customFormat="false" ht="12.75" hidden="false" customHeight="false" outlineLevel="0" collapsed="false">
      <c r="B6" s="87" t="s">
        <v>42</v>
      </c>
      <c r="D6" s="102" t="n">
        <f aca="false">'Intra-EMWNSS1'!D6+'Intra-EMWNSS2'!D6+'Intra-EMWMEH'!D6+'TP-EMWNSS'!D6</f>
        <v>1798174.343</v>
      </c>
      <c r="E6" s="98"/>
      <c r="F6" s="99"/>
      <c r="G6" s="100"/>
      <c r="H6" s="101"/>
    </row>
    <row r="7" customFormat="false" ht="12.75" hidden="false" customHeight="false" outlineLevel="0" collapsed="false">
      <c r="B7" s="103" t="s">
        <v>43</v>
      </c>
      <c r="C7" s="103"/>
      <c r="D7" s="102" t="n">
        <f aca="false">'Intra-EMWNSS1'!D7+'Intra-EMWNSS2'!D7+'Intra-EMWMEH'!D7+'TP-EMWNSS'!D7</f>
        <v>8612.5174</v>
      </c>
      <c r="E7" s="104"/>
      <c r="F7" s="99"/>
      <c r="G7" s="100"/>
      <c r="H7" s="101"/>
    </row>
    <row r="8" customFormat="false" ht="12.75" hidden="false" customHeight="false" outlineLevel="0" collapsed="false">
      <c r="B8" s="87" t="s">
        <v>44</v>
      </c>
      <c r="D8" s="102" t="n">
        <f aca="false">'Intra-EMWNSS1'!D8+'Intra-EMWNSS2'!D8+'Intra-EMWMEH'!D8+'TP-EMWNSS'!D8</f>
        <v>0</v>
      </c>
      <c r="E8" s="98"/>
      <c r="F8" s="99"/>
      <c r="G8" s="100"/>
      <c r="H8" s="101"/>
    </row>
    <row r="9" customFormat="false" ht="12.75" hidden="false" customHeight="false" outlineLevel="0" collapsed="false">
      <c r="B9" s="87" t="s">
        <v>45</v>
      </c>
      <c r="D9" s="102" t="n">
        <f aca="false">'Intra-EMWNSS1'!D9+'Intra-EMWNSS2'!D9+'Intra-EMWMEH'!D9+'TP-EMWNSS'!D9</f>
        <v>0</v>
      </c>
      <c r="F9" s="96"/>
      <c r="G9" s="96"/>
      <c r="H9" s="96"/>
    </row>
    <row r="10" customFormat="false" ht="12.75" hidden="false" customHeight="false" outlineLevel="0" collapsed="false">
      <c r="B10" s="87" t="s">
        <v>46</v>
      </c>
      <c r="D10" s="102" t="n">
        <f aca="false">'Intra-EMWNSS1'!D10+'Intra-EMWNSS2'!D10+'Intra-EMWMEH'!D10+'TP-EMWNSS'!D10</f>
        <v>0</v>
      </c>
      <c r="F10" s="87"/>
      <c r="G10" s="87"/>
      <c r="H10" s="87"/>
    </row>
    <row r="11" customFormat="false" ht="12.75" hidden="false" customHeight="false" outlineLevel="0" collapsed="false">
      <c r="B11" s="87" t="s">
        <v>47</v>
      </c>
      <c r="D11" s="105" t="n">
        <f aca="false">'Intra-EMWNSS1'!D11+'Intra-EMWNSS2'!D11+'Intra-EMWMEH'!D11+'TP-EMWNSS'!D11</f>
        <v>0</v>
      </c>
      <c r="F11" s="87"/>
      <c r="G11" s="87"/>
      <c r="H11" s="87"/>
    </row>
    <row r="12" customFormat="false" ht="12.75" hidden="false" customHeight="false" outlineLevel="0" collapsed="false">
      <c r="D12" s="88" t="n">
        <f aca="false">SUM(D4:D11)-D5</f>
        <v>15496095.8604</v>
      </c>
      <c r="F12" s="87"/>
      <c r="G12" s="87"/>
      <c r="H12" s="87"/>
    </row>
    <row r="13" customFormat="false" ht="12.75" hidden="false" customHeight="false" outlineLevel="0" collapsed="false">
      <c r="F13" s="87"/>
      <c r="G13" s="87"/>
      <c r="H13" s="87"/>
    </row>
    <row r="14" customFormat="false" ht="14.25" hidden="false" customHeight="false" outlineLevel="0" collapsed="false">
      <c r="B14" s="95" t="s">
        <v>48</v>
      </c>
      <c r="F14" s="107"/>
      <c r="G14" s="107"/>
      <c r="H14" s="107"/>
    </row>
    <row r="15" customFormat="false" ht="12.75" hidden="false" customHeight="false" outlineLevel="0" collapsed="false">
      <c r="B15" s="87" t="s">
        <v>39</v>
      </c>
      <c r="D15" s="88" t="n">
        <f aca="false">'Intra-EMWNSS1'!D15+'Intra-EMWNSS2'!D15+'Intra-EMWMEH'!D15+'TP-EMWNSS'!D15</f>
        <v>-12123967</v>
      </c>
      <c r="F15" s="106"/>
      <c r="G15" s="106"/>
      <c r="H15" s="106"/>
    </row>
    <row r="16" customFormat="false" ht="12.75" hidden="false" customHeight="false" outlineLevel="0" collapsed="false">
      <c r="B16" s="87" t="s">
        <v>42</v>
      </c>
      <c r="D16" s="88" t="n">
        <f aca="false">'Intra-EMWNSS1'!D16+'Intra-EMWNSS2'!D16+'Intra-EMWMEH'!D16+'TP-EMWNSS'!D16</f>
        <v>-1781278</v>
      </c>
      <c r="F16" s="106"/>
      <c r="G16" s="106"/>
      <c r="H16" s="106"/>
    </row>
    <row r="17" customFormat="false" ht="12.75" hidden="false" customHeight="false" outlineLevel="0" collapsed="false">
      <c r="B17" s="103" t="s">
        <v>43</v>
      </c>
      <c r="C17" s="103"/>
      <c r="D17" s="88" t="n">
        <f aca="false">'Intra-EMWNSS1'!D17+'Intra-EMWNSS2'!D17+'Intra-EMWMEH'!D17+'TP-EMWNSS'!D17</f>
        <v>8052</v>
      </c>
      <c r="F17" s="108"/>
      <c r="G17" s="108"/>
      <c r="H17" s="108"/>
    </row>
    <row r="18" customFormat="false" ht="12.75" hidden="false" customHeight="false" outlineLevel="0" collapsed="false">
      <c r="B18" s="87" t="s">
        <v>44</v>
      </c>
      <c r="D18" s="88" t="n">
        <f aca="false">'Intra-EMWNSS1'!D18+'Intra-EMWNSS2'!D18+'Intra-EMWMEH'!D18+'TP-EMWNSS'!D18</f>
        <v>0</v>
      </c>
      <c r="F18" s="106"/>
      <c r="G18" s="106"/>
      <c r="H18" s="106"/>
    </row>
    <row r="19" customFormat="false" ht="12.75" hidden="false" customHeight="false" outlineLevel="0" collapsed="false">
      <c r="B19" s="87" t="s">
        <v>45</v>
      </c>
      <c r="D19" s="88" t="n">
        <f aca="false">'Intra-EMWNSS1'!D19+'Intra-EMWNSS2'!D19+'Intra-EMWMEH'!D19+'TP-EMWNSS'!D19</f>
        <v>0</v>
      </c>
      <c r="F19" s="106"/>
      <c r="G19" s="87"/>
      <c r="H19" s="87"/>
    </row>
    <row r="20" customFormat="false" ht="12.75" hidden="false" customHeight="false" outlineLevel="0" collapsed="false">
      <c r="B20" s="87" t="s">
        <v>46</v>
      </c>
      <c r="D20" s="88" t="n">
        <f aca="false">'Intra-EMWNSS1'!D20+'Intra-EMWNSS2'!D20+'Intra-EMWMEH'!D20+'TP-EMWNSS'!D20</f>
        <v>0</v>
      </c>
      <c r="F20" s="106"/>
      <c r="G20" s="87"/>
      <c r="H20" s="87"/>
    </row>
    <row r="21" customFormat="false" ht="12.75" hidden="false" customHeight="false" outlineLevel="0" collapsed="false">
      <c r="B21" s="87" t="s">
        <v>47</v>
      </c>
      <c r="D21" s="109" t="n">
        <f aca="false">'Intra-EMWNSS1'!D21+'Intra-EMWNSS2'!D21+'Intra-EMWMEH'!D21+'TP-EMWNSS'!D21</f>
        <v>0</v>
      </c>
      <c r="F21" s="106"/>
      <c r="G21" s="87"/>
      <c r="H21" s="87"/>
    </row>
    <row r="22" customFormat="false" ht="12.75" hidden="false" customHeight="false" outlineLevel="0" collapsed="false">
      <c r="A22" s="87" t="n">
        <v>31</v>
      </c>
      <c r="D22" s="88" t="n">
        <f aca="false">'Intra-EMWNSS1'!D22+'Intra-EMWNSS2'!D22+'Intra-EMWMEH'!D22+'TP-EMWNSS'!D22</f>
        <v>-13897193</v>
      </c>
      <c r="F22" s="110"/>
      <c r="G22" s="87"/>
      <c r="H22" s="87"/>
    </row>
    <row r="23" customFormat="false" ht="12.75" hidden="false" customHeight="false" outlineLevel="0" collapsed="false">
      <c r="F23" s="87"/>
      <c r="G23" s="87"/>
      <c r="H23" s="87"/>
    </row>
    <row r="24" customFormat="false" ht="14.25" hidden="false" customHeight="false" outlineLevel="0" collapsed="false">
      <c r="B24" s="95" t="s">
        <v>58</v>
      </c>
      <c r="D24" s="93"/>
      <c r="F24" s="87"/>
      <c r="G24" s="87"/>
      <c r="H24" s="87"/>
    </row>
    <row r="25" customFormat="false" ht="12.75" hidden="false" customHeight="false" outlineLevel="0" collapsed="false">
      <c r="B25" s="87" t="s">
        <v>39</v>
      </c>
      <c r="D25" s="88" t="n">
        <f aca="false">'Intra-EMWNSS1'!D25+'Intra-EMWNSS2'!D25+'Intra-EMWMEH'!D25+'TP-EMWNSS'!D25</f>
        <v>1329688</v>
      </c>
      <c r="E25" s="106"/>
      <c r="F25" s="96"/>
      <c r="G25" s="96"/>
      <c r="H25" s="96"/>
    </row>
    <row r="26" customFormat="false" ht="12.75" hidden="false" customHeight="false" outlineLevel="0" collapsed="false">
      <c r="B26" s="87" t="s">
        <v>42</v>
      </c>
      <c r="D26" s="88" t="n">
        <f aca="false">'Intra-EMWNSS1'!D26+'Intra-EMWNSS2'!D26+'Intra-EMWMEH'!D26+'TP-EMWNSS'!D26</f>
        <v>-105322</v>
      </c>
    </row>
    <row r="27" customFormat="false" ht="12.75" hidden="false" customHeight="false" outlineLevel="0" collapsed="false">
      <c r="B27" s="103" t="s">
        <v>43</v>
      </c>
      <c r="C27" s="103"/>
      <c r="D27" s="88" t="n">
        <f aca="false">'Intra-EMWNSS1'!D27+'Intra-EMWNSS2'!D27+'Intra-EMWMEH'!D27+'TP-EMWNSS'!D27</f>
        <v>-25807</v>
      </c>
    </row>
    <row r="28" customFormat="false" ht="12.75" hidden="false" customHeight="false" outlineLevel="0" collapsed="false">
      <c r="B28" s="87" t="s">
        <v>44</v>
      </c>
      <c r="D28" s="88" t="n">
        <f aca="false">'Intra-EMWNSS1'!D28+'Intra-EMWNSS2'!D28+'Intra-EMWMEH'!D28+'TP-EMWNSS'!D28</f>
        <v>0</v>
      </c>
    </row>
    <row r="29" customFormat="false" ht="12.75" hidden="false" customHeight="false" outlineLevel="0" collapsed="false">
      <c r="B29" s="87" t="s">
        <v>45</v>
      </c>
      <c r="D29" s="88" t="n">
        <f aca="false">'Intra-EMWNSS1'!D29+'Intra-EMWNSS2'!D29+'Intra-EMWMEH'!D29+'TP-EMWNSS'!D29</f>
        <v>0</v>
      </c>
    </row>
    <row r="30" customFormat="false" ht="12.75" hidden="false" customHeight="false" outlineLevel="0" collapsed="false">
      <c r="B30" s="87" t="s">
        <v>46</v>
      </c>
      <c r="D30" s="88" t="n">
        <f aca="false">'Intra-EMWNSS1'!D30+'Intra-EMWNSS2'!D30+'Intra-EMWMEH'!D30+'TP-EMWNSS'!D30</f>
        <v>0</v>
      </c>
    </row>
    <row r="31" customFormat="false" ht="12.75" hidden="false" customHeight="false" outlineLevel="0" collapsed="false">
      <c r="B31" s="87" t="s">
        <v>47</v>
      </c>
      <c r="D31" s="109" t="n">
        <f aca="false">'Intra-EMWNSS1'!D31+'Intra-EMWNSS2'!D31+'Intra-EMWMEH'!D31+'TP-EMWNSS'!D31</f>
        <v>0</v>
      </c>
    </row>
    <row r="32" customFormat="false" ht="12.75" hidden="false" customHeight="false" outlineLevel="0" collapsed="false">
      <c r="A32" s="87" t="n">
        <v>33</v>
      </c>
      <c r="D32" s="88" t="n">
        <f aca="false">'Intra-EMWNSS1'!D32+'Intra-EMWNSS2'!D32+'Intra-EMWMEH'!D32+'TP-EMWNSS'!D32</f>
        <v>1198559</v>
      </c>
    </row>
    <row r="34" customFormat="false" ht="14.25" hidden="false" customHeight="false" outlineLevel="0" collapsed="false">
      <c r="B34" s="95" t="s">
        <v>59</v>
      </c>
    </row>
    <row r="35" customFormat="false" ht="12.75" hidden="false" customHeight="false" outlineLevel="0" collapsed="false">
      <c r="B35" s="87" t="s">
        <v>39</v>
      </c>
      <c r="D35" s="88" t="n">
        <f aca="false">D4+-D25</f>
        <v>12359621</v>
      </c>
    </row>
    <row r="36" customFormat="false" ht="12.75" hidden="false" customHeight="false" outlineLevel="0" collapsed="false">
      <c r="B36" s="87" t="s">
        <v>42</v>
      </c>
      <c r="D36" s="88" t="n">
        <f aca="false">+D6-D26</f>
        <v>1903496.343</v>
      </c>
    </row>
    <row r="37" customFormat="false" ht="12.75" hidden="false" customHeight="false" outlineLevel="0" collapsed="false">
      <c r="B37" s="103" t="s">
        <v>51</v>
      </c>
      <c r="C37" s="103"/>
      <c r="D37" s="88" t="n">
        <f aca="false">D7-D27</f>
        <v>34419.5174</v>
      </c>
    </row>
    <row r="38" customFormat="false" ht="12.75" hidden="false" customHeight="false" outlineLevel="0" collapsed="false">
      <c r="B38" s="87" t="s">
        <v>44</v>
      </c>
      <c r="D38" s="88" t="n">
        <f aca="false">+D8-D28</f>
        <v>0</v>
      </c>
    </row>
    <row r="39" customFormat="false" ht="12.75" hidden="false" customHeight="false" outlineLevel="0" collapsed="false">
      <c r="A39" s="87" t="s">
        <v>40</v>
      </c>
      <c r="B39" s="87" t="s">
        <v>45</v>
      </c>
      <c r="D39" s="88" t="n">
        <f aca="false">+D9-D29</f>
        <v>0</v>
      </c>
    </row>
    <row r="40" customFormat="false" ht="12.75" hidden="false" customHeight="false" outlineLevel="0" collapsed="false">
      <c r="B40" s="87" t="s">
        <v>46</v>
      </c>
      <c r="D40" s="88" t="n">
        <f aca="false">+D10-D30</f>
        <v>0</v>
      </c>
    </row>
    <row r="41" customFormat="false" ht="12.75" hidden="false" customHeight="false" outlineLevel="0" collapsed="false">
      <c r="B41" s="87" t="s">
        <v>47</v>
      </c>
      <c r="D41" s="109" t="n">
        <f aca="false">+D11-D31</f>
        <v>0</v>
      </c>
    </row>
    <row r="42" customFormat="false" ht="12.75" hidden="false" customHeight="false" outlineLevel="0" collapsed="false">
      <c r="A42" s="87" t="n">
        <v>30</v>
      </c>
      <c r="D42" s="88" t="n">
        <f aca="false">SUM(D35:D41)</f>
        <v>14297536.8604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7" activeCellId="0" sqref="E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14"/>
    <col collapsed="false" customWidth="false" hidden="false" outlineLevel="0" max="2" min="2" style="87" width="9.14"/>
    <col collapsed="false" customWidth="true" hidden="false" outlineLevel="0" max="3" min="3" style="87" width="23.99"/>
    <col collapsed="false" customWidth="true" hidden="false" outlineLevel="0" max="4" min="4" style="114" width="14.99"/>
    <col collapsed="false" customWidth="true" hidden="false" outlineLevel="0" max="5" min="5" style="115" width="15.13"/>
    <col collapsed="false" customWidth="true" hidden="false" outlineLevel="0" max="6" min="6" style="116" width="9.85"/>
    <col collapsed="false" customWidth="true" hidden="false" outlineLevel="0" max="8" min="7" style="87" width="4.14"/>
    <col collapsed="false" customWidth="true" hidden="false" outlineLevel="0" max="9" min="9" style="87" width="9.28"/>
    <col collapsed="false" customWidth="true" hidden="false" outlineLevel="0" max="10" min="10" style="87" width="23.56"/>
    <col collapsed="false" customWidth="true" hidden="false" outlineLevel="0" max="11" min="11" style="87" width="14.14"/>
    <col collapsed="false" customWidth="true" hidden="false" outlineLevel="0" max="12" min="12" style="87" width="15.41"/>
    <col collapsed="false" customWidth="true" hidden="false" outlineLevel="0" max="13" min="13" style="87" width="10.56"/>
    <col collapsed="false" customWidth="true" hidden="false" outlineLevel="0" max="14" min="14" style="87" width="4.14"/>
    <col collapsed="false" customWidth="true" hidden="false" outlineLevel="0" max="15" min="15" style="92" width="1.7"/>
    <col collapsed="false" customWidth="false" hidden="false" outlineLevel="0" max="16" min="16" style="87" width="9.14"/>
    <col collapsed="false" customWidth="true" hidden="false" outlineLevel="0" max="17" min="17" style="91" width="24.56"/>
    <col collapsed="false" customWidth="true" hidden="false" outlineLevel="0" max="18" min="18" style="91" width="7.85"/>
    <col collapsed="false" customWidth="true" hidden="false" outlineLevel="0" max="19" min="19" style="91" width="13.99"/>
    <col collapsed="false" customWidth="false" hidden="false" outlineLevel="0" max="20" min="20" style="91" width="9.14"/>
    <col collapsed="false" customWidth="true" hidden="false" outlineLevel="0" max="21" min="21" style="91" width="11.56"/>
    <col collapsed="false" customWidth="false" hidden="false" outlineLevel="0" max="22" min="22" style="91" width="9.14"/>
    <col collapsed="false" customWidth="false" hidden="false" outlineLevel="0" max="23" min="23" style="92" width="9.14"/>
    <col collapsed="false" customWidth="false" hidden="false" outlineLevel="0" max="257" min="24" style="87" width="9.14"/>
  </cols>
  <sheetData>
    <row r="1" customFormat="false" ht="15.75" hidden="false" customHeight="false" outlineLevel="0" collapsed="false">
      <c r="B1" s="117" t="s">
        <v>60</v>
      </c>
      <c r="O1" s="118"/>
    </row>
    <row r="2" customFormat="false" ht="13.5" hidden="false" customHeight="false" outlineLevel="0" collapsed="false">
      <c r="E2" s="119"/>
      <c r="F2" s="120"/>
      <c r="G2" s="92"/>
      <c r="H2" s="92"/>
      <c r="I2" s="92"/>
      <c r="J2" s="92"/>
      <c r="K2" s="92"/>
      <c r="L2" s="92"/>
      <c r="M2" s="121"/>
      <c r="N2" s="92"/>
    </row>
    <row r="3" customFormat="false" ht="15.75" hidden="false" customHeight="false" outlineLevel="0" collapsed="false">
      <c r="A3" s="122" t="s">
        <v>61</v>
      </c>
      <c r="B3" s="123"/>
      <c r="C3" s="124"/>
      <c r="D3" s="125"/>
      <c r="E3" s="126"/>
      <c r="F3" s="127"/>
      <c r="H3" s="122" t="s">
        <v>62</v>
      </c>
      <c r="I3" s="123"/>
      <c r="J3" s="124"/>
      <c r="K3" s="125"/>
      <c r="L3" s="126"/>
      <c r="M3" s="127"/>
      <c r="O3" s="128"/>
      <c r="Q3" s="129" t="s">
        <v>63</v>
      </c>
      <c r="R3" s="130"/>
      <c r="S3" s="129" t="s">
        <v>64</v>
      </c>
      <c r="T3" s="130"/>
      <c r="U3" s="131" t="s">
        <v>65</v>
      </c>
    </row>
    <row r="4" customFormat="false" ht="12.75" hidden="false" customHeight="false" outlineLevel="0" collapsed="false">
      <c r="A4" s="132"/>
      <c r="B4" s="133" t="s">
        <v>66</v>
      </c>
      <c r="C4" s="110"/>
      <c r="D4" s="134"/>
      <c r="E4" s="135"/>
      <c r="F4" s="136"/>
      <c r="H4" s="132"/>
      <c r="I4" s="133" t="s">
        <v>66</v>
      </c>
      <c r="J4" s="110"/>
      <c r="K4" s="134"/>
      <c r="L4" s="135"/>
      <c r="M4" s="137"/>
      <c r="O4" s="138"/>
      <c r="Q4" s="91" t="s">
        <v>67</v>
      </c>
      <c r="S4" s="139" t="n">
        <v>10340342</v>
      </c>
      <c r="U4" s="140" t="n">
        <v>3448360</v>
      </c>
    </row>
    <row r="5" customFormat="false" ht="12.75" hidden="false" customHeight="false" outlineLevel="0" collapsed="false">
      <c r="A5" s="132"/>
      <c r="B5" s="133"/>
      <c r="C5" s="141" t="s">
        <v>68</v>
      </c>
      <c r="D5" s="142" t="n">
        <v>21915209</v>
      </c>
      <c r="E5" s="143" t="s">
        <v>69</v>
      </c>
      <c r="F5" s="144" t="n">
        <v>6503538</v>
      </c>
      <c r="H5" s="132"/>
      <c r="I5" s="133"/>
      <c r="J5" s="141" t="s">
        <v>68</v>
      </c>
      <c r="K5" s="142" t="n">
        <v>0</v>
      </c>
      <c r="L5" s="143" t="s">
        <v>69</v>
      </c>
      <c r="M5" s="144" t="n">
        <v>0</v>
      </c>
      <c r="O5" s="145"/>
      <c r="Q5" s="91" t="s">
        <v>70</v>
      </c>
      <c r="S5" s="139" t="n">
        <v>10231598</v>
      </c>
      <c r="U5" s="140" t="n">
        <v>3054214</v>
      </c>
    </row>
    <row r="6" customFormat="false" ht="12.75" hidden="false" customHeight="false" outlineLevel="0" collapsed="false">
      <c r="A6" s="132"/>
      <c r="B6" s="133"/>
      <c r="C6" s="141" t="s">
        <v>71</v>
      </c>
      <c r="D6" s="146" t="n">
        <v>23413822</v>
      </c>
      <c r="E6" s="143" t="s">
        <v>72</v>
      </c>
      <c r="F6" s="147" t="n">
        <v>6502543</v>
      </c>
      <c r="H6" s="148"/>
      <c r="I6" s="133"/>
      <c r="J6" s="141" t="s">
        <v>71</v>
      </c>
      <c r="K6" s="146" t="n">
        <v>0</v>
      </c>
      <c r="L6" s="143" t="s">
        <v>72</v>
      </c>
      <c r="M6" s="147" t="n">
        <v>0</v>
      </c>
      <c r="O6" s="138"/>
      <c r="Q6" s="91" t="s">
        <v>73</v>
      </c>
      <c r="S6" s="139" t="n">
        <v>11574865</v>
      </c>
      <c r="U6" s="140" t="n">
        <v>3055178</v>
      </c>
    </row>
    <row r="7" customFormat="false" ht="12.75" hidden="false" customHeight="false" outlineLevel="0" collapsed="false">
      <c r="A7" s="132"/>
      <c r="B7" s="133"/>
      <c r="C7" s="110"/>
      <c r="D7" s="149" t="n">
        <f aca="false">D5-D6</f>
        <v>-1498613</v>
      </c>
      <c r="E7" s="135"/>
      <c r="F7" s="137" t="n">
        <f aca="false">-F5+F6</f>
        <v>-995</v>
      </c>
      <c r="H7" s="148"/>
      <c r="I7" s="133"/>
      <c r="J7" s="110"/>
      <c r="K7" s="149" t="n">
        <f aca="false">K5-K6</f>
        <v>0</v>
      </c>
      <c r="L7" s="135"/>
      <c r="M7" s="137" t="n">
        <f aca="false">-M5+M6</f>
        <v>0</v>
      </c>
      <c r="O7" s="138"/>
      <c r="Q7" s="91" t="s">
        <v>74</v>
      </c>
      <c r="S7" s="150" t="n">
        <f aca="false">13182225-3</f>
        <v>13182222</v>
      </c>
      <c r="U7" s="151" t="n">
        <v>3448329</v>
      </c>
    </row>
    <row r="8" customFormat="false" ht="12.75" hidden="false" customHeight="false" outlineLevel="0" collapsed="false">
      <c r="A8" s="132"/>
      <c r="B8" s="133"/>
      <c r="C8" s="110"/>
      <c r="D8" s="149"/>
      <c r="E8" s="135"/>
      <c r="F8" s="136"/>
      <c r="H8" s="148"/>
      <c r="I8" s="133"/>
      <c r="J8" s="110"/>
      <c r="K8" s="149"/>
      <c r="L8" s="135"/>
      <c r="M8" s="137"/>
      <c r="Q8" s="87"/>
      <c r="R8" s="87"/>
      <c r="S8" s="116" t="n">
        <f aca="false">S4-S5+S6-S7</f>
        <v>-1498613</v>
      </c>
      <c r="T8" s="87"/>
      <c r="U8" s="152" t="n">
        <f aca="false">-U4+U5-U6+U7</f>
        <v>-995</v>
      </c>
    </row>
    <row r="9" customFormat="false" ht="12.75" hidden="false" customHeight="false" outlineLevel="0" collapsed="false">
      <c r="A9" s="132"/>
      <c r="B9" s="133" t="s">
        <v>75</v>
      </c>
      <c r="C9" s="110"/>
      <c r="D9" s="142" t="n">
        <v>0</v>
      </c>
      <c r="E9" s="135"/>
      <c r="F9" s="136"/>
      <c r="H9" s="148"/>
      <c r="I9" s="133" t="s">
        <v>75</v>
      </c>
      <c r="J9" s="110"/>
      <c r="K9" s="142" t="n">
        <v>0</v>
      </c>
      <c r="L9" s="135"/>
      <c r="M9" s="136"/>
      <c r="Q9" s="87"/>
      <c r="R9" s="87"/>
      <c r="S9" s="92"/>
      <c r="T9" s="87"/>
      <c r="U9" s="92"/>
    </row>
    <row r="10" customFormat="false" ht="12.75" hidden="false" customHeight="false" outlineLevel="0" collapsed="false">
      <c r="A10" s="132"/>
      <c r="B10" s="133" t="s">
        <v>76</v>
      </c>
      <c r="C10" s="110"/>
      <c r="D10" s="142" t="n">
        <v>0</v>
      </c>
      <c r="E10" s="135"/>
      <c r="F10" s="136"/>
      <c r="H10" s="148"/>
      <c r="I10" s="133" t="s">
        <v>76</v>
      </c>
      <c r="J10" s="110"/>
      <c r="K10" s="142" t="n">
        <v>0</v>
      </c>
      <c r="L10" s="135"/>
      <c r="M10" s="136"/>
      <c r="Q10" s="153" t="s">
        <v>77</v>
      </c>
      <c r="R10" s="154"/>
      <c r="S10" s="155"/>
      <c r="T10" s="154"/>
      <c r="U10" s="156"/>
    </row>
    <row r="11" customFormat="false" ht="12.75" hidden="false" customHeight="false" outlineLevel="0" collapsed="false">
      <c r="A11" s="132" t="n">
        <v>24</v>
      </c>
      <c r="B11" s="133" t="s">
        <v>78</v>
      </c>
      <c r="C11" s="110"/>
      <c r="D11" s="149" t="n">
        <f aca="false">D9-D10</f>
        <v>0</v>
      </c>
      <c r="E11" s="135"/>
      <c r="F11" s="136"/>
      <c r="H11" s="148" t="n">
        <v>24</v>
      </c>
      <c r="I11" s="133" t="s">
        <v>78</v>
      </c>
      <c r="J11" s="110"/>
      <c r="K11" s="149" t="n">
        <f aca="false">K9-K10</f>
        <v>0</v>
      </c>
      <c r="L11" s="135"/>
      <c r="M11" s="136"/>
      <c r="O11" s="118"/>
      <c r="Q11" s="157" t="s">
        <v>63</v>
      </c>
      <c r="R11" s="158"/>
      <c r="S11" s="159" t="n">
        <f aca="false">S8</f>
        <v>-1498613</v>
      </c>
      <c r="T11" s="158"/>
      <c r="U11" s="160" t="n">
        <f aca="false">U8</f>
        <v>-995</v>
      </c>
    </row>
    <row r="12" customFormat="false" ht="12.75" hidden="false" customHeight="false" outlineLevel="0" collapsed="false">
      <c r="A12" s="148"/>
      <c r="B12" s="133"/>
      <c r="C12" s="110"/>
      <c r="D12" s="149"/>
      <c r="E12" s="135" t="s">
        <v>40</v>
      </c>
      <c r="F12" s="136"/>
      <c r="H12" s="148"/>
      <c r="I12" s="133"/>
      <c r="J12" s="110"/>
      <c r="K12" s="149"/>
      <c r="L12" s="135" t="s">
        <v>40</v>
      </c>
      <c r="M12" s="136"/>
      <c r="O12" s="118"/>
      <c r="Q12" s="161" t="s">
        <v>79</v>
      </c>
      <c r="R12" s="162"/>
      <c r="S12" s="163" t="n">
        <f aca="false">D7</f>
        <v>-1498613</v>
      </c>
      <c r="T12" s="162"/>
      <c r="U12" s="164" t="n">
        <f aca="false">F7</f>
        <v>-995</v>
      </c>
    </row>
    <row r="13" customFormat="false" ht="12.75" hidden="false" customHeight="false" outlineLevel="0" collapsed="false">
      <c r="A13" s="148"/>
      <c r="B13" s="133" t="s">
        <v>80</v>
      </c>
      <c r="C13" s="110"/>
      <c r="D13" s="142" t="n">
        <v>0</v>
      </c>
      <c r="E13" s="135"/>
      <c r="F13" s="136"/>
      <c r="H13" s="148"/>
      <c r="I13" s="133" t="s">
        <v>80</v>
      </c>
      <c r="J13" s="110"/>
      <c r="K13" s="142" t="n">
        <v>0</v>
      </c>
      <c r="L13" s="135"/>
      <c r="M13" s="136"/>
      <c r="Q13" s="161"/>
      <c r="R13" s="162"/>
      <c r="S13" s="165" t="n">
        <f aca="false">+S11-S12</f>
        <v>0</v>
      </c>
      <c r="T13" s="154"/>
      <c r="U13" s="166" t="n">
        <f aca="false">+U11-U12</f>
        <v>0</v>
      </c>
    </row>
    <row r="14" customFormat="false" ht="12.75" hidden="false" customHeight="false" outlineLevel="0" collapsed="false">
      <c r="A14" s="148"/>
      <c r="B14" s="133" t="s">
        <v>81</v>
      </c>
      <c r="C14" s="110"/>
      <c r="D14" s="142" t="n">
        <v>0</v>
      </c>
      <c r="E14" s="135"/>
      <c r="F14" s="136"/>
      <c r="H14" s="148"/>
      <c r="I14" s="133" t="s">
        <v>81</v>
      </c>
      <c r="J14" s="110"/>
      <c r="K14" s="142" t="n">
        <v>0</v>
      </c>
      <c r="L14" s="135"/>
      <c r="M14" s="136"/>
      <c r="Q14" s="167"/>
      <c r="R14" s="167"/>
      <c r="S14" s="130"/>
    </row>
    <row r="15" customFormat="false" ht="12.75" hidden="false" customHeight="false" outlineLevel="0" collapsed="false">
      <c r="A15" s="148" t="n">
        <v>24</v>
      </c>
      <c r="B15" s="133" t="s">
        <v>82</v>
      </c>
      <c r="C15" s="110"/>
      <c r="D15" s="149" t="n">
        <f aca="false">+D13-D14</f>
        <v>0</v>
      </c>
      <c r="E15" s="135"/>
      <c r="F15" s="136"/>
      <c r="H15" s="148" t="n">
        <v>24</v>
      </c>
      <c r="I15" s="133" t="s">
        <v>82</v>
      </c>
      <c r="J15" s="110"/>
      <c r="K15" s="149" t="n">
        <f aca="false">+K13-K14</f>
        <v>0</v>
      </c>
      <c r="L15" s="135"/>
      <c r="M15" s="136"/>
      <c r="Q15" s="129" t="s">
        <v>63</v>
      </c>
      <c r="R15" s="130"/>
      <c r="S15" s="129" t="s">
        <v>64</v>
      </c>
      <c r="T15" s="130"/>
      <c r="U15" s="131" t="s">
        <v>65</v>
      </c>
    </row>
    <row r="16" customFormat="false" ht="12.75" hidden="false" customHeight="false" outlineLevel="0" collapsed="false">
      <c r="A16" s="148"/>
      <c r="B16" s="133"/>
      <c r="C16" s="110"/>
      <c r="D16" s="149"/>
      <c r="E16" s="135"/>
      <c r="F16" s="136"/>
      <c r="H16" s="148"/>
      <c r="I16" s="133"/>
      <c r="J16" s="110"/>
      <c r="K16" s="149"/>
      <c r="L16" s="135"/>
      <c r="M16" s="136"/>
      <c r="P16" s="130"/>
      <c r="Q16" s="91" t="s">
        <v>83</v>
      </c>
      <c r="S16" s="139" t="n">
        <v>0</v>
      </c>
      <c r="U16" s="140" t="n">
        <v>0</v>
      </c>
      <c r="V16" s="87"/>
      <c r="W16" s="87"/>
    </row>
    <row r="17" customFormat="false" ht="12.75" hidden="false" customHeight="false" outlineLevel="0" collapsed="false">
      <c r="A17" s="148"/>
      <c r="B17" s="133" t="s">
        <v>84</v>
      </c>
      <c r="C17" s="110"/>
      <c r="D17" s="149" t="n">
        <f aca="false">F7*F17</f>
        <v>-3686.475</v>
      </c>
      <c r="E17" s="168" t="s">
        <v>85</v>
      </c>
      <c r="F17" s="169" t="n">
        <v>3.705</v>
      </c>
      <c r="H17" s="148"/>
      <c r="I17" s="133" t="s">
        <v>84</v>
      </c>
      <c r="J17" s="110"/>
      <c r="K17" s="149" t="n">
        <f aca="false">M7*M17</f>
        <v>0</v>
      </c>
      <c r="L17" s="168" t="s">
        <v>85</v>
      </c>
      <c r="M17" s="170" t="n">
        <f aca="false">F17</f>
        <v>3.705</v>
      </c>
      <c r="P17" s="130"/>
      <c r="Q17" s="91" t="s">
        <v>86</v>
      </c>
      <c r="S17" s="139" t="n">
        <v>0</v>
      </c>
      <c r="U17" s="140" t="n">
        <v>0</v>
      </c>
      <c r="V17" s="87"/>
      <c r="W17" s="87"/>
    </row>
    <row r="18" customFormat="false" ht="12.75" hidden="false" customHeight="false" outlineLevel="0" collapsed="false">
      <c r="A18" s="148"/>
      <c r="B18" s="133"/>
      <c r="C18" s="110"/>
      <c r="D18" s="149"/>
      <c r="E18" s="135"/>
      <c r="F18" s="136"/>
      <c r="H18" s="148"/>
      <c r="I18" s="133"/>
      <c r="J18" s="110"/>
      <c r="K18" s="149"/>
      <c r="L18" s="135"/>
      <c r="M18" s="136"/>
      <c r="P18" s="91"/>
      <c r="Q18" s="91" t="s">
        <v>87</v>
      </c>
      <c r="S18" s="139" t="n">
        <v>0</v>
      </c>
      <c r="U18" s="140" t="n">
        <v>0</v>
      </c>
      <c r="V18" s="87"/>
      <c r="W18" s="87"/>
    </row>
    <row r="19" customFormat="false" ht="12.75" hidden="false" customHeight="false" outlineLevel="0" collapsed="false">
      <c r="A19" s="148"/>
      <c r="B19" s="133" t="s">
        <v>88</v>
      </c>
      <c r="C19" s="110"/>
      <c r="D19" s="142" t="n">
        <v>0</v>
      </c>
      <c r="E19" s="135"/>
      <c r="F19" s="136"/>
      <c r="H19" s="148"/>
      <c r="I19" s="133" t="s">
        <v>88</v>
      </c>
      <c r="J19" s="110"/>
      <c r="K19" s="142" t="n">
        <v>0</v>
      </c>
      <c r="L19" s="135"/>
      <c r="M19" s="136"/>
      <c r="P19" s="91"/>
      <c r="Q19" s="91" t="s">
        <v>89</v>
      </c>
      <c r="S19" s="150" t="n">
        <v>0</v>
      </c>
      <c r="U19" s="151" t="n">
        <v>0</v>
      </c>
      <c r="V19" s="87"/>
      <c r="W19" s="87"/>
    </row>
    <row r="20" customFormat="false" ht="12.75" hidden="false" customHeight="false" outlineLevel="0" collapsed="false">
      <c r="A20" s="148"/>
      <c r="B20" s="133" t="s">
        <v>90</v>
      </c>
      <c r="C20" s="110"/>
      <c r="D20" s="142" t="n">
        <v>0</v>
      </c>
      <c r="E20" s="135"/>
      <c r="F20" s="136"/>
      <c r="H20" s="148"/>
      <c r="I20" s="133" t="s">
        <v>90</v>
      </c>
      <c r="J20" s="110"/>
      <c r="K20" s="142" t="n">
        <v>0</v>
      </c>
      <c r="L20" s="135"/>
      <c r="M20" s="136"/>
      <c r="O20" s="87"/>
      <c r="P20" s="91"/>
      <c r="Q20" s="87"/>
      <c r="R20" s="87"/>
      <c r="S20" s="116" t="n">
        <f aca="false">S16-S17+S18-S19</f>
        <v>0</v>
      </c>
      <c r="T20" s="87"/>
      <c r="U20" s="152" t="n">
        <f aca="false">-U16+U17-U18+U19</f>
        <v>0</v>
      </c>
      <c r="V20" s="87"/>
      <c r="W20" s="87"/>
    </row>
    <row r="21" customFormat="false" ht="12.75" hidden="false" customHeight="false" outlineLevel="0" collapsed="false">
      <c r="A21" s="148"/>
      <c r="B21" s="133" t="s">
        <v>91</v>
      </c>
      <c r="C21" s="110"/>
      <c r="D21" s="149" t="n">
        <f aca="false">D19-D20</f>
        <v>0</v>
      </c>
      <c r="E21" s="135"/>
      <c r="F21" s="136"/>
      <c r="H21" s="148"/>
      <c r="I21" s="133" t="s">
        <v>91</v>
      </c>
      <c r="J21" s="110"/>
      <c r="K21" s="149" t="n">
        <f aca="false">K19-K20</f>
        <v>0</v>
      </c>
      <c r="L21" s="135"/>
      <c r="M21" s="136"/>
      <c r="P21" s="91"/>
      <c r="Q21" s="87"/>
      <c r="R21" s="87"/>
      <c r="S21" s="92"/>
      <c r="T21" s="87"/>
      <c r="U21" s="92"/>
      <c r="V21" s="87"/>
      <c r="W21" s="87"/>
    </row>
    <row r="22" customFormat="false" ht="12.75" hidden="false" customHeight="false" outlineLevel="0" collapsed="false">
      <c r="A22" s="148"/>
      <c r="B22" s="133"/>
      <c r="C22" s="110"/>
      <c r="D22" s="149"/>
      <c r="E22" s="135"/>
      <c r="F22" s="136"/>
      <c r="H22" s="148"/>
      <c r="I22" s="133"/>
      <c r="J22" s="110"/>
      <c r="K22" s="149"/>
      <c r="L22" s="135"/>
      <c r="M22" s="136"/>
      <c r="O22" s="91"/>
      <c r="P22" s="91"/>
      <c r="Q22" s="153" t="s">
        <v>77</v>
      </c>
      <c r="R22" s="154"/>
      <c r="S22" s="155"/>
      <c r="T22" s="154"/>
      <c r="U22" s="156"/>
      <c r="V22" s="87"/>
      <c r="W22" s="87"/>
    </row>
    <row r="23" customFormat="false" ht="12.75" hidden="false" customHeight="false" outlineLevel="0" collapsed="false">
      <c r="A23" s="148"/>
      <c r="B23" s="133" t="s">
        <v>92</v>
      </c>
      <c r="C23" s="110"/>
      <c r="D23" s="149" t="n">
        <f aca="false">-[2]Other!E6</f>
        <v>-0</v>
      </c>
      <c r="E23" s="135"/>
      <c r="F23" s="136"/>
      <c r="H23" s="148"/>
      <c r="I23" s="133" t="s">
        <v>92</v>
      </c>
      <c r="J23" s="110"/>
      <c r="K23" s="149" t="n">
        <f aca="false">+-[2]Other!E27</f>
        <v>-0</v>
      </c>
      <c r="L23" s="135"/>
      <c r="M23" s="136"/>
      <c r="O23" s="152"/>
      <c r="P23" s="91"/>
      <c r="Q23" s="157" t="s">
        <v>63</v>
      </c>
      <c r="R23" s="158"/>
      <c r="S23" s="159" t="n">
        <f aca="false">S20</f>
        <v>0</v>
      </c>
      <c r="T23" s="158"/>
      <c r="U23" s="160" t="n">
        <f aca="false">U20</f>
        <v>0</v>
      </c>
      <c r="V23" s="87"/>
      <c r="W23" s="87"/>
    </row>
    <row r="24" customFormat="false" ht="12.75" hidden="false" customHeight="false" outlineLevel="0" collapsed="false">
      <c r="A24" s="148"/>
      <c r="B24" s="133"/>
      <c r="C24" s="110"/>
      <c r="D24" s="149"/>
      <c r="E24" s="135"/>
      <c r="F24" s="136"/>
      <c r="H24" s="148"/>
      <c r="I24" s="133"/>
      <c r="J24" s="110"/>
      <c r="K24" s="149"/>
      <c r="L24" s="135"/>
      <c r="M24" s="136"/>
      <c r="O24" s="152"/>
      <c r="P24" s="91"/>
      <c r="Q24" s="161" t="s">
        <v>79</v>
      </c>
      <c r="R24" s="162"/>
      <c r="S24" s="163" t="n">
        <f aca="false">K7</f>
        <v>0</v>
      </c>
      <c r="T24" s="162"/>
      <c r="U24" s="164" t="n">
        <f aca="false">M7</f>
        <v>0</v>
      </c>
      <c r="V24" s="87"/>
      <c r="W24" s="87"/>
    </row>
    <row r="25" customFormat="false" ht="12.75" hidden="false" customHeight="false" outlineLevel="0" collapsed="false">
      <c r="A25" s="148"/>
      <c r="B25" s="133" t="s">
        <v>93</v>
      </c>
      <c r="C25" s="110"/>
      <c r="D25" s="149" t="n">
        <f aca="false">D7+D17-D21+D23</f>
        <v>-1502299.475</v>
      </c>
      <c r="E25" s="135"/>
      <c r="F25" s="136"/>
      <c r="H25" s="148"/>
      <c r="I25" s="133" t="s">
        <v>93</v>
      </c>
      <c r="J25" s="110"/>
      <c r="K25" s="149" t="n">
        <f aca="false">K7+K17-K21+K23</f>
        <v>0</v>
      </c>
      <c r="L25" s="135"/>
      <c r="M25" s="136"/>
      <c r="P25" s="91"/>
      <c r="Q25" s="161"/>
      <c r="R25" s="162"/>
      <c r="S25" s="165" t="n">
        <f aca="false">+S23-S24</f>
        <v>0</v>
      </c>
      <c r="T25" s="154"/>
      <c r="U25" s="166" t="n">
        <f aca="false">+U23-U24</f>
        <v>0</v>
      </c>
      <c r="V25" s="87"/>
      <c r="W25" s="87"/>
    </row>
    <row r="26" customFormat="false" ht="12.75" hidden="false" customHeight="false" outlineLevel="0" collapsed="false">
      <c r="A26" s="148" t="n">
        <v>31</v>
      </c>
      <c r="B26" s="133" t="s">
        <v>94</v>
      </c>
      <c r="C26" s="110"/>
      <c r="D26" s="142" t="n">
        <v>0</v>
      </c>
      <c r="E26" s="135" t="s">
        <v>55</v>
      </c>
      <c r="F26" s="136" t="n">
        <v>0</v>
      </c>
      <c r="H26" s="148" t="n">
        <v>31</v>
      </c>
      <c r="I26" s="133" t="s">
        <v>94</v>
      </c>
      <c r="J26" s="110"/>
      <c r="K26" s="142" t="n">
        <v>0</v>
      </c>
      <c r="L26" s="135" t="s">
        <v>55</v>
      </c>
      <c r="M26" s="136" t="n">
        <v>0</v>
      </c>
      <c r="O26" s="152"/>
      <c r="P26" s="91"/>
      <c r="T26" s="92"/>
      <c r="U26" s="92"/>
      <c r="V26" s="87"/>
      <c r="W26" s="87"/>
    </row>
    <row r="27" customFormat="false" ht="12.75" hidden="false" customHeight="false" outlineLevel="0" collapsed="false">
      <c r="A27" s="148"/>
      <c r="B27" s="110"/>
      <c r="C27" s="110"/>
      <c r="D27" s="171"/>
      <c r="E27" s="135"/>
      <c r="F27" s="136"/>
      <c r="H27" s="148"/>
      <c r="I27" s="110"/>
      <c r="J27" s="110"/>
      <c r="K27" s="171"/>
      <c r="L27" s="135"/>
      <c r="M27" s="136"/>
      <c r="O27" s="152"/>
      <c r="P27" s="91"/>
      <c r="Q27" s="129" t="s">
        <v>63</v>
      </c>
      <c r="R27" s="130"/>
      <c r="S27" s="129" t="s">
        <v>64</v>
      </c>
      <c r="T27" s="130"/>
      <c r="U27" s="131" t="s">
        <v>65</v>
      </c>
      <c r="V27" s="87"/>
      <c r="W27" s="87"/>
    </row>
    <row r="28" customFormat="false" ht="12.75" hidden="false" customHeight="false" outlineLevel="0" collapsed="false">
      <c r="A28" s="148"/>
      <c r="B28" s="133" t="s">
        <v>95</v>
      </c>
      <c r="C28" s="110"/>
      <c r="D28" s="149" t="n">
        <f aca="false">-134505-133507</f>
        <v>-268012</v>
      </c>
      <c r="E28" s="135"/>
      <c r="F28" s="136"/>
      <c r="H28" s="148"/>
      <c r="I28" s="133" t="s">
        <v>95</v>
      </c>
      <c r="J28" s="110"/>
      <c r="K28" s="149" t="n">
        <v>0</v>
      </c>
      <c r="L28" s="135"/>
      <c r="M28" s="136"/>
      <c r="O28" s="152"/>
      <c r="P28" s="91"/>
      <c r="Q28" s="91" t="s">
        <v>96</v>
      </c>
      <c r="S28" s="139" t="n">
        <v>521780</v>
      </c>
      <c r="U28" s="140" t="n">
        <v>121500</v>
      </c>
      <c r="V28" s="87"/>
      <c r="W28" s="87"/>
    </row>
    <row r="29" customFormat="false" ht="12.75" hidden="false" customHeight="false" outlineLevel="0" collapsed="false">
      <c r="A29" s="148"/>
      <c r="B29" s="133" t="s">
        <v>97</v>
      </c>
      <c r="C29" s="110"/>
      <c r="D29" s="149" t="n">
        <v>0</v>
      </c>
      <c r="E29" s="135"/>
      <c r="F29" s="136"/>
      <c r="H29" s="148"/>
      <c r="I29" s="133" t="s">
        <v>97</v>
      </c>
      <c r="J29" s="110"/>
      <c r="K29" s="149" t="n">
        <v>0</v>
      </c>
      <c r="L29" s="135"/>
      <c r="M29" s="136"/>
      <c r="P29" s="91"/>
      <c r="Q29" s="91" t="s">
        <v>98</v>
      </c>
      <c r="S29" s="139" t="n">
        <v>202822</v>
      </c>
      <c r="U29" s="140" t="n">
        <v>49100</v>
      </c>
      <c r="V29" s="87"/>
      <c r="W29" s="87"/>
    </row>
    <row r="30" customFormat="false" ht="12.75" hidden="false" customHeight="false" outlineLevel="0" collapsed="false">
      <c r="A30" s="148"/>
      <c r="B30" s="133" t="s">
        <v>99</v>
      </c>
      <c r="C30" s="110"/>
      <c r="D30" s="149" t="n">
        <v>0</v>
      </c>
      <c r="E30" s="135"/>
      <c r="F30" s="136"/>
      <c r="H30" s="148"/>
      <c r="I30" s="133" t="s">
        <v>99</v>
      </c>
      <c r="J30" s="110"/>
      <c r="K30" s="149" t="n">
        <v>0</v>
      </c>
      <c r="L30" s="135"/>
      <c r="M30" s="136"/>
      <c r="Q30" s="91" t="s">
        <v>100</v>
      </c>
      <c r="S30" s="139" t="n">
        <v>1984161</v>
      </c>
      <c r="U30" s="140" t="n">
        <v>434461</v>
      </c>
    </row>
    <row r="31" customFormat="false" ht="12.75" hidden="false" customHeight="false" outlineLevel="0" collapsed="false">
      <c r="A31" s="148" t="n">
        <v>30</v>
      </c>
      <c r="B31" s="133" t="s">
        <v>101</v>
      </c>
      <c r="C31" s="110"/>
      <c r="D31" s="149" t="n">
        <f aca="false">D28+D29-D30</f>
        <v>-268012</v>
      </c>
      <c r="E31" s="135"/>
      <c r="F31" s="136"/>
      <c r="H31" s="148" t="n">
        <v>30</v>
      </c>
      <c r="I31" s="133" t="s">
        <v>101</v>
      </c>
      <c r="J31" s="110"/>
      <c r="K31" s="149" t="n">
        <f aca="false">K28+K29-K30</f>
        <v>0</v>
      </c>
      <c r="L31" s="135"/>
      <c r="M31" s="136"/>
      <c r="Q31" s="91" t="s">
        <v>102</v>
      </c>
      <c r="S31" s="150" t="n">
        <f aca="false">1893604-2</f>
        <v>1893602</v>
      </c>
      <c r="U31" s="151" t="n">
        <v>429545</v>
      </c>
    </row>
    <row r="32" customFormat="false" ht="12.75" hidden="false" customHeight="false" outlineLevel="0" collapsed="false">
      <c r="A32" s="148"/>
      <c r="B32" s="133"/>
      <c r="C32" s="110"/>
      <c r="D32" s="149"/>
      <c r="E32" s="135"/>
      <c r="F32" s="136"/>
      <c r="H32" s="148"/>
      <c r="I32" s="133"/>
      <c r="J32" s="110"/>
      <c r="K32" s="149"/>
      <c r="L32" s="135"/>
      <c r="M32" s="136"/>
      <c r="Q32" s="87"/>
      <c r="R32" s="87"/>
      <c r="S32" s="116" t="n">
        <f aca="false">S28-S29+S30-S31</f>
        <v>409517</v>
      </c>
      <c r="T32" s="87"/>
      <c r="U32" s="152" t="n">
        <f aca="false">-U28+U29-U30+U31</f>
        <v>-77316</v>
      </c>
    </row>
    <row r="33" customFormat="false" ht="12.75" hidden="false" customHeight="false" outlineLevel="0" collapsed="false">
      <c r="A33" s="148" t="n">
        <v>31</v>
      </c>
      <c r="B33" s="133" t="s">
        <v>103</v>
      </c>
      <c r="C33" s="110"/>
      <c r="D33" s="149" t="n">
        <v>97102</v>
      </c>
      <c r="E33" s="135"/>
      <c r="F33" s="136"/>
      <c r="H33" s="148" t="n">
        <v>31</v>
      </c>
      <c r="I33" s="133" t="s">
        <v>103</v>
      </c>
      <c r="J33" s="110"/>
      <c r="K33" s="149" t="n">
        <v>0</v>
      </c>
      <c r="L33" s="135"/>
      <c r="M33" s="136"/>
      <c r="Q33" s="87"/>
      <c r="R33" s="87"/>
      <c r="S33" s="92"/>
      <c r="T33" s="87"/>
      <c r="U33" s="92"/>
    </row>
    <row r="34" customFormat="false" ht="12.75" hidden="false" customHeight="false" outlineLevel="0" collapsed="false">
      <c r="A34" s="148" t="n">
        <v>34</v>
      </c>
      <c r="B34" s="133" t="s">
        <v>24</v>
      </c>
      <c r="C34" s="110"/>
      <c r="D34" s="149" t="n">
        <v>0</v>
      </c>
      <c r="E34" s="172"/>
      <c r="F34" s="136"/>
      <c r="H34" s="148" t="n">
        <v>34</v>
      </c>
      <c r="I34" s="133" t="s">
        <v>24</v>
      </c>
      <c r="J34" s="110"/>
      <c r="K34" s="149" t="n">
        <v>0</v>
      </c>
      <c r="L34" s="172"/>
      <c r="M34" s="136"/>
      <c r="Q34" s="153" t="s">
        <v>77</v>
      </c>
      <c r="R34" s="154"/>
      <c r="S34" s="155"/>
      <c r="T34" s="154"/>
      <c r="U34" s="156"/>
    </row>
    <row r="35" customFormat="false" ht="13.5" hidden="false" customHeight="false" outlineLevel="0" collapsed="false">
      <c r="A35" s="173" t="n">
        <v>35</v>
      </c>
      <c r="B35" s="174" t="s">
        <v>104</v>
      </c>
      <c r="C35" s="175"/>
      <c r="D35" s="176" t="n">
        <v>0</v>
      </c>
      <c r="E35" s="177"/>
      <c r="F35" s="178"/>
      <c r="H35" s="173" t="n">
        <v>35</v>
      </c>
      <c r="I35" s="174" t="s">
        <v>104</v>
      </c>
      <c r="J35" s="175"/>
      <c r="K35" s="179" t="n">
        <v>0</v>
      </c>
      <c r="L35" s="177"/>
      <c r="M35" s="178"/>
      <c r="Q35" s="157" t="s">
        <v>63</v>
      </c>
      <c r="R35" s="158"/>
      <c r="S35" s="159" t="n">
        <f aca="false">S32</f>
        <v>409517</v>
      </c>
      <c r="T35" s="158"/>
      <c r="U35" s="160" t="n">
        <f aca="false">U32</f>
        <v>-77316</v>
      </c>
    </row>
    <row r="36" customFormat="false" ht="13.5" hidden="false" customHeight="false" outlineLevel="0" collapsed="false">
      <c r="F36" s="180"/>
      <c r="Q36" s="161" t="s">
        <v>79</v>
      </c>
      <c r="R36" s="162"/>
      <c r="S36" s="163" t="n">
        <f aca="false">D41</f>
        <v>409517</v>
      </c>
      <c r="T36" s="162"/>
      <c r="U36" s="164" t="n">
        <f aca="false">F41</f>
        <v>-77316</v>
      </c>
    </row>
    <row r="37" customFormat="false" ht="15.75" hidden="false" customHeight="false" outlineLevel="0" collapsed="false">
      <c r="A37" s="122" t="s">
        <v>105</v>
      </c>
      <c r="B37" s="123"/>
      <c r="C37" s="124"/>
      <c r="D37" s="125"/>
      <c r="E37" s="126"/>
      <c r="F37" s="127"/>
      <c r="H37" s="122" t="s">
        <v>106</v>
      </c>
      <c r="I37" s="123"/>
      <c r="J37" s="124"/>
      <c r="K37" s="125"/>
      <c r="L37" s="126"/>
      <c r="M37" s="127"/>
      <c r="Q37" s="161"/>
      <c r="R37" s="162"/>
      <c r="S37" s="165" t="n">
        <f aca="false">+S35-S36</f>
        <v>0</v>
      </c>
      <c r="T37" s="154"/>
      <c r="U37" s="166" t="n">
        <f aca="false">+U35-U36</f>
        <v>0</v>
      </c>
    </row>
    <row r="38" customFormat="false" ht="12.75" hidden="false" customHeight="false" outlineLevel="0" collapsed="false">
      <c r="A38" s="132"/>
      <c r="B38" s="133" t="s">
        <v>66</v>
      </c>
      <c r="C38" s="110"/>
      <c r="D38" s="134"/>
      <c r="E38" s="135"/>
      <c r="F38" s="137"/>
      <c r="H38" s="132"/>
      <c r="I38" s="133" t="s">
        <v>66</v>
      </c>
      <c r="J38" s="110"/>
      <c r="K38" s="134"/>
      <c r="L38" s="135"/>
      <c r="M38" s="137"/>
    </row>
    <row r="39" customFormat="false" ht="12.75" hidden="false" customHeight="false" outlineLevel="0" collapsed="false">
      <c r="A39" s="132"/>
      <c r="B39" s="133"/>
      <c r="C39" s="141" t="s">
        <v>68</v>
      </c>
      <c r="D39" s="142" t="n">
        <v>2505941</v>
      </c>
      <c r="E39" s="143" t="s">
        <v>69</v>
      </c>
      <c r="F39" s="144" t="n">
        <v>555961</v>
      </c>
      <c r="H39" s="132"/>
      <c r="I39" s="133"/>
      <c r="J39" s="141" t="s">
        <v>68</v>
      </c>
      <c r="K39" s="142" t="n">
        <v>0</v>
      </c>
      <c r="L39" s="143" t="s">
        <v>69</v>
      </c>
      <c r="M39" s="144" t="n">
        <v>0</v>
      </c>
      <c r="Q39" s="129" t="s">
        <v>63</v>
      </c>
      <c r="R39" s="130"/>
      <c r="S39" s="129" t="s">
        <v>64</v>
      </c>
      <c r="T39" s="130"/>
      <c r="U39" s="131" t="s">
        <v>65</v>
      </c>
    </row>
    <row r="40" customFormat="false" ht="12.75" hidden="false" customHeight="false" outlineLevel="0" collapsed="false">
      <c r="A40" s="132"/>
      <c r="B40" s="133"/>
      <c r="C40" s="141" t="s">
        <v>71</v>
      </c>
      <c r="D40" s="146" t="n">
        <v>2096424</v>
      </c>
      <c r="E40" s="143" t="s">
        <v>72</v>
      </c>
      <c r="F40" s="147" t="n">
        <v>478645</v>
      </c>
      <c r="H40" s="132"/>
      <c r="I40" s="133"/>
      <c r="J40" s="141" t="s">
        <v>71</v>
      </c>
      <c r="K40" s="146" t="n">
        <v>0</v>
      </c>
      <c r="L40" s="143" t="s">
        <v>72</v>
      </c>
      <c r="M40" s="147" t="n">
        <v>0</v>
      </c>
      <c r="Q40" s="91" t="s">
        <v>107</v>
      </c>
      <c r="S40" s="139" t="n">
        <v>0</v>
      </c>
      <c r="U40" s="140" t="n">
        <v>0</v>
      </c>
    </row>
    <row r="41" customFormat="false" ht="12.75" hidden="false" customHeight="false" outlineLevel="0" collapsed="false">
      <c r="A41" s="132"/>
      <c r="B41" s="133"/>
      <c r="C41" s="110"/>
      <c r="D41" s="149" t="n">
        <f aca="false">D39-D40</f>
        <v>409517</v>
      </c>
      <c r="E41" s="135"/>
      <c r="F41" s="137" t="n">
        <f aca="false">-F39+F40</f>
        <v>-77316</v>
      </c>
      <c r="H41" s="132"/>
      <c r="I41" s="133"/>
      <c r="J41" s="110"/>
      <c r="K41" s="149" t="n">
        <f aca="false">K39-K40</f>
        <v>0</v>
      </c>
      <c r="L41" s="135"/>
      <c r="M41" s="137" t="n">
        <f aca="false">-M39+M40</f>
        <v>0</v>
      </c>
      <c r="Q41" s="91" t="s">
        <v>108</v>
      </c>
      <c r="S41" s="139" t="n">
        <v>0</v>
      </c>
      <c r="U41" s="140" t="n">
        <v>0</v>
      </c>
    </row>
    <row r="42" customFormat="false" ht="12.75" hidden="false" customHeight="false" outlineLevel="0" collapsed="false">
      <c r="A42" s="132"/>
      <c r="B42" s="133"/>
      <c r="C42" s="110"/>
      <c r="D42" s="149"/>
      <c r="E42" s="135"/>
      <c r="F42" s="136"/>
      <c r="H42" s="132"/>
      <c r="I42" s="133"/>
      <c r="J42" s="110"/>
      <c r="K42" s="149"/>
      <c r="L42" s="135"/>
      <c r="M42" s="136"/>
      <c r="Q42" s="91" t="s">
        <v>109</v>
      </c>
      <c r="S42" s="139" t="n">
        <v>0</v>
      </c>
      <c r="U42" s="140" t="n">
        <v>0</v>
      </c>
    </row>
    <row r="43" customFormat="false" ht="12.75" hidden="false" customHeight="false" outlineLevel="0" collapsed="false">
      <c r="A43" s="132"/>
      <c r="B43" s="133" t="s">
        <v>75</v>
      </c>
      <c r="C43" s="110"/>
      <c r="D43" s="142" t="n">
        <v>0</v>
      </c>
      <c r="E43" s="135"/>
      <c r="F43" s="136"/>
      <c r="H43" s="132"/>
      <c r="I43" s="133" t="s">
        <v>75</v>
      </c>
      <c r="J43" s="110"/>
      <c r="K43" s="142" t="n">
        <v>0</v>
      </c>
      <c r="L43" s="135"/>
      <c r="M43" s="136"/>
      <c r="Q43" s="91" t="s">
        <v>110</v>
      </c>
      <c r="S43" s="150" t="n">
        <v>0</v>
      </c>
      <c r="U43" s="151" t="n">
        <v>0</v>
      </c>
    </row>
    <row r="44" customFormat="false" ht="12.75" hidden="false" customHeight="false" outlineLevel="0" collapsed="false">
      <c r="A44" s="132"/>
      <c r="B44" s="133" t="s">
        <v>76</v>
      </c>
      <c r="C44" s="110"/>
      <c r="D44" s="142" t="n">
        <v>0</v>
      </c>
      <c r="E44" s="135"/>
      <c r="F44" s="136"/>
      <c r="H44" s="132"/>
      <c r="I44" s="133" t="s">
        <v>76</v>
      </c>
      <c r="J44" s="110"/>
      <c r="K44" s="142" t="n">
        <v>0</v>
      </c>
      <c r="L44" s="135"/>
      <c r="M44" s="136"/>
      <c r="Q44" s="87"/>
      <c r="R44" s="87"/>
      <c r="S44" s="116" t="n">
        <f aca="false">S40-S41+S42-S43</f>
        <v>0</v>
      </c>
      <c r="T44" s="87"/>
      <c r="U44" s="152" t="n">
        <f aca="false">-U40+U41-U42+U43</f>
        <v>0</v>
      </c>
    </row>
    <row r="45" customFormat="false" ht="12.75" hidden="false" customHeight="false" outlineLevel="0" collapsed="false">
      <c r="A45" s="132" t="n">
        <v>24</v>
      </c>
      <c r="B45" s="133" t="s">
        <v>78</v>
      </c>
      <c r="C45" s="110"/>
      <c r="D45" s="149" t="n">
        <f aca="false">D43-D44</f>
        <v>0</v>
      </c>
      <c r="E45" s="135"/>
      <c r="F45" s="136"/>
      <c r="H45" s="132" t="n">
        <v>24</v>
      </c>
      <c r="I45" s="133" t="s">
        <v>78</v>
      </c>
      <c r="J45" s="110"/>
      <c r="K45" s="149" t="n">
        <f aca="false">K43-K44</f>
        <v>0</v>
      </c>
      <c r="L45" s="135"/>
      <c r="M45" s="136"/>
      <c r="Q45" s="87"/>
      <c r="R45" s="87"/>
      <c r="S45" s="92"/>
      <c r="T45" s="87"/>
      <c r="U45" s="92"/>
    </row>
    <row r="46" customFormat="false" ht="12.75" hidden="false" customHeight="false" outlineLevel="0" collapsed="false">
      <c r="A46" s="132"/>
      <c r="B46" s="133"/>
      <c r="C46" s="110"/>
      <c r="D46" s="149"/>
      <c r="E46" s="135" t="s">
        <v>40</v>
      </c>
      <c r="F46" s="136"/>
      <c r="H46" s="132"/>
      <c r="I46" s="133"/>
      <c r="J46" s="110"/>
      <c r="K46" s="149"/>
      <c r="L46" s="135" t="s">
        <v>40</v>
      </c>
      <c r="M46" s="136"/>
      <c r="Q46" s="153" t="s">
        <v>77</v>
      </c>
      <c r="R46" s="154"/>
      <c r="S46" s="155"/>
      <c r="T46" s="154"/>
      <c r="U46" s="156"/>
    </row>
    <row r="47" customFormat="false" ht="12.75" hidden="false" customHeight="false" outlineLevel="0" collapsed="false">
      <c r="A47" s="132"/>
      <c r="B47" s="133" t="s">
        <v>80</v>
      </c>
      <c r="C47" s="110"/>
      <c r="D47" s="142" t="n">
        <v>0</v>
      </c>
      <c r="E47" s="135"/>
      <c r="F47" s="136"/>
      <c r="H47" s="132"/>
      <c r="I47" s="133" t="s">
        <v>80</v>
      </c>
      <c r="J47" s="110"/>
      <c r="K47" s="142" t="n">
        <v>0</v>
      </c>
      <c r="L47" s="135"/>
      <c r="M47" s="136"/>
      <c r="Q47" s="157" t="s">
        <v>63</v>
      </c>
      <c r="R47" s="158"/>
      <c r="S47" s="159" t="n">
        <f aca="false">S44</f>
        <v>0</v>
      </c>
      <c r="T47" s="158"/>
      <c r="U47" s="160" t="n">
        <f aca="false">U44</f>
        <v>0</v>
      </c>
    </row>
    <row r="48" customFormat="false" ht="12.75" hidden="false" customHeight="false" outlineLevel="0" collapsed="false">
      <c r="A48" s="132"/>
      <c r="B48" s="133" t="s">
        <v>81</v>
      </c>
      <c r="C48" s="110"/>
      <c r="D48" s="142" t="n">
        <v>0</v>
      </c>
      <c r="E48" s="135"/>
      <c r="F48" s="136"/>
      <c r="H48" s="132"/>
      <c r="I48" s="133" t="s">
        <v>81</v>
      </c>
      <c r="J48" s="110"/>
      <c r="K48" s="142" t="n">
        <v>0</v>
      </c>
      <c r="L48" s="135"/>
      <c r="M48" s="136"/>
      <c r="Q48" s="161" t="s">
        <v>79</v>
      </c>
      <c r="R48" s="162"/>
      <c r="S48" s="163" t="n">
        <f aca="false">K41</f>
        <v>0</v>
      </c>
      <c r="T48" s="162"/>
      <c r="U48" s="164" t="n">
        <f aca="false">M41</f>
        <v>0</v>
      </c>
    </row>
    <row r="49" customFormat="false" ht="12.75" hidden="false" customHeight="false" outlineLevel="0" collapsed="false">
      <c r="A49" s="132" t="n">
        <v>24</v>
      </c>
      <c r="B49" s="133" t="s">
        <v>82</v>
      </c>
      <c r="C49" s="110"/>
      <c r="D49" s="149" t="n">
        <f aca="false">+D47-D48</f>
        <v>0</v>
      </c>
      <c r="E49" s="135"/>
      <c r="F49" s="136"/>
      <c r="H49" s="132" t="n">
        <v>24</v>
      </c>
      <c r="I49" s="133" t="s">
        <v>82</v>
      </c>
      <c r="J49" s="110"/>
      <c r="K49" s="149" t="n">
        <f aca="false">+K47-K48</f>
        <v>0</v>
      </c>
      <c r="L49" s="135"/>
      <c r="M49" s="136"/>
      <c r="Q49" s="161"/>
      <c r="R49" s="162"/>
      <c r="S49" s="165" t="n">
        <f aca="false">+S47-S48</f>
        <v>0</v>
      </c>
      <c r="T49" s="154"/>
      <c r="U49" s="166" t="n">
        <f aca="false">+U47-U48</f>
        <v>0</v>
      </c>
    </row>
    <row r="50" customFormat="false" ht="12.75" hidden="false" customHeight="false" outlineLevel="0" collapsed="false">
      <c r="A50" s="132"/>
      <c r="B50" s="133"/>
      <c r="C50" s="110"/>
      <c r="D50" s="149"/>
      <c r="E50" s="135"/>
      <c r="F50" s="136"/>
      <c r="H50" s="132"/>
      <c r="I50" s="133"/>
      <c r="J50" s="110"/>
      <c r="K50" s="149"/>
      <c r="L50" s="135"/>
      <c r="M50" s="136"/>
    </row>
    <row r="51" customFormat="false" ht="12.75" hidden="false" customHeight="false" outlineLevel="0" collapsed="false">
      <c r="A51" s="132"/>
      <c r="B51" s="133" t="s">
        <v>84</v>
      </c>
      <c r="C51" s="110"/>
      <c r="D51" s="149" t="n">
        <f aca="false">F41*F51</f>
        <v>-286455.78</v>
      </c>
      <c r="E51" s="168" t="s">
        <v>85</v>
      </c>
      <c r="F51" s="169" t="n">
        <f aca="false">+F17</f>
        <v>3.705</v>
      </c>
      <c r="H51" s="132"/>
      <c r="I51" s="133" t="s">
        <v>84</v>
      </c>
      <c r="J51" s="110"/>
      <c r="K51" s="149" t="n">
        <f aca="false">M41*M51</f>
        <v>0</v>
      </c>
      <c r="L51" s="168" t="s">
        <v>85</v>
      </c>
      <c r="M51" s="170" t="n">
        <f aca="false">M17</f>
        <v>3.705</v>
      </c>
    </row>
    <row r="52" customFormat="false" ht="12.75" hidden="false" customHeight="false" outlineLevel="0" collapsed="false">
      <c r="A52" s="132"/>
      <c r="B52" s="133"/>
      <c r="C52" s="110"/>
      <c r="D52" s="149"/>
      <c r="E52" s="135"/>
      <c r="F52" s="136"/>
      <c r="H52" s="132"/>
      <c r="I52" s="133"/>
      <c r="J52" s="110"/>
      <c r="K52" s="149"/>
      <c r="L52" s="135"/>
      <c r="M52" s="136"/>
      <c r="Q52" s="129" t="s">
        <v>63</v>
      </c>
      <c r="R52" s="130"/>
      <c r="S52" s="129" t="s">
        <v>64</v>
      </c>
      <c r="T52" s="130"/>
      <c r="U52" s="131" t="s">
        <v>65</v>
      </c>
    </row>
    <row r="53" customFormat="false" ht="12.75" hidden="false" customHeight="false" outlineLevel="0" collapsed="false">
      <c r="A53" s="132"/>
      <c r="B53" s="133" t="s">
        <v>88</v>
      </c>
      <c r="C53" s="110"/>
      <c r="D53" s="142" t="n">
        <v>0</v>
      </c>
      <c r="E53" s="135"/>
      <c r="F53" s="136"/>
      <c r="H53" s="132"/>
      <c r="I53" s="133" t="s">
        <v>88</v>
      </c>
      <c r="J53" s="110"/>
      <c r="K53" s="142" t="n">
        <v>0</v>
      </c>
      <c r="L53" s="135"/>
      <c r="M53" s="136"/>
      <c r="Q53" s="91" t="s">
        <v>111</v>
      </c>
      <c r="S53" s="139" t="n">
        <f aca="false">S4+S16+S28+S40</f>
        <v>10862122</v>
      </c>
      <c r="U53" s="140" t="n">
        <f aca="false">U4+U16+U28+U40</f>
        <v>3569860</v>
      </c>
    </row>
    <row r="54" customFormat="false" ht="12.75" hidden="false" customHeight="false" outlineLevel="0" collapsed="false">
      <c r="A54" s="132"/>
      <c r="B54" s="133" t="s">
        <v>90</v>
      </c>
      <c r="C54" s="110"/>
      <c r="D54" s="142" t="n">
        <v>0</v>
      </c>
      <c r="E54" s="135"/>
      <c r="F54" s="136"/>
      <c r="H54" s="132"/>
      <c r="I54" s="133" t="s">
        <v>90</v>
      </c>
      <c r="J54" s="110"/>
      <c r="K54" s="142" t="n">
        <v>0</v>
      </c>
      <c r="L54" s="135"/>
      <c r="M54" s="136"/>
      <c r="Q54" s="91" t="s">
        <v>112</v>
      </c>
      <c r="S54" s="139" t="n">
        <f aca="false">S5+S17+S29+S41</f>
        <v>10434420</v>
      </c>
      <c r="U54" s="140" t="n">
        <f aca="false">U5+U17+U29+U41</f>
        <v>3103314</v>
      </c>
    </row>
    <row r="55" customFormat="false" ht="12.75" hidden="false" customHeight="false" outlineLevel="0" collapsed="false">
      <c r="A55" s="132"/>
      <c r="B55" s="133" t="s">
        <v>91</v>
      </c>
      <c r="C55" s="110"/>
      <c r="D55" s="149" t="n">
        <f aca="false">D53-D54</f>
        <v>0</v>
      </c>
      <c r="E55" s="135"/>
      <c r="F55" s="136"/>
      <c r="H55" s="132"/>
      <c r="I55" s="133" t="s">
        <v>91</v>
      </c>
      <c r="J55" s="110"/>
      <c r="K55" s="149" t="n">
        <f aca="false">K53-K54</f>
        <v>0</v>
      </c>
      <c r="L55" s="135"/>
      <c r="M55" s="136"/>
      <c r="Q55" s="91" t="s">
        <v>113</v>
      </c>
      <c r="S55" s="139" t="n">
        <f aca="false">S6+S18+S30+S42</f>
        <v>13559026</v>
      </c>
      <c r="U55" s="140" t="n">
        <f aca="false">U6+U18+U30+U42</f>
        <v>3489639</v>
      </c>
    </row>
    <row r="56" customFormat="false" ht="12.75" hidden="false" customHeight="false" outlineLevel="0" collapsed="false">
      <c r="A56" s="132"/>
      <c r="B56" s="133"/>
      <c r="C56" s="110"/>
      <c r="D56" s="149"/>
      <c r="E56" s="135"/>
      <c r="F56" s="136"/>
      <c r="H56" s="132"/>
      <c r="I56" s="133"/>
      <c r="J56" s="110"/>
      <c r="K56" s="149"/>
      <c r="L56" s="135"/>
      <c r="M56" s="136"/>
      <c r="Q56" s="91" t="s">
        <v>114</v>
      </c>
      <c r="S56" s="150" t="n">
        <f aca="false">+S7+S19+S31+S43</f>
        <v>15075824</v>
      </c>
      <c r="U56" s="151" t="n">
        <f aca="false">U7+U19+U31+U43</f>
        <v>3877874</v>
      </c>
    </row>
    <row r="57" customFormat="false" ht="12.75" hidden="false" customHeight="false" outlineLevel="0" collapsed="false">
      <c r="A57" s="132"/>
      <c r="B57" s="133" t="s">
        <v>92</v>
      </c>
      <c r="C57" s="110"/>
      <c r="D57" s="149" t="n">
        <f aca="false">-[2]Other!E20</f>
        <v>-0</v>
      </c>
      <c r="E57" s="135"/>
      <c r="F57" s="136"/>
      <c r="H57" s="132"/>
      <c r="I57" s="133" t="s">
        <v>92</v>
      </c>
      <c r="J57" s="110"/>
      <c r="K57" s="149" t="n">
        <f aca="false">-[2]Other!L20</f>
        <v>-0</v>
      </c>
      <c r="L57" s="135"/>
      <c r="M57" s="136"/>
      <c r="Q57" s="87"/>
      <c r="R57" s="87"/>
      <c r="S57" s="116" t="n">
        <f aca="false">S53-S54+S55-S56</f>
        <v>-1089096</v>
      </c>
      <c r="T57" s="87"/>
      <c r="U57" s="152" t="n">
        <f aca="false">-U53+U54-U55+U56</f>
        <v>-78311</v>
      </c>
    </row>
    <row r="58" customFormat="false" ht="12.75" hidden="false" customHeight="false" outlineLevel="0" collapsed="false">
      <c r="A58" s="132"/>
      <c r="B58" s="133"/>
      <c r="C58" s="110"/>
      <c r="D58" s="149"/>
      <c r="E58" s="135"/>
      <c r="F58" s="136"/>
      <c r="H58" s="132"/>
      <c r="I58" s="133"/>
      <c r="J58" s="110"/>
      <c r="K58" s="149"/>
      <c r="L58" s="135"/>
      <c r="M58" s="136"/>
      <c r="Q58" s="87"/>
      <c r="R58" s="87"/>
      <c r="S58" s="92"/>
      <c r="T58" s="87"/>
      <c r="U58" s="92"/>
    </row>
    <row r="59" customFormat="false" ht="12.75" hidden="false" customHeight="false" outlineLevel="0" collapsed="false">
      <c r="A59" s="132"/>
      <c r="B59" s="133" t="s">
        <v>93</v>
      </c>
      <c r="C59" s="110"/>
      <c r="D59" s="149" t="n">
        <f aca="false">D41+D51-D55+D57</f>
        <v>123061.22</v>
      </c>
      <c r="E59" s="135"/>
      <c r="F59" s="136"/>
      <c r="H59" s="132"/>
      <c r="I59" s="133" t="s">
        <v>93</v>
      </c>
      <c r="J59" s="110"/>
      <c r="K59" s="149" t="n">
        <f aca="false">K41+K51-K55+K57</f>
        <v>0</v>
      </c>
      <c r="L59" s="135"/>
      <c r="M59" s="136"/>
      <c r="Q59" s="153" t="s">
        <v>77</v>
      </c>
      <c r="R59" s="154"/>
      <c r="S59" s="155"/>
      <c r="T59" s="154"/>
      <c r="U59" s="156"/>
    </row>
    <row r="60" customFormat="false" ht="12.75" hidden="false" customHeight="false" outlineLevel="0" collapsed="false">
      <c r="A60" s="132" t="n">
        <v>31</v>
      </c>
      <c r="B60" s="133" t="s">
        <v>94</v>
      </c>
      <c r="C60" s="110"/>
      <c r="D60" s="142" t="n">
        <v>0</v>
      </c>
      <c r="E60" s="181" t="s">
        <v>55</v>
      </c>
      <c r="F60" s="136" t="n">
        <v>0</v>
      </c>
      <c r="H60" s="132" t="n">
        <v>31</v>
      </c>
      <c r="I60" s="133" t="s">
        <v>94</v>
      </c>
      <c r="J60" s="110"/>
      <c r="K60" s="142" t="n">
        <v>0</v>
      </c>
      <c r="L60" s="135" t="s">
        <v>55</v>
      </c>
      <c r="M60" s="136" t="n">
        <v>0</v>
      </c>
      <c r="Q60" s="157" t="s">
        <v>63</v>
      </c>
      <c r="R60" s="158"/>
      <c r="S60" s="159" t="n">
        <f aca="false">S11+S23+S35+S47</f>
        <v>-1089096</v>
      </c>
      <c r="T60" s="158"/>
      <c r="U60" s="160" t="n">
        <f aca="false">U11+U23+U35+U47</f>
        <v>-78311</v>
      </c>
    </row>
    <row r="61" customFormat="false" ht="12.75" hidden="false" customHeight="false" outlineLevel="0" collapsed="false">
      <c r="A61" s="132"/>
      <c r="B61" s="110"/>
      <c r="C61" s="110"/>
      <c r="D61" s="171" t="s">
        <v>40</v>
      </c>
      <c r="E61" s="135"/>
      <c r="F61" s="136"/>
      <c r="H61" s="132"/>
      <c r="I61" s="110"/>
      <c r="J61" s="110"/>
      <c r="K61" s="171"/>
      <c r="L61" s="135"/>
      <c r="M61" s="136"/>
      <c r="Q61" s="161" t="s">
        <v>79</v>
      </c>
      <c r="R61" s="162"/>
      <c r="S61" s="163" t="n">
        <f aca="false">S12+S24+S36+S48</f>
        <v>-1089096</v>
      </c>
      <c r="T61" s="162"/>
      <c r="U61" s="164" t="n">
        <f aca="false">U12+U24+U36+U48</f>
        <v>-78311</v>
      </c>
    </row>
    <row r="62" customFormat="false" ht="12.75" hidden="false" customHeight="false" outlineLevel="0" collapsed="false">
      <c r="A62" s="132"/>
      <c r="B62" s="133" t="s">
        <v>95</v>
      </c>
      <c r="C62" s="110"/>
      <c r="D62" s="149" t="n">
        <v>0</v>
      </c>
      <c r="E62" s="135"/>
      <c r="F62" s="136"/>
      <c r="H62" s="132"/>
      <c r="I62" s="133" t="s">
        <v>95</v>
      </c>
      <c r="J62" s="110"/>
      <c r="K62" s="149" t="n">
        <v>0</v>
      </c>
      <c r="L62" s="135"/>
      <c r="M62" s="136"/>
      <c r="Q62" s="161"/>
      <c r="R62" s="162"/>
      <c r="S62" s="165" t="n">
        <f aca="false">+S60-S61</f>
        <v>0</v>
      </c>
      <c r="T62" s="154"/>
      <c r="U62" s="166" t="n">
        <f aca="false">+U60-U61</f>
        <v>0</v>
      </c>
    </row>
    <row r="63" customFormat="false" ht="12.75" hidden="false" customHeight="false" outlineLevel="0" collapsed="false">
      <c r="A63" s="132"/>
      <c r="B63" s="133" t="s">
        <v>97</v>
      </c>
      <c r="C63" s="110"/>
      <c r="D63" s="149" t="n">
        <v>0</v>
      </c>
      <c r="E63" s="135"/>
      <c r="F63" s="136"/>
      <c r="H63" s="132"/>
      <c r="I63" s="133" t="s">
        <v>97</v>
      </c>
      <c r="J63" s="110"/>
      <c r="K63" s="149" t="n">
        <v>0</v>
      </c>
      <c r="L63" s="135"/>
      <c r="M63" s="136"/>
    </row>
    <row r="64" customFormat="false" ht="12.75" hidden="false" customHeight="false" outlineLevel="0" collapsed="false">
      <c r="A64" s="132"/>
      <c r="B64" s="133" t="s">
        <v>99</v>
      </c>
      <c r="C64" s="110"/>
      <c r="D64" s="149" t="n">
        <v>0</v>
      </c>
      <c r="E64" s="135"/>
      <c r="F64" s="136"/>
      <c r="H64" s="132"/>
      <c r="I64" s="133" t="s">
        <v>99</v>
      </c>
      <c r="J64" s="110"/>
      <c r="K64" s="149" t="n">
        <v>0</v>
      </c>
      <c r="L64" s="135"/>
      <c r="M64" s="136"/>
    </row>
    <row r="65" customFormat="false" ht="12.75" hidden="false" customHeight="false" outlineLevel="0" collapsed="false">
      <c r="A65" s="132" t="n">
        <v>30</v>
      </c>
      <c r="B65" s="133" t="s">
        <v>101</v>
      </c>
      <c r="C65" s="110"/>
      <c r="D65" s="149" t="n">
        <f aca="false">D62+D63-D64</f>
        <v>0</v>
      </c>
      <c r="E65" s="135"/>
      <c r="F65" s="136"/>
      <c r="H65" s="132" t="n">
        <v>30</v>
      </c>
      <c r="I65" s="133" t="s">
        <v>101</v>
      </c>
      <c r="J65" s="110"/>
      <c r="K65" s="149" t="n">
        <f aca="false">K62+K63-K64</f>
        <v>0</v>
      </c>
      <c r="L65" s="135"/>
      <c r="M65" s="136"/>
    </row>
    <row r="66" customFormat="false" ht="12.75" hidden="false" customHeight="false" outlineLevel="0" collapsed="false">
      <c r="A66" s="132"/>
      <c r="B66" s="133"/>
      <c r="C66" s="110"/>
      <c r="D66" s="149"/>
      <c r="E66" s="135"/>
      <c r="F66" s="136"/>
      <c r="H66" s="132"/>
      <c r="I66" s="133"/>
      <c r="J66" s="110"/>
      <c r="K66" s="149"/>
      <c r="L66" s="135"/>
      <c r="M66" s="136"/>
    </row>
    <row r="67" customFormat="false" ht="12.75" hidden="false" customHeight="false" outlineLevel="0" collapsed="false">
      <c r="A67" s="132" t="n">
        <v>31</v>
      </c>
      <c r="B67" s="133" t="s">
        <v>103</v>
      </c>
      <c r="C67" s="110"/>
      <c r="D67" s="149" t="n">
        <v>-1309</v>
      </c>
      <c r="E67" s="135"/>
      <c r="F67" s="136"/>
      <c r="H67" s="132" t="n">
        <v>31</v>
      </c>
      <c r="I67" s="133" t="s">
        <v>103</v>
      </c>
      <c r="J67" s="110"/>
      <c r="K67" s="149" t="n">
        <v>0</v>
      </c>
      <c r="L67" s="135"/>
      <c r="M67" s="136"/>
    </row>
    <row r="68" customFormat="false" ht="12.75" hidden="false" customHeight="false" outlineLevel="0" collapsed="false">
      <c r="A68" s="132" t="n">
        <v>34</v>
      </c>
      <c r="B68" s="133" t="s">
        <v>24</v>
      </c>
      <c r="C68" s="110"/>
      <c r="D68" s="149" t="n">
        <v>3995</v>
      </c>
      <c r="E68" s="172"/>
      <c r="F68" s="136"/>
      <c r="H68" s="132" t="n">
        <v>34</v>
      </c>
      <c r="I68" s="133" t="s">
        <v>24</v>
      </c>
      <c r="J68" s="110"/>
      <c r="K68" s="149" t="n">
        <v>0</v>
      </c>
      <c r="L68" s="172"/>
      <c r="M68" s="136"/>
    </row>
    <row r="69" customFormat="false" ht="13.5" hidden="false" customHeight="false" outlineLevel="0" collapsed="false">
      <c r="A69" s="182" t="n">
        <v>35</v>
      </c>
      <c r="B69" s="174" t="s">
        <v>104</v>
      </c>
      <c r="C69" s="175"/>
      <c r="D69" s="179" t="n">
        <v>0</v>
      </c>
      <c r="E69" s="177"/>
      <c r="F69" s="178"/>
      <c r="H69" s="182" t="n">
        <v>35</v>
      </c>
      <c r="I69" s="174" t="s">
        <v>104</v>
      </c>
      <c r="J69" s="175"/>
      <c r="K69" s="179" t="n">
        <v>0</v>
      </c>
      <c r="L69" s="177"/>
      <c r="M69" s="178"/>
    </row>
    <row r="70" customFormat="false" ht="12.75" hidden="false" customHeight="false" outlineLevel="0" collapsed="false">
      <c r="F70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3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I47" activeCellId="0" sqref="I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3.99"/>
    <col collapsed="false" customWidth="false" hidden="false" outlineLevel="0" max="2" min="2" style="87" width="9.14"/>
    <col collapsed="false" customWidth="true" hidden="false" outlineLevel="0" max="3" min="3" style="87" width="10.28"/>
    <col collapsed="false" customWidth="true" hidden="false" outlineLevel="0" max="4" min="4" style="184" width="22.99"/>
    <col collapsed="false" customWidth="true" hidden="false" outlineLevel="0" max="5" min="5" style="93" width="14.99"/>
    <col collapsed="false" customWidth="true" hidden="false" outlineLevel="0" max="6" min="6" style="87" width="11.28"/>
    <col collapsed="false" customWidth="true" hidden="false" outlineLevel="0" max="7" min="7" style="185" width="13.28"/>
    <col collapsed="false" customWidth="false" hidden="false" outlineLevel="0" max="8" min="8" style="185" width="9.14"/>
    <col collapsed="false" customWidth="true" hidden="false" outlineLevel="0" max="9" min="9" style="185" width="10.13"/>
    <col collapsed="false" customWidth="false" hidden="false" outlineLevel="0" max="10" min="10" style="87" width="9.14"/>
    <col collapsed="false" customWidth="true" hidden="false" outlineLevel="0" max="11" min="11" style="185" width="10.13"/>
    <col collapsed="false" customWidth="false" hidden="false" outlineLevel="0" max="12" min="12" style="87" width="9.14"/>
    <col collapsed="false" customWidth="true" hidden="false" outlineLevel="0" max="13" min="13" style="87" width="11.7"/>
    <col collapsed="false" customWidth="false" hidden="false" outlineLevel="0" max="257" min="14" style="87" width="9.14"/>
  </cols>
  <sheetData>
    <row r="1" customFormat="false" ht="18.75" hidden="false" customHeight="false" outlineLevel="0" collapsed="false">
      <c r="B1" s="90" t="s">
        <v>40</v>
      </c>
    </row>
    <row r="3" customFormat="false" ht="14.25" hidden="false" customHeight="false" outlineLevel="0" collapsed="false">
      <c r="B3" s="95" t="s">
        <v>115</v>
      </c>
      <c r="E3" s="186"/>
    </row>
    <row r="4" customFormat="false" ht="12.75" hidden="false" customHeight="false" outlineLevel="0" collapsed="false">
      <c r="B4" s="87" t="s">
        <v>116</v>
      </c>
      <c r="E4" s="187" t="n">
        <v>0</v>
      </c>
    </row>
    <row r="5" customFormat="false" ht="12.75" hidden="false" customHeight="false" outlineLevel="0" collapsed="false">
      <c r="A5" s="87" t="n">
        <v>24</v>
      </c>
      <c r="B5" s="87" t="s">
        <v>117</v>
      </c>
      <c r="E5" s="187" t="n">
        <v>0</v>
      </c>
      <c r="I5" s="188"/>
    </row>
    <row r="6" customFormat="false" ht="12.75" hidden="false" customHeight="false" outlineLevel="0" collapsed="false">
      <c r="A6" s="87" t="n">
        <v>24</v>
      </c>
      <c r="B6" s="87" t="s">
        <v>118</v>
      </c>
      <c r="E6" s="187" t="n">
        <v>0</v>
      </c>
      <c r="I6" s="188"/>
    </row>
    <row r="7" customFormat="false" ht="12.75" hidden="false" customHeight="false" outlineLevel="0" collapsed="false">
      <c r="A7" s="87" t="n">
        <v>24</v>
      </c>
      <c r="B7" s="87" t="s">
        <v>119</v>
      </c>
      <c r="E7" s="187" t="n">
        <v>0</v>
      </c>
      <c r="I7" s="188"/>
    </row>
    <row r="8" customFormat="false" ht="12.75" hidden="false" customHeight="false" outlineLevel="0" collapsed="false">
      <c r="A8" s="87" t="n">
        <v>25</v>
      </c>
      <c r="B8" s="87" t="s">
        <v>120</v>
      </c>
      <c r="E8" s="189" t="n">
        <v>0</v>
      </c>
      <c r="G8" s="190"/>
      <c r="H8" s="190"/>
      <c r="I8" s="188"/>
    </row>
    <row r="9" customFormat="false" ht="12.75" hidden="false" customHeight="false" outlineLevel="0" collapsed="false">
      <c r="A9" s="87" t="n">
        <v>25</v>
      </c>
      <c r="B9" s="87" t="s">
        <v>121</v>
      </c>
      <c r="E9" s="189" t="n">
        <v>0</v>
      </c>
      <c r="F9" s="185"/>
      <c r="G9" s="191"/>
      <c r="I9" s="188"/>
    </row>
    <row r="10" customFormat="false" ht="13.5" hidden="false" customHeight="false" outlineLevel="0" collapsed="false">
      <c r="B10" s="87" t="s">
        <v>122</v>
      </c>
      <c r="E10" s="192" t="n">
        <f aca="false">SUM(E4:E9)</f>
        <v>0</v>
      </c>
    </row>
    <row r="11" customFormat="false" ht="13.5" hidden="false" customHeight="false" outlineLevel="0" collapsed="false">
      <c r="E11" s="186" t="s">
        <v>40</v>
      </c>
    </row>
    <row r="12" customFormat="false" ht="12.75" hidden="false" customHeight="false" outlineLevel="0" collapsed="false">
      <c r="E12" s="186"/>
    </row>
    <row r="13" customFormat="false" ht="12.75" hidden="false" customHeight="false" outlineLevel="0" collapsed="false">
      <c r="A13" s="87" t="n">
        <v>34</v>
      </c>
      <c r="B13" s="87" t="s">
        <v>24</v>
      </c>
      <c r="E13" s="186" t="n">
        <v>0</v>
      </c>
    </row>
    <row r="14" customFormat="false" ht="12.75" hidden="false" customHeight="false" outlineLevel="0" collapsed="false">
      <c r="A14" s="87" t="n">
        <v>35</v>
      </c>
      <c r="B14" s="87" t="s">
        <v>104</v>
      </c>
      <c r="E14" s="186" t="n">
        <v>0</v>
      </c>
      <c r="J14" s="185"/>
    </row>
    <row r="15" customFormat="false" ht="12.75" hidden="false" customHeight="false" outlineLevel="0" collapsed="false">
      <c r="E15" s="186"/>
    </row>
    <row r="16" customFormat="false" ht="12.75" hidden="false" customHeight="false" outlineLevel="0" collapsed="false">
      <c r="E16" s="186"/>
    </row>
    <row r="17" customFormat="false" ht="14.25" hidden="false" customHeight="false" outlineLevel="0" collapsed="false">
      <c r="B17" s="95" t="s">
        <v>123</v>
      </c>
      <c r="E17" s="186"/>
    </row>
    <row r="18" customFormat="false" ht="12.75" hidden="false" customHeight="false" outlineLevel="0" collapsed="false">
      <c r="G18" s="193" t="n">
        <f aca="false">'Intra-EMWNSS1'!F12+'Intra-EMWNSS2'!F12+'ENRON MIDWEST P&amp;L'!E25+'ENRON MIDWEST P&amp;L'!E33+'TP-EMWNSS'!D12-'Total Financial'!F35-9289031</f>
        <v>-10361002.2551</v>
      </c>
      <c r="H18" s="87"/>
      <c r="I18" s="185" t="n">
        <v>2000000</v>
      </c>
      <c r="J18" s="185"/>
      <c r="K18" s="185" t="n">
        <v>2000000</v>
      </c>
      <c r="M18" s="185" t="n">
        <f aca="false">G18-K18-I18</f>
        <v>-14361002.2551</v>
      </c>
    </row>
    <row r="19" customFormat="false" ht="12.75" hidden="false" customHeight="false" outlineLevel="0" collapsed="false">
      <c r="A19" s="87" t="n">
        <v>40</v>
      </c>
      <c r="B19" s="87" t="s">
        <v>124</v>
      </c>
      <c r="E19" s="93" t="n">
        <f aca="false">+I19+K19+M19-G18</f>
        <v>8038801.80408</v>
      </c>
      <c r="F19" s="87" t="n">
        <v>-124999</v>
      </c>
      <c r="G19" s="186" t="n">
        <v>0</v>
      </c>
      <c r="H19" s="87"/>
      <c r="I19" s="185" t="n">
        <f aca="false">I18*0.125</f>
        <v>250000</v>
      </c>
      <c r="J19" s="185"/>
      <c r="K19" s="185" t="n">
        <f aca="false">K18*0.15</f>
        <v>300000</v>
      </c>
      <c r="M19" s="185" t="n">
        <f aca="false">M18*0.2</f>
        <v>-2872200.45102</v>
      </c>
    </row>
    <row r="20" customFormat="false" ht="12.75" hidden="false" customHeight="false" outlineLevel="0" collapsed="false">
      <c r="A20" s="87" t="n">
        <v>40</v>
      </c>
      <c r="B20" s="87" t="s">
        <v>125</v>
      </c>
      <c r="E20" s="93" t="n">
        <f aca="false">-G20*0.5</f>
        <v>-0</v>
      </c>
      <c r="G20" s="185" t="n">
        <f aca="false">+'Intra-EMWMEH'!F12</f>
        <v>0</v>
      </c>
    </row>
    <row r="21" customFormat="false" ht="12.75" hidden="false" customHeight="false" outlineLevel="0" collapsed="false">
      <c r="A21" s="87" t="n">
        <v>40</v>
      </c>
      <c r="B21" s="87" t="s">
        <v>126</v>
      </c>
      <c r="E21" s="93" t="n">
        <v>0</v>
      </c>
      <c r="F21" s="87" t="n">
        <v>10000</v>
      </c>
    </row>
    <row r="25" customFormat="false" ht="12.75" hidden="false" customHeight="false" outlineLevel="0" collapsed="false">
      <c r="B25" s="87" t="s">
        <v>127</v>
      </c>
    </row>
    <row r="26" customFormat="false" ht="12.75" hidden="false" customHeight="false" outlineLevel="0" collapsed="false">
      <c r="C26" s="87" t="s">
        <v>128</v>
      </c>
      <c r="D26" s="184" t="s">
        <v>40</v>
      </c>
      <c r="E26" s="93" t="n">
        <v>0</v>
      </c>
    </row>
    <row r="27" customFormat="false" ht="12.75" hidden="false" customHeight="false" outlineLevel="0" collapsed="false">
      <c r="C27" s="87" t="s">
        <v>129</v>
      </c>
      <c r="E27" s="111" t="n">
        <v>0</v>
      </c>
    </row>
    <row r="28" customFormat="false" ht="12.75" hidden="false" customHeight="false" outlineLevel="0" collapsed="false">
      <c r="E28" s="93" t="n">
        <f aca="false">SUM(E26:E27)</f>
        <v>0</v>
      </c>
    </row>
    <row r="30" customFormat="false" ht="12.75" hidden="false" customHeight="false" outlineLevel="0" collapsed="false">
      <c r="B30" s="87" t="s">
        <v>130</v>
      </c>
      <c r="E30" s="187" t="n">
        <v>-61633</v>
      </c>
    </row>
    <row r="31" customFormat="false" ht="12.75" hidden="false" customHeight="false" outlineLevel="0" collapsed="false">
      <c r="B31" s="87" t="s">
        <v>131</v>
      </c>
      <c r="E31" s="187" t="n">
        <v>0</v>
      </c>
    </row>
    <row r="32" customFormat="false" ht="12.75" hidden="false" customHeight="false" outlineLevel="0" collapsed="false">
      <c r="B32" s="87" t="s">
        <v>132</v>
      </c>
      <c r="E32" s="187" t="n">
        <v>-82396</v>
      </c>
    </row>
    <row r="33" customFormat="false" ht="12.75" hidden="false" customHeight="false" outlineLevel="0" collapsed="false">
      <c r="B33" s="87" t="s">
        <v>133</v>
      </c>
      <c r="E33" s="187" t="n">
        <v>-3640</v>
      </c>
    </row>
    <row r="35" customFormat="false" ht="12.75" hidden="false" customHeight="false" outlineLevel="0" collapsed="false">
      <c r="B35" s="87" t="s">
        <v>134</v>
      </c>
      <c r="E35" s="187" t="n">
        <v>-4973</v>
      </c>
    </row>
    <row r="36" customFormat="false" ht="12.75" hidden="false" customHeight="false" outlineLevel="0" collapsed="false">
      <c r="B36" s="87" t="s">
        <v>135</v>
      </c>
      <c r="E36" s="187" t="n">
        <v>0</v>
      </c>
    </row>
    <row r="37" customFormat="false" ht="12.75" hidden="false" customHeight="false" outlineLevel="0" collapsed="false">
      <c r="B37" s="87" t="s">
        <v>136</v>
      </c>
      <c r="E37" s="187" t="n">
        <v>-45195</v>
      </c>
    </row>
    <row r="38" customFormat="false" ht="12.75" hidden="false" customHeight="false" outlineLevel="0" collapsed="false">
      <c r="B38" s="87" t="s">
        <v>137</v>
      </c>
      <c r="E38" s="187" t="n">
        <v>-260</v>
      </c>
    </row>
    <row r="40" customFormat="false" ht="13.5" hidden="false" customHeight="false" outlineLevel="0" collapsed="false"/>
    <row r="41" customFormat="false" ht="12.75" hidden="false" customHeight="false" outlineLevel="0" collapsed="false">
      <c r="D41" s="194" t="s">
        <v>138</v>
      </c>
      <c r="E41" s="194"/>
    </row>
    <row r="42" customFormat="false" ht="12.75" hidden="false" customHeight="false" outlineLevel="0" collapsed="false">
      <c r="D42" s="195" t="s">
        <v>61</v>
      </c>
      <c r="E42" s="196" t="n">
        <v>-53928</v>
      </c>
    </row>
    <row r="43" customFormat="false" ht="13.5" hidden="false" customHeight="false" outlineLevel="0" collapsed="false">
      <c r="D43" s="197" t="s">
        <v>139</v>
      </c>
      <c r="E43" s="198" t="n">
        <v>-3187</v>
      </c>
    </row>
  </sheetData>
  <mergeCells count="1">
    <mergeCell ref="D41:E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1997-05-01T19:46:36Z</dcterms:created>
  <dc:creator>Sebastien Bouvier</dc:creator>
  <dc:description/>
  <dc:language>en-US</dc:language>
  <cp:lastModifiedBy>kradous</cp:lastModifiedBy>
  <cp:lastPrinted>2000-09-05T13:06:38Z</cp:lastPrinted>
  <cp:revision>0</cp:revision>
  <dc:subject/>
  <dc:title/>
</cp:coreProperties>
</file>