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comments11.xml" ContentType="application/vnd.openxmlformats-officedocument.spreadsheetml.comment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Prior ENA Teams QTD Mgmt Summ" sheetId="2" state="hidden" r:id="rId4"/>
    <sheet name="QTD Mgmt Summary" sheetId="3" state="visible" r:id="rId5"/>
    <sheet name="Mgmt Summary" sheetId="4" state="visible" r:id="rId6"/>
    <sheet name="GM-WeeklyChnge" sheetId="5" state="visible" r:id="rId7"/>
    <sheet name="GrossMargin" sheetId="6" state="visible" r:id="rId8"/>
    <sheet name="Expenses" sheetId="7" state="visible" r:id="rId9"/>
    <sheet name="Expense Weekly Change" sheetId="8" state="hidden" r:id="rId10"/>
    <sheet name="CapChrg-AllocExp" sheetId="9" state="visible" r:id="rId11"/>
    <sheet name="IntIncome-Expense" sheetId="10" state="visible" r:id="rId12"/>
    <sheet name="Headcount" sheetId="11" state="hidden" r:id="rId13"/>
  </sheets>
  <externalReferences>
    <externalReference r:id="rId14"/>
    <externalReference r:id="rId15"/>
    <externalReference r:id="rId16"/>
  </externalReferences>
  <definedNames>
    <definedName function="false" hidden="false" localSheetId="8" name="_xlnm.Print_Area" vbProcedure="false">'CapChrg-AllocExp'!$B$2:$P$32</definedName>
    <definedName function="false" hidden="false" localSheetId="7" name="_xlnm.Print_Area" vbProcedure="false">'Expense Weekly Change'!$A$2:$J$40</definedName>
    <definedName function="false" hidden="false" localSheetId="6" name="_xlnm.Print_Area" vbProcedure="false">Expenses!$B$2:$K$39</definedName>
    <definedName function="false" hidden="false" localSheetId="4" name="_xlnm.Print_Area" vbProcedure="false">'GM-WeeklyChnge'!$A$1:$K$39</definedName>
    <definedName function="false" hidden="false" localSheetId="5" name="_xlnm.Print_Area" vbProcedure="false">GrossMargin!$B$2:$N$41</definedName>
    <definedName function="false" hidden="false" localSheetId="10" name="_xlnm.Print_Area" vbProcedure="false">Headcount!$B$1:$N$19</definedName>
    <definedName function="false" hidden="false" localSheetId="9" name="_xlnm.Print_Area" vbProcedure="false">'IntIncome-Expense'!$1:$65536</definedName>
    <definedName function="false" hidden="false" localSheetId="3" name="_xlnm.Print_Area" vbProcedure="false">'Mgmt Summary'!$A$1:$V$43</definedName>
    <definedName function="false" hidden="false" localSheetId="1" name="_xlnm.Print_Area" vbProcedure="false">'Prior ENA Teams QTD Mgmt Summ'!$A$1:$Q$27</definedName>
    <definedName function="false" hidden="false" localSheetId="2" name="_xlnm.Print_Area" vbProcedure="false">'QTD Mgmt Summary'!$A$1:$Q$40</definedName>
    <definedName function="false" hidden="false" localSheetId="0" name="_xlnm.Print_Area" vbProcedure="false">'YTD Mgmt Summary'!$A$1:$V$32</definedName>
    <definedName function="false" hidden="false" name="CriteriaAll" vbProcedure="false">'[3]Mgmt Summary'!$A$11:$A$13</definedName>
    <definedName function="false" hidden="false" name="CriteriaForUK" vbProcedure="false">'[3]Mgmt Summary'!$A$16:$A$17</definedName>
    <definedName function="false" hidden="false" name="DealMakerTable" vbProcedure="false">'[3]Mgmt Summary'!$B$2:$C$105</definedName>
    <definedName function="false" hidden="false" name="Excel_BuiltIn_Criteria" vbProcedure="false">'[3]Mgmt Summary'!$A$5:$A$6</definedName>
    <definedName function="false" hidden="false" name="HedgeNames" vbProcedure="false">'[3]Mgmt Summary'!$E$92:$E$129</definedName>
    <definedName function="false" hidden="false" name="HedgeUsedMarketValue" vbProcedure="false">'[3]Mgmt Summary'!$G$92:$G$129</definedName>
    <definedName function="false" hidden="false" name="Hedge_Beta" vbProcedure="false">'[3]Mgmt Summary'!$AS$388:$AT$740</definedName>
    <definedName function="false" hidden="false" name="Hedge_Daily_P_L" vbProcedure="false">'[3]Mgmt Summary'!$I$92:$I$129</definedName>
    <definedName function="false" hidden="false" name="Hedge_QTD_P_L" vbProcedure="false">'[3]Mgmt Summary'!$J$92:$J$129</definedName>
    <definedName function="false" hidden="false" name="IndexLivePercentChange" vbProcedure="false">'[3]Mgmt Summary'!$S$60:$S$87</definedName>
    <definedName function="false" hidden="false" name="IndexSummaryTable" vbProcedure="false">'[3]Mgmt Summary'!$A$1:$I$26</definedName>
    <definedName function="false" hidden="false" name="IndexTags" vbProcedure="false">'[3]Mgmt Summary'!$F$60:$F$87</definedName>
    <definedName function="false" hidden="false" name="IndexValues" vbProcedure="false">'[3]Mgmt Summary'!$E$58:$S$87</definedName>
    <definedName function="false" hidden="false" name="NAMEECM_Non_SLP_Total" vbProcedure="false">'[3]Mgmt Summary'!$H$4:$H$18</definedName>
    <definedName function="false" hidden="false" name="NAMEECM_SLP_Total" vbProcedure="false">'[3]Mgmt Summary'!$G$4:$G$18</definedName>
    <definedName function="false" hidden="false" name="NAMEEnron_Asia_Pacific_Total" vbProcedure="false">'[3]Mgmt Summary'!$K$4:$K$18</definedName>
    <definedName function="false" hidden="false" name="NAMEEnron_Broadband_Svcs__Total" vbProcedure="false">'[3]Mgmt Summary'!$O$4:$O$18</definedName>
    <definedName function="false" hidden="false" name="NAMEEnron_CALME_Total" vbProcedure="false">'[3]Mgmt Summary'!$J$4:$J$18</definedName>
    <definedName function="false" hidden="false" name="NAMEEnron_Corp__Total" vbProcedure="false">'[3]Mgmt Summary'!$I$4:$I$18</definedName>
    <definedName function="false" hidden="false" name="NAMEEnron_Europe_Total" vbProcedure="false">'[3]Mgmt Summary'!$N$4:$N$18</definedName>
    <definedName function="false" hidden="false" name="NAMEEnron_NA_Accrual_Income" vbProcedure="false">'[3]Mgmt Summary'!$F$4:$F$18</definedName>
    <definedName function="false" hidden="false" name="NAMEEnron_NA_Funding_Cost" vbProcedure="false">'[3]Mgmt Summary'!$E$4:$E$18</definedName>
    <definedName function="false" hidden="false" name="NAMEEnron_NA_Int_l_Total" vbProcedure="false">'[3]Mgmt Summary'!$M$4:$M$18</definedName>
    <definedName function="false" hidden="false" name="NAMEEnron_NA_Total" vbProcedure="false">'[3]Mgmt Summary'!$C$4:$C$18</definedName>
    <definedName function="false" hidden="false" name="NAMEEnron_Networks_Total" vbProcedure="false">'[3]Mgmt Summary'!$P$4:$P$18</definedName>
    <definedName function="false" hidden="false" name="NAMEEnron_South_America_Total" vbProcedure="false">'[3]Mgmt Summary'!$L$4:$L$18</definedName>
    <definedName function="false" hidden="false" name="NAMEGrand_Total" vbProcedure="false">'[3]Mgmt Summary'!$Q$4:$Q$18</definedName>
    <definedName function="false" hidden="false" name="NAMEPortfolio_Insurance" vbProcedure="false">'[3]Mgmt Summary'!$D$4:$D$18</definedName>
    <definedName function="false" hidden="false" name="nr_Mgmt_Summary" vbProcedure="false">'QTD Mgmt Summary'!$A$1:$M$40</definedName>
    <definedName function="false" hidden="false" name="PL_Date" vbProcedure="false">'[3]Mgmt Summary'!$V$53</definedName>
    <definedName function="false" hidden="false" name="Position" vbProcedure="false">'[3]Mgmt Summary'!$A$1:$AE$346</definedName>
    <definedName function="false" hidden="false" name="PricingTypeOptions" vbProcedure="false">'[3]Mgmt Summary'!$B$6:$B$10</definedName>
    <definedName function="false" hidden="false" name="Pricing_Type_Options" vbProcedure="false">'[3]Mgmt Summary'!$A$5:$B$9</definedName>
    <definedName function="false" hidden="false" name="StockPriceTable" vbProcedure="false">'[3]Mgmt Summary'!$F$18:$N$55</definedName>
    <definedName function="false" hidden="false" name="SummaryPivotPoint" vbProcedure="false">'[3]Mgmt Summary'!$A$452</definedName>
    <definedName function="false" hidden="false" name="Z_83874C97_8BB7_11D2_9732_00104B678AA7__wvu_Cols" vbProcedure="false">'[3]Mgmt Summary'!$A$1:$A$1048576,'[3]Mgmt Summary'!$I$1:$R$1048576,'[3]Mgmt Summary'!$W$1:$Y$1048576,'[3]Mgmt Summary'!$AM$1:$AO$1048576</definedName>
    <definedName function="false" hidden="false" name="Z_83874C97_8BB7_11D2_9732_00104B678AA7__wvu_PrintArea" vbProcedure="false">'[3]Mgmt Summary'!$B$1:$BE$346</definedName>
    <definedName function="false" hidden="false" name="Z_83874C97_8BB7_11D2_9732_00104B678AA7__wvu_PrintTitles" vbProcedure="false">'[3]Mgmt Summary'!$A$51:$XFD$53</definedName>
    <definedName function="false" hidden="false" localSheetId="1" name="nr_Mgmt_Summary" vbProcedure="false">'Prior ENA Teams QTD Mgmt Summ'!$A$1:$M$27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35</xdr:row>
                <xdr:rowOff>0</xdr:rowOff>
              </xdr:from>
              <xdr:to>
                <xdr:col>9</xdr:col>
                <xdr:colOff>60</xdr:colOff>
                <xdr:row>46</xdr:row>
                <xdr:rowOff>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November and December activity only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16</xdr:colOff>
                <xdr:row>20</xdr:row>
                <xdr:rowOff>8</xdr:rowOff>
              </xdr:from>
              <xdr:to>
                <xdr:col>6</xdr:col>
                <xdr:colOff>23</xdr:colOff>
                <xdr:row>23</xdr:row>
                <xdr:rowOff>4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excludes trading margin related to $100K Spot Sales, $300K Fuel Mgmt and $188K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60</xdr:colOff>
                <xdr:row>28</xdr:row>
                <xdr:rowOff>12</xdr:rowOff>
              </xdr:from>
              <xdr:to>
                <xdr:col>11</xdr:col>
                <xdr:colOff>3</xdr:colOff>
                <xdr:row>34</xdr:row>
                <xdr:rowOff>10</xdr:rowOff>
              </xdr:to>
            </anchor>
          </commentPr>
        </mc:Choice>
        <mc:Fallback/>
      </mc:AlternateContent>
    </commen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Total LPG              ($1,790)
Total EcoElectrica (</t>
        </r>
        <r>
          <rPr>
            <u val="single"/>
            <sz val="8"/>
            <color rgb="FF000000"/>
            <rFont val="Tahoma"/>
            <family val="2"/>
          </rPr>
          <t xml:space="preserve">$1,299)
</t>
        </r>
        <r>
          <rPr>
            <sz val="8"/>
            <color rgb="FF000000"/>
            <rFont val="Tahoma"/>
            <family val="2"/>
          </rPr>
          <t xml:space="preserve">                             ($3,089)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10</xdr:rowOff>
              </xdr:from>
              <xdr:to>
                <xdr:col>10</xdr:col>
                <xdr:colOff>4</xdr:colOff>
                <xdr:row>43</xdr:row>
                <xdr:rowOff>15</xdr:rowOff>
              </xdr:to>
            </anchor>
          </commentPr>
        </mc:Choice>
        <mc:Fallback/>
      </mc:AlternateContent>
    </comment>
    <comment ref="G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
per A. Beltri @ 10/13/00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42</xdr:row>
                <xdr:rowOff>10</xdr:rowOff>
              </xdr:from>
              <xdr:to>
                <xdr:col>11</xdr:col>
                <xdr:colOff>61</xdr:colOff>
                <xdr:row>45</xdr:row>
                <xdr:rowOff>5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
Add Convert Trade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28</xdr:colOff>
                <xdr:row>23</xdr:row>
                <xdr:rowOff>2</xdr:rowOff>
              </xdr:from>
              <xdr:to>
                <xdr:col>16</xdr:col>
                <xdr:colOff>4</xdr:colOff>
                <xdr:row>32</xdr:row>
                <xdr:rowOff>4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$1159 margin plan less 
$15K cap charge plan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31</xdr:row>
                <xdr:rowOff>7</xdr:rowOff>
              </xdr:from>
              <xdr:to>
                <xdr:col>15</xdr:col>
                <xdr:colOff>20</xdr:colOff>
                <xdr:row>38</xdr:row>
                <xdr:rowOff>2</xdr:rowOff>
              </xdr:to>
            </anchor>
          </commentPr>
        </mc:Choice>
        <mc:Fallback/>
      </mc:AlternateContent>
    </comment>
    <comment ref="M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34</xdr:row>
                <xdr:rowOff>9</xdr:rowOff>
              </xdr:from>
              <xdr:to>
                <xdr:col>15</xdr:col>
                <xdr:colOff>57</xdr:colOff>
                <xdr:row>38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
Less Drift                ($1.0MM)
Add Convertible Trd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13</xdr:row>
                <xdr:rowOff>8</xdr:rowOff>
              </xdr:from>
              <xdr:to>
                <xdr:col>17</xdr:col>
                <xdr:colOff>7</xdr:colOff>
                <xdr:row>17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<sst xmlns="http://schemas.openxmlformats.org/spreadsheetml/2006/main" count="502" uniqueCount="156">
  <si>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</si>
  <si>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</si>
  <si>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</si>
  <si>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</si>
  <si>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</si>
  <si>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</si>
  <si>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</si>
  <si>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</si>
  <si>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</si>
  <si>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</si>
  <si>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</si>
  <si>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</si>
  <si>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</si>
  <si>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</si>
  <si>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</si>
  <si>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</si>
  <si>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</si>
  <si>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</si>
  <si>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</si>
  <si>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</si>
  <si>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</si>
  <si>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</si>
  <si>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</si>
  <si>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</si>
  <si>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</si>
  <si>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</si>
  <si>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</si>
  <si>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</si>
  <si>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</si>
  <si>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</si>
  <si>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</si>
  <si>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</si>
  <si>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</si>
  <si>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</si>
  <si>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</si>
  <si>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</si>
  <si>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</si>
  <si>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</si>
  <si>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</si>
  <si>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</si>
  <si>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</si>
  <si>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</si>
  <si>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</si>
  <si>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Weekly Forecast Change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</si>
  <si>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</si>
  <si>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</si>
  <si>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Group Support Cost</t>
  </si>
  <si>
    <t xml:space="preserve">Support Cost Allocated to Teams</t>
  </si>
  <si>
    <t xml:space="preserve">(1) Includes Capital Charge &amp; Operating, Direct, and Allocated Expenses</t>
  </si>
  <si>
    <t xml:space="preserve">does not include group bonus from ENA</t>
  </si>
  <si>
    <t xml:space="preserve">Weekly Change - Fav / (Unfav)</t>
  </si>
  <si>
    <t xml:space="preserve">Transportation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</si>
  <si>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</si>
  <si>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</si>
  <si>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</si>
  <si>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</si>
  <si>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</si>
  <si>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</si>
  <si>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</si>
  <si>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</si>
  <si>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</si>
  <si>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</si>
  <si>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</si>
  <si>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</si>
  <si>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</si>
  <si>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</si>
  <si>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</si>
  <si>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</si>
  <si>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</si>
  <si>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</si>
  <si>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</si>
  <si>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4TH QUARTER 2000 EARNINGS ESTIMATE</t>
  </si>
  <si>
    <t xml:space="preserve">Results based on activity through December 14, 2000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</si>
  <si>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</si>
  <si>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</si>
  <si>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</si>
  <si>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</si>
  <si>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</si>
  <si>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</si>
  <si>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</si>
  <si>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</si>
  <si>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</si>
  <si>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</si>
  <si>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</si>
  <si>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</si>
  <si>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Commercial Change</t>
  </si>
  <si>
    <t xml:space="preserve">Subtotal LNG / ME / PR Change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</si>
  <si>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</si>
  <si>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</si>
  <si>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</si>
  <si>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</si>
  <si>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</si>
  <si>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</si>
  <si>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</si>
  <si>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</si>
  <si>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</si>
  <si>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</si>
  <si>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</si>
  <si>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</si>
  <si>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</si>
  <si>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</si>
  <si>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</si>
  <si>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</si>
  <si>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</si>
  <si>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</si>
  <si>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</si>
  <si>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</si>
  <si>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McKinsey study exp xfer to Transportation; Employee exp &amp; other allocations</t>
  </si>
  <si>
    <t xml:space="preserve">Nox Tech R&amp;D Project</t>
  </si>
  <si>
    <t xml:space="preserve">Employee cost and EEX legal</t>
  </si>
  <si>
    <t xml:space="preserve">McKinsey study; Diamond Tech study</t>
  </si>
  <si>
    <t xml:space="preserve">Subtotal</t>
  </si>
  <si>
    <t xml:space="preserve">Development expenses over plan</t>
  </si>
  <si>
    <t xml:space="preserve">Increase in overhead cost; Write off UAE Atlantis Project</t>
  </si>
  <si>
    <t xml:space="preserve">Development expenses under plan</t>
  </si>
  <si>
    <t xml:space="preserve">Unplanned IT and legal expenses</t>
  </si>
  <si>
    <t xml:space="preserve">Operating Expenses</t>
  </si>
  <si>
    <t xml:space="preserve">4TH QUARTER 2000 EXPENSES - WEEKLY CHANGE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</si>
  <si>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</si>
  <si>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</si>
  <si>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</si>
  <si>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</si>
  <si>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</si>
  <si>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</si>
  <si>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</si>
  <si>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Cap Charge Offset</t>
  </si>
  <si>
    <t xml:space="preserve">Group Allocated to Teams</t>
  </si>
  <si>
    <t xml:space="preserve">4TH QTR 2000 INTEREST (INCOME) / EXPENSE</t>
  </si>
  <si>
    <t xml:space="preserve">Liquids Corp Interest Expense</t>
  </si>
  <si>
    <t xml:space="preserve">Subtotal Liquids</t>
  </si>
  <si>
    <t xml:space="preserve">Coal Capital Charge</t>
  </si>
  <si>
    <t xml:space="preserve">Subtotal Coal</t>
  </si>
  <si>
    <t xml:space="preserve">LNG Capital Charge</t>
  </si>
  <si>
    <t xml:space="preserve">Subtotal LNG</t>
  </si>
  <si>
    <t xml:space="preserve">Middle East Capital Charge</t>
  </si>
  <si>
    <t xml:space="preserve">Subtotal Middle East</t>
  </si>
  <si>
    <t xml:space="preserve">PR- Interest Expense in San Juan Gas</t>
  </si>
  <si>
    <t xml:space="preserve">PR - Pref Stock Dividend - Big Eco</t>
  </si>
  <si>
    <t xml:space="preserve">PR - Interest Income - Big Eco</t>
  </si>
  <si>
    <t xml:space="preserve">PR - Interest Income - Little Eco</t>
  </si>
  <si>
    <t xml:space="preserve">Puerto Rico Capital Charge</t>
  </si>
  <si>
    <t xml:space="preserve">Subtotal Puerto Rico</t>
  </si>
  <si>
    <t xml:space="preserve">Total Interest (Income) / Expense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</si>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</sst>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9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4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83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432360</xdr:colOff>
      <xdr:row>1</xdr:row>
      <xdr:rowOff>47520</xdr:rowOff>
    </xdr:from>
    <xdr:to>
      <xdr:col>8</xdr:col>
      <xdr:colOff>614520</xdr:colOff>
      <xdr:row>2</xdr:row>
      <xdr:rowOff>171000</xdr:rowOff>
    </xdr:to>
    <xdr:sp>
      <xdr:nvSpPr>
        <xdr:cNvPr id="17" name="Text 2"/>
        <xdr:cNvSpPr/>
      </xdr:nvSpPr>
      <xdr:spPr>
        <a:xfrm>
          <a:off x="5049360" y="47520"/>
          <a:ext cx="1620360" cy="323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1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2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3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5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7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8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9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1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6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20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</sheetNames>
    <sheetDataSet>
      <sheetData sheetId="0"/>
      <sheetData sheetId="1"/>
      <sheetData sheetId="2">
        <row r="8">
          <cell r="C8">
            <v>-12282.617</v>
          </cell>
        </row>
        <row r="8">
          <cell r="G8">
            <v>14692</v>
          </cell>
        </row>
        <row r="9">
          <cell r="C9">
            <v>7127.70231</v>
          </cell>
        </row>
        <row r="9">
          <cell r="G9">
            <v>4677.9</v>
          </cell>
        </row>
        <row r="10">
          <cell r="C10">
            <v>6768</v>
          </cell>
        </row>
        <row r="10">
          <cell r="G10">
            <v>1698.6</v>
          </cell>
        </row>
        <row r="11">
          <cell r="C11">
            <v>3217</v>
          </cell>
        </row>
        <row r="11">
          <cell r="G11">
            <v>1714.8</v>
          </cell>
        </row>
        <row r="12">
          <cell r="C12">
            <v>0</v>
          </cell>
        </row>
        <row r="12">
          <cell r="G12">
            <v>1929.5</v>
          </cell>
        </row>
        <row r="13">
          <cell r="C13">
            <v>125.493</v>
          </cell>
        </row>
        <row r="13">
          <cell r="G13">
            <v>1807.141</v>
          </cell>
        </row>
        <row r="14">
          <cell r="C14">
            <v>0</v>
          </cell>
        </row>
        <row r="14">
          <cell r="G14">
            <v>1525</v>
          </cell>
        </row>
        <row r="15">
          <cell r="C15">
            <v>0</v>
          </cell>
        </row>
        <row r="15">
          <cell r="G15">
            <v>0</v>
          </cell>
        </row>
        <row r="16">
          <cell r="C16">
            <v>0</v>
          </cell>
        </row>
        <row r="16">
          <cell r="G16">
            <v>750</v>
          </cell>
        </row>
        <row r="20">
          <cell r="C20">
            <v>86</v>
          </cell>
        </row>
        <row r="20">
          <cell r="G20">
            <v>2776</v>
          </cell>
        </row>
        <row r="21">
          <cell r="C21">
            <v>132</v>
          </cell>
        </row>
        <row r="21">
          <cell r="G21">
            <v>3221</v>
          </cell>
        </row>
        <row r="22">
          <cell r="C22">
            <v>-3089</v>
          </cell>
        </row>
        <row r="22">
          <cell r="G22">
            <v>1056</v>
          </cell>
        </row>
        <row r="29">
          <cell r="C29">
            <v>0</v>
          </cell>
        </row>
        <row r="29">
          <cell r="G29">
            <v>30934.942</v>
          </cell>
        </row>
        <row r="30">
          <cell r="C30">
            <v>0</v>
          </cell>
        </row>
        <row r="30">
          <cell r="G30">
            <v>-12450.415</v>
          </cell>
        </row>
        <row r="31">
          <cell r="C31">
            <v>-520</v>
          </cell>
        </row>
        <row r="31">
          <cell r="G31">
            <v>0</v>
          </cell>
        </row>
        <row r="32">
          <cell r="C32">
            <v>0</v>
          </cell>
        </row>
        <row r="32">
          <cell r="G32">
            <v>-1213</v>
          </cell>
        </row>
        <row r="36">
          <cell r="C36">
            <v>0</v>
          </cell>
        </row>
        <row r="36">
          <cell r="G36">
            <v>2049</v>
          </cell>
        </row>
        <row r="38">
          <cell r="G38">
            <v>55168.468</v>
          </cell>
        </row>
      </sheetData>
      <sheetData sheetId="3"/>
      <sheetData sheetId="4"/>
      <sheetData sheetId="5">
        <row r="10">
          <cell r="D10">
            <v>-12153</v>
          </cell>
          <cell r="E10">
            <v>0</v>
          </cell>
          <cell r="F10">
            <v>0</v>
          </cell>
          <cell r="G10">
            <v>-129.617</v>
          </cell>
          <cell r="H10">
            <v>0</v>
          </cell>
        </row>
        <row r="10">
          <cell r="K10">
            <v>0</v>
          </cell>
        </row>
        <row r="11">
          <cell r="D11">
            <v>6915</v>
          </cell>
          <cell r="E11">
            <v>132.97831</v>
          </cell>
          <cell r="F11">
            <v>79.724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6768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3217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-427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-820.507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1476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-87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38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-54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0</v>
          </cell>
        </row>
        <row r="28">
          <cell r="D28">
            <v>0</v>
          </cell>
          <cell r="E28">
            <v>0</v>
          </cell>
          <cell r="F28">
            <v>86</v>
          </cell>
          <cell r="G28">
            <v>0</v>
          </cell>
          <cell r="H28">
            <v>0</v>
          </cell>
        </row>
        <row r="28">
          <cell r="K28">
            <v>0</v>
          </cell>
        </row>
        <row r="29">
          <cell r="D29">
            <v>0</v>
          </cell>
          <cell r="E29">
            <v>0</v>
          </cell>
          <cell r="F29">
            <v>132</v>
          </cell>
          <cell r="G29">
            <v>0</v>
          </cell>
          <cell r="H29">
            <v>0</v>
          </cell>
        </row>
        <row r="30">
          <cell r="D30">
            <v>0</v>
          </cell>
          <cell r="E30">
            <v>0</v>
          </cell>
          <cell r="F30">
            <v>-3089</v>
          </cell>
          <cell r="G30">
            <v>0</v>
          </cell>
          <cell r="H30">
            <v>0</v>
          </cell>
        </row>
        <row r="30">
          <cell r="K30">
            <v>0</v>
          </cell>
        </row>
        <row r="32">
          <cell r="J32">
            <v>0</v>
          </cell>
          <cell r="K32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-520</v>
          </cell>
          <cell r="H37">
            <v>0</v>
          </cell>
        </row>
        <row r="39">
          <cell r="I39">
            <v>1564.57831</v>
          </cell>
        </row>
      </sheetData>
      <sheetData sheetId="6">
        <row r="9">
          <cell r="D9">
            <v>6246</v>
          </cell>
          <cell r="E9">
            <v>6246</v>
          </cell>
        </row>
        <row r="10">
          <cell r="D10">
            <v>2059.7</v>
          </cell>
          <cell r="E10">
            <v>2439.7</v>
          </cell>
        </row>
        <row r="11">
          <cell r="D11">
            <v>1424.1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1893.5</v>
          </cell>
          <cell r="E13">
            <v>1643.5</v>
          </cell>
        </row>
        <row r="14">
          <cell r="D14">
            <v>896.126</v>
          </cell>
          <cell r="E14">
            <v>896.126</v>
          </cell>
        </row>
        <row r="15">
          <cell r="D15">
            <v>1525</v>
          </cell>
          <cell r="E15">
            <v>0</v>
          </cell>
        </row>
        <row r="16">
          <cell r="D16">
            <v>750</v>
          </cell>
          <cell r="E16">
            <v>0</v>
          </cell>
        </row>
        <row r="20">
          <cell r="D20">
            <v>2873</v>
          </cell>
          <cell r="E20">
            <v>1385</v>
          </cell>
        </row>
        <row r="21">
          <cell r="D21">
            <v>2569</v>
          </cell>
          <cell r="E21">
            <v>1536</v>
          </cell>
        </row>
        <row r="22">
          <cell r="D22">
            <v>1056</v>
          </cell>
          <cell r="E22">
            <v>1601</v>
          </cell>
        </row>
        <row r="29">
          <cell r="D29">
            <v>30934.942</v>
          </cell>
          <cell r="E29">
            <v>30334.942</v>
          </cell>
        </row>
        <row r="30">
          <cell r="D30">
            <v>0</v>
          </cell>
          <cell r="E30">
            <v>0</v>
          </cell>
        </row>
        <row r="35">
          <cell r="D35" t="str">
            <v>Operating Expenses</v>
          </cell>
        </row>
        <row r="36">
          <cell r="D36" t="str">
            <v>Forecast</v>
          </cell>
          <cell r="E36" t="str">
            <v>Plan</v>
          </cell>
        </row>
        <row r="37">
          <cell r="D37">
            <v>0</v>
          </cell>
          <cell r="E37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36346.189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36346.189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-4855.55435718841</v>
      </c>
      <c r="P9" s="26"/>
      <c r="Q9" s="25" t="n">
        <f aca="false">+J9-C9</f>
        <v>-43653.811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-44254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14990.27492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14990.27492</v>
      </c>
      <c r="K10" s="29"/>
      <c r="L10" s="25" t="n">
        <f aca="false">+'[2]Mgmt Summary'!L10+'[3]Mgmt Summary'!L10+'Mgmt Summary'!L10</f>
        <v>1918.5</v>
      </c>
      <c r="M10" s="26" t="n">
        <f aca="false">+'[2]Mgmt Summary'!M10+'[3]Mgmt Summary'!M10+'Mgmt Summary'!M10</f>
        <v>9281.6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3563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3563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12565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12565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29377.013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47739.7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47739.7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3852.926</v>
      </c>
      <c r="N14" s="26" t="n">
        <f aca="false">+'[2]Mgmt Summary'!N14+'[3]Mgmt Summary'!N14+'Mgmt Summary'!N14</f>
        <v>4273.015</v>
      </c>
      <c r="O14" s="28" t="e">
        <f aca="false">J14-K14-M14-N14-L14</f>
        <v>#NAME?</v>
      </c>
      <c r="P14" s="26"/>
      <c r="Q14" s="25" t="n">
        <f aca="false">+J14-C14</f>
        <v>18362.687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Summary'!C16</f>
        <v>10100</v>
      </c>
      <c r="D15" s="26" t="n">
        <f aca="false">+'[2]Mgmt Summary'!D16+'[3]Mgmt Summary'!D16+'Mgmt Summary'!D16</f>
        <v>0</v>
      </c>
      <c r="E15" s="27" t="n">
        <f aca="false">C15-D15</f>
        <v>10100</v>
      </c>
      <c r="F15" s="26"/>
      <c r="G15" s="25" t="n">
        <f aca="false">+'[2]Mgmt Summary'!G16+'[3]Mgmt Summary'!G16+'Mgmt Summary'!G16</f>
        <v>0</v>
      </c>
      <c r="H15" s="26" t="n">
        <f aca="false">+'[2]Mgmt Summary'!H16+'[3]Mgmt Summary'!H16+'Mgmt Summary'!H16</f>
        <v>0</v>
      </c>
      <c r="I15" s="26" t="n">
        <f aca="false">+'[2]Mgmt Summary'!I16+'[3]Mgmt Summary'!I16+'Mgmt Summary'!I16</f>
        <v>0</v>
      </c>
      <c r="J15" s="28" t="n">
        <f aca="false">SUM(G15:I15)</f>
        <v>0</v>
      </c>
      <c r="K15" s="29"/>
      <c r="L15" s="25" t="n">
        <f aca="false">+'[2]Mgmt Summary'!L16+'[3]Mgmt Summary'!L16+'Mgmt Summary'!L16</f>
        <v>0</v>
      </c>
      <c r="M15" s="26" t="n">
        <f aca="false">+'[2]Mgmt Summary'!M16+'[3]Mgmt Summary'!M16+'Mgmt Summary'!M16</f>
        <v>0</v>
      </c>
      <c r="N15" s="26" t="n">
        <f aca="false">+'[2]Mgmt Summary'!N16+'[3]Mgmt Summary'!N16+'Mgmt Summary'!N16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Summary'!C17</f>
        <v>0</v>
      </c>
      <c r="D16" s="26" t="n">
        <f aca="false">+'[2]Mgmt Summary'!D17+'[3]Mgmt Summary'!D17+'Mgmt Summary'!D17</f>
        <v>0</v>
      </c>
      <c r="E16" s="27" t="n">
        <f aca="false">C16-D16</f>
        <v>0</v>
      </c>
      <c r="F16" s="26"/>
      <c r="G16" s="25" t="n">
        <f aca="false">+'[2]Mgmt Summary'!G17+'[3]Mgmt Summary'!G17+'Mgmt Summary'!G17</f>
        <v>0</v>
      </c>
      <c r="H16" s="26" t="n">
        <f aca="false">+'[2]Mgmt Summary'!H17+'[3]Mgmt Summary'!H17+'Mgmt Summary'!H17</f>
        <v>0</v>
      </c>
      <c r="I16" s="26" t="n">
        <f aca="false">+'[2]Mgmt Summary'!I17+'[3]Mgmt Summary'!I17+'Mgmt Summary'!I17</f>
        <v>0</v>
      </c>
      <c r="J16" s="28" t="n">
        <f aca="false">SUM(G16:I16)</f>
        <v>0</v>
      </c>
      <c r="K16" s="29"/>
      <c r="L16" s="25" t="n">
        <f aca="false">+'[2]Mgmt Summary'!L17+'[3]Mgmt Summary'!L17+'Mgmt Summary'!L17</f>
        <v>0</v>
      </c>
      <c r="M16" s="26" t="n">
        <f aca="false">+'[2]Mgmt Summary'!M17+'[3]Mgmt Summary'!M17+'Mgmt Summary'!M17</f>
        <v>750</v>
      </c>
      <c r="N16" s="26" t="n">
        <f aca="false">+'[2]Mgmt Summary'!N17+'[3]Mgmt Summary'!N17+'Mgmt Summary'!N17</f>
        <v>0</v>
      </c>
      <c r="O16" s="28" t="n">
        <f aca="false">J16-K16-M16-N16-L16</f>
        <v>-750</v>
      </c>
      <c r="P16" s="26"/>
      <c r="Q16" s="25" t="n">
        <f aca="false">+J16-C16</f>
        <v>0</v>
      </c>
      <c r="R16" s="26"/>
      <c r="S16" s="26" t="n">
        <f aca="false">'CapChrg-AllocExp'!F24</f>
        <v>0</v>
      </c>
      <c r="T16" s="26" t="n">
        <f aca="false">Expenses!F16</f>
        <v>-750</v>
      </c>
      <c r="U16" s="26" t="n">
        <f aca="false">'CapChrg-AllocExp'!M24</f>
        <v>0</v>
      </c>
      <c r="V16" s="27" t="n">
        <f aca="false">ROUND(SUM(Q16:U16),0)</f>
        <v>-750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116424.16392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116424.16392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Summary'!C30</f>
        <v>0</v>
      </c>
      <c r="D20" s="26" t="n">
        <f aca="false">+'[2]Mgmt Summary'!D21+'[3]Mgmt Summary'!D21+'Mgmt Summary'!D30</f>
        <v>28734.942</v>
      </c>
      <c r="E20" s="27" t="n">
        <f aca="false">C20-D20</f>
        <v>-28734.942</v>
      </c>
      <c r="F20" s="26"/>
      <c r="G20" s="25" t="n">
        <f aca="false">+'[2]Mgmt Summary'!G21+'[3]Mgmt Summary'!G21+'Mgmt Summary'!G30</f>
        <v>0</v>
      </c>
      <c r="H20" s="26" t="n">
        <f aca="false">+'[2]Mgmt Summary'!H21+'[3]Mgmt Summary'!H21+'Mgmt Summary'!H30</f>
        <v>0</v>
      </c>
      <c r="I20" s="26" t="n">
        <f aca="false">+'[2]Mgmt Summary'!I21+'[3]Mgmt Summary'!I21+'Mgmt Summary'!I30</f>
        <v>0</v>
      </c>
      <c r="J20" s="28" t="n">
        <f aca="false">SUM(G20:I20)</f>
        <v>0</v>
      </c>
      <c r="K20" s="29"/>
      <c r="L20" s="25" t="n">
        <f aca="false">+'[2]Mgmt Summary'!L21+'[3]Mgmt Summary'!L21+'Mgmt Summary'!L30</f>
        <v>0</v>
      </c>
      <c r="M20" s="26" t="e">
        <f aca="false">+'[2]Mgmt Summary'!M21+'[3]Mgmt Summary'!M21+'Mgmt Summary'!M30</f>
        <v>#NAME?</v>
      </c>
      <c r="N20" s="26" t="n">
        <f aca="false">+'[2]Mgmt Summary'!N21+'[3]Mgmt Summary'!N21+'Mgmt Summary'!N30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Expenses!F29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Summary'!C32</f>
        <v>-1727.827</v>
      </c>
      <c r="D21" s="26" t="n">
        <f aca="false">+'[2]Mgmt Summary'!D22+'[3]Mgmt Summary'!D22+'Mgmt Summary'!D32</f>
        <v>0</v>
      </c>
      <c r="E21" s="27" t="n">
        <f aca="false">C21-D21</f>
        <v>-1727.827</v>
      </c>
      <c r="F21" s="29"/>
      <c r="G21" s="25" t="n">
        <f aca="false">+'[2]Mgmt Summary'!G22+'[3]Mgmt Summary'!G22+'Mgmt Summary'!G32</f>
        <v>-1727.827</v>
      </c>
      <c r="H21" s="26" t="n">
        <f aca="false">+'[2]Mgmt Summary'!H22+'[3]Mgmt Summary'!H22+'Mgmt Summary'!H32</f>
        <v>0</v>
      </c>
      <c r="I21" s="26" t="n">
        <f aca="false">+'[2]Mgmt Summary'!I22+'[3]Mgmt Summary'!I22+'Mgmt Summary'!I32</f>
        <v>0</v>
      </c>
      <c r="J21" s="28" t="n">
        <f aca="false">SUM(G21:I21)</f>
        <v>-1727.827</v>
      </c>
      <c r="K21" s="29"/>
      <c r="L21" s="25" t="n">
        <f aca="false">+'[2]Mgmt Summary'!L22+'[3]Mgmt Summary'!L22+'Mgmt Summary'!L32</f>
        <v>0</v>
      </c>
      <c r="M21" s="26" t="n">
        <f aca="false">+'[2]Mgmt Summary'!M22+'[3]Mgmt Summary'!M22+'Mgmt Summary'!M32</f>
        <v>0</v>
      </c>
      <c r="N21" s="26" t="n">
        <f aca="false">+'[2]Mgmt Summary'!N22+'[3]Mgmt Summary'!N22+'Mgmt Summary'!N32</f>
        <v>0</v>
      </c>
      <c r="O21" s="28" t="n">
        <f aca="false">J21-K21-M21-N21-L21</f>
        <v>-1727.827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Expenses!F30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Summary'!C33</f>
        <v>0</v>
      </c>
      <c r="D22" s="26" t="e">
        <f aca="false">+'[2]Mgmt Summary'!D23+'[3]Mgmt Summary'!D23+'Mgmt Summary'!D33</f>
        <v>#NAME?</v>
      </c>
      <c r="E22" s="27" t="e">
        <f aca="false">C22-D22</f>
        <v>#NAME?</v>
      </c>
      <c r="F22" s="26"/>
      <c r="G22" s="25" t="n">
        <f aca="false">+'[2]Mgmt Summary'!G23+'[3]Mgmt Summary'!G23+'Mgmt Summary'!G33</f>
        <v>0</v>
      </c>
      <c r="H22" s="26" t="n">
        <f aca="false">+'[2]Mgmt Summary'!H23+'[3]Mgmt Summary'!H23+'Mgmt Summary'!H33</f>
        <v>0</v>
      </c>
      <c r="I22" s="26" t="n">
        <f aca="false">+'[2]Mgmt Summary'!I23+'[3]Mgmt Summary'!I23+'Mgmt Summary'!I33</f>
        <v>0</v>
      </c>
      <c r="J22" s="28" t="n">
        <f aca="false">SUM(G22:I22)</f>
        <v>0</v>
      </c>
      <c r="K22" s="29"/>
      <c r="L22" s="25" t="e">
        <f aca="false">+'[2]Mgmt Summary'!L23+'[3]Mgmt Summary'!L23+'Mgmt Summary'!L33</f>
        <v>#NAME?</v>
      </c>
      <c r="M22" s="26" t="n">
        <f aca="false">+'[2]Mgmt Summary'!M23+'[3]Mgmt Summary'!M23+'Mgmt Summary'!M33</f>
        <v>0</v>
      </c>
      <c r="N22" s="26" t="n">
        <f aca="false">+'[2]Mgmt Summary'!N23+'[3]Mgmt Summary'!N23+'Mgmt Summary'!N33</f>
        <v>0</v>
      </c>
      <c r="O22" s="28" t="e">
        <f aca="false">J22-K22-M22-N22-L22</f>
        <v>#NAME?</v>
      </c>
      <c r="P22" s="26"/>
      <c r="Q22" s="25" t="n">
        <f aca="false">+J22-C22</f>
        <v>0</v>
      </c>
      <c r="R22" s="26"/>
      <c r="S22" s="26" t="e">
        <f aca="false">'CapChrg-AllocExp'!F28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114696.33692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114696.33692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Summary'!C37</f>
        <v>0</v>
      </c>
      <c r="D26" s="26" t="e">
        <f aca="false">+'[2]Mgmt Summary'!D27+'[3]Mgmt Summary'!D27+'Mgmt Summary'!D37</f>
        <v>#NAME?</v>
      </c>
      <c r="E26" s="27" t="e">
        <f aca="false">C26-D26</f>
        <v>#NAME?</v>
      </c>
      <c r="F26" s="26"/>
      <c r="G26" s="25" t="n">
        <f aca="false">+'[2]Mgmt Summary'!G27+'[3]Mgmt Summary'!G27+'Mgmt Summary'!G37</f>
        <v>0</v>
      </c>
      <c r="H26" s="26" t="n">
        <f aca="false">+'[2]Mgmt Summary'!H27+'[3]Mgmt Summary'!H27+'Mgmt Summary'!H37</f>
        <v>0</v>
      </c>
      <c r="I26" s="26" t="n">
        <f aca="false">+'[2]Mgmt Summary'!I27+'[3]Mgmt Summary'!I27+'Mgmt Summary'!I37</f>
        <v>0</v>
      </c>
      <c r="J26" s="28" t="n">
        <f aca="false">SUM(G26:I26)</f>
        <v>0</v>
      </c>
      <c r="K26" s="29"/>
      <c r="L26" s="36" t="n">
        <f aca="false">+'[2]Mgmt Summary'!L27+'[3]Mgmt Summary'!L27+'Mgmt Summary'!L37</f>
        <v>0</v>
      </c>
      <c r="M26" s="26" t="e">
        <f aca="false">+'[2]Mgmt Summary'!M27+'[3]Mgmt Summary'!M27+'Mgmt Summary'!M37</f>
        <v>#NAME?</v>
      </c>
      <c r="N26" s="26" t="n">
        <f aca="false">+'[2]Mgmt Summary'!N27+'[3]Mgmt Summary'!N27+'Mgmt Summary'!N37</f>
        <v>0</v>
      </c>
      <c r="O26" s="28" t="e">
        <f aca="false">J26-K26-M26-N26-L26</f>
        <v>#NAME?</v>
      </c>
      <c r="P26" s="26"/>
      <c r="Q26" s="25" t="n">
        <f aca="false">+J26-C26</f>
        <v>0</v>
      </c>
      <c r="R26" s="26"/>
      <c r="S26" s="26" t="n">
        <v>0</v>
      </c>
      <c r="T26" s="26" t="e">
        <f aca="false">D26-M26</f>
        <v>#NAME?</v>
      </c>
      <c r="U26" s="26" t="n">
        <v>0</v>
      </c>
      <c r="V26" s="27" t="e">
        <f aca="false">ROUND(SUM(Q26:U26),0)</f>
        <v>#NAME?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114696.33692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114696.33692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+'GM-WeeklyChnge'!C44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7" min="7" style="0" width="10.71"/>
    <col collapsed="false" customWidth="true" hidden="false" outlineLevel="0" max="8" min="8" style="0" width="9.7"/>
    <col collapsed="false" customWidth="true" hidden="false" outlineLevel="0" max="9" min="9" style="0" width="9.28"/>
  </cols>
  <sheetData>
    <row r="1" customFormat="false" ht="12.75" hidden="true" customHeight="tru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</row>
    <row r="3" customFormat="false" ht="15.75" hidden="false" customHeight="false" outlineLevel="0" collapsed="false">
      <c r="A3" s="191" t="s">
        <v>127</v>
      </c>
      <c r="B3" s="191"/>
      <c r="C3" s="191"/>
      <c r="D3" s="191"/>
      <c r="E3" s="191"/>
      <c r="F3" s="191"/>
      <c r="G3" s="191"/>
      <c r="H3" s="191"/>
      <c r="I3" s="191"/>
    </row>
    <row r="4" customFormat="false" ht="15" hidden="false" customHeight="false" outlineLevel="0" collapsed="false">
      <c r="A4" s="191" t="str">
        <f aca="false">+GrossMargin!B4</f>
        <v>Results based on activity through December 14, 2000</v>
      </c>
      <c r="B4" s="191"/>
      <c r="C4" s="191"/>
      <c r="D4" s="191"/>
      <c r="E4" s="191"/>
      <c r="F4" s="191"/>
      <c r="G4" s="191"/>
      <c r="H4" s="191"/>
      <c r="I4" s="191"/>
    </row>
    <row r="5" customFormat="false" ht="3" hidden="false" customHeight="true" outlineLevel="0" collapsed="false"/>
    <row r="6" customFormat="false" ht="12" hidden="false" customHeight="false" outlineLevel="0" collapsed="false">
      <c r="A6" s="193"/>
      <c r="B6" s="194"/>
      <c r="C6" s="195" t="s">
        <v>14</v>
      </c>
      <c r="D6" s="195"/>
      <c r="E6" s="195"/>
      <c r="F6" s="194"/>
      <c r="G6" s="195" t="s">
        <v>105</v>
      </c>
      <c r="H6" s="195"/>
      <c r="I6" s="195"/>
    </row>
    <row r="7" customFormat="false" ht="12" hidden="false" customHeight="false" outlineLevel="0" collapsed="false">
      <c r="A7" s="199" t="s">
        <v>13</v>
      </c>
      <c r="B7" s="194"/>
      <c r="C7" s="200" t="s">
        <v>7</v>
      </c>
      <c r="D7" s="201" t="s">
        <v>2</v>
      </c>
      <c r="E7" s="202" t="s">
        <v>44</v>
      </c>
      <c r="F7" s="194"/>
      <c r="G7" s="200" t="s">
        <v>7</v>
      </c>
      <c r="H7" s="201" t="s">
        <v>2</v>
      </c>
      <c r="I7" s="202" t="s">
        <v>44</v>
      </c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7"/>
    </row>
    <row r="9" customFormat="false" ht="13.5" hidden="false" customHeight="true" outlineLevel="0" collapsed="false">
      <c r="A9" s="209" t="s">
        <v>128</v>
      </c>
      <c r="B9" s="210"/>
      <c r="C9" s="211" t="n">
        <v>0</v>
      </c>
      <c r="D9" s="212" t="n">
        <v>0</v>
      </c>
      <c r="E9" s="213" t="n">
        <f aca="false">D9-C9</f>
        <v>0</v>
      </c>
      <c r="F9" s="212"/>
      <c r="G9" s="211" t="n">
        <v>-127</v>
      </c>
      <c r="H9" s="212" t="n">
        <v>-127</v>
      </c>
      <c r="I9" s="213" t="n">
        <f aca="false">H9-G9</f>
        <v>0</v>
      </c>
    </row>
    <row r="10" customFormat="false" ht="3" hidden="false" customHeight="true" outlineLevel="0" collapsed="false">
      <c r="A10" s="209"/>
      <c r="B10" s="210"/>
      <c r="C10" s="211"/>
      <c r="D10" s="212"/>
      <c r="E10" s="213"/>
      <c r="F10" s="212"/>
      <c r="G10" s="211"/>
      <c r="H10" s="212"/>
      <c r="I10" s="213"/>
    </row>
    <row r="11" customFormat="false" ht="13.5" hidden="false" customHeight="true" outlineLevel="0" collapsed="false">
      <c r="A11" s="270" t="s">
        <v>129</v>
      </c>
      <c r="B11" s="210"/>
      <c r="C11" s="271" t="n">
        <f aca="false">+C9</f>
        <v>0</v>
      </c>
      <c r="D11" s="272" t="n">
        <f aca="false">+D9</f>
        <v>0</v>
      </c>
      <c r="E11" s="223" t="n">
        <f aca="false">+E9</f>
        <v>0</v>
      </c>
      <c r="F11" s="212"/>
      <c r="G11" s="221" t="n">
        <f aca="false">+G9</f>
        <v>-127</v>
      </c>
      <c r="H11" s="222" t="n">
        <f aca="false">+H9</f>
        <v>-127</v>
      </c>
      <c r="I11" s="223" t="n">
        <f aca="false">+I9</f>
        <v>0</v>
      </c>
    </row>
    <row r="12" customFormat="false" ht="3" hidden="false" customHeight="true" outlineLevel="0" collapsed="false">
      <c r="A12" s="209"/>
      <c r="B12" s="210"/>
      <c r="C12" s="211"/>
      <c r="D12" s="212"/>
      <c r="E12" s="213"/>
      <c r="F12" s="212"/>
      <c r="G12" s="211"/>
      <c r="H12" s="212"/>
      <c r="I12" s="213"/>
    </row>
    <row r="13" customFormat="false" ht="13.5" hidden="false" customHeight="true" outlineLevel="0" collapsed="false">
      <c r="A13" s="209" t="s">
        <v>130</v>
      </c>
      <c r="B13" s="210"/>
      <c r="C13" s="211" t="n">
        <v>0</v>
      </c>
      <c r="D13" s="212" t="n">
        <v>0</v>
      </c>
      <c r="E13" s="213" t="n">
        <f aca="false">D13-C13</f>
        <v>0</v>
      </c>
      <c r="F13" s="212"/>
      <c r="G13" s="211" t="e">
        <f aca="false">+'CapChrg-AllocExp'!D11*0+H13</f>
        <v>#NAME?</v>
      </c>
      <c r="H13" s="212" t="e">
        <f aca="false">+'CapChrg-AllocExp'!E11</f>
        <v>#NAME?</v>
      </c>
      <c r="I13" s="213" t="e">
        <f aca="false">H13-G13</f>
        <v>#NAME?</v>
      </c>
    </row>
    <row r="14" customFormat="false" ht="3" hidden="false" customHeight="true" outlineLevel="0" collapsed="false">
      <c r="A14" s="209"/>
      <c r="B14" s="210"/>
      <c r="C14" s="211"/>
      <c r="D14" s="212"/>
      <c r="E14" s="213"/>
      <c r="F14" s="212"/>
      <c r="G14" s="211"/>
      <c r="H14" s="212"/>
      <c r="I14" s="213"/>
    </row>
    <row r="15" customFormat="false" ht="13.5" hidden="false" customHeight="true" outlineLevel="0" collapsed="false">
      <c r="A15" s="270" t="s">
        <v>131</v>
      </c>
      <c r="B15" s="210"/>
      <c r="C15" s="271" t="n">
        <f aca="false">+C13</f>
        <v>0</v>
      </c>
      <c r="D15" s="272" t="n">
        <f aca="false">+D13</f>
        <v>0</v>
      </c>
      <c r="E15" s="223" t="n">
        <f aca="false">+E13</f>
        <v>0</v>
      </c>
      <c r="F15" s="212"/>
      <c r="G15" s="221" t="e">
        <f aca="false">+G13</f>
        <v>#NAME?</v>
      </c>
      <c r="H15" s="222" t="e">
        <f aca="false">+H13</f>
        <v>#NAME?</v>
      </c>
      <c r="I15" s="223" t="e">
        <f aca="false">+I13</f>
        <v>#NAME?</v>
      </c>
    </row>
    <row r="16" customFormat="false" ht="3" hidden="false" customHeight="true" outlineLevel="0" collapsed="false">
      <c r="A16" s="209"/>
      <c r="B16" s="210"/>
      <c r="C16" s="211"/>
      <c r="D16" s="212"/>
      <c r="E16" s="213"/>
      <c r="F16" s="212"/>
      <c r="G16" s="211"/>
      <c r="H16" s="212"/>
      <c r="I16" s="213"/>
    </row>
    <row r="17" customFormat="false" ht="13.5" hidden="false" customHeight="true" outlineLevel="0" collapsed="false">
      <c r="A17" s="218" t="s">
        <v>132</v>
      </c>
      <c r="B17" s="194"/>
      <c r="C17" s="211" t="n">
        <v>0</v>
      </c>
      <c r="D17" s="212" t="n">
        <v>0</v>
      </c>
      <c r="E17" s="213" t="n">
        <f aca="false">D17-C17</f>
        <v>0</v>
      </c>
      <c r="F17" s="212"/>
      <c r="G17" s="211" t="n">
        <f aca="false">-97+82</f>
        <v>-15</v>
      </c>
      <c r="H17" s="212" t="n">
        <f aca="false">+'CapChrg-AllocExp'!E18</f>
        <v>-15</v>
      </c>
      <c r="I17" s="213" t="n">
        <f aca="false">H17-G17</f>
        <v>0</v>
      </c>
    </row>
    <row r="18" customFormat="false" ht="3" hidden="false" customHeight="true" outlineLevel="0" collapsed="false">
      <c r="A18" s="209"/>
      <c r="B18" s="210"/>
      <c r="C18" s="211"/>
      <c r="D18" s="212"/>
      <c r="E18" s="213"/>
      <c r="F18" s="212"/>
      <c r="G18" s="211"/>
      <c r="H18" s="212"/>
      <c r="I18" s="213"/>
    </row>
    <row r="19" customFormat="false" ht="13.5" hidden="false" customHeight="true" outlineLevel="0" collapsed="false">
      <c r="A19" s="270" t="s">
        <v>133</v>
      </c>
      <c r="B19" s="210"/>
      <c r="C19" s="271" t="n">
        <f aca="false">+C17</f>
        <v>0</v>
      </c>
      <c r="D19" s="272" t="n">
        <f aca="false">+D17</f>
        <v>0</v>
      </c>
      <c r="E19" s="223" t="n">
        <f aca="false">+E17</f>
        <v>0</v>
      </c>
      <c r="F19" s="212"/>
      <c r="G19" s="221" t="n">
        <f aca="false">+G17</f>
        <v>-15</v>
      </c>
      <c r="H19" s="222" t="n">
        <f aca="false">+H17</f>
        <v>-15</v>
      </c>
      <c r="I19" s="223" t="n">
        <f aca="false">+I17</f>
        <v>0</v>
      </c>
    </row>
    <row r="20" customFormat="false" ht="3" hidden="false" customHeight="true" outlineLevel="0" collapsed="false">
      <c r="A20" s="209"/>
      <c r="B20" s="210"/>
      <c r="C20" s="211"/>
      <c r="D20" s="212"/>
      <c r="E20" s="213"/>
      <c r="F20" s="212"/>
      <c r="G20" s="211"/>
      <c r="H20" s="212"/>
      <c r="I20" s="213"/>
    </row>
    <row r="21" customFormat="false" ht="13.5" hidden="false" customHeight="true" outlineLevel="0" collapsed="false">
      <c r="A21" s="218" t="s">
        <v>134</v>
      </c>
      <c r="B21" s="194"/>
      <c r="C21" s="211" t="n">
        <v>0</v>
      </c>
      <c r="D21" s="212" t="n">
        <v>0</v>
      </c>
      <c r="E21" s="213" t="n">
        <f aca="false">D21-C21</f>
        <v>0</v>
      </c>
      <c r="F21" s="212"/>
      <c r="G21" s="211" t="n">
        <f aca="false">+'CapChrg-AllocExp'!D19</f>
        <v>652</v>
      </c>
      <c r="H21" s="212" t="n">
        <f aca="false">+'CapChrg-AllocExp'!E19</f>
        <v>652</v>
      </c>
      <c r="I21" s="213" t="n">
        <f aca="false">H21-G21</f>
        <v>0</v>
      </c>
    </row>
    <row r="22" customFormat="false" ht="3" hidden="false" customHeight="true" outlineLevel="0" collapsed="false">
      <c r="A22" s="209"/>
      <c r="B22" s="210"/>
      <c r="C22" s="211"/>
      <c r="D22" s="212"/>
      <c r="E22" s="213"/>
      <c r="F22" s="212"/>
      <c r="G22" s="211"/>
      <c r="H22" s="212"/>
      <c r="I22" s="213"/>
    </row>
    <row r="23" customFormat="false" ht="13.5" hidden="false" customHeight="true" outlineLevel="0" collapsed="false">
      <c r="A23" s="270" t="s">
        <v>135</v>
      </c>
      <c r="B23" s="210"/>
      <c r="C23" s="271" t="n">
        <f aca="false">+C21</f>
        <v>0</v>
      </c>
      <c r="D23" s="272" t="n">
        <f aca="false">+D21</f>
        <v>0</v>
      </c>
      <c r="E23" s="223" t="n">
        <f aca="false">+E21</f>
        <v>0</v>
      </c>
      <c r="F23" s="212"/>
      <c r="G23" s="221" t="n">
        <f aca="false">SUM(G21)</f>
        <v>652</v>
      </c>
      <c r="H23" s="222" t="n">
        <f aca="false">SUM(H21)</f>
        <v>652</v>
      </c>
      <c r="I23" s="223" t="n">
        <f aca="false">SUM(I21)</f>
        <v>0</v>
      </c>
    </row>
    <row r="24" customFormat="false" ht="3" hidden="false" customHeight="true" outlineLevel="0" collapsed="false">
      <c r="A24" s="209"/>
      <c r="B24" s="210"/>
      <c r="C24" s="211"/>
      <c r="D24" s="212"/>
      <c r="E24" s="213"/>
      <c r="F24" s="212"/>
      <c r="G24" s="211"/>
      <c r="H24" s="212"/>
      <c r="I24" s="213"/>
    </row>
    <row r="25" customFormat="false" ht="13.5" hidden="false" customHeight="true" outlineLevel="0" collapsed="false">
      <c r="A25" s="218" t="s">
        <v>136</v>
      </c>
      <c r="B25" s="194"/>
      <c r="C25" s="211" t="n">
        <v>0</v>
      </c>
      <c r="D25" s="212" t="n">
        <v>0</v>
      </c>
      <c r="E25" s="213" t="n">
        <f aca="false">D25-C25</f>
        <v>0</v>
      </c>
      <c r="F25" s="212"/>
      <c r="G25" s="211" t="n">
        <f aca="false">240*0+H25</f>
        <v>147</v>
      </c>
      <c r="H25" s="212" t="n">
        <v>147</v>
      </c>
      <c r="I25" s="213" t="n">
        <f aca="false">H25-G25</f>
        <v>0</v>
      </c>
    </row>
    <row r="26" customFormat="false" ht="13.5" hidden="false" customHeight="true" outlineLevel="0" collapsed="false">
      <c r="A26" s="218" t="s">
        <v>137</v>
      </c>
      <c r="B26" s="210"/>
      <c r="C26" s="211" t="n">
        <v>0</v>
      </c>
      <c r="D26" s="212" t="n">
        <v>0</v>
      </c>
      <c r="E26" s="213" t="n">
        <f aca="false">D26-C26</f>
        <v>0</v>
      </c>
      <c r="F26" s="212"/>
      <c r="G26" s="211" t="n">
        <f aca="false">1876*0</f>
        <v>0</v>
      </c>
      <c r="H26" s="212" t="n">
        <v>0</v>
      </c>
      <c r="I26" s="213" t="n">
        <f aca="false">H26-G26</f>
        <v>0</v>
      </c>
    </row>
    <row r="27" customFormat="false" ht="13.5" hidden="false" customHeight="true" outlineLevel="0" collapsed="false">
      <c r="A27" s="218" t="s">
        <v>138</v>
      </c>
      <c r="B27" s="210"/>
      <c r="C27" s="211" t="n">
        <v>0</v>
      </c>
      <c r="D27" s="212" t="n">
        <v>0</v>
      </c>
      <c r="E27" s="213" t="n">
        <f aca="false">D27-C27</f>
        <v>0</v>
      </c>
      <c r="F27" s="212"/>
      <c r="G27" s="211" t="n">
        <f aca="false">-654*0</f>
        <v>-0</v>
      </c>
      <c r="H27" s="212" t="n">
        <v>0</v>
      </c>
      <c r="I27" s="213" t="n">
        <f aca="false">H27-G27</f>
        <v>0</v>
      </c>
    </row>
    <row r="28" customFormat="false" ht="13.5" hidden="false" customHeight="true" outlineLevel="0" collapsed="false">
      <c r="A28" s="218" t="s">
        <v>139</v>
      </c>
      <c r="B28" s="194"/>
      <c r="C28" s="211" t="n">
        <v>0</v>
      </c>
      <c r="D28" s="212" t="n">
        <v>0</v>
      </c>
      <c r="E28" s="213" t="n">
        <f aca="false">D28-C28</f>
        <v>0</v>
      </c>
      <c r="F28" s="212"/>
      <c r="G28" s="211" t="n">
        <f aca="false">-1541*0</f>
        <v>-0</v>
      </c>
      <c r="H28" s="212" t="n">
        <v>0</v>
      </c>
      <c r="I28" s="213" t="n">
        <f aca="false">H28-G28</f>
        <v>0</v>
      </c>
    </row>
    <row r="29" customFormat="false" ht="13.5" hidden="false" customHeight="true" outlineLevel="0" collapsed="false">
      <c r="A29" s="218" t="s">
        <v>140</v>
      </c>
      <c r="B29" s="194"/>
      <c r="C29" s="211" t="n">
        <v>0</v>
      </c>
      <c r="D29" s="212" t="n">
        <v>0</v>
      </c>
      <c r="E29" s="213" t="n">
        <f aca="false">D29-C29</f>
        <v>0</v>
      </c>
      <c r="F29" s="212"/>
      <c r="G29" s="211" t="n">
        <f aca="false">+'CapChrg-AllocExp'!D20*0+H29</f>
        <v>545</v>
      </c>
      <c r="H29" s="212" t="n">
        <f aca="false">+'CapChrg-AllocExp'!E20</f>
        <v>545</v>
      </c>
      <c r="I29" s="213" t="n">
        <f aca="false">H29-G29</f>
        <v>0</v>
      </c>
    </row>
    <row r="30" customFormat="false" ht="3" hidden="false" customHeight="true" outlineLevel="0" collapsed="false">
      <c r="A30" s="209"/>
      <c r="B30" s="210"/>
      <c r="C30" s="211"/>
      <c r="D30" s="212"/>
      <c r="E30" s="213"/>
      <c r="F30" s="212"/>
      <c r="G30" s="211"/>
      <c r="H30" s="212"/>
      <c r="I30" s="213"/>
    </row>
    <row r="31" customFormat="false" ht="13.5" hidden="false" customHeight="true" outlineLevel="0" collapsed="false">
      <c r="A31" s="270" t="s">
        <v>141</v>
      </c>
      <c r="B31" s="210"/>
      <c r="C31" s="271" t="n">
        <f aca="false">SUM(C25:C30)</f>
        <v>0</v>
      </c>
      <c r="D31" s="272" t="n">
        <f aca="false">SUM(D25:D30)</f>
        <v>0</v>
      </c>
      <c r="E31" s="223" t="n">
        <f aca="false">SUM(E25:E29)</f>
        <v>0</v>
      </c>
      <c r="F31" s="212"/>
      <c r="G31" s="221" t="n">
        <f aca="false">SUM(G25:G30)</f>
        <v>692</v>
      </c>
      <c r="H31" s="222" t="n">
        <f aca="false">SUM(H25:H30)</f>
        <v>692</v>
      </c>
      <c r="I31" s="223" t="n">
        <f aca="false">SUM(I25:I29)</f>
        <v>0</v>
      </c>
    </row>
    <row r="32" customFormat="false" ht="3" hidden="false" customHeight="true" outlineLevel="0" collapsed="false">
      <c r="A32" s="209"/>
      <c r="B32" s="210"/>
      <c r="C32" s="211"/>
      <c r="D32" s="212"/>
      <c r="E32" s="213"/>
      <c r="F32" s="212"/>
      <c r="G32" s="211"/>
      <c r="H32" s="212"/>
      <c r="I32" s="213"/>
    </row>
    <row r="33" customFormat="false" ht="3" hidden="false" customHeight="true" outlineLevel="0" collapsed="false">
      <c r="A33" s="218"/>
      <c r="B33" s="194"/>
      <c r="C33" s="211"/>
      <c r="D33" s="212"/>
      <c r="E33" s="213"/>
      <c r="F33" s="212"/>
      <c r="G33" s="211"/>
      <c r="H33" s="212"/>
      <c r="I33" s="213"/>
    </row>
    <row r="34" customFormat="false" ht="13.5" hidden="false" customHeight="true" outlineLevel="0" collapsed="false">
      <c r="A34" s="220" t="s">
        <v>142</v>
      </c>
      <c r="B34" s="194"/>
      <c r="C34" s="227" t="n">
        <f aca="false">SUM(C9:C33)</f>
        <v>0</v>
      </c>
      <c r="D34" s="228" t="n">
        <f aca="false">SUM(D9:D33)</f>
        <v>0</v>
      </c>
      <c r="E34" s="229" t="n">
        <f aca="false">SUM(C34:D34)</f>
        <v>0</v>
      </c>
      <c r="F34" s="212"/>
      <c r="G34" s="227" t="e">
        <f aca="false">+G11+G15+G19+G23+G31</f>
        <v>#NAME?</v>
      </c>
      <c r="H34" s="228" t="e">
        <f aca="false">+H11+H15+H19+H23+H31</f>
        <v>#NAME?</v>
      </c>
      <c r="I34" s="229" t="e">
        <f aca="false">+I11+I15+I19+I23+I31</f>
        <v>#NAME?</v>
      </c>
    </row>
    <row r="35" customFormat="false" ht="3" hidden="false" customHeight="true" outlineLevel="0" collapsed="false">
      <c r="A35" s="230"/>
      <c r="B35" s="194"/>
      <c r="C35" s="231"/>
      <c r="D35" s="232"/>
      <c r="E35" s="233"/>
      <c r="F35" s="194"/>
      <c r="G35" s="231"/>
      <c r="H35" s="232"/>
      <c r="I35" s="233"/>
    </row>
    <row r="36" customFormat="false" ht="3" hidden="false" customHeight="true" outlineLevel="0" collapsed="false">
      <c r="A36" s="235"/>
      <c r="B36" s="235"/>
      <c r="C36" s="235"/>
      <c r="D36" s="235"/>
      <c r="E36" s="235"/>
      <c r="F36" s="235"/>
      <c r="G36" s="235"/>
      <c r="H36" s="235"/>
      <c r="I36" s="235"/>
    </row>
    <row r="37" customFormat="false" ht="12.75" hidden="true" customHeight="true" outlineLevel="0" collapsed="false">
      <c r="A37" s="237"/>
      <c r="B37" s="217"/>
      <c r="C37" s="238" t="s">
        <v>116</v>
      </c>
      <c r="D37" s="238"/>
      <c r="E37" s="238"/>
      <c r="F37" s="217"/>
      <c r="G37" s="238"/>
      <c r="H37" s="238"/>
      <c r="I37" s="238"/>
    </row>
    <row r="38" customFormat="false" ht="12.75" hidden="true" customHeight="true" outlineLevel="0" collapsed="false">
      <c r="A38" s="242" t="s">
        <v>13</v>
      </c>
      <c r="B38" s="217"/>
      <c r="C38" s="243" t="s">
        <v>7</v>
      </c>
      <c r="D38" s="244" t="s">
        <v>2</v>
      </c>
      <c r="E38" s="245" t="s">
        <v>44</v>
      </c>
      <c r="F38" s="217"/>
      <c r="G38" s="243" t="s">
        <v>106</v>
      </c>
      <c r="H38" s="244"/>
      <c r="I38" s="245"/>
    </row>
    <row r="39" customFormat="false" ht="12" hidden="true" customHeight="true" outlineLevel="0" collapsed="false">
      <c r="A39" s="193"/>
      <c r="B39" s="194"/>
      <c r="C39" s="246" t="n">
        <v>0</v>
      </c>
      <c r="D39" s="247" t="n">
        <v>0</v>
      </c>
      <c r="E39" s="248" t="n">
        <f aca="false">D39-C39</f>
        <v>0</v>
      </c>
      <c r="F39" s="194"/>
      <c r="G39" s="246"/>
      <c r="H39" s="247"/>
      <c r="I39" s="248"/>
    </row>
    <row r="40" customFormat="false" ht="12" hidden="true" customHeight="true" outlineLevel="0" collapsed="false">
      <c r="A40" s="218"/>
      <c r="B40" s="194"/>
      <c r="C40" s="211" t="n">
        <v>0</v>
      </c>
      <c r="D40" s="212" t="n">
        <v>0</v>
      </c>
      <c r="E40" s="213" t="n">
        <f aca="false">D40-C40</f>
        <v>0</v>
      </c>
      <c r="F40" s="194"/>
      <c r="G40" s="211"/>
      <c r="H40" s="212"/>
      <c r="I40" s="213"/>
    </row>
    <row r="41" customFormat="false" ht="12" hidden="true" customHeight="true" outlineLevel="0" collapsed="false">
      <c r="A41" s="230"/>
      <c r="B41" s="194"/>
      <c r="C41" s="249" t="n">
        <v>0</v>
      </c>
      <c r="D41" s="250" t="n">
        <v>0</v>
      </c>
      <c r="E41" s="251" t="n">
        <f aca="false">D41-C41</f>
        <v>0</v>
      </c>
      <c r="F41" s="194"/>
      <c r="G41" s="249"/>
      <c r="H41" s="250"/>
      <c r="I41" s="251"/>
    </row>
    <row r="42" customFormat="false" ht="12.75" hidden="false" customHeight="false" outlineLevel="0" collapsed="false">
      <c r="C42" s="252"/>
      <c r="D42" s="252"/>
      <c r="E42" s="208"/>
      <c r="F42" s="208"/>
      <c r="G42" s="252"/>
      <c r="H42" s="252"/>
      <c r="I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</row>
    <row r="44" customFormat="false" ht="12.75" hidden="false" customHeight="false" outlineLevel="0" collapsed="false">
      <c r="C44" s="208"/>
      <c r="D44" s="208"/>
      <c r="E44" s="253"/>
      <c r="F44" s="208"/>
      <c r="G44" s="208"/>
      <c r="H44" s="208"/>
      <c r="I44" s="253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</row>
    <row r="46" customFormat="false" ht="12.75" hidden="false" customHeight="false" outlineLevel="0" collapsed="false">
      <c r="C46" s="208"/>
      <c r="D46" s="208"/>
      <c r="E46" s="208"/>
      <c r="F46" s="208"/>
      <c r="G46" s="208"/>
      <c r="H46" s="208"/>
      <c r="I46" s="208"/>
    </row>
    <row r="47" customFormat="false" ht="12.75" hidden="false" customHeight="false" outlineLevel="0" collapsed="false">
      <c r="C47" s="208"/>
      <c r="D47" s="208"/>
      <c r="E47" s="208"/>
      <c r="F47" s="208"/>
      <c r="G47" s="208"/>
      <c r="H47" s="208"/>
      <c r="I47" s="208"/>
    </row>
    <row r="48" customFormat="false" ht="12.75" hidden="false" customHeight="false" outlineLevel="0" collapsed="false">
      <c r="C48" s="208"/>
      <c r="D48" s="208"/>
      <c r="E48" s="208"/>
      <c r="F48" s="208"/>
      <c r="G48" s="208"/>
      <c r="H48" s="208"/>
      <c r="I48" s="208"/>
    </row>
    <row r="49" customFormat="false" ht="12.75" hidden="false" customHeight="false" outlineLevel="0" collapsed="false">
      <c r="C49" s="208"/>
      <c r="D49" s="208"/>
      <c r="E49" s="208"/>
      <c r="F49" s="208"/>
      <c r="G49" s="208"/>
      <c r="H49" s="208"/>
      <c r="I49" s="208"/>
    </row>
    <row r="50" customFormat="false" ht="12.75" hidden="false" customHeight="false" outlineLevel="0" collapsed="false">
      <c r="C50" s="208"/>
      <c r="D50" s="208"/>
      <c r="E50" s="208"/>
      <c r="F50" s="208"/>
      <c r="G50" s="208"/>
      <c r="H50" s="208"/>
      <c r="I50" s="208"/>
    </row>
    <row r="51" customFormat="false" ht="12.75" hidden="false" customHeight="false" outlineLevel="0" collapsed="false">
      <c r="C51" s="208"/>
      <c r="D51" s="208"/>
      <c r="E51" s="208"/>
      <c r="F51" s="208"/>
      <c r="G51" s="208"/>
      <c r="H51" s="208"/>
      <c r="I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</row>
    <row r="53" customFormat="false" ht="12.75" hidden="false" customHeight="false" outlineLevel="0" collapsed="false">
      <c r="C53" s="208"/>
      <c r="D53" s="208"/>
      <c r="G53" s="208"/>
      <c r="H53" s="208"/>
    </row>
    <row r="54" customFormat="false" ht="12.75" hidden="false" customHeight="false" outlineLevel="0" collapsed="false">
      <c r="C54" s="208"/>
      <c r="D54" s="208"/>
      <c r="G54" s="208"/>
      <c r="H54" s="208"/>
    </row>
    <row r="55" customFormat="false" ht="12.75" hidden="false" customHeight="false" outlineLevel="0" collapsed="false">
      <c r="C55" s="208"/>
      <c r="D55" s="208"/>
      <c r="G55" s="208"/>
      <c r="H55" s="208"/>
    </row>
    <row r="56" customFormat="false" ht="12.75" hidden="false" customHeight="false" outlineLevel="0" collapsed="false">
      <c r="C56" s="208"/>
      <c r="D56" s="208"/>
      <c r="G56" s="208"/>
      <c r="H56" s="208"/>
    </row>
    <row r="57" customFormat="false" ht="12.75" hidden="false" customHeight="false" outlineLevel="0" collapsed="false">
      <c r="C57" s="208"/>
      <c r="D57" s="208"/>
      <c r="G57" s="208"/>
      <c r="H57" s="208"/>
    </row>
    <row r="58" customFormat="false" ht="12.75" hidden="false" customHeight="false" outlineLevel="0" collapsed="false">
      <c r="C58" s="208"/>
      <c r="D58" s="208"/>
      <c r="G58" s="208"/>
      <c r="H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</row>
    <row r="64" customFormat="false" ht="12.75" hidden="false" customHeight="false" outlineLevel="0" collapsed="false">
      <c r="A64" s="208"/>
      <c r="B64" s="208"/>
      <c r="C64" s="208"/>
      <c r="D64" s="208"/>
      <c r="E64" s="208"/>
      <c r="F64" s="208"/>
      <c r="G64" s="208"/>
      <c r="H64" s="208"/>
      <c r="I64" s="208"/>
    </row>
    <row r="65" customFormat="false" ht="12.75" hidden="false" customHeight="false" outlineLevel="0" collapsed="false">
      <c r="A65" s="208"/>
      <c r="B65" s="208"/>
      <c r="C65" s="208"/>
      <c r="D65" s="208"/>
      <c r="E65" s="208"/>
      <c r="F65" s="208"/>
      <c r="G65" s="208"/>
      <c r="H65" s="208"/>
      <c r="I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</row>
    <row r="131" customFormat="false" ht="12.75" hidden="false" customHeight="false" outlineLevel="0" collapsed="false">
      <c r="C131" s="208"/>
      <c r="D131" s="208"/>
      <c r="E131" s="208"/>
      <c r="F131" s="208"/>
      <c r="G131" s="208"/>
      <c r="H131" s="208"/>
      <c r="I131" s="208"/>
    </row>
    <row r="132" customFormat="false" ht="12.75" hidden="false" customHeight="false" outlineLevel="0" collapsed="false">
      <c r="C132" s="208"/>
      <c r="D132" s="208"/>
      <c r="E132" s="208"/>
      <c r="F132" s="208"/>
      <c r="G132" s="208"/>
      <c r="H132" s="208"/>
      <c r="I132" s="208"/>
    </row>
    <row r="133" customFormat="false" ht="12.75" hidden="false" customHeight="false" outlineLevel="0" collapsed="false">
      <c r="C133" s="208"/>
      <c r="D133" s="208"/>
      <c r="E133" s="208"/>
      <c r="F133" s="208"/>
      <c r="G133" s="208"/>
      <c r="H133" s="208"/>
      <c r="I133" s="208"/>
    </row>
    <row r="134" customFormat="false" ht="12.75" hidden="false" customHeight="false" outlineLevel="0" collapsed="false">
      <c r="C134" s="208"/>
      <c r="D134" s="208"/>
      <c r="E134" s="208"/>
      <c r="F134" s="208"/>
      <c r="G134" s="208"/>
      <c r="H134" s="208"/>
      <c r="I134" s="208"/>
    </row>
    <row r="135" customFormat="false" ht="12.75" hidden="false" customHeight="false" outlineLevel="0" collapsed="false">
      <c r="C135" s="208"/>
      <c r="D135" s="208"/>
      <c r="E135" s="208"/>
      <c r="F135" s="208"/>
      <c r="G135" s="208"/>
      <c r="H135" s="208"/>
      <c r="I135" s="208"/>
    </row>
    <row r="136" customFormat="false" ht="12.75" hidden="false" customHeight="false" outlineLevel="0" collapsed="false">
      <c r="C136" s="208"/>
      <c r="D136" s="208"/>
      <c r="E136" s="208"/>
      <c r="F136" s="208"/>
      <c r="G136" s="208"/>
      <c r="H136" s="208"/>
      <c r="I136" s="208"/>
    </row>
    <row r="137" customFormat="false" ht="12.75" hidden="false" customHeight="false" outlineLevel="0" collapsed="false">
      <c r="C137" s="208"/>
      <c r="D137" s="208"/>
      <c r="E137" s="208"/>
      <c r="F137" s="208"/>
      <c r="G137" s="208"/>
      <c r="H137" s="208"/>
      <c r="I137" s="208"/>
    </row>
  </sheetData>
  <mergeCells count="7">
    <mergeCell ref="A2:I2"/>
    <mergeCell ref="A3:I3"/>
    <mergeCell ref="A4:I4"/>
    <mergeCell ref="C6:E6"/>
    <mergeCell ref="G6:I6"/>
    <mergeCell ref="C37:E37"/>
    <mergeCell ref="G37:I3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90</v>
      </c>
      <c r="B1" s="273" t="s">
        <v>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customFormat="false" ht="15" hidden="false" customHeight="false" outlineLevel="0" collapsed="false">
      <c r="A2" s="188" t="s">
        <v>143</v>
      </c>
      <c r="B2" s="274" t="s">
        <v>144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customFormat="false" ht="12.75" hidden="false" customHeight="false" outlineLevel="0" collapsed="false">
      <c r="A3" s="188" t="s">
        <v>145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93</v>
      </c>
      <c r="B6" s="276"/>
      <c r="D6" s="277" t="s">
        <v>146</v>
      </c>
      <c r="E6" s="277"/>
      <c r="F6" s="277"/>
      <c r="G6" s="208"/>
      <c r="H6" s="277" t="s">
        <v>147</v>
      </c>
      <c r="I6" s="277"/>
      <c r="J6" s="277"/>
      <c r="K6" s="208"/>
      <c r="L6" s="277" t="s">
        <v>148</v>
      </c>
      <c r="M6" s="277"/>
      <c r="N6" s="277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94</v>
      </c>
      <c r="B7" s="278" t="s">
        <v>13</v>
      </c>
      <c r="D7" s="279" t="s">
        <v>149</v>
      </c>
      <c r="E7" s="279" t="s">
        <v>64</v>
      </c>
      <c r="F7" s="279" t="s">
        <v>8</v>
      </c>
      <c r="G7" s="208"/>
      <c r="H7" s="280" t="s">
        <v>149</v>
      </c>
      <c r="I7" s="280" t="s">
        <v>64</v>
      </c>
      <c r="J7" s="280" t="s">
        <v>8</v>
      </c>
      <c r="K7" s="208"/>
      <c r="L7" s="280" t="s">
        <v>149</v>
      </c>
      <c r="M7" s="280" t="s">
        <v>64</v>
      </c>
      <c r="N7" s="280" t="s">
        <v>8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18" t="s">
        <v>150</v>
      </c>
      <c r="C9" s="194"/>
      <c r="D9" s="281" t="n">
        <v>0</v>
      </c>
      <c r="E9" s="282" t="n">
        <v>0</v>
      </c>
      <c r="F9" s="283" t="n">
        <f aca="false">+D9+E9</f>
        <v>0</v>
      </c>
      <c r="G9" s="212"/>
      <c r="H9" s="281" t="n">
        <v>0</v>
      </c>
      <c r="I9" s="282" t="n">
        <v>0</v>
      </c>
      <c r="J9" s="283" t="n">
        <f aca="false">+H9+I9</f>
        <v>0</v>
      </c>
      <c r="K9" s="194"/>
      <c r="L9" s="281" t="n">
        <f aca="false">+D9-H9</f>
        <v>0</v>
      </c>
      <c r="M9" s="282" t="n">
        <f aca="false">+E9-I9</f>
        <v>0</v>
      </c>
      <c r="N9" s="283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95</v>
      </c>
      <c r="B10" s="218" t="s">
        <v>21</v>
      </c>
      <c r="C10" s="194"/>
      <c r="D10" s="281" t="e">
        <f aca="false">HPVAL($A10,$A$18,$A$2,$A$5,$A$6,$A$7)</f>
        <v>#NAME?</v>
      </c>
      <c r="E10" s="282" t="e">
        <f aca="false">HPVAL($A10,$A$18,$A$3,$A$5,$A$6,$A$7)</f>
        <v>#NAME?</v>
      </c>
      <c r="F10" s="283" t="e">
        <f aca="false">+D10+E10</f>
        <v>#NAME?</v>
      </c>
      <c r="G10" s="212"/>
      <c r="H10" s="281" t="e">
        <f aca="false">HPVAL($A10,$A$1,$A$2,$A$5,$A$6,$A$7)</f>
        <v>#NAME?</v>
      </c>
      <c r="I10" s="282" t="e">
        <f aca="false">HPVAL($A10,$A$1,$A$3,$A$5,$A$6,$A$7)</f>
        <v>#NAME?</v>
      </c>
      <c r="J10" s="283" t="e">
        <f aca="false">+H10+I10</f>
        <v>#NAME?</v>
      </c>
      <c r="K10" s="194"/>
      <c r="L10" s="281" t="e">
        <f aca="false">+D10-H10</f>
        <v>#NAME?</v>
      </c>
      <c r="M10" s="282" t="e">
        <f aca="false">+E10-I10</f>
        <v>#NAME?</v>
      </c>
      <c r="N10" s="283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96</v>
      </c>
      <c r="B11" s="218" t="s">
        <v>22</v>
      </c>
      <c r="C11" s="194"/>
      <c r="D11" s="281" t="e">
        <f aca="false">HPVAL($A11,$A$18,$A$2,$A$5,$A$6,$A$7)</f>
        <v>#NAME?</v>
      </c>
      <c r="E11" s="282" t="e">
        <f aca="false">HPVAL($A11,$A$18,$A$3,$A$5,$A$6,$A$7)</f>
        <v>#NAME?</v>
      </c>
      <c r="F11" s="283" t="e">
        <f aca="false">+D11+E11</f>
        <v>#NAME?</v>
      </c>
      <c r="G11" s="212"/>
      <c r="H11" s="281" t="e">
        <f aca="false">HPVAL($A11,$A$1,$A$2,$A$5,$A$6,$A$7)</f>
        <v>#NAME?</v>
      </c>
      <c r="I11" s="282" t="e">
        <f aca="false">HPVAL($A11,$A$1,$A$3,$A$5,$A$6,$A$7)</f>
        <v>#NAME?</v>
      </c>
      <c r="J11" s="283" t="e">
        <f aca="false">+H11+I11</f>
        <v>#NAME?</v>
      </c>
      <c r="K11" s="194"/>
      <c r="L11" s="281" t="e">
        <f aca="false">+D11-H11</f>
        <v>#NAME?</v>
      </c>
      <c r="M11" s="282" t="e">
        <f aca="false">+E11-I11</f>
        <v>#NAME?</v>
      </c>
      <c r="N11" s="283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97</v>
      </c>
      <c r="B12" s="218" t="s">
        <v>23</v>
      </c>
      <c r="C12" s="194"/>
      <c r="D12" s="281" t="e">
        <f aca="false">HPVAL($A12,$A$18,$A$2,$A$5,$A$6,$A$7)</f>
        <v>#NAME?</v>
      </c>
      <c r="E12" s="282" t="e">
        <f aca="false">HPVAL($A12,$A$18,$A$3,$A$5,$A$6,$A$7)</f>
        <v>#NAME?</v>
      </c>
      <c r="F12" s="283" t="e">
        <f aca="false">+D12+E12</f>
        <v>#NAME?</v>
      </c>
      <c r="G12" s="212"/>
      <c r="H12" s="281" t="e">
        <f aca="false">HPVAL($A12,$A$1,$A$2,$A$5,$A$6,$A$7)</f>
        <v>#NAME?</v>
      </c>
      <c r="I12" s="282" t="e">
        <f aca="false">HPVAL($A12,$A$1,$A$3,$A$5,$A$6,$A$7)</f>
        <v>#NAME?</v>
      </c>
      <c r="J12" s="283" t="e">
        <f aca="false">+H12+I12</f>
        <v>#NAME?</v>
      </c>
      <c r="K12" s="194"/>
      <c r="L12" s="281" t="e">
        <f aca="false">+D12-H12</f>
        <v>#NAME?</v>
      </c>
      <c r="M12" s="282" t="e">
        <f aca="false">+E12-I12</f>
        <v>#NAME?</v>
      </c>
      <c r="N12" s="283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98</v>
      </c>
      <c r="B13" s="218" t="s">
        <v>151</v>
      </c>
      <c r="C13" s="194"/>
      <c r="D13" s="281" t="e">
        <f aca="false">HPVAL($A13,$A$18,$A$2,$A$5,$A$6,$A$7)</f>
        <v>#NAME?</v>
      </c>
      <c r="E13" s="282" t="e">
        <f aca="false">HPVAL($A13,$A$18,$A$3,$A$5,$A$6,$A$7)</f>
        <v>#NAME?</v>
      </c>
      <c r="F13" s="283" t="e">
        <f aca="false">+D13+E13</f>
        <v>#NAME?</v>
      </c>
      <c r="G13" s="212"/>
      <c r="H13" s="281" t="e">
        <f aca="false">HPVAL($A13,$A$1,$A$2,$A$5,$A$6,$A$7)</f>
        <v>#NAME?</v>
      </c>
      <c r="I13" s="282" t="e">
        <f aca="false">HPVAL($A13,$A$1,$A$3,$A$5,$A$6,$A$7)</f>
        <v>#NAME?</v>
      </c>
      <c r="J13" s="283" t="e">
        <f aca="false">+H13+I13</f>
        <v>#NAME?</v>
      </c>
      <c r="K13" s="194"/>
      <c r="L13" s="281" t="e">
        <f aca="false">+D13-H13</f>
        <v>#NAME?</v>
      </c>
      <c r="M13" s="282" t="e">
        <f aca="false">+E13-I13</f>
        <v>#NAME?</v>
      </c>
      <c r="N13" s="283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152</v>
      </c>
      <c r="B14" s="218" t="s">
        <v>25</v>
      </c>
      <c r="C14" s="194"/>
      <c r="D14" s="281" t="e">
        <f aca="false">HPVAL($A14,$A$18,$A$2,$A$5,$A$6,$A$7)</f>
        <v>#NAME?</v>
      </c>
      <c r="E14" s="282" t="e">
        <f aca="false">HPVAL($A14,$A$18,$A$3,$A$5,$A$6,$A$7)</f>
        <v>#NAME?</v>
      </c>
      <c r="F14" s="283" t="e">
        <f aca="false">+D14+E14</f>
        <v>#NAME?</v>
      </c>
      <c r="G14" s="212"/>
      <c r="H14" s="281" t="e">
        <f aca="false">HPVAL($A14,$A$1,$A$2,$A$5,$A$6,$A$7)</f>
        <v>#NAME?</v>
      </c>
      <c r="I14" s="282" t="e">
        <f aca="false">HPVAL($A14,$A$1,$A$3,$A$5,$A$6,$A$7)</f>
        <v>#NAME?</v>
      </c>
      <c r="J14" s="283" t="e">
        <f aca="false">+H14+I14</f>
        <v>#NAME?</v>
      </c>
      <c r="K14" s="194"/>
      <c r="L14" s="281" t="e">
        <f aca="false">+D14-H14</f>
        <v>#NAME?</v>
      </c>
      <c r="M14" s="282" t="e">
        <f aca="false">+E14-I14</f>
        <v>#NAME?</v>
      </c>
      <c r="N14" s="283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18" t="s">
        <v>27</v>
      </c>
      <c r="C15" s="194"/>
      <c r="D15" s="281" t="n">
        <v>0</v>
      </c>
      <c r="E15" s="282" t="n">
        <v>0</v>
      </c>
      <c r="F15" s="283" t="n">
        <f aca="false">+D15+E15</f>
        <v>0</v>
      </c>
      <c r="G15" s="212"/>
      <c r="H15" s="281" t="n">
        <v>0</v>
      </c>
      <c r="I15" s="282" t="n">
        <v>0</v>
      </c>
      <c r="J15" s="283" t="n">
        <f aca="false">+H15+I15</f>
        <v>0</v>
      </c>
      <c r="K15" s="194"/>
      <c r="L15" s="281" t="n">
        <f aca="false">+D15-H15</f>
        <v>0</v>
      </c>
      <c r="M15" s="282" t="n">
        <f aca="false">+E15-I15</f>
        <v>0</v>
      </c>
      <c r="N15" s="283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153</v>
      </c>
      <c r="B16" s="218" t="s">
        <v>29</v>
      </c>
      <c r="C16" s="194"/>
      <c r="D16" s="281" t="n">
        <v>0</v>
      </c>
      <c r="E16" s="282" t="n">
        <v>0</v>
      </c>
      <c r="F16" s="283" t="n">
        <f aca="false">+D16+E16</f>
        <v>0</v>
      </c>
      <c r="G16" s="212"/>
      <c r="H16" s="281" t="n">
        <v>0</v>
      </c>
      <c r="I16" s="282" t="n">
        <v>0</v>
      </c>
      <c r="J16" s="283" t="n">
        <f aca="false">+H16+I16</f>
        <v>0</v>
      </c>
      <c r="K16" s="194"/>
      <c r="L16" s="281" t="n">
        <f aca="false">+D16-H16</f>
        <v>0</v>
      </c>
      <c r="M16" s="282" t="n">
        <f aca="false">+E16-I16</f>
        <v>0</v>
      </c>
      <c r="N16" s="283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153</v>
      </c>
      <c r="B17" s="218"/>
      <c r="C17" s="194"/>
      <c r="D17" s="281"/>
      <c r="E17" s="282"/>
      <c r="F17" s="283"/>
      <c r="G17" s="212"/>
      <c r="H17" s="281"/>
      <c r="I17" s="282"/>
      <c r="J17" s="283"/>
      <c r="K17" s="194"/>
      <c r="L17" s="281"/>
      <c r="M17" s="282"/>
      <c r="N17" s="283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154</v>
      </c>
      <c r="B18" s="220" t="s">
        <v>155</v>
      </c>
      <c r="C18" s="194"/>
      <c r="D18" s="284" t="e">
        <f aca="false">SUM(D9:D17)</f>
        <v>#NAME?</v>
      </c>
      <c r="E18" s="285" t="e">
        <f aca="false">SUM(E9:E17)</f>
        <v>#NAME?</v>
      </c>
      <c r="F18" s="286" t="e">
        <f aca="false">SUM(F9:F16)</f>
        <v>#NAME?</v>
      </c>
      <c r="G18" s="212"/>
      <c r="H18" s="284" t="e">
        <f aca="false">SUM(H9:H17)</f>
        <v>#NAME?</v>
      </c>
      <c r="I18" s="285" t="e">
        <f aca="false">SUM(I9:I17)</f>
        <v>#NAME?</v>
      </c>
      <c r="J18" s="286" t="e">
        <f aca="false">SUM(J9:J16)</f>
        <v>#NAME?</v>
      </c>
      <c r="K18" s="194"/>
      <c r="L18" s="284" t="e">
        <f aca="false">SUM(L9:L17)</f>
        <v>#NAME?</v>
      </c>
      <c r="M18" s="285" t="e">
        <f aca="false">SUM(M9:M17)</f>
        <v>#NAME?</v>
      </c>
      <c r="N18" s="286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9" activeCellId="0" sqref="C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December 14,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43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21</v>
      </c>
      <c r="B8" s="89"/>
      <c r="C8" s="90" t="n">
        <f aca="false">+'Mgmt Summary'!J10</f>
        <v>8622.27492</v>
      </c>
      <c r="D8" s="91" t="e">
        <f aca="false">+'Mgmt Summary'!C10</f>
        <v>#NAME?</v>
      </c>
      <c r="E8" s="92" t="e">
        <f aca="false">-D8+C8</f>
        <v>#NAME?</v>
      </c>
      <c r="F8" s="93"/>
      <c r="G8" s="90" t="e">
        <f aca="false">+Expenses!D10+'CapChrg-AllocExp'!K11+'CapChrg-AllocExp'!D11</f>
        <v>#NAME?</v>
      </c>
      <c r="H8" s="91" t="e">
        <f aca="false">+Expenses!E10+'CapChrg-AllocExp'!L11+'CapChrg-AllocExp'!E11</f>
        <v>#NAME?</v>
      </c>
      <c r="I8" s="92" t="e">
        <f aca="false">+H8-G8</f>
        <v>#NAME?</v>
      </c>
      <c r="J8" s="93"/>
      <c r="K8" s="90" t="e">
        <f aca="false">C8-G8</f>
        <v>#NAME?</v>
      </c>
      <c r="L8" s="91" t="e">
        <f aca="false">D8-H8</f>
        <v>#NAME?</v>
      </c>
      <c r="M8" s="92" t="e">
        <f aca="false">K8-L8</f>
        <v>#NAME?</v>
      </c>
      <c r="N8" s="94"/>
      <c r="O8" s="90" t="n">
        <f aca="false">+C8-'[1]QTD Mgmt Summary'!C9</f>
        <v>1494.57261</v>
      </c>
      <c r="P8" s="91" t="e">
        <f aca="false">+G8-'[1]QTD Mgmt Summary'!G9</f>
        <v>#NAME?</v>
      </c>
      <c r="Q8" s="92" t="e">
        <f aca="false">O8-P8</f>
        <v>#NAME?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Summary'!J11</f>
        <v>6807</v>
      </c>
      <c r="D9" s="91" t="e">
        <f aca="false">+'Mgmt Summary'!C11</f>
        <v>#NAME?</v>
      </c>
      <c r="E9" s="92" t="e">
        <f aca="false">-D9+C9</f>
        <v>#NAME?</v>
      </c>
      <c r="F9" s="93"/>
      <c r="G9" s="90" t="e">
        <f aca="false">+Expenses!D11+'CapChrg-AllocExp'!K12+'CapChrg-AllocExp'!D12</f>
        <v>#NAME?</v>
      </c>
      <c r="H9" s="91" t="e">
        <f aca="false">+Expenses!E11+'CapChrg-AllocExp'!L12+'CapChrg-AllocExp'!E12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Summary'!C10</f>
        <v>39</v>
      </c>
      <c r="P9" s="91" t="e">
        <f aca="false">+G9-'[1]QTD Mgmt Summary'!G10</f>
        <v>#NAME?</v>
      </c>
      <c r="Q9" s="92" t="e">
        <f aca="false">O9-P9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Summary'!J12</f>
        <v>3105</v>
      </c>
      <c r="D10" s="91" t="e">
        <f aca="false">+'Mgmt Summary'!C12</f>
        <v>#NAME?</v>
      </c>
      <c r="E10" s="92" t="e">
        <f aca="false">-D10+C10</f>
        <v>#NAME?</v>
      </c>
      <c r="F10" s="93"/>
      <c r="G10" s="90" t="e">
        <f aca="false">+Expenses!D12+'CapChrg-AllocExp'!K13+'CapChrg-AllocExp'!D13</f>
        <v>#NAME?</v>
      </c>
      <c r="H10" s="91" t="e">
        <f aca="false">+Expenses!E12+'CapChrg-AllocExp'!L13+'CapChrg-AllocExp'!E13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Summary'!C11</f>
        <v>-112</v>
      </c>
      <c r="P10" s="91" t="e">
        <f aca="false">+G10-'[1]QTD Mgmt Summary'!G11</f>
        <v>#NAME?</v>
      </c>
      <c r="Q10" s="92" t="e">
        <f aca="false">O10-P10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Summary'!J13</f>
        <v>0</v>
      </c>
      <c r="D11" s="91" t="e">
        <f aca="false">+'Mgmt Summary'!C13</f>
        <v>#NAME?</v>
      </c>
      <c r="E11" s="92" t="e">
        <f aca="false">-D11+C11</f>
        <v>#NAME?</v>
      </c>
      <c r="F11" s="93"/>
      <c r="G11" s="90" t="e">
        <f aca="false">+Expenses!D13+'CapChrg-AllocExp'!K14+'CapChrg-AllocExp'!D14</f>
        <v>#NAME?</v>
      </c>
      <c r="H11" s="91" t="e">
        <f aca="false">+Expenses!E13+'CapChrg-AllocExp'!L14+'CapChrg-AllocExp'!E14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Summary'!C12</f>
        <v>0</v>
      </c>
      <c r="P11" s="91" t="e">
        <f aca="false">+G11-'[1]QTD Mgmt Summary'!G12</f>
        <v>#NAME?</v>
      </c>
      <c r="Q11" s="92" t="e">
        <f aca="false">O11-P11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Summary'!J14</f>
        <v>1625</v>
      </c>
      <c r="D12" s="91" t="n">
        <f aca="false">+'Mgmt Summary'!C14</f>
        <v>11483.213</v>
      </c>
      <c r="E12" s="92" t="n">
        <f aca="false">-D12+C12</f>
        <v>-9858.213</v>
      </c>
      <c r="F12" s="93"/>
      <c r="G12" s="90" t="e">
        <f aca="false">+Expenses!D14+'CapChrg-AllocExp'!K15+'CapChrg-AllocExp'!D15</f>
        <v>#NAME?</v>
      </c>
      <c r="H12" s="91" t="e">
        <f aca="false">+Expenses!E14+'CapChrg-AllocExp'!L15+'CapChrg-AllocExp'!E15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Summary'!C13</f>
        <v>1499.507</v>
      </c>
      <c r="P12" s="91" t="e">
        <f aca="false">+G12-'[1]QTD Mgmt Summary'!G13</f>
        <v>#NAME?</v>
      </c>
      <c r="Q12" s="92" t="e">
        <f aca="false">O12-P12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4.5" hidden="false" customHeight="true" outlineLevel="0" collapsed="false">
      <c r="A13" s="84"/>
      <c r="B13" s="78"/>
      <c r="C13" s="95"/>
      <c r="D13" s="96"/>
      <c r="E13" s="97"/>
      <c r="F13" s="98"/>
      <c r="G13" s="99"/>
      <c r="H13" s="96"/>
      <c r="I13" s="97"/>
      <c r="J13" s="98"/>
      <c r="K13" s="95"/>
      <c r="L13" s="96"/>
      <c r="M13" s="97"/>
      <c r="N13" s="83"/>
      <c r="O13" s="95"/>
      <c r="P13" s="96"/>
      <c r="Q13" s="97"/>
    </row>
    <row r="14" customFormat="false" ht="16.5" hidden="false" customHeight="false" outlineLevel="0" collapsed="false">
      <c r="A14" s="100" t="s">
        <v>28</v>
      </c>
      <c r="B14" s="101"/>
      <c r="C14" s="102" t="n">
        <f aca="false">SUM(C8:C13)</f>
        <v>20159.27492</v>
      </c>
      <c r="D14" s="103" t="e">
        <f aca="false">SUM(D8:D13)</f>
        <v>#NAME?</v>
      </c>
      <c r="E14" s="104" t="e">
        <f aca="false">SUM(E8:E13)</f>
        <v>#NAME?</v>
      </c>
      <c r="F14" s="105" t="n">
        <f aca="false">SUM(F8:F13)</f>
        <v>0</v>
      </c>
      <c r="G14" s="102" t="e">
        <f aca="false">SUM(G8:G13)</f>
        <v>#NAME?</v>
      </c>
      <c r="H14" s="103" t="e">
        <f aca="false">SUM(H8:H13)</f>
        <v>#NAME?</v>
      </c>
      <c r="I14" s="104" t="e">
        <f aca="false">SUM(I8:I13)</f>
        <v>#NAME?</v>
      </c>
      <c r="J14" s="105" t="n">
        <f aca="false">SUM(J8:J13)</f>
        <v>0</v>
      </c>
      <c r="K14" s="102" t="e">
        <f aca="false">SUM(K8:K13)</f>
        <v>#NAME?</v>
      </c>
      <c r="L14" s="103" t="e">
        <f aca="false">SUM(L8:L13)</f>
        <v>#NAME?</v>
      </c>
      <c r="M14" s="104" t="e">
        <f aca="false">SUM(M8:M13)</f>
        <v>#NAME?</v>
      </c>
      <c r="N14" s="106"/>
      <c r="O14" s="102" t="n">
        <f aca="false">SUM(O8:O13)</f>
        <v>2921.07961</v>
      </c>
      <c r="P14" s="103" t="e">
        <f aca="false">SUM(P8:P13)</f>
        <v>#NAME?</v>
      </c>
      <c r="Q14" s="104" t="e">
        <f aca="false">SUM(Q8:Q13)</f>
        <v>#NAME?</v>
      </c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  <c r="IW14" s="107"/>
    </row>
    <row r="15" customFormat="false" ht="4.5" hidden="false" customHeight="true" outlineLevel="0" collapsed="false">
      <c r="A15" s="84"/>
      <c r="B15" s="78"/>
      <c r="C15" s="95"/>
      <c r="D15" s="96"/>
      <c r="E15" s="97"/>
      <c r="F15" s="98"/>
      <c r="G15" s="99"/>
      <c r="H15" s="96"/>
      <c r="I15" s="97"/>
      <c r="J15" s="98"/>
      <c r="K15" s="95"/>
      <c r="L15" s="96"/>
      <c r="M15" s="97"/>
      <c r="N15" s="83"/>
      <c r="O15" s="95"/>
      <c r="P15" s="96"/>
      <c r="Q15" s="97"/>
    </row>
    <row r="16" customFormat="false" ht="13.5" hidden="false" customHeight="true" outlineLevel="0" collapsed="false">
      <c r="A16" s="88" t="s">
        <v>46</v>
      </c>
      <c r="B16" s="89"/>
      <c r="C16" s="90" t="n">
        <v>0</v>
      </c>
      <c r="D16" s="91" t="n">
        <v>0</v>
      </c>
      <c r="E16" s="92" t="n">
        <f aca="false">-D16+C16</f>
        <v>0</v>
      </c>
      <c r="F16" s="93"/>
      <c r="G16" s="90" t="e">
        <f aca="false">+Expenses!D10+Expenses!D11+Expenses!D12+Expenses!D13+Expenses!D14+'CapChrg-AllocExp'!D11+'CapChrg-AllocExp'!K11+'CapChrg-AllocExp'!K12+'CapChrg-AllocExp'!K13+'CapChrg-AllocExp'!K14+'CapChrg-AllocExp'!K15</f>
        <v>#NAME?</v>
      </c>
      <c r="H16" s="91" t="e">
        <f aca="false">+Expenses!E10+Expenses!E11+Expenses!E12+Expenses!E13+Expenses!E14+'CapChrg-AllocExp'!E11+'CapChrg-AllocExp'!L11+'CapChrg-AllocExp'!L12+'CapChrg-AllocExp'!L13+'CapChrg-AllocExp'!L14+'CapChrg-AllocExp'!L15</f>
        <v>#NAME?</v>
      </c>
      <c r="I16" s="92" t="e">
        <f aca="false">+H16-G16</f>
        <v>#NAME?</v>
      </c>
      <c r="J16" s="93"/>
      <c r="K16" s="90" t="e">
        <f aca="false">C16-G16</f>
        <v>#NAME?</v>
      </c>
      <c r="L16" s="91" t="e">
        <f aca="false">D16-H16</f>
        <v>#NAME?</v>
      </c>
      <c r="M16" s="92" t="e">
        <f aca="false">K16-L16</f>
        <v>#NAME?</v>
      </c>
      <c r="N16" s="94"/>
      <c r="O16" s="90" t="n">
        <f aca="false">+C16-'[1]QTD Mgmt Summary'!C29</f>
        <v>0</v>
      </c>
      <c r="P16" s="91" t="e">
        <f aca="false">+G16-'[1]QTD Mgmt Summary'!G29</f>
        <v>#NAME?</v>
      </c>
      <c r="Q16" s="92" t="e">
        <f aca="false">O16-P16</f>
        <v>#NAME?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47</v>
      </c>
      <c r="B17" s="89"/>
      <c r="C17" s="90" t="n">
        <v>0</v>
      </c>
      <c r="D17" s="91" t="n">
        <v>0</v>
      </c>
      <c r="E17" s="92" t="n">
        <f aca="false">-D17+C17</f>
        <v>0</v>
      </c>
      <c r="F17" s="93"/>
      <c r="G17" s="90" t="e">
        <f aca="false">-G16</f>
        <v>#NAME?</v>
      </c>
      <c r="H17" s="91" t="e">
        <f aca="false">-H16</f>
        <v>#NAME?</v>
      </c>
      <c r="I17" s="92" t="e">
        <f aca="false">+H17-G17</f>
        <v>#NAME?</v>
      </c>
      <c r="J17" s="93"/>
      <c r="K17" s="90" t="e">
        <f aca="false">C17-G17</f>
        <v>#NAME?</v>
      </c>
      <c r="L17" s="91" t="e">
        <f aca="false">D17-H17</f>
        <v>#NAME?</v>
      </c>
      <c r="M17" s="92" t="e">
        <f aca="false">K17-L17</f>
        <v>#NAME?</v>
      </c>
      <c r="N17" s="94"/>
      <c r="O17" s="90" t="n">
        <f aca="false">+C17-'[1]QTD Mgmt Summary'!C30</f>
        <v>0</v>
      </c>
      <c r="P17" s="91" t="e">
        <f aca="false">+G17-'[1]QTD Mgmt Summary'!G30</f>
        <v>#NAME?</v>
      </c>
      <c r="Q17" s="92" t="e">
        <f aca="false">O17-P17</f>
        <v>#NAME?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30</v>
      </c>
      <c r="B18" s="89"/>
      <c r="C18" s="90" t="n">
        <f aca="false">+'Mgmt Summary'!J32</f>
        <v>-520</v>
      </c>
      <c r="D18" s="91" t="n">
        <f aca="false">+'Mgmt Summary'!C32</f>
        <v>-520</v>
      </c>
      <c r="E18" s="92" t="n">
        <f aca="false">-D18+C18</f>
        <v>0</v>
      </c>
      <c r="F18" s="93"/>
      <c r="G18" s="90" t="n">
        <f aca="false">+Expenses!D30</f>
        <v>0</v>
      </c>
      <c r="H18" s="91" t="n">
        <f aca="false">+Expenses!E30</f>
        <v>0</v>
      </c>
      <c r="I18" s="92" t="n">
        <f aca="false">+H18-G18</f>
        <v>0</v>
      </c>
      <c r="J18" s="93"/>
      <c r="K18" s="90" t="n">
        <f aca="false">C18-G18</f>
        <v>-520</v>
      </c>
      <c r="L18" s="91" t="n">
        <f aca="false">D18-H18</f>
        <v>-520</v>
      </c>
      <c r="M18" s="92" t="n">
        <f aca="false">K18-L18</f>
        <v>0</v>
      </c>
      <c r="N18" s="94"/>
      <c r="O18" s="90" t="n">
        <f aca="false">+C18-'[1]QTD Mgmt Summary'!C31</f>
        <v>0</v>
      </c>
      <c r="P18" s="91" t="n">
        <f aca="false">+G18-'[1]QTD Mgmt Summary'!G31</f>
        <v>0</v>
      </c>
      <c r="Q18" s="92" t="n">
        <f aca="false">O18-P18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31</v>
      </c>
      <c r="B19" s="89"/>
      <c r="C19" s="90" t="n">
        <f aca="false">+'Mgmt Summary'!J33</f>
        <v>0</v>
      </c>
      <c r="D19" s="91" t="n">
        <f aca="false">+'Mgmt Summary'!C33</f>
        <v>0</v>
      </c>
      <c r="E19" s="92" t="n">
        <f aca="false">-D19+C19</f>
        <v>0</v>
      </c>
      <c r="F19" s="93"/>
      <c r="G19" s="90" t="n">
        <f aca="false">-'CapChrg-AllocExp'!D11</f>
        <v>-658</v>
      </c>
      <c r="H19" s="91" t="e">
        <f aca="false">-'CapChrg-AllocExp'!E11</f>
        <v>#NAME?</v>
      </c>
      <c r="I19" s="92" t="e">
        <f aca="false">+H19-G19</f>
        <v>#NAME?</v>
      </c>
      <c r="J19" s="93"/>
      <c r="K19" s="90" t="n">
        <f aca="false">C19-G19</f>
        <v>658</v>
      </c>
      <c r="L19" s="91" t="e">
        <f aca="false">D19-H19</f>
        <v>#NAME?</v>
      </c>
      <c r="M19" s="92" t="e">
        <f aca="false">K19-L19</f>
        <v>#NAME?</v>
      </c>
      <c r="N19" s="94"/>
      <c r="O19" s="90" t="n">
        <f aca="false">+C19-'[1]QTD Mgmt Summary'!C32</f>
        <v>0</v>
      </c>
      <c r="P19" s="91" t="n">
        <f aca="false">+G19-'[1]QTD Mgmt Summary'!G32</f>
        <v>555</v>
      </c>
      <c r="Q19" s="92" t="n">
        <f aca="false">O19-P19</f>
        <v>-555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5"/>
      <c r="D20" s="96"/>
      <c r="E20" s="97"/>
      <c r="F20" s="98"/>
      <c r="G20" s="99"/>
      <c r="H20" s="96"/>
      <c r="I20" s="97"/>
      <c r="J20" s="98"/>
      <c r="K20" s="95"/>
      <c r="L20" s="96"/>
      <c r="M20" s="97"/>
      <c r="N20" s="83"/>
      <c r="O20" s="95"/>
      <c r="P20" s="96"/>
      <c r="Q20" s="97"/>
    </row>
    <row r="21" customFormat="false" ht="16.5" hidden="false" customHeight="false" outlineLevel="0" collapsed="false">
      <c r="A21" s="100" t="s">
        <v>32</v>
      </c>
      <c r="B21" s="101"/>
      <c r="C21" s="102" t="n">
        <f aca="false">SUM(C16:C19)</f>
        <v>-520</v>
      </c>
      <c r="D21" s="103" t="n">
        <f aca="false">SUM(D16:D19)</f>
        <v>-520</v>
      </c>
      <c r="E21" s="104" t="n">
        <f aca="false">SUM(E16:E19)</f>
        <v>0</v>
      </c>
      <c r="F21" s="105"/>
      <c r="G21" s="102" t="e">
        <f aca="false">SUM(G16:G19)</f>
        <v>#NAME?</v>
      </c>
      <c r="H21" s="103" t="e">
        <f aca="false">SUM(H16:H19)</f>
        <v>#NAME?</v>
      </c>
      <c r="I21" s="104" t="e">
        <f aca="false">SUM(I16:I19)</f>
        <v>#NAME?</v>
      </c>
      <c r="J21" s="105"/>
      <c r="K21" s="102" t="e">
        <f aca="false">SUM(K16:K19)</f>
        <v>#NAME?</v>
      </c>
      <c r="L21" s="103" t="e">
        <f aca="false">SUM(L16:L19)</f>
        <v>#NAME?</v>
      </c>
      <c r="M21" s="104" t="e">
        <f aca="false">SUM(M16:M19)</f>
        <v>#NAME?</v>
      </c>
      <c r="N21" s="106"/>
      <c r="O21" s="102" t="n">
        <f aca="false">SUM(O16:O19)</f>
        <v>0</v>
      </c>
      <c r="P21" s="103" t="e">
        <f aca="false">SUM(P16:P19)</f>
        <v>#NAME?</v>
      </c>
      <c r="Q21" s="104" t="e">
        <f aca="false">SUM(Q16:Q19)</f>
        <v>#NAME?</v>
      </c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</row>
    <row r="22" customFormat="false" ht="4.5" hidden="false" customHeight="true" outlineLevel="0" collapsed="false">
      <c r="A22" s="84"/>
      <c r="B22" s="78"/>
      <c r="C22" s="90"/>
      <c r="D22" s="91"/>
      <c r="E22" s="92"/>
      <c r="F22" s="93"/>
      <c r="G22" s="108"/>
      <c r="H22" s="91"/>
      <c r="I22" s="92"/>
      <c r="J22" s="93"/>
      <c r="K22" s="90"/>
      <c r="L22" s="91"/>
      <c r="M22" s="92"/>
      <c r="N22" s="83"/>
      <c r="O22" s="90"/>
      <c r="P22" s="91"/>
      <c r="Q22" s="92"/>
    </row>
    <row r="23" customFormat="false" ht="13.5" hidden="false" customHeight="true" outlineLevel="0" collapsed="false">
      <c r="A23" s="88" t="s">
        <v>35</v>
      </c>
      <c r="B23" s="89"/>
      <c r="C23" s="90" t="n">
        <f aca="false">+'Mgmt Summary'!J37</f>
        <v>0</v>
      </c>
      <c r="D23" s="91" t="n">
        <f aca="false">+'Mgmt Summary'!C37</f>
        <v>0</v>
      </c>
      <c r="E23" s="92" t="n">
        <f aca="false">D23-C23</f>
        <v>0</v>
      </c>
      <c r="F23" s="93"/>
      <c r="G23" s="90" t="e">
        <f aca="false">+'IntIncome-Expense'!G13</f>
        <v>#NAME?</v>
      </c>
      <c r="H23" s="91" t="e">
        <f aca="false">+'IntIncome-Expense'!H13</f>
        <v>#NAME?</v>
      </c>
      <c r="I23" s="92" t="e">
        <f aca="false">+H23-G23</f>
        <v>#NAME?</v>
      </c>
      <c r="J23" s="93"/>
      <c r="K23" s="90" t="e">
        <f aca="false">C23-G23</f>
        <v>#NAME?</v>
      </c>
      <c r="L23" s="91" t="e">
        <f aca="false">D23-H23</f>
        <v>#NAME?</v>
      </c>
      <c r="M23" s="92" t="e">
        <f aca="false">K23-L23</f>
        <v>#NAME?</v>
      </c>
      <c r="N23" s="94"/>
      <c r="O23" s="90" t="n">
        <f aca="false">+C23-'[1]QTD Mgmt Summary'!C36</f>
        <v>0</v>
      </c>
      <c r="P23" s="91" t="e">
        <f aca="false">+G23-'[1]QTD Mgmt Summary'!G36</f>
        <v>#NAME?</v>
      </c>
      <c r="Q23" s="92" t="e">
        <f aca="false">O23-P23</f>
        <v>#NAME?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4.5" hidden="false" customHeight="true" outlineLevel="0" collapsed="false">
      <c r="A24" s="84"/>
      <c r="B24" s="78"/>
      <c r="C24" s="90"/>
      <c r="D24" s="91"/>
      <c r="E24" s="92"/>
      <c r="F24" s="93"/>
      <c r="G24" s="108"/>
      <c r="H24" s="91"/>
      <c r="I24" s="92"/>
      <c r="J24" s="93"/>
      <c r="K24" s="90"/>
      <c r="L24" s="91"/>
      <c r="M24" s="92"/>
      <c r="N24" s="83"/>
      <c r="O24" s="90"/>
      <c r="P24" s="91"/>
      <c r="Q24" s="92"/>
    </row>
    <row r="25" customFormat="false" ht="17.25" hidden="false" customHeight="false" outlineLevel="0" collapsed="false">
      <c r="A25" s="109" t="s">
        <v>36</v>
      </c>
      <c r="B25" s="110"/>
      <c r="C25" s="111" t="n">
        <f aca="false">+C21-C23</f>
        <v>-520</v>
      </c>
      <c r="D25" s="112" t="n">
        <f aca="false">+D21-D23</f>
        <v>-520</v>
      </c>
      <c r="E25" s="113" t="n">
        <f aca="false">+E21-E23</f>
        <v>0</v>
      </c>
      <c r="F25" s="114"/>
      <c r="G25" s="111" t="e">
        <f aca="false">SUM(G21:G23)</f>
        <v>#NAME?</v>
      </c>
      <c r="H25" s="112" t="e">
        <f aca="false">SUM(H21:H23)</f>
        <v>#NAME?</v>
      </c>
      <c r="I25" s="113" t="e">
        <f aca="false">SUM(I21:I23)</f>
        <v>#NAME?</v>
      </c>
      <c r="J25" s="114"/>
      <c r="K25" s="111" t="e">
        <f aca="false">SUM(K21:K23)</f>
        <v>#NAME?</v>
      </c>
      <c r="L25" s="112" t="e">
        <f aca="false">SUM(L21:L23)</f>
        <v>#NAME?</v>
      </c>
      <c r="M25" s="113" t="e">
        <f aca="false">SUM(M21:M23)</f>
        <v>#NAME?</v>
      </c>
      <c r="N25" s="106"/>
      <c r="O25" s="111" t="n">
        <f aca="false">SUM(O21:O23)</f>
        <v>0</v>
      </c>
      <c r="P25" s="112" t="e">
        <f aca="false">SUM(P21:P23)</f>
        <v>#NAME?</v>
      </c>
      <c r="Q25" s="113" t="e">
        <f aca="false">SUM(Q21:Q23)</f>
        <v>#NAME?</v>
      </c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  <c r="IW25" s="107"/>
    </row>
    <row r="26" customFormat="false" ht="3" hidden="false" customHeight="true" outlineLevel="0" collapsed="false">
      <c r="A26" s="56"/>
      <c r="C26" s="57"/>
      <c r="D26" s="51"/>
      <c r="E26" s="56"/>
      <c r="F26" s="51"/>
      <c r="I26" s="56"/>
    </row>
    <row r="27" customFormat="false" ht="12.75" hidden="false" customHeight="false" outlineLevel="0" collapsed="false">
      <c r="A27" s="1" t="s">
        <v>48</v>
      </c>
      <c r="C27" s="51"/>
      <c r="D27" s="51"/>
      <c r="E27" s="51"/>
      <c r="F27" s="51"/>
      <c r="I27" s="51"/>
    </row>
    <row r="28" customFormat="false" ht="12.75" hidden="false" customHeight="false" outlineLevel="0" collapsed="false">
      <c r="G28" s="115" t="s">
        <v>49</v>
      </c>
      <c r="M28" s="116"/>
      <c r="Q28" s="116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December 14,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50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20</v>
      </c>
      <c r="B8" s="89"/>
      <c r="C8" s="90" t="n">
        <f aca="false">+'Mgmt Summary'!J9</f>
        <v>-7852.811</v>
      </c>
      <c r="D8" s="91" t="n">
        <f aca="false">+'Mgmt Summary'!C9</f>
        <v>30000</v>
      </c>
      <c r="E8" s="92" t="n">
        <f aca="false">-D8+C8</f>
        <v>-37852.811</v>
      </c>
      <c r="F8" s="93"/>
      <c r="G8" s="90" t="n">
        <f aca="false">+Expenses!D9+'CapChrg-AllocExp'!K10+'CapChrg-AllocExp'!D10</f>
        <v>14692</v>
      </c>
      <c r="H8" s="91" t="n">
        <f aca="false">+Expenses!E9+'CapChrg-AllocExp'!L10+'CapChrg-AllocExp'!E10</f>
        <v>14092</v>
      </c>
      <c r="I8" s="92" t="n">
        <f aca="false">+H8-G8</f>
        <v>-600</v>
      </c>
      <c r="J8" s="93"/>
      <c r="K8" s="90" t="n">
        <f aca="false">+C8-G8</f>
        <v>-22544.811</v>
      </c>
      <c r="L8" s="91" t="n">
        <f aca="false">D8-H8</f>
        <v>15908</v>
      </c>
      <c r="M8" s="92" t="n">
        <f aca="false">K8-L8</f>
        <v>-38452.811</v>
      </c>
      <c r="N8" s="94"/>
      <c r="O8" s="90" t="n">
        <f aca="false">+C8-'[1]QTD Mgmt Summary'!C8</f>
        <v>4429.806</v>
      </c>
      <c r="P8" s="91" t="n">
        <f aca="false">-G8+'[1]QTD Mgmt Summary'!G8</f>
        <v>0</v>
      </c>
      <c r="Q8" s="92" t="n">
        <f aca="false">+O8+P8</f>
        <v>4429.806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Summary'!J10</f>
        <v>8622.27492</v>
      </c>
      <c r="D9" s="91" t="e">
        <f aca="false">+'Mgmt Summary'!C10</f>
        <v>#NAME?</v>
      </c>
      <c r="E9" s="92" t="e">
        <f aca="false">-D9+C9</f>
        <v>#NAME?</v>
      </c>
      <c r="F9" s="93"/>
      <c r="G9" s="90" t="e">
        <f aca="false">+Expenses!D10+'CapChrg-AllocExp'!K11+'CapChrg-AllocExp'!D11</f>
        <v>#NAME?</v>
      </c>
      <c r="H9" s="91" t="e">
        <f aca="false">+Expenses!E10+'CapChrg-AllocExp'!L11+'CapChrg-AllocExp'!E11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Summary'!C9</f>
        <v>1494.57261</v>
      </c>
      <c r="P9" s="91" t="e">
        <f aca="false">-G9+'[1]QTD Mgmt Summary'!G9</f>
        <v>#NAME?</v>
      </c>
      <c r="Q9" s="92" t="e">
        <f aca="false">+O9+P9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22</v>
      </c>
      <c r="B10" s="89"/>
      <c r="C10" s="90" t="n">
        <f aca="false">+'Mgmt Summary'!J11</f>
        <v>6807</v>
      </c>
      <c r="D10" s="91" t="e">
        <f aca="false">+'Mgmt Summary'!C11</f>
        <v>#NAME?</v>
      </c>
      <c r="E10" s="92" t="e">
        <f aca="false">-D10+C10</f>
        <v>#NAME?</v>
      </c>
      <c r="F10" s="93"/>
      <c r="G10" s="90" t="e">
        <f aca="false">+Expenses!D11+'CapChrg-AllocExp'!K12+'CapChrg-AllocExp'!D12</f>
        <v>#NAME?</v>
      </c>
      <c r="H10" s="91" t="e">
        <f aca="false">+Expenses!E11+'CapChrg-AllocExp'!L12+'CapChrg-AllocExp'!E12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Summary'!C10</f>
        <v>39</v>
      </c>
      <c r="P10" s="91" t="e">
        <f aca="false">-G10+'[1]QTD Mgmt Summary'!G10</f>
        <v>#NAME?</v>
      </c>
      <c r="Q10" s="92" t="e">
        <f aca="false">+O10+P10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Summary'!J12</f>
        <v>3105</v>
      </c>
      <c r="D11" s="91" t="e">
        <f aca="false">+'Mgmt Summary'!C12</f>
        <v>#NAME?</v>
      </c>
      <c r="E11" s="92" t="e">
        <f aca="false">-D11+C11</f>
        <v>#NAME?</v>
      </c>
      <c r="F11" s="93"/>
      <c r="G11" s="90" t="e">
        <f aca="false">+Expenses!D12+'CapChrg-AllocExp'!K13+'CapChrg-AllocExp'!D13</f>
        <v>#NAME?</v>
      </c>
      <c r="H11" s="91" t="e">
        <f aca="false">+Expenses!E12+'CapChrg-AllocExp'!L13+'CapChrg-AllocExp'!E13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Summary'!C11</f>
        <v>-112</v>
      </c>
      <c r="P11" s="91" t="e">
        <f aca="false">-G11+'[1]QTD Mgmt Summary'!G11</f>
        <v>#NAME?</v>
      </c>
      <c r="Q11" s="92" t="e">
        <f aca="false">+O11+P11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24</v>
      </c>
      <c r="B12" s="89"/>
      <c r="C12" s="90" t="n">
        <f aca="false">+'Mgmt Summary'!J13</f>
        <v>0</v>
      </c>
      <c r="D12" s="91" t="e">
        <f aca="false">+'Mgmt Summary'!C13</f>
        <v>#NAME?</v>
      </c>
      <c r="E12" s="92" t="e">
        <f aca="false">-D12+C12</f>
        <v>#NAME?</v>
      </c>
      <c r="F12" s="93"/>
      <c r="G12" s="90" t="e">
        <f aca="false">+Expenses!D13+'CapChrg-AllocExp'!K14+'CapChrg-AllocExp'!D14</f>
        <v>#NAME?</v>
      </c>
      <c r="H12" s="91" t="e">
        <f aca="false">+Expenses!E13+'CapChrg-AllocExp'!L14+'CapChrg-AllocExp'!E14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Summary'!C12</f>
        <v>0</v>
      </c>
      <c r="P12" s="91" t="e">
        <f aca="false">-G12+'[1]QTD Mgmt Summary'!G12</f>
        <v>#NAME?</v>
      </c>
      <c r="Q12" s="92" t="e">
        <f aca="false">+O12+P12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Summary'!J14</f>
        <v>1625</v>
      </c>
      <c r="D13" s="91" t="n">
        <f aca="false">+'Mgmt Summary'!C14</f>
        <v>11483.213</v>
      </c>
      <c r="E13" s="92" t="n">
        <f aca="false">-D13+C13</f>
        <v>-9858.213</v>
      </c>
      <c r="F13" s="93"/>
      <c r="G13" s="90" t="e">
        <f aca="false">+Expenses!D14+'CapChrg-AllocExp'!K15+'CapChrg-AllocExp'!D15</f>
        <v>#NAME?</v>
      </c>
      <c r="H13" s="91" t="e">
        <f aca="false">+Expenses!E14+'CapChrg-AllocExp'!L15+'CapChrg-AllocExp'!E15</f>
        <v>#NAME?</v>
      </c>
      <c r="I13" s="92" t="e">
        <f aca="false">+H13-G13</f>
        <v>#NAME?</v>
      </c>
      <c r="J13" s="93"/>
      <c r="K13" s="90" t="e">
        <f aca="false">C13-G13</f>
        <v>#NAME?</v>
      </c>
      <c r="L13" s="91" t="e">
        <f aca="false">D13-H13</f>
        <v>#NAME?</v>
      </c>
      <c r="M13" s="92" t="e">
        <f aca="false">K13-L13</f>
        <v>#NAME?</v>
      </c>
      <c r="N13" s="94"/>
      <c r="O13" s="90" t="n">
        <f aca="false">+C13-'[1]QTD Mgmt Summary'!C13</f>
        <v>1499.507</v>
      </c>
      <c r="P13" s="117" t="e">
        <f aca="false">(-G13+'[1]QTD Mgmt Summary'!G13)*0</f>
        <v>#NAME?</v>
      </c>
      <c r="Q13" s="92" t="e">
        <f aca="false">+O13+P13</f>
        <v>#NAME?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51</v>
      </c>
      <c r="B14" s="89"/>
      <c r="C14" s="90" t="n">
        <f aca="false">+'Mgmt Summary'!J15</f>
        <v>0</v>
      </c>
      <c r="D14" s="91" t="n">
        <f aca="false">+'Mgmt Summary'!C15</f>
        <v>0</v>
      </c>
      <c r="E14" s="92" t="n">
        <f aca="false">-D14+C14</f>
        <v>0</v>
      </c>
      <c r="F14" s="93"/>
      <c r="G14" s="90" t="n">
        <f aca="false">+Expenses!D15+'CapChrg-AllocExp'!K16+'CapChrg-AllocExp'!D16</f>
        <v>1525</v>
      </c>
      <c r="H14" s="91" t="n">
        <f aca="false">+Expenses!E15+'CapChrg-AllocExp'!L16+'CapChrg-AllocExp'!E16</f>
        <v>0</v>
      </c>
      <c r="I14" s="92" t="n">
        <f aca="false">+H14-G14</f>
        <v>-1525</v>
      </c>
      <c r="J14" s="93"/>
      <c r="K14" s="90" t="n">
        <f aca="false">C14-G14</f>
        <v>-1525</v>
      </c>
      <c r="L14" s="91" t="n">
        <f aca="false">D14-H14</f>
        <v>0</v>
      </c>
      <c r="M14" s="92" t="n">
        <f aca="false">K14-L14</f>
        <v>-1525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26</v>
      </c>
      <c r="B15" s="89"/>
      <c r="C15" s="90" t="n">
        <f aca="false">+'Mgmt Summary'!J16</f>
        <v>0</v>
      </c>
      <c r="D15" s="91" t="n">
        <f aca="false">+'Mgmt Summary'!C16</f>
        <v>10100</v>
      </c>
      <c r="E15" s="92" t="n">
        <f aca="false">-D15+C15</f>
        <v>-10100</v>
      </c>
      <c r="F15" s="93"/>
      <c r="G15" s="90" t="n">
        <v>0</v>
      </c>
      <c r="H15" s="91" t="n">
        <v>0</v>
      </c>
      <c r="I15" s="92" t="n">
        <f aca="false">+H15-G15</f>
        <v>0</v>
      </c>
      <c r="J15" s="93"/>
      <c r="K15" s="90" t="n">
        <f aca="false">C15-G15</f>
        <v>0</v>
      </c>
      <c r="L15" s="91" t="n">
        <f aca="false">D15-H15</f>
        <v>10100</v>
      </c>
      <c r="M15" s="92" t="n">
        <f aca="false">K15-L15</f>
        <v>-10100</v>
      </c>
      <c r="N15" s="94"/>
      <c r="O15" s="90" t="n">
        <f aca="false">+C15-'[1]QTD Mgmt Summary'!C15</f>
        <v>0</v>
      </c>
      <c r="P15" s="91" t="n">
        <f aca="false">-G15+'[1]QTD Mgmt Summary'!G15</f>
        <v>0</v>
      </c>
      <c r="Q15" s="92" t="n">
        <f aca="false">+O15+P15</f>
        <v>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27</v>
      </c>
      <c r="B16" s="89"/>
      <c r="C16" s="90" t="n">
        <f aca="false">+'Mgmt Summary'!J17</f>
        <v>0</v>
      </c>
      <c r="D16" s="91" t="n">
        <f aca="false">+'Mgmt Summary'!C17</f>
        <v>0</v>
      </c>
      <c r="E16" s="92" t="n">
        <f aca="false">-D16+C16</f>
        <v>0</v>
      </c>
      <c r="F16" s="93"/>
      <c r="G16" s="90" t="n">
        <f aca="false">+Expenses!D16+'CapChrg-AllocExp'!K24</f>
        <v>750</v>
      </c>
      <c r="H16" s="91" t="n">
        <f aca="false">+Expenses!E16+'CapChrg-AllocExp'!L24</f>
        <v>0</v>
      </c>
      <c r="I16" s="92" t="n">
        <f aca="false">+H16-G16</f>
        <v>-750</v>
      </c>
      <c r="J16" s="93"/>
      <c r="K16" s="90" t="n">
        <f aca="false">C16-G16</f>
        <v>-750</v>
      </c>
      <c r="L16" s="91" t="n">
        <f aca="false">D16-H16</f>
        <v>0</v>
      </c>
      <c r="M16" s="92" t="n">
        <f aca="false">K16-L16</f>
        <v>-750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4"/>
      <c r="B17" s="78"/>
      <c r="C17" s="95"/>
      <c r="D17" s="96"/>
      <c r="E17" s="97"/>
      <c r="F17" s="98"/>
      <c r="G17" s="99"/>
      <c r="H17" s="96"/>
      <c r="I17" s="97"/>
      <c r="J17" s="98"/>
      <c r="K17" s="95"/>
      <c r="L17" s="96"/>
      <c r="M17" s="97"/>
      <c r="N17" s="83"/>
      <c r="O17" s="95"/>
      <c r="P17" s="96"/>
      <c r="Q17" s="97"/>
    </row>
    <row r="18" customFormat="false" ht="16.5" hidden="false" customHeight="false" outlineLevel="0" collapsed="false">
      <c r="A18" s="100" t="s">
        <v>52</v>
      </c>
      <c r="B18" s="101"/>
      <c r="C18" s="102" t="n">
        <f aca="false">SUM(C8:C17)</f>
        <v>12306.46392</v>
      </c>
      <c r="D18" s="103" t="e">
        <f aca="false">SUM(D8:D17)</f>
        <v>#NAME?</v>
      </c>
      <c r="E18" s="104" t="e">
        <f aca="false">SUM(E8:E17)</f>
        <v>#NAME?</v>
      </c>
      <c r="F18" s="105" t="n">
        <f aca="false">SUM(F8:F17)</f>
        <v>0</v>
      </c>
      <c r="G18" s="102" t="e">
        <f aca="false">SUM(G8:G17)</f>
        <v>#NAME?</v>
      </c>
      <c r="H18" s="103" t="e">
        <f aca="false">SUM(H8:H17)</f>
        <v>#NAME?</v>
      </c>
      <c r="I18" s="104" t="e">
        <f aca="false">SUM(I8:I17)</f>
        <v>#NAME?</v>
      </c>
      <c r="J18" s="105" t="n">
        <f aca="false">SUM(J8:J17)</f>
        <v>0</v>
      </c>
      <c r="K18" s="102" t="e">
        <f aca="false">SUM(K8:K17)</f>
        <v>#NAME?</v>
      </c>
      <c r="L18" s="103" t="e">
        <f aca="false">SUM(L8:L17)</f>
        <v>#NAME?</v>
      </c>
      <c r="M18" s="104" t="e">
        <f aca="false">SUM(M8:M17)</f>
        <v>#NAME?</v>
      </c>
      <c r="N18" s="106"/>
      <c r="O18" s="102" t="n">
        <f aca="false">SUM(O8:O17)</f>
        <v>7350.88561</v>
      </c>
      <c r="P18" s="103" t="e">
        <f aca="false">SUM(P8:P17)</f>
        <v>#NAME?</v>
      </c>
      <c r="Q18" s="104" t="e">
        <f aca="false">SUM(Q8:Q17)</f>
        <v>#NAME?</v>
      </c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  <c r="IW18" s="107"/>
    </row>
    <row r="19" customFormat="false" ht="4.5" hidden="false" customHeight="true" outlineLevel="0" collapsed="false">
      <c r="A19" s="84"/>
      <c r="B19" s="78"/>
      <c r="C19" s="95"/>
      <c r="D19" s="96"/>
      <c r="E19" s="97"/>
      <c r="F19" s="98"/>
      <c r="G19" s="99"/>
      <c r="H19" s="96"/>
      <c r="I19" s="97"/>
      <c r="J19" s="98"/>
      <c r="K19" s="95"/>
      <c r="L19" s="96"/>
      <c r="M19" s="97"/>
      <c r="N19" s="83"/>
      <c r="O19" s="95"/>
      <c r="P19" s="96"/>
      <c r="Q19" s="97"/>
    </row>
    <row r="20" customFormat="false" ht="13.5" hidden="false" customHeight="true" outlineLevel="0" collapsed="false">
      <c r="A20" s="88" t="s">
        <v>53</v>
      </c>
      <c r="B20" s="89"/>
      <c r="C20" s="90" t="n">
        <f aca="false">+'Mgmt Summary'!J21</f>
        <v>86</v>
      </c>
      <c r="D20" s="91" t="n">
        <f aca="false">+'Mgmt Summary'!C21</f>
        <v>1144</v>
      </c>
      <c r="E20" s="92" t="n">
        <f aca="false">-D20+C20</f>
        <v>-1058</v>
      </c>
      <c r="F20" s="93"/>
      <c r="G20" s="90" t="n">
        <f aca="false">+Expenses!D20+'CapChrg-AllocExp'!K18+'CapChrg-AllocExp'!D18</f>
        <v>2776</v>
      </c>
      <c r="H20" s="91" t="n">
        <f aca="false">+Expenses!E20+'CapChrg-AllocExp'!L18+'CapChrg-AllocExp'!E18</f>
        <v>1370</v>
      </c>
      <c r="I20" s="92" t="n">
        <f aca="false">+H20-G20</f>
        <v>-1406</v>
      </c>
      <c r="J20" s="93"/>
      <c r="K20" s="90" t="n">
        <f aca="false">C20-G20</f>
        <v>-2690</v>
      </c>
      <c r="L20" s="91" t="n">
        <f aca="false">D20-H20</f>
        <v>-226</v>
      </c>
      <c r="M20" s="92" t="n">
        <f aca="false">K20-L20</f>
        <v>-2464</v>
      </c>
      <c r="N20" s="94"/>
      <c r="O20" s="90" t="n">
        <f aca="false">+C20-'[1]QTD Mgmt Summary'!C20</f>
        <v>0</v>
      </c>
      <c r="P20" s="91" t="n">
        <f aca="false">-G20+'[1]QTD Mgmt Summary'!G20</f>
        <v>0</v>
      </c>
      <c r="Q20" s="92" t="n">
        <f aca="false">+O20+P20</f>
        <v>0</v>
      </c>
      <c r="R20" s="23"/>
      <c r="S20" s="11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8" t="s">
        <v>54</v>
      </c>
      <c r="B21" s="89"/>
      <c r="C21" s="90" t="n">
        <f aca="false">+'Mgmt Summary'!J22</f>
        <v>132</v>
      </c>
      <c r="D21" s="91" t="n">
        <f aca="false">+'Mgmt Summary'!C22</f>
        <v>4617</v>
      </c>
      <c r="E21" s="92" t="n">
        <f aca="false">-D21+C21</f>
        <v>-4485</v>
      </c>
      <c r="F21" s="93"/>
      <c r="G21" s="90" t="n">
        <f aca="false">+Expenses!D21+'CapChrg-AllocExp'!K19+'CapChrg-AllocExp'!D19</f>
        <v>3221</v>
      </c>
      <c r="H21" s="91" t="n">
        <f aca="false">+Expenses!E21+'CapChrg-AllocExp'!L19+'CapChrg-AllocExp'!E19</f>
        <v>2188</v>
      </c>
      <c r="I21" s="92" t="n">
        <f aca="false">+H21-G21</f>
        <v>-1033</v>
      </c>
      <c r="J21" s="93"/>
      <c r="K21" s="90" t="n">
        <f aca="false">C21-G21</f>
        <v>-3089</v>
      </c>
      <c r="L21" s="91" t="n">
        <f aca="false">D21-H21</f>
        <v>2429</v>
      </c>
      <c r="M21" s="92" t="n">
        <f aca="false">K21-L21</f>
        <v>-5518</v>
      </c>
      <c r="N21" s="94"/>
      <c r="O21" s="90" t="n">
        <f aca="false">+C21-'[1]QTD Mgmt Summary'!C21</f>
        <v>0</v>
      </c>
      <c r="P21" s="91" t="n">
        <f aca="false">-G21+'[1]QTD Mgmt Summary'!G21</f>
        <v>0</v>
      </c>
      <c r="Q21" s="92" t="n">
        <f aca="false">+O21+P21</f>
        <v>0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3.5" hidden="false" customHeight="true" outlineLevel="0" collapsed="false">
      <c r="A22" s="88" t="s">
        <v>55</v>
      </c>
      <c r="B22" s="89"/>
      <c r="C22" s="90" t="n">
        <f aca="false">+'Mgmt Summary'!J23</f>
        <v>-3089</v>
      </c>
      <c r="D22" s="91" t="n">
        <f aca="false">+'Mgmt Summary'!C23</f>
        <v>530</v>
      </c>
      <c r="E22" s="92" t="n">
        <f aca="false">-D22+C22</f>
        <v>-3619</v>
      </c>
      <c r="F22" s="93"/>
      <c r="G22" s="90" t="n">
        <f aca="false">+Expenses!D22+'CapChrg-AllocExp'!K20+'CapChrg-AllocExp'!D20</f>
        <v>1056</v>
      </c>
      <c r="H22" s="91" t="n">
        <f aca="false">+Expenses!E22+'CapChrg-AllocExp'!L20+'CapChrg-AllocExp'!E20</f>
        <v>2146</v>
      </c>
      <c r="I22" s="92" t="n">
        <f aca="false">+H22-G22</f>
        <v>1090</v>
      </c>
      <c r="J22" s="93"/>
      <c r="K22" s="90" t="n">
        <f aca="false">C22-G22</f>
        <v>-4145</v>
      </c>
      <c r="L22" s="91" t="n">
        <f aca="false">D22-H22</f>
        <v>-1616</v>
      </c>
      <c r="M22" s="92" t="n">
        <f aca="false">K22-L22</f>
        <v>-2529</v>
      </c>
      <c r="N22" s="94"/>
      <c r="O22" s="90" t="n">
        <f aca="false">+C22-'[1]QTD Mgmt Summary'!C22</f>
        <v>0</v>
      </c>
      <c r="P22" s="91" t="n">
        <f aca="false">-G22+'[1]QTD Mgmt Summary'!G22</f>
        <v>0</v>
      </c>
      <c r="Q22" s="92" t="n">
        <f aca="false">+O22+P22</f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.5" hidden="false" customHeight="true" outlineLevel="0" collapsed="false">
      <c r="A23" s="84"/>
      <c r="B23" s="78"/>
      <c r="C23" s="95"/>
      <c r="D23" s="96"/>
      <c r="E23" s="97"/>
      <c r="F23" s="98"/>
      <c r="G23" s="99"/>
      <c r="H23" s="96"/>
      <c r="I23" s="97"/>
      <c r="J23" s="98"/>
      <c r="K23" s="95"/>
      <c r="L23" s="96"/>
      <c r="M23" s="97"/>
      <c r="N23" s="83"/>
      <c r="O23" s="95"/>
      <c r="P23" s="96"/>
      <c r="Q23" s="97"/>
    </row>
    <row r="24" customFormat="false" ht="16.5" hidden="false" customHeight="false" outlineLevel="0" collapsed="false">
      <c r="A24" s="100" t="s">
        <v>56</v>
      </c>
      <c r="B24" s="101"/>
      <c r="C24" s="102" t="n">
        <f aca="false">SUM(C20:C23)</f>
        <v>-2871</v>
      </c>
      <c r="D24" s="103" t="n">
        <f aca="false">SUM(D20:D23)</f>
        <v>6291</v>
      </c>
      <c r="E24" s="104" t="n">
        <f aca="false">SUM(E20:E23)</f>
        <v>-9162</v>
      </c>
      <c r="F24" s="105"/>
      <c r="G24" s="102" t="n">
        <f aca="false">SUM(G20:G23)</f>
        <v>7053</v>
      </c>
      <c r="H24" s="103" t="n">
        <f aca="false">SUM(H20:H23)</f>
        <v>5704</v>
      </c>
      <c r="I24" s="104" t="n">
        <f aca="false">SUM(I20:I23)</f>
        <v>-1349</v>
      </c>
      <c r="J24" s="105"/>
      <c r="K24" s="102" t="n">
        <f aca="false">SUM(K20:K23)</f>
        <v>-9924</v>
      </c>
      <c r="L24" s="103" t="n">
        <f aca="false">SUM(L20:L23)</f>
        <v>587</v>
      </c>
      <c r="M24" s="104" t="n">
        <f aca="false">SUM(M20:M23)</f>
        <v>-10511</v>
      </c>
      <c r="N24" s="106"/>
      <c r="O24" s="102" t="n">
        <f aca="false">SUM(O20:O23)</f>
        <v>0</v>
      </c>
      <c r="P24" s="103" t="n">
        <f aca="false">SUM(P20:P23)</f>
        <v>0</v>
      </c>
      <c r="Q24" s="104" t="n">
        <f aca="false">SUM(Q20:Q23)</f>
        <v>0</v>
      </c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</row>
    <row r="25" customFormat="false" ht="4.5" hidden="false" customHeight="true" outlineLevel="0" collapsed="false">
      <c r="A25" s="84"/>
      <c r="B25" s="78"/>
      <c r="C25" s="95"/>
      <c r="D25" s="96"/>
      <c r="E25" s="97"/>
      <c r="F25" s="98"/>
      <c r="G25" s="99"/>
      <c r="H25" s="96"/>
      <c r="I25" s="97"/>
      <c r="J25" s="98"/>
      <c r="K25" s="95"/>
      <c r="L25" s="96"/>
      <c r="M25" s="97"/>
      <c r="N25" s="83"/>
      <c r="O25" s="95"/>
      <c r="P25" s="96"/>
      <c r="Q25" s="97"/>
    </row>
    <row r="26" customFormat="false" ht="4.5" hidden="false" customHeight="true" outlineLevel="0" collapsed="false">
      <c r="A26" s="84"/>
      <c r="B26" s="78"/>
      <c r="C26" s="95"/>
      <c r="D26" s="96"/>
      <c r="E26" s="97"/>
      <c r="F26" s="98"/>
      <c r="G26" s="99"/>
      <c r="H26" s="96"/>
      <c r="I26" s="97"/>
      <c r="J26" s="98"/>
      <c r="K26" s="95"/>
      <c r="L26" s="96"/>
      <c r="M26" s="97"/>
      <c r="N26" s="83"/>
      <c r="O26" s="95"/>
      <c r="P26" s="96"/>
      <c r="Q26" s="97"/>
    </row>
    <row r="27" customFormat="false" ht="16.5" hidden="false" customHeight="false" outlineLevel="0" collapsed="false">
      <c r="A27" s="100" t="s">
        <v>28</v>
      </c>
      <c r="B27" s="101"/>
      <c r="C27" s="102" t="n">
        <f aca="false">+C18+C24</f>
        <v>9435.46392</v>
      </c>
      <c r="D27" s="103" t="e">
        <f aca="false">+D18+D24</f>
        <v>#NAME?</v>
      </c>
      <c r="E27" s="104" t="e">
        <f aca="false">+E18+E24</f>
        <v>#NAME?</v>
      </c>
      <c r="F27" s="105" t="n">
        <f aca="false">SUM(F24:F25)</f>
        <v>0</v>
      </c>
      <c r="G27" s="102" t="e">
        <f aca="false">+G18+G24</f>
        <v>#NAME?</v>
      </c>
      <c r="H27" s="103" t="e">
        <f aca="false">+H18+H24</f>
        <v>#NAME?</v>
      </c>
      <c r="I27" s="104" t="e">
        <f aca="false">+I18+I24</f>
        <v>#NAME?</v>
      </c>
      <c r="J27" s="105" t="n">
        <f aca="false">SUM(J24:J25)</f>
        <v>0</v>
      </c>
      <c r="K27" s="102" t="e">
        <f aca="false">+K18+K24</f>
        <v>#NAME?</v>
      </c>
      <c r="L27" s="103" t="e">
        <f aca="false">+L18+L24</f>
        <v>#NAME?</v>
      </c>
      <c r="M27" s="104" t="e">
        <f aca="false">+M18+M24</f>
        <v>#NAME?</v>
      </c>
      <c r="N27" s="106"/>
      <c r="O27" s="102" t="n">
        <f aca="false">+O18+O24</f>
        <v>7350.88561</v>
      </c>
      <c r="P27" s="103" t="e">
        <f aca="false">+P18+P24</f>
        <v>#NAME?</v>
      </c>
      <c r="Q27" s="104" t="e">
        <f aca="false">+Q18+Q24</f>
        <v>#NAME?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8" customFormat="false" ht="4.5" hidden="false" customHeight="true" outlineLevel="0" collapsed="false">
      <c r="A28" s="84"/>
      <c r="B28" s="78"/>
      <c r="C28" s="95"/>
      <c r="D28" s="96"/>
      <c r="E28" s="97"/>
      <c r="F28" s="98"/>
      <c r="G28" s="99"/>
      <c r="H28" s="96"/>
      <c r="I28" s="97"/>
      <c r="J28" s="98"/>
      <c r="K28" s="95"/>
      <c r="L28" s="96"/>
      <c r="M28" s="97"/>
      <c r="N28" s="83"/>
      <c r="O28" s="95"/>
      <c r="P28" s="96"/>
      <c r="Q28" s="97"/>
    </row>
    <row r="29" customFormat="false" ht="13.5" hidden="false" customHeight="true" outlineLevel="0" collapsed="false">
      <c r="A29" s="88" t="s">
        <v>46</v>
      </c>
      <c r="B29" s="89"/>
      <c r="C29" s="90" t="n">
        <v>0</v>
      </c>
      <c r="D29" s="91" t="n">
        <v>0</v>
      </c>
      <c r="E29" s="92" t="n">
        <f aca="false">-D29+C29</f>
        <v>0</v>
      </c>
      <c r="F29" s="93"/>
      <c r="G29" s="90" t="e">
        <f aca="false">+'Mgmt Summary'!L30+'Mgmt Summary'!M30+'Mgmt Summary'!N30</f>
        <v>#NAME?</v>
      </c>
      <c r="H29" s="91" t="n">
        <f aca="false">+'Mgmt Summary'!D30</f>
        <v>28734.942</v>
      </c>
      <c r="I29" s="92" t="e">
        <f aca="false">+H29-G29</f>
        <v>#NAME?</v>
      </c>
      <c r="J29" s="93"/>
      <c r="K29" s="90" t="e">
        <f aca="false">C29-G29</f>
        <v>#NAME?</v>
      </c>
      <c r="L29" s="91" t="n">
        <f aca="false">D29-H29</f>
        <v>-28734.942</v>
      </c>
      <c r="M29" s="92" t="e">
        <f aca="false">K29-L29</f>
        <v>#NAME?</v>
      </c>
      <c r="N29" s="94"/>
      <c r="O29" s="90" t="n">
        <f aca="false">+C29-'[1]QTD Mgmt Summary'!C29</f>
        <v>0</v>
      </c>
      <c r="P29" s="91" t="e">
        <f aca="false">(-G29+'[1]QTD Mgmt Summary'!G29)*0</f>
        <v>#NAME?</v>
      </c>
      <c r="Q29" s="92" t="e">
        <f aca="false">+O29+P29</f>
        <v>#NAME?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3.5" hidden="false" customHeight="true" outlineLevel="0" collapsed="false">
      <c r="A30" s="88" t="s">
        <v>47</v>
      </c>
      <c r="B30" s="89"/>
      <c r="C30" s="90" t="n">
        <v>0</v>
      </c>
      <c r="D30" s="91" t="n">
        <v>0</v>
      </c>
      <c r="E30" s="92" t="n">
        <f aca="false">-D30+C30</f>
        <v>0</v>
      </c>
      <c r="F30" s="93"/>
      <c r="G30" s="90" t="e">
        <f aca="false">+'Mgmt Summary'!L31+'Mgmt Summary'!M31+'Mgmt Summary'!N31</f>
        <v>#NAME?</v>
      </c>
      <c r="H30" s="91" t="e">
        <f aca="false">+'Mgmt Summary'!D31</f>
        <v>#NAME?</v>
      </c>
      <c r="I30" s="92" t="e">
        <f aca="false">+H30-G30</f>
        <v>#NAME?</v>
      </c>
      <c r="J30" s="93"/>
      <c r="K30" s="90" t="e">
        <f aca="false">C30-G30</f>
        <v>#NAME?</v>
      </c>
      <c r="L30" s="91" t="e">
        <f aca="false">D30-H30</f>
        <v>#NAME?</v>
      </c>
      <c r="M30" s="92" t="e">
        <f aca="false">K30-L30</f>
        <v>#NAME?</v>
      </c>
      <c r="N30" s="94"/>
      <c r="O30" s="90" t="n">
        <f aca="false">+C30-'[1]QTD Mgmt Summary'!C30</f>
        <v>0</v>
      </c>
      <c r="P30" s="91" t="e">
        <f aca="false">(-G30+'[1]QTD Mgmt Summary'!G30)*0</f>
        <v>#NAME?</v>
      </c>
      <c r="Q30" s="92" t="e">
        <f aca="false">+O30+P30</f>
        <v>#NAME?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3.5" hidden="false" customHeight="true" outlineLevel="0" collapsed="false">
      <c r="A31" s="88" t="s">
        <v>30</v>
      </c>
      <c r="B31" s="89"/>
      <c r="C31" s="90" t="n">
        <f aca="false">+'Mgmt Summary'!J32</f>
        <v>-520</v>
      </c>
      <c r="D31" s="91" t="n">
        <f aca="false">+'Mgmt Summary'!C32</f>
        <v>-520</v>
      </c>
      <c r="E31" s="92" t="n">
        <f aca="false">-D31+C31</f>
        <v>0</v>
      </c>
      <c r="F31" s="93"/>
      <c r="G31" s="90" t="n">
        <f aca="false">+Expenses!D30</f>
        <v>0</v>
      </c>
      <c r="H31" s="91" t="n">
        <f aca="false">+Expenses!E30</f>
        <v>0</v>
      </c>
      <c r="I31" s="92" t="n">
        <f aca="false">+H31-G31</f>
        <v>0</v>
      </c>
      <c r="J31" s="93"/>
      <c r="K31" s="90" t="n">
        <f aca="false">C31-G31</f>
        <v>-520</v>
      </c>
      <c r="L31" s="91" t="n">
        <f aca="false">D31-H31</f>
        <v>-520</v>
      </c>
      <c r="M31" s="92" t="n">
        <f aca="false">K31-L31</f>
        <v>0</v>
      </c>
      <c r="N31" s="94"/>
      <c r="O31" s="90" t="n">
        <f aca="false">+C31-'[1]QTD Mgmt Summary'!C31</f>
        <v>0</v>
      </c>
      <c r="P31" s="91" t="n">
        <f aca="false">-G31+'[1]QTD Mgmt Summary'!G31</f>
        <v>0</v>
      </c>
      <c r="Q31" s="92" t="n">
        <f aca="false">+O31+P31</f>
        <v>0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3.5" hidden="false" customHeight="true" outlineLevel="0" collapsed="false">
      <c r="A32" s="88" t="s">
        <v>31</v>
      </c>
      <c r="B32" s="89"/>
      <c r="C32" s="90" t="n">
        <f aca="false">+'Mgmt Summary'!J33</f>
        <v>0</v>
      </c>
      <c r="D32" s="91" t="n">
        <f aca="false">+'Mgmt Summary'!C33</f>
        <v>0</v>
      </c>
      <c r="E32" s="92" t="n">
        <f aca="false">-D32+C32</f>
        <v>0</v>
      </c>
      <c r="F32" s="93"/>
      <c r="G32" s="90" t="e">
        <f aca="false">+'CapChrg-AllocExp'!D28</f>
        <v>#NAME?</v>
      </c>
      <c r="H32" s="91" t="e">
        <f aca="false">+'CapChrg-AllocExp'!E28</f>
        <v>#NAME?</v>
      </c>
      <c r="I32" s="92" t="e">
        <f aca="false">+H32-G32</f>
        <v>#NAME?</v>
      </c>
      <c r="J32" s="93"/>
      <c r="K32" s="90" t="e">
        <f aca="false">C32-G32</f>
        <v>#NAME?</v>
      </c>
      <c r="L32" s="91" t="e">
        <f aca="false">D32-H32</f>
        <v>#NAME?</v>
      </c>
      <c r="M32" s="92" t="e">
        <f aca="false">K32-L32</f>
        <v>#NAME?</v>
      </c>
      <c r="N32" s="94"/>
      <c r="O32" s="90" t="n">
        <f aca="false">+C32-'[1]QTD Mgmt Summary'!C32</f>
        <v>0</v>
      </c>
      <c r="P32" s="91" t="e">
        <f aca="false">-G32+'[1]QTD Mgmt Summary'!G32</f>
        <v>#NAME?</v>
      </c>
      <c r="Q32" s="92" t="e">
        <f aca="false">+O32+P32</f>
        <v>#NAME?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4.5" hidden="false" customHeight="true" outlineLevel="0" collapsed="false">
      <c r="A33" s="84"/>
      <c r="B33" s="78"/>
      <c r="C33" s="95"/>
      <c r="D33" s="96"/>
      <c r="E33" s="97"/>
      <c r="F33" s="98"/>
      <c r="G33" s="99"/>
      <c r="H33" s="96"/>
      <c r="I33" s="97"/>
      <c r="J33" s="98"/>
      <c r="K33" s="95"/>
      <c r="L33" s="96"/>
      <c r="M33" s="97"/>
      <c r="N33" s="83"/>
      <c r="O33" s="95"/>
      <c r="P33" s="96"/>
      <c r="Q33" s="97"/>
    </row>
    <row r="34" customFormat="false" ht="16.5" hidden="false" customHeight="false" outlineLevel="0" collapsed="false">
      <c r="A34" s="100" t="s">
        <v>32</v>
      </c>
      <c r="B34" s="101"/>
      <c r="C34" s="102" t="n">
        <f aca="false">SUM(C27:C32)</f>
        <v>8915.46392</v>
      </c>
      <c r="D34" s="103" t="e">
        <f aca="false">SUM(D27:D32)</f>
        <v>#NAME?</v>
      </c>
      <c r="E34" s="104" t="e">
        <f aca="false">SUM(E27:E32)</f>
        <v>#NAME?</v>
      </c>
      <c r="F34" s="105"/>
      <c r="G34" s="102" t="e">
        <f aca="false">SUM(G27:G32)</f>
        <v>#NAME?</v>
      </c>
      <c r="H34" s="103" t="e">
        <f aca="false">SUM(H27:H32)</f>
        <v>#NAME?</v>
      </c>
      <c r="I34" s="104" t="e">
        <f aca="false">SUM(I27:I32)</f>
        <v>#NAME?</v>
      </c>
      <c r="J34" s="105"/>
      <c r="K34" s="102" t="e">
        <f aca="false">SUM(K27:K32)</f>
        <v>#NAME?</v>
      </c>
      <c r="L34" s="103" t="e">
        <f aca="false">SUM(L27:L32)</f>
        <v>#NAME?</v>
      </c>
      <c r="M34" s="104" t="e">
        <f aca="false">SUM(M27:M32)</f>
        <v>#NAME?</v>
      </c>
      <c r="N34" s="106"/>
      <c r="O34" s="102" t="n">
        <f aca="false">SUM(O27:O32)</f>
        <v>7350.88561</v>
      </c>
      <c r="P34" s="103" t="e">
        <f aca="false">SUM(P27:P32)</f>
        <v>#NAME?</v>
      </c>
      <c r="Q34" s="104" t="e">
        <f aca="false">SUM(Q27:Q32)</f>
        <v>#NAME?</v>
      </c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  <c r="IW34" s="107"/>
    </row>
    <row r="35" customFormat="false" ht="4.5" hidden="false" customHeight="true" outlineLevel="0" collapsed="false">
      <c r="A35" s="84"/>
      <c r="B35" s="78"/>
      <c r="C35" s="90"/>
      <c r="D35" s="91"/>
      <c r="E35" s="92"/>
      <c r="F35" s="93"/>
      <c r="G35" s="108"/>
      <c r="H35" s="91"/>
      <c r="I35" s="92"/>
      <c r="J35" s="93"/>
      <c r="K35" s="90"/>
      <c r="L35" s="91"/>
      <c r="M35" s="92"/>
      <c r="N35" s="83"/>
      <c r="O35" s="90"/>
      <c r="P35" s="91"/>
      <c r="Q35" s="92"/>
    </row>
    <row r="36" customFormat="false" ht="13.5" hidden="false" customHeight="true" outlineLevel="0" collapsed="false">
      <c r="A36" s="88" t="s">
        <v>35</v>
      </c>
      <c r="B36" s="89"/>
      <c r="C36" s="90" t="n">
        <f aca="false">+'Mgmt Summary'!J37</f>
        <v>0</v>
      </c>
      <c r="D36" s="91" t="n">
        <f aca="false">+'Mgmt Summary'!C37</f>
        <v>0</v>
      </c>
      <c r="E36" s="92" t="n">
        <f aca="false">D36-C36</f>
        <v>0</v>
      </c>
      <c r="F36" s="93"/>
      <c r="G36" s="90" t="e">
        <f aca="false">+'Mgmt Summary'!M37</f>
        <v>#NAME?</v>
      </c>
      <c r="H36" s="91" t="e">
        <f aca="false">+'Mgmt Summary'!D37</f>
        <v>#NAME?</v>
      </c>
      <c r="I36" s="92" t="e">
        <f aca="false">+H36-G36</f>
        <v>#NAME?</v>
      </c>
      <c r="J36" s="93"/>
      <c r="K36" s="90" t="e">
        <f aca="false">C36-G36</f>
        <v>#NAME?</v>
      </c>
      <c r="L36" s="91" t="e">
        <f aca="false">D36-H36</f>
        <v>#NAME?</v>
      </c>
      <c r="M36" s="92" t="e">
        <f aca="false">K36-L36</f>
        <v>#NAME?</v>
      </c>
      <c r="N36" s="94"/>
      <c r="O36" s="90" t="n">
        <f aca="false">+C36-'[1]QTD Mgmt Summary'!C36</f>
        <v>0</v>
      </c>
      <c r="P36" s="91" t="e">
        <f aca="false">-G36+'[1]QTD Mgmt Summary'!G36</f>
        <v>#NAME?</v>
      </c>
      <c r="Q36" s="92" t="e">
        <f aca="false">+O36+P36</f>
        <v>#NAME?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4.5" hidden="false" customHeight="true" outlineLevel="0" collapsed="false">
      <c r="A37" s="84"/>
      <c r="B37" s="78"/>
      <c r="C37" s="90"/>
      <c r="D37" s="91"/>
      <c r="E37" s="92"/>
      <c r="F37" s="93"/>
      <c r="G37" s="108"/>
      <c r="H37" s="91"/>
      <c r="I37" s="92"/>
      <c r="J37" s="93"/>
      <c r="K37" s="90"/>
      <c r="L37" s="91"/>
      <c r="M37" s="92"/>
      <c r="N37" s="83"/>
      <c r="O37" s="90"/>
      <c r="P37" s="91"/>
      <c r="Q37" s="92"/>
    </row>
    <row r="38" customFormat="false" ht="17.25" hidden="false" customHeight="false" outlineLevel="0" collapsed="false">
      <c r="A38" s="109" t="s">
        <v>36</v>
      </c>
      <c r="B38" s="110"/>
      <c r="C38" s="111" t="n">
        <f aca="false">+C34-C36</f>
        <v>8915.46392</v>
      </c>
      <c r="D38" s="112" t="e">
        <f aca="false">+D34-D36</f>
        <v>#NAME?</v>
      </c>
      <c r="E38" s="113" t="e">
        <f aca="false">+E34-E36</f>
        <v>#NAME?</v>
      </c>
      <c r="F38" s="114"/>
      <c r="G38" s="111" t="e">
        <f aca="false">SUM(G34:G36)</f>
        <v>#NAME?</v>
      </c>
      <c r="H38" s="112" t="e">
        <f aca="false">SUM(H34:H36)</f>
        <v>#NAME?</v>
      </c>
      <c r="I38" s="113" t="e">
        <f aca="false">SUM(I34:I36)</f>
        <v>#NAME?</v>
      </c>
      <c r="J38" s="114"/>
      <c r="K38" s="111" t="e">
        <f aca="false">SUM(K34:K36)</f>
        <v>#NAME?</v>
      </c>
      <c r="L38" s="112" t="e">
        <f aca="false">SUM(L34:L36)</f>
        <v>#NAME?</v>
      </c>
      <c r="M38" s="113" t="e">
        <f aca="false">SUM(M34:M36)</f>
        <v>#NAME?</v>
      </c>
      <c r="N38" s="106"/>
      <c r="O38" s="111" t="n">
        <f aca="false">SUM(O34:O36)</f>
        <v>7350.88561</v>
      </c>
      <c r="P38" s="112" t="e">
        <f aca="false">SUM(P34:P36)</f>
        <v>#NAME?</v>
      </c>
      <c r="Q38" s="113" t="e">
        <f aca="false">SUM(Q34:Q36)</f>
        <v>#NAME?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07"/>
      <c r="IV38" s="107"/>
      <c r="IW38" s="107"/>
    </row>
    <row r="39" customFormat="false" ht="3" hidden="false" customHeight="true" outlineLevel="0" collapsed="false">
      <c r="A39" s="56"/>
      <c r="C39" s="57"/>
      <c r="D39" s="51"/>
      <c r="E39" s="56"/>
      <c r="F39" s="51"/>
      <c r="I39" s="56"/>
    </row>
    <row r="40" customFormat="false" ht="12.75" hidden="false" customHeight="false" outlineLevel="0" collapsed="false">
      <c r="A40" s="1" t="s">
        <v>48</v>
      </c>
      <c r="C40" s="51"/>
      <c r="D40" s="51"/>
      <c r="E40" s="51"/>
      <c r="F40" s="51"/>
      <c r="I40" s="51"/>
    </row>
    <row r="41" customFormat="false" ht="12.75" hidden="false" customHeight="false" outlineLevel="0" collapsed="false">
      <c r="M41" s="116"/>
      <c r="Q41" s="116"/>
    </row>
    <row r="42" customFormat="false" ht="12.75" hidden="false" customHeight="false" outlineLevel="0" collapsed="false">
      <c r="L42" s="30"/>
    </row>
    <row r="43" customFormat="false" ht="13.5" hidden="true" customHeight="false" outlineLevel="0" collapsed="false">
      <c r="C43" s="119" t="s">
        <v>57</v>
      </c>
      <c r="D43" s="120"/>
      <c r="E43" s="121"/>
      <c r="G43" s="119" t="s">
        <v>58</v>
      </c>
      <c r="H43" s="120"/>
      <c r="I43" s="120"/>
      <c r="J43" s="121"/>
    </row>
    <row r="44" customFormat="false" ht="12.75" hidden="true" customHeight="false" outlineLevel="0" collapsed="false">
      <c r="C44" s="122" t="s">
        <v>59</v>
      </c>
      <c r="D44" s="123"/>
      <c r="E44" s="124" t="n">
        <f aca="false">+'GM-WeeklyChnge'!C38</f>
        <v>7529.507</v>
      </c>
      <c r="G44" s="122" t="s">
        <v>60</v>
      </c>
      <c r="H44" s="123"/>
      <c r="I44" s="125" t="n">
        <f aca="false">+'Expense Weekly Change'!E22+'Expense Weekly Change'!E21</f>
        <v>0</v>
      </c>
      <c r="J44" s="126"/>
    </row>
    <row r="45" customFormat="false" ht="12.75" hidden="true" customHeight="false" outlineLevel="0" collapsed="false">
      <c r="C45" s="122" t="s">
        <v>61</v>
      </c>
      <c r="D45" s="123"/>
      <c r="E45" s="124" t="n">
        <f aca="false">+'GM-WeeklyChnge'!D38</f>
        <v>18.57261</v>
      </c>
      <c r="G45" s="122" t="s">
        <v>62</v>
      </c>
      <c r="H45" s="123"/>
      <c r="I45" s="125" t="e">
        <f aca="false">+'Expense Weekly Change'!E9+'Expense Weekly Change'!E10+'Expense Weekly Change'!E11+'Expense Weekly Change'!E12+'Expense Weekly Change'!E13+'Expense Weekly Change'!E14+'Expense Weekly Change'!E15+'Expense Weekly Change'!E16+'Expense Weekly Change'!E20</f>
        <v>#NAME?</v>
      </c>
      <c r="J45" s="127"/>
    </row>
    <row r="46" customFormat="false" ht="12.75" hidden="true" customHeight="false" outlineLevel="0" collapsed="false">
      <c r="C46" s="122" t="s">
        <v>63</v>
      </c>
      <c r="D46" s="123"/>
      <c r="E46" s="124" t="n">
        <f aca="false">+'GM-WeeklyChnge'!E38+'GM-WeeklyChnge'!F38+'GM-WeeklyChnge'!G38</f>
        <v>-197.194</v>
      </c>
      <c r="G46" s="122" t="s">
        <v>64</v>
      </c>
      <c r="H46" s="123"/>
      <c r="I46" s="125" t="e">
        <f aca="false">-G36+'[1]QTD Mgmt Summary'!$G$36</f>
        <v>#NAME?</v>
      </c>
      <c r="J46" s="127"/>
    </row>
    <row r="47" customFormat="false" ht="12.75" hidden="true" customHeight="false" outlineLevel="0" collapsed="false">
      <c r="C47" s="128"/>
      <c r="D47" s="129"/>
      <c r="E47" s="130"/>
      <c r="G47" s="128"/>
      <c r="H47" s="129"/>
      <c r="I47" s="131"/>
      <c r="J47" s="132"/>
    </row>
    <row r="48" customFormat="false" ht="13.5" hidden="true" customHeight="false" outlineLevel="0" collapsed="false">
      <c r="C48" s="133" t="s">
        <v>65</v>
      </c>
      <c r="D48" s="134"/>
      <c r="E48" s="135" t="n">
        <f aca="false">SUM(E44:E47)</f>
        <v>7350.88561</v>
      </c>
      <c r="G48" s="133" t="s">
        <v>65</v>
      </c>
      <c r="H48" s="134"/>
      <c r="I48" s="136" t="e">
        <f aca="false">SUM(I44:I47)</f>
        <v>#NAME?</v>
      </c>
      <c r="J48" s="137"/>
    </row>
    <row r="49" customFormat="false" ht="12.75" hidden="true" customHeight="false" outlineLevel="0" collapsed="false"/>
    <row r="50" customFormat="false" ht="13.5" hidden="true" customHeight="false" outlineLevel="0" collapsed="false">
      <c r="C50" s="119" t="s">
        <v>66</v>
      </c>
      <c r="D50" s="120"/>
      <c r="E50" s="121"/>
      <c r="G50" s="119" t="s">
        <v>67</v>
      </c>
      <c r="H50" s="120"/>
      <c r="I50" s="120"/>
      <c r="J50" s="121"/>
    </row>
    <row r="51" customFormat="false" ht="12.75" hidden="true" customHeight="false" outlineLevel="0" collapsed="false">
      <c r="C51" s="122" t="s">
        <v>68</v>
      </c>
      <c r="D51" s="123"/>
      <c r="E51" s="124" t="n">
        <f aca="false">+[1]GrossMargin!$I$39</f>
        <v>1564.57831</v>
      </c>
      <c r="G51" s="122" t="s">
        <v>68</v>
      </c>
      <c r="H51" s="123"/>
      <c r="I51" s="125" t="n">
        <f aca="false">+'[1]QTD Mgmt Summary'!$G$38</f>
        <v>55168.468</v>
      </c>
      <c r="J51" s="126"/>
    </row>
    <row r="52" customFormat="false" ht="12.75" hidden="true" customHeight="false" outlineLevel="0" collapsed="false">
      <c r="C52" s="122" t="s">
        <v>69</v>
      </c>
      <c r="D52" s="123"/>
      <c r="E52" s="124" t="n">
        <f aca="false">+GrossMargin!I39</f>
        <v>8915.46392</v>
      </c>
      <c r="G52" s="122" t="s">
        <v>69</v>
      </c>
      <c r="H52" s="123"/>
      <c r="I52" s="125" t="e">
        <f aca="false">+G38</f>
        <v>#NAME?</v>
      </c>
      <c r="J52" s="127"/>
    </row>
    <row r="53" customFormat="false" ht="12.75" hidden="true" customHeight="false" outlineLevel="0" collapsed="false">
      <c r="C53" s="122"/>
      <c r="D53" s="123"/>
      <c r="E53" s="124"/>
      <c r="G53" s="122"/>
      <c r="H53" s="123"/>
      <c r="I53" s="125"/>
      <c r="J53" s="127"/>
    </row>
    <row r="54" customFormat="false" ht="13.5" hidden="true" customHeight="false" outlineLevel="0" collapsed="false">
      <c r="C54" s="133" t="s">
        <v>70</v>
      </c>
      <c r="D54" s="134"/>
      <c r="E54" s="135" t="n">
        <f aca="false">+E52-E51</f>
        <v>7350.88561</v>
      </c>
      <c r="G54" s="133" t="s">
        <v>70</v>
      </c>
      <c r="H54" s="134"/>
      <c r="I54" s="136" t="e">
        <f aca="false">+I52-I51</f>
        <v>#NAME?</v>
      </c>
      <c r="J54" s="137"/>
    </row>
    <row r="55" customFormat="false" ht="12.75" hidden="false" customHeight="false" outlineLevel="0" collapsed="false">
      <c r="I55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17" activeCellId="0" sqref="F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72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-7852.811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-7852.811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-22544.811</v>
      </c>
      <c r="P9" s="26"/>
      <c r="Q9" s="25" t="n">
        <f aca="false">+J9-C9</f>
        <v>-37852.811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-38453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8622.27492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8622.27492</v>
      </c>
      <c r="K10" s="29"/>
      <c r="L10" s="25" t="n">
        <f aca="false">'CapChrg-AllocExp'!D11</f>
        <v>658</v>
      </c>
      <c r="M10" s="26" t="n">
        <f aca="false">Expenses!D10</f>
        <v>2059.7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6807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6807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3105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3105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+GrossMargin!M21</f>
        <v>11483.213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+GrossMargin!I21</f>
        <v>1625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1625</v>
      </c>
      <c r="K14" s="29"/>
      <c r="L14" s="25" t="e">
        <f aca="false">+'CapChrg-AllocExp'!D15</f>
        <v>#NAME?</v>
      </c>
      <c r="M14" s="26" t="n">
        <f aca="false">Expenses!D14</f>
        <v>896.126</v>
      </c>
      <c r="N14" s="26" t="n">
        <f aca="false">+'CapChrg-AllocExp'!K15</f>
        <v>911.015</v>
      </c>
      <c r="O14" s="28" t="e">
        <f aca="false">J14-K14-M14-N14-L14</f>
        <v>#NAME?</v>
      </c>
      <c r="P14" s="26"/>
      <c r="Q14" s="25" t="n">
        <f aca="false">+J14-C14</f>
        <v>-9858.213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51</v>
      </c>
      <c r="B15" s="32"/>
      <c r="C15" s="25" t="n">
        <f aca="false">+GrossMargin!M22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1525</v>
      </c>
      <c r="N15" s="26" t="n">
        <f aca="false">+'CapChrg-AllocExp'!K16</f>
        <v>0</v>
      </c>
      <c r="O15" s="28" t="n">
        <f aca="false">J15-K15-M15-N15-L15</f>
        <v>-1525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-1525</v>
      </c>
      <c r="U15" s="26" t="n">
        <f aca="false">+'CapChrg-AllocExp'!M16</f>
        <v>0</v>
      </c>
      <c r="V15" s="27" t="n">
        <f aca="false">ROUND(SUM(Q15:U15),0)</f>
        <v>-1525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26</v>
      </c>
      <c r="B16" s="24"/>
      <c r="C16" s="25" t="n">
        <f aca="false">+GrossMargin!M24</f>
        <v>10100</v>
      </c>
      <c r="D16" s="26" t="n">
        <v>0</v>
      </c>
      <c r="E16" s="27" t="n">
        <f aca="false">C16-D16</f>
        <v>10100</v>
      </c>
      <c r="F16" s="26"/>
      <c r="G16" s="25" t="n">
        <f aca="false">GrossMargin!I24</f>
        <v>0</v>
      </c>
      <c r="H16" s="26" t="n">
        <v>0</v>
      </c>
      <c r="I16" s="26" t="n">
        <v>0</v>
      </c>
      <c r="J16" s="28" t="n">
        <f aca="false">SUM(G16:I16)</f>
        <v>0</v>
      </c>
      <c r="K16" s="29"/>
      <c r="L16" s="25" t="n">
        <v>0</v>
      </c>
      <c r="M16" s="26" t="n">
        <v>0</v>
      </c>
      <c r="N16" s="26" t="n">
        <v>0</v>
      </c>
      <c r="O16" s="28" t="n">
        <f aca="false">J16-K16-M16-N16-L16</f>
        <v>0</v>
      </c>
      <c r="P16" s="26"/>
      <c r="Q16" s="25" t="n">
        <f aca="false">+J16-C16</f>
        <v>-10100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-10100</v>
      </c>
      <c r="W16" s="23"/>
    </row>
    <row r="17" customFormat="false" ht="13.5" hidden="false" customHeight="true" outlineLevel="0" collapsed="false">
      <c r="A17" s="11" t="s">
        <v>27</v>
      </c>
      <c r="B17" s="24"/>
      <c r="C17" s="25" t="n">
        <f aca="false">GrossMargin!M23</f>
        <v>0</v>
      </c>
      <c r="D17" s="26" t="n">
        <f aca="false">Expenses!E16+'CapChrg-AllocExp'!E24+'CapChrg-AllocExp'!L24</f>
        <v>0</v>
      </c>
      <c r="E17" s="27" t="n">
        <f aca="false">C17-D17</f>
        <v>0</v>
      </c>
      <c r="F17" s="26"/>
      <c r="G17" s="25" t="n">
        <f aca="false">GrossMargin!I23</f>
        <v>0</v>
      </c>
      <c r="H17" s="26" t="n">
        <f aca="false">GrossMargin!J23</f>
        <v>0</v>
      </c>
      <c r="I17" s="26" t="n">
        <f aca="false">GrossMargin!K23</f>
        <v>0</v>
      </c>
      <c r="J17" s="28" t="n">
        <f aca="false">SUM(G17:I17)</f>
        <v>0</v>
      </c>
      <c r="K17" s="29"/>
      <c r="L17" s="25" t="n">
        <f aca="false">'CapChrg-AllocExp'!D24</f>
        <v>0</v>
      </c>
      <c r="M17" s="26" t="n">
        <f aca="false">Expenses!D16</f>
        <v>750</v>
      </c>
      <c r="N17" s="26" t="n">
        <f aca="false">'CapChrg-AllocExp'!K24</f>
        <v>0</v>
      </c>
      <c r="O17" s="28" t="n">
        <f aca="false">J17-K17-M17-N17-L17</f>
        <v>-750</v>
      </c>
      <c r="P17" s="26"/>
      <c r="Q17" s="25" t="n">
        <f aca="false">+J17-C17</f>
        <v>0</v>
      </c>
      <c r="R17" s="26"/>
      <c r="S17" s="26" t="n">
        <f aca="false">'CapChrg-AllocExp'!F24</f>
        <v>0</v>
      </c>
      <c r="T17" s="26" t="n">
        <f aca="false">Expenses!F16</f>
        <v>-750</v>
      </c>
      <c r="U17" s="26" t="n">
        <f aca="false">'CapChrg-AllocExp'!M24</f>
        <v>0</v>
      </c>
      <c r="V17" s="27" t="n">
        <f aca="false">ROUND(SUM(Q17:U17),0)</f>
        <v>-750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52</v>
      </c>
      <c r="B19" s="24"/>
      <c r="C19" s="38" t="e">
        <f aca="false">SUM(C9:C18)</f>
        <v>#NAME?</v>
      </c>
      <c r="D19" s="39" t="e">
        <f aca="false">SUM(D9:D18)</f>
        <v>#NAME?</v>
      </c>
      <c r="E19" s="40" t="e">
        <f aca="false">SUM(E9:E18)</f>
        <v>#NAME?</v>
      </c>
      <c r="F19" s="26"/>
      <c r="G19" s="38" t="n">
        <f aca="false">SUM(G9:G18)</f>
        <v>12306.46392</v>
      </c>
      <c r="H19" s="39" t="n">
        <f aca="false">SUM(H9:H18)</f>
        <v>0</v>
      </c>
      <c r="I19" s="40" t="n">
        <f aca="false">SUM(I9:I18)</f>
        <v>0</v>
      </c>
      <c r="J19" s="41" t="n">
        <f aca="false">SUM(J9:J18)</f>
        <v>12306.46392</v>
      </c>
      <c r="K19" s="39" t="n">
        <f aca="false">SUM(K9:K18)</f>
        <v>0</v>
      </c>
      <c r="L19" s="38" t="e">
        <f aca="false">SUM(L9:L18)</f>
        <v>#NAME?</v>
      </c>
      <c r="M19" s="39" t="e">
        <f aca="false">SUM(M9:M18)</f>
        <v>#NAME?</v>
      </c>
      <c r="N19" s="39" t="e">
        <f aca="false">SUM(N9:N18)</f>
        <v>#NAME?</v>
      </c>
      <c r="O19" s="41" t="e">
        <f aca="false">SUM(O9:O18)</f>
        <v>#NAME?</v>
      </c>
      <c r="P19" s="29"/>
      <c r="Q19" s="38" t="e">
        <f aca="false">SUM(Q9:Q18)</f>
        <v>#NAME?</v>
      </c>
      <c r="R19" s="39" t="n">
        <f aca="false">SUM(R9:R18)</f>
        <v>0</v>
      </c>
      <c r="S19" s="39" t="e">
        <f aca="false">SUM(S9:S18)</f>
        <v>#NAME?</v>
      </c>
      <c r="T19" s="39" t="e">
        <f aca="false">SUM(T9:T18)</f>
        <v>#NAME?</v>
      </c>
      <c r="U19" s="39" t="e">
        <f aca="false">SUM(U9:U18)</f>
        <v>#NAME?</v>
      </c>
      <c r="V19" s="40" t="e">
        <f aca="false">SUM(V9:V18)</f>
        <v>#NAME?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53</v>
      </c>
      <c r="B21" s="32"/>
      <c r="C21" s="25" t="n">
        <f aca="false">+GrossMargin!M28</f>
        <v>1144</v>
      </c>
      <c r="D21" s="26" t="n">
        <f aca="false">+Expenses!E20+'CapChrg-AllocExp'!E18+'CapChrg-AllocExp'!L18</f>
        <v>1370</v>
      </c>
      <c r="E21" s="27" t="n">
        <f aca="false">C21-D21</f>
        <v>-226</v>
      </c>
      <c r="F21" s="26"/>
      <c r="G21" s="25" t="n">
        <f aca="false">+GrossMargin!I28</f>
        <v>86</v>
      </c>
      <c r="H21" s="26" t="n">
        <f aca="false">GrossMargin!J18</f>
        <v>0</v>
      </c>
      <c r="I21" s="26" t="n">
        <f aca="false">+GrossMargin!K28</f>
        <v>0</v>
      </c>
      <c r="J21" s="28" t="n">
        <f aca="false">SUM(G21:I21)</f>
        <v>86</v>
      </c>
      <c r="K21" s="29"/>
      <c r="L21" s="25" t="n">
        <f aca="false">+'CapChrg-AllocExp'!D18</f>
        <v>-97</v>
      </c>
      <c r="M21" s="26" t="n">
        <f aca="false">Expenses!D20</f>
        <v>2873</v>
      </c>
      <c r="N21" s="26" t="n">
        <f aca="false">+'CapChrg-AllocExp'!K18</f>
        <v>0</v>
      </c>
      <c r="O21" s="28" t="n">
        <f aca="false">J21-K21-M21-N21-L21</f>
        <v>-2690</v>
      </c>
      <c r="P21" s="26"/>
      <c r="Q21" s="25" t="n">
        <f aca="false">+J21-C21</f>
        <v>-1058</v>
      </c>
      <c r="R21" s="26"/>
      <c r="S21" s="26" t="n">
        <f aca="false">+'CapChrg-AllocExp'!F18</f>
        <v>82</v>
      </c>
      <c r="T21" s="26" t="n">
        <f aca="false">Expenses!F20</f>
        <v>-1488</v>
      </c>
      <c r="U21" s="26" t="n">
        <f aca="false">+'CapChrg-AllocExp'!M18</f>
        <v>0</v>
      </c>
      <c r="V21" s="27" t="n">
        <f aca="false">ROUND(SUM(Q21:U21),0)</f>
        <v>-2464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54</v>
      </c>
      <c r="B22" s="32"/>
      <c r="C22" s="25" t="n">
        <f aca="false">+GrossMargin!M29</f>
        <v>4617</v>
      </c>
      <c r="D22" s="26" t="n">
        <f aca="false">+Expenses!E21+'CapChrg-AllocExp'!E19+'CapChrg-AllocExp'!L19</f>
        <v>2188</v>
      </c>
      <c r="E22" s="27" t="n">
        <f aca="false">C22-D22</f>
        <v>2429</v>
      </c>
      <c r="F22" s="26"/>
      <c r="G22" s="25" t="n">
        <f aca="false">+GrossMargin!I29</f>
        <v>132</v>
      </c>
      <c r="H22" s="26" t="n">
        <f aca="false">GrossMargin!J19</f>
        <v>0</v>
      </c>
      <c r="I22" s="26" t="n">
        <f aca="false">+GrossMargin!K29</f>
        <v>0</v>
      </c>
      <c r="J22" s="28" t="n">
        <f aca="false">SUM(G22:I22)</f>
        <v>132</v>
      </c>
      <c r="K22" s="29"/>
      <c r="L22" s="25" t="n">
        <f aca="false">+'CapChrg-AllocExp'!D19</f>
        <v>652</v>
      </c>
      <c r="M22" s="26" t="n">
        <f aca="false">Expenses!D21</f>
        <v>2569</v>
      </c>
      <c r="N22" s="26" t="n">
        <f aca="false">+'CapChrg-AllocExp'!K19</f>
        <v>0</v>
      </c>
      <c r="O22" s="28" t="n">
        <f aca="false">J22-K22-M22-N22-L22</f>
        <v>-3089</v>
      </c>
      <c r="P22" s="26"/>
      <c r="Q22" s="25" t="n">
        <f aca="false">+J22-C22</f>
        <v>-4485</v>
      </c>
      <c r="R22" s="26"/>
      <c r="S22" s="26" t="n">
        <f aca="false">+'CapChrg-AllocExp'!F19</f>
        <v>0</v>
      </c>
      <c r="T22" s="26" t="n">
        <f aca="false">Expenses!F21</f>
        <v>-1033</v>
      </c>
      <c r="U22" s="26" t="n">
        <f aca="false">+'CapChrg-AllocExp'!M19</f>
        <v>0</v>
      </c>
      <c r="V22" s="27" t="n">
        <f aca="false">ROUND(SUM(Q22:U22),0)</f>
        <v>-5518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55</v>
      </c>
      <c r="B23" s="32"/>
      <c r="C23" s="25" t="n">
        <f aca="false">+GrossMargin!M30</f>
        <v>530</v>
      </c>
      <c r="D23" s="26" t="n">
        <f aca="false">+Expenses!E22+'CapChrg-AllocExp'!E20+'CapChrg-AllocExp'!L20</f>
        <v>2146</v>
      </c>
      <c r="E23" s="27" t="n">
        <f aca="false">C23-D23</f>
        <v>-1616</v>
      </c>
      <c r="F23" s="26"/>
      <c r="G23" s="25" t="n">
        <f aca="false">+GrossMargin!I30</f>
        <v>-3089</v>
      </c>
      <c r="H23" s="26" t="n">
        <f aca="false">GrossMargin!J20</f>
        <v>0</v>
      </c>
      <c r="I23" s="26" t="n">
        <f aca="false">+GrossMargin!K30</f>
        <v>0</v>
      </c>
      <c r="J23" s="28" t="n">
        <f aca="false">SUM(G23:I23)</f>
        <v>-3089</v>
      </c>
      <c r="K23" s="29"/>
      <c r="L23" s="25" t="n">
        <f aca="false">+'CapChrg-AllocExp'!D20</f>
        <v>0</v>
      </c>
      <c r="M23" s="26" t="n">
        <f aca="false">Expenses!D22</f>
        <v>1056</v>
      </c>
      <c r="N23" s="26" t="n">
        <f aca="false">+'CapChrg-AllocExp'!K20</f>
        <v>0</v>
      </c>
      <c r="O23" s="28" t="n">
        <f aca="false">J23-K23-M23-N23-L23</f>
        <v>-4145</v>
      </c>
      <c r="P23" s="26"/>
      <c r="Q23" s="25" t="n">
        <f aca="false">+J23-C23</f>
        <v>-3619</v>
      </c>
      <c r="R23" s="26"/>
      <c r="S23" s="26" t="n">
        <f aca="false">+'CapChrg-AllocExp'!F20</f>
        <v>545</v>
      </c>
      <c r="T23" s="26" t="n">
        <f aca="false">Expenses!F22</f>
        <v>545</v>
      </c>
      <c r="U23" s="26" t="n">
        <f aca="false">+'CapChrg-AllocExp'!M20</f>
        <v>0</v>
      </c>
      <c r="V23" s="27" t="n">
        <f aca="false">ROUND(SUM(Q23:U23),0)</f>
        <v>-2529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56</v>
      </c>
      <c r="B25" s="24"/>
      <c r="C25" s="38" t="n">
        <f aca="false">SUM(C21:C24)</f>
        <v>6291</v>
      </c>
      <c r="D25" s="39" t="n">
        <f aca="false">SUM(D21:D24)</f>
        <v>5704</v>
      </c>
      <c r="E25" s="40" t="n">
        <f aca="false">SUM(E21:E24)</f>
        <v>587</v>
      </c>
      <c r="F25" s="26" t="n">
        <f aca="false">SUM(F19:F23)</f>
        <v>0</v>
      </c>
      <c r="G25" s="38" t="n">
        <f aca="false">SUM(G21:G24)</f>
        <v>-2871</v>
      </c>
      <c r="H25" s="39" t="n">
        <f aca="false">SUM(H21:H24)</f>
        <v>0</v>
      </c>
      <c r="I25" s="40" t="n">
        <f aca="false">SUM(I21:I24)</f>
        <v>0</v>
      </c>
      <c r="J25" s="41" t="n">
        <f aca="false">SUM(J21:J24)</f>
        <v>-2871</v>
      </c>
      <c r="K25" s="39" t="n">
        <f aca="false">SUM(K21:K24)</f>
        <v>0</v>
      </c>
      <c r="L25" s="38" t="n">
        <f aca="false">SUM(L21:L24)</f>
        <v>555</v>
      </c>
      <c r="M25" s="39" t="n">
        <f aca="false">SUM(M21:M24)</f>
        <v>6498</v>
      </c>
      <c r="N25" s="39" t="n">
        <f aca="false">SUM(N21:N24)</f>
        <v>0</v>
      </c>
      <c r="O25" s="41" t="n">
        <f aca="false">SUM(O21:O24)</f>
        <v>-9924</v>
      </c>
      <c r="P25" s="29"/>
      <c r="Q25" s="38" t="n">
        <f aca="false">SUM(Q21:Q24)</f>
        <v>-9162</v>
      </c>
      <c r="R25" s="39" t="n">
        <f aca="false">SUM(R21:R24)</f>
        <v>0</v>
      </c>
      <c r="S25" s="39" t="n">
        <f aca="false">SUM(S21:S24)</f>
        <v>627</v>
      </c>
      <c r="T25" s="39" t="n">
        <f aca="false">SUM(T21:T24)</f>
        <v>-1976</v>
      </c>
      <c r="U25" s="39" t="n">
        <f aca="false">SUM(U21:U24)</f>
        <v>0</v>
      </c>
      <c r="V25" s="40" t="n">
        <f aca="false">SUM(V21:V24)</f>
        <v>-10511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28</v>
      </c>
      <c r="B28" s="24"/>
      <c r="C28" s="38" t="e">
        <f aca="false">+C19+C25</f>
        <v>#NAME?</v>
      </c>
      <c r="D28" s="39" t="e">
        <f aca="false">+D19+D25</f>
        <v>#NAME?</v>
      </c>
      <c r="E28" s="40" t="e">
        <f aca="false">+E19+E25</f>
        <v>#NAME?</v>
      </c>
      <c r="F28" s="26" t="n">
        <f aca="false">SUM(F25:F26)</f>
        <v>0</v>
      </c>
      <c r="G28" s="38" t="n">
        <f aca="false">+G19+G25</f>
        <v>9435.46392</v>
      </c>
      <c r="H28" s="39" t="n">
        <f aca="false">+H19+H25</f>
        <v>0</v>
      </c>
      <c r="I28" s="40" t="n">
        <f aca="false">+I19+I25</f>
        <v>0</v>
      </c>
      <c r="J28" s="41" t="n">
        <f aca="false">+J19+J25</f>
        <v>9435.46392</v>
      </c>
      <c r="K28" s="39" t="n">
        <f aca="false">+K19+K25</f>
        <v>0</v>
      </c>
      <c r="L28" s="38" t="e">
        <f aca="false">+L19+L25</f>
        <v>#NAME?</v>
      </c>
      <c r="M28" s="39" t="e">
        <f aca="false">+M19+M25</f>
        <v>#NAME?</v>
      </c>
      <c r="N28" s="39" t="e">
        <f aca="false">+N19+N25</f>
        <v>#NAME?</v>
      </c>
      <c r="O28" s="41" t="e">
        <f aca="false">+O19+O25</f>
        <v>#NAME?</v>
      </c>
      <c r="P28" s="29"/>
      <c r="Q28" s="38" t="e">
        <f aca="false">+Q19+Q25</f>
        <v>#NAME?</v>
      </c>
      <c r="R28" s="39" t="n">
        <f aca="false">+R19+R25</f>
        <v>0</v>
      </c>
      <c r="S28" s="39" t="e">
        <f aca="false">+S19+S25</f>
        <v>#NAME?</v>
      </c>
      <c r="T28" s="39" t="e">
        <f aca="false">+T19+T25</f>
        <v>#NAME?</v>
      </c>
      <c r="U28" s="39" t="e">
        <f aca="false">+U19+U25</f>
        <v>#NAME?</v>
      </c>
      <c r="V28" s="40" t="e">
        <f aca="false">+V19+V25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46</v>
      </c>
      <c r="B30" s="24"/>
      <c r="C30" s="25" t="n">
        <v>0</v>
      </c>
      <c r="D30" s="26" t="n">
        <f aca="false">Expenses!E29</f>
        <v>28734.942</v>
      </c>
      <c r="E30" s="27" t="n">
        <f aca="false">C30-D30</f>
        <v>-28734.942</v>
      </c>
      <c r="F30" s="26"/>
      <c r="G30" s="25" t="n">
        <v>0</v>
      </c>
      <c r="H30" s="26" t="n">
        <v>0</v>
      </c>
      <c r="I30" s="26" t="n">
        <v>0</v>
      </c>
      <c r="J30" s="28" t="n">
        <f aca="false">SUM(G30:I30)</f>
        <v>0</v>
      </c>
      <c r="K30" s="29"/>
      <c r="L30" s="25" t="n">
        <f aca="false">'CapChrg-AllocExp'!D29</f>
        <v>0</v>
      </c>
      <c r="M30" s="26" t="e">
        <f aca="false">+Expenses!D29</f>
        <v>#NAME?</v>
      </c>
      <c r="N30" s="26" t="n">
        <v>0</v>
      </c>
      <c r="O30" s="28" t="e">
        <f aca="false">J30-K30-M30-N30-L30</f>
        <v>#NAME?</v>
      </c>
      <c r="P30" s="26"/>
      <c r="Q30" s="25" t="n">
        <f aca="false">+J30-C30</f>
        <v>0</v>
      </c>
      <c r="R30" s="26"/>
      <c r="S30" s="26" t="n">
        <v>0</v>
      </c>
      <c r="T30" s="26" t="e">
        <f aca="false">Expenses!F29</f>
        <v>#NAME?</v>
      </c>
      <c r="U30" s="26" t="n">
        <v>0</v>
      </c>
      <c r="V30" s="27" t="e">
        <f aca="false">ROUND(SUM(Q30:U30),0)</f>
        <v>#NAME?</v>
      </c>
      <c r="W30" s="23"/>
    </row>
    <row r="31" customFormat="false" ht="13.5" hidden="false" customHeight="true" outlineLevel="0" collapsed="false">
      <c r="A31" s="11" t="s">
        <v>47</v>
      </c>
      <c r="B31" s="24"/>
      <c r="C31" s="25" t="n">
        <v>0</v>
      </c>
      <c r="D31" s="26" t="e">
        <f aca="false">+'CapChrg-AllocExp'!L29</f>
        <v>#NAME?</v>
      </c>
      <c r="E31" s="27" t="e">
        <f aca="false">C31-D31</f>
        <v>#NAME?</v>
      </c>
      <c r="F31" s="26"/>
      <c r="G31" s="25" t="n">
        <v>0</v>
      </c>
      <c r="H31" s="26"/>
      <c r="I31" s="26" t="n">
        <v>0</v>
      </c>
      <c r="J31" s="28" t="n">
        <f aca="false">SUM(G31:I31)</f>
        <v>0</v>
      </c>
      <c r="K31" s="29"/>
      <c r="L31" s="25" t="n">
        <v>0</v>
      </c>
      <c r="M31" s="26" t="n">
        <v>0</v>
      </c>
      <c r="N31" s="26" t="e">
        <f aca="false">+'CapChrg-AllocExp'!K29</f>
        <v>#NAME?</v>
      </c>
      <c r="O31" s="28" t="e">
        <f aca="false">J31-K31-M31-N31-L31</f>
        <v>#NAME?</v>
      </c>
      <c r="P31" s="26"/>
      <c r="Q31" s="25" t="n">
        <f aca="false">+J31-C31</f>
        <v>0</v>
      </c>
      <c r="R31" s="26"/>
      <c r="S31" s="26" t="n">
        <v>0</v>
      </c>
      <c r="T31" s="26" t="e">
        <f aca="false">-T30</f>
        <v>#NAME?</v>
      </c>
      <c r="U31" s="26" t="n">
        <v>0</v>
      </c>
      <c r="V31" s="27" t="e">
        <f aca="false">ROUND(SUM(Q31:U31),0)</f>
        <v>#NAME?</v>
      </c>
      <c r="W31" s="23"/>
    </row>
    <row r="32" customFormat="false" ht="13.5" hidden="false" customHeight="true" outlineLevel="0" collapsed="false">
      <c r="A32" s="11" t="s">
        <v>30</v>
      </c>
      <c r="B32" s="24"/>
      <c r="C32" s="25" t="n">
        <f aca="false">GrossMargin!M37</f>
        <v>-520</v>
      </c>
      <c r="D32" s="26" t="n">
        <f aca="false">Expenses!E30</f>
        <v>0</v>
      </c>
      <c r="E32" s="27" t="n">
        <f aca="false">C32-D32</f>
        <v>-520</v>
      </c>
      <c r="F32" s="29"/>
      <c r="G32" s="25" t="n">
        <f aca="false">GrossMargin!I37</f>
        <v>-520</v>
      </c>
      <c r="H32" s="26" t="n">
        <f aca="false">GrossMargin!J37</f>
        <v>0</v>
      </c>
      <c r="I32" s="26" t="n">
        <f aca="false">GrossMargin!K37</f>
        <v>0</v>
      </c>
      <c r="J32" s="28" t="n">
        <f aca="false">SUM(G32:I32)</f>
        <v>-520</v>
      </c>
      <c r="K32" s="29"/>
      <c r="L32" s="25" t="n">
        <v>0</v>
      </c>
      <c r="M32" s="26" t="n">
        <f aca="false">Expenses!D30</f>
        <v>0</v>
      </c>
      <c r="N32" s="26" t="n">
        <v>0</v>
      </c>
      <c r="O32" s="28" t="n">
        <f aca="false">J32-K32-M32-N32-L32</f>
        <v>-520</v>
      </c>
      <c r="P32" s="26"/>
      <c r="Q32" s="25" t="n">
        <f aca="false">+J32-C32</f>
        <v>0</v>
      </c>
      <c r="R32" s="26"/>
      <c r="S32" s="26" t="n">
        <v>0</v>
      </c>
      <c r="T32" s="26" t="n">
        <f aca="false">Expenses!F30</f>
        <v>0</v>
      </c>
      <c r="U32" s="26" t="n"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31</v>
      </c>
      <c r="B33" s="24"/>
      <c r="C33" s="25" t="n">
        <v>0</v>
      </c>
      <c r="D33" s="26" t="e">
        <f aca="false">'CapChrg-AllocExp'!E28</f>
        <v>#NAME?</v>
      </c>
      <c r="E33" s="27" t="e">
        <f aca="false">C33-D33</f>
        <v>#NAME?</v>
      </c>
      <c r="F33" s="26"/>
      <c r="G33" s="25" t="n">
        <v>0</v>
      </c>
      <c r="H33" s="26" t="n">
        <v>0</v>
      </c>
      <c r="I33" s="26" t="n">
        <v>0</v>
      </c>
      <c r="J33" s="28" t="n">
        <f aca="false">SUM(G33:I33)</f>
        <v>0</v>
      </c>
      <c r="K33" s="29"/>
      <c r="L33" s="25" t="e">
        <f aca="false">'CapChrg-AllocExp'!D28</f>
        <v>#NAME?</v>
      </c>
      <c r="M33" s="26" t="n">
        <v>0</v>
      </c>
      <c r="N33" s="26" t="n">
        <v>0</v>
      </c>
      <c r="O33" s="28" t="e">
        <f aca="false">J33-K33-M33-N33-L33</f>
        <v>#NAME?</v>
      </c>
      <c r="P33" s="26"/>
      <c r="Q33" s="25" t="n">
        <f aca="false">+J33-C33</f>
        <v>0</v>
      </c>
      <c r="R33" s="26"/>
      <c r="S33" s="26" t="e">
        <f aca="false">'CapChrg-AllocExp'!F28</f>
        <v>#NAME?</v>
      </c>
      <c r="T33" s="26" t="n">
        <v>0</v>
      </c>
      <c r="U33" s="26" t="n">
        <v>0</v>
      </c>
      <c r="V33" s="27" t="e">
        <f aca="false">ROUND(SUM(Q33:U33),0)</f>
        <v>#NAME?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32</v>
      </c>
      <c r="B35" s="24"/>
      <c r="C35" s="38" t="e">
        <f aca="false">SUM(C28:C34)</f>
        <v>#NAME?</v>
      </c>
      <c r="D35" s="39" t="e">
        <f aca="false">SUM(D28:D34)</f>
        <v>#NAME?</v>
      </c>
      <c r="E35" s="40" t="e">
        <f aca="false">SUM(E28:E34)</f>
        <v>#NAME?</v>
      </c>
      <c r="F35" s="26"/>
      <c r="G35" s="38" t="n">
        <f aca="false">SUM(G28:G34)</f>
        <v>8915.46392</v>
      </c>
      <c r="H35" s="39" t="n">
        <f aca="false">SUM(H28:H34)</f>
        <v>0</v>
      </c>
      <c r="I35" s="39" t="n">
        <f aca="false">SUM(I28:I34)</f>
        <v>0</v>
      </c>
      <c r="J35" s="41" t="n">
        <f aca="false">SUM(J28:J34)</f>
        <v>8915.46392</v>
      </c>
      <c r="K35" s="39" t="n">
        <f aca="false">SUM(K28:K34)</f>
        <v>0</v>
      </c>
      <c r="L35" s="38" t="e">
        <f aca="false">SUM(L28:L34)</f>
        <v>#NAME?</v>
      </c>
      <c r="M35" s="39" t="e">
        <f aca="false">SUM(M28:M34)</f>
        <v>#NAME?</v>
      </c>
      <c r="N35" s="39" t="e">
        <f aca="false">SUM(N28:N34)</f>
        <v>#NAME?</v>
      </c>
      <c r="O35" s="41" t="e">
        <f aca="false">J35-K35-M35-N35-L35</f>
        <v>#NAME?</v>
      </c>
      <c r="P35" s="26"/>
      <c r="Q35" s="38" t="e">
        <f aca="false">SUM(Q28:Q34)</f>
        <v>#NAME?</v>
      </c>
      <c r="R35" s="39" t="n">
        <f aca="false">SUM(R28:R34)</f>
        <v>0</v>
      </c>
      <c r="S35" s="39" t="e">
        <f aca="false">SUM(S28:S34)</f>
        <v>#NAME?</v>
      </c>
      <c r="T35" s="39" t="e">
        <f aca="false">SUM(T28:T34)</f>
        <v>#NAME?</v>
      </c>
      <c r="U35" s="39" t="e">
        <f aca="false">SUM(U28:U34)</f>
        <v>#NAME?</v>
      </c>
      <c r="V35" s="40" t="e">
        <f aca="false">SUM(V28:V34)</f>
        <v>#NAME?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33</v>
      </c>
      <c r="H36" s="26"/>
      <c r="I36" s="26"/>
      <c r="J36" s="28"/>
      <c r="K36" s="29"/>
      <c r="L36" s="36"/>
      <c r="M36" s="26" t="s">
        <v>34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35</v>
      </c>
      <c r="B37" s="24"/>
      <c r="C37" s="25" t="n">
        <v>0</v>
      </c>
      <c r="D37" s="26" t="e">
        <f aca="false">+'IntIncome-Expense'!H34</f>
        <v>#NAME?</v>
      </c>
      <c r="E37" s="27" t="e">
        <f aca="false">C37-D37</f>
        <v>#NAME?</v>
      </c>
      <c r="F37" s="26"/>
      <c r="G37" s="25" t="n">
        <f aca="false">GrossMargin!I49</f>
        <v>0</v>
      </c>
      <c r="H37" s="26" t="n">
        <f aca="false">GrossMargin!J49</f>
        <v>0</v>
      </c>
      <c r="I37" s="26" t="n">
        <f aca="false">GrossMargin!K49</f>
        <v>0</v>
      </c>
      <c r="J37" s="28" t="n">
        <f aca="false">SUM(G37:I37)</f>
        <v>0</v>
      </c>
      <c r="K37" s="29"/>
      <c r="L37" s="36" t="n">
        <v>0</v>
      </c>
      <c r="M37" s="26" t="e">
        <f aca="false">+'IntIncome-Expense'!G34</f>
        <v>#NAME?</v>
      </c>
      <c r="N37" s="26" t="n">
        <v>0</v>
      </c>
      <c r="O37" s="28" t="e">
        <f aca="false">J37-K37-M37-N37-L37</f>
        <v>#NAME?</v>
      </c>
      <c r="P37" s="26"/>
      <c r="Q37" s="25" t="n">
        <f aca="false">+J37-C37</f>
        <v>0</v>
      </c>
      <c r="R37" s="26"/>
      <c r="S37" s="26" t="n">
        <v>0</v>
      </c>
      <c r="T37" s="26" t="e">
        <f aca="false">D37-M37</f>
        <v>#NAME?</v>
      </c>
      <c r="U37" s="26" t="n">
        <v>0</v>
      </c>
      <c r="V37" s="27" t="e">
        <f aca="false">ROUND(SUM(Q37:U37),0)</f>
        <v>#NAME?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36</v>
      </c>
      <c r="B39" s="24"/>
      <c r="C39" s="42" t="e">
        <f aca="false">SUM(C35:C37)</f>
        <v>#NAME?</v>
      </c>
      <c r="D39" s="43" t="e">
        <f aca="false">SUM(D35:D37)</f>
        <v>#NAME?</v>
      </c>
      <c r="E39" s="44" t="e">
        <f aca="false">SUM(E35:E37)</f>
        <v>#NAME?</v>
      </c>
      <c r="F39" s="26"/>
      <c r="G39" s="42" t="n">
        <f aca="false">SUM(G35:G37)</f>
        <v>8915.46392</v>
      </c>
      <c r="H39" s="43" t="n">
        <f aca="false">SUM(H35:H37)</f>
        <v>0</v>
      </c>
      <c r="I39" s="43" t="n">
        <f aca="false">SUM(I35:I37)</f>
        <v>0</v>
      </c>
      <c r="J39" s="45" t="n">
        <f aca="false">SUM(J35:J37)</f>
        <v>8915.46392</v>
      </c>
      <c r="K39" s="43" t="n">
        <f aca="false">SUM(K35:K37)</f>
        <v>0</v>
      </c>
      <c r="L39" s="42" t="e">
        <f aca="false">SUM(L35:L37)</f>
        <v>#NAME?</v>
      </c>
      <c r="M39" s="43" t="e">
        <f aca="false">SUM(M35:M37)</f>
        <v>#NAME?</v>
      </c>
      <c r="N39" s="43" t="e">
        <f aca="false">SUM(N35:N37)</f>
        <v>#NAME?</v>
      </c>
      <c r="O39" s="45" t="e">
        <f aca="false">J39-K39-M39-N39-L39</f>
        <v>#NAME?</v>
      </c>
      <c r="P39" s="26"/>
      <c r="Q39" s="42" t="e">
        <f aca="false">SUM(Q35:Q37)</f>
        <v>#NAME?</v>
      </c>
      <c r="R39" s="43" t="n">
        <f aca="false">SUM(R35:R37)</f>
        <v>0</v>
      </c>
      <c r="S39" s="43" t="e">
        <f aca="false">SUM(S35:S37)</f>
        <v>#NAME?</v>
      </c>
      <c r="T39" s="43" t="e">
        <f aca="false">SUM(T35:T37)</f>
        <v>#NAME?</v>
      </c>
      <c r="U39" s="43" t="e">
        <f aca="false">SUM(U35:U37)</f>
        <v>#NAME?</v>
      </c>
      <c r="V39" s="44" t="e">
        <f aca="false">SUM(V35:V37)</f>
        <v>#NAME?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37</v>
      </c>
      <c r="F41" s="51"/>
      <c r="G41" s="58" t="n">
        <f aca="false">+'GM-WeeklyChnge'!C44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38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42" activeCellId="0" sqref="D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December 14,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5</v>
      </c>
      <c r="I6" s="141" t="s">
        <v>6</v>
      </c>
      <c r="J6" s="141" t="s">
        <v>7</v>
      </c>
      <c r="K6" s="142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43" t="s">
        <v>74</v>
      </c>
      <c r="D7" s="16" t="s">
        <v>75</v>
      </c>
      <c r="E7" s="16" t="s">
        <v>76</v>
      </c>
      <c r="F7" s="16" t="s">
        <v>77</v>
      </c>
      <c r="G7" s="16" t="s">
        <v>78</v>
      </c>
      <c r="H7" s="15" t="s">
        <v>14</v>
      </c>
      <c r="I7" s="16" t="s">
        <v>17</v>
      </c>
      <c r="J7" s="16" t="s">
        <v>14</v>
      </c>
      <c r="K7" s="144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+GrossMargin!D10-[1]GrossMargin!D10</f>
        <v>4627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-197.194</v>
      </c>
      <c r="G9" s="147" t="n">
        <f aca="false">+GrossMargin!H10-[1]GrossMargin!H10</f>
        <v>0</v>
      </c>
      <c r="H9" s="36" t="n">
        <f aca="false">SUM(C9:G9)</f>
        <v>4429.806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4429.806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+GrossMargin!D11-[1]GrossMargin!D11</f>
        <v>1476</v>
      </c>
      <c r="D10" s="26" t="n">
        <f aca="false">+GrossMargin!E11-[1]GrossMargin!E11</f>
        <v>18.57261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1494.57261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1494.57261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+GrossMargin!D12-[1]GrossMargin!D12</f>
        <v>39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39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39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+GrossMargin!D13-[1]GrossMargin!D13</f>
        <v>-112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-112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-112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79</v>
      </c>
      <c r="B14" s="149"/>
      <c r="C14" s="150" t="n">
        <f aca="false">+GrossMargin!D15-[1]GrossMargin!D15</f>
        <v>477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477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477</v>
      </c>
    </row>
    <row r="15" customFormat="false" ht="13.5" hidden="true" customHeight="true" outlineLevel="0" collapsed="false">
      <c r="A15" s="148" t="s">
        <v>80</v>
      </c>
      <c r="B15" s="149"/>
      <c r="C15" s="150" t="n">
        <f aca="false">+GrossMargin!D16-[1]GrossMargin!D16</f>
        <v>322.507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322.507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322.507</v>
      </c>
    </row>
    <row r="16" customFormat="false" ht="13.5" hidden="true" customHeight="true" outlineLevel="0" collapsed="false">
      <c r="A16" s="148" t="s">
        <v>81</v>
      </c>
      <c r="B16" s="149"/>
      <c r="C16" s="150" t="n">
        <f aca="false">+GrossMargin!D17-[1]GrossMargin!D17</f>
        <v>700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700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700</v>
      </c>
    </row>
    <row r="17" customFormat="false" ht="13.5" hidden="true" customHeight="true" outlineLevel="0" collapsed="false">
      <c r="A17" s="148" t="s">
        <v>82</v>
      </c>
      <c r="B17" s="149"/>
      <c r="C17" s="150" t="n">
        <f aca="false">+GrossMargin!D18-[1]GrossMargin!D18</f>
        <v>0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0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0</v>
      </c>
    </row>
    <row r="18" customFormat="false" ht="13.5" hidden="true" customHeight="true" outlineLevel="0" collapsed="false">
      <c r="A18" s="148" t="s">
        <v>83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84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25</v>
      </c>
      <c r="B20" s="9"/>
      <c r="C20" s="25" t="n">
        <f aca="false">SUM(C14:C19)</f>
        <v>1499.507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1499.507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1499.507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51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27</v>
      </c>
      <c r="B22" s="161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GrossMargin!J23-[1]GrossMargin!J23</f>
        <v>0</v>
      </c>
      <c r="J22" s="26" t="n">
        <f aca="false">GrossMargin!K23-[1]GrossMargin!K23</f>
        <v>0</v>
      </c>
      <c r="K22" s="27" t="n">
        <f aca="false">SUM(H22:J22)</f>
        <v>0</v>
      </c>
    </row>
    <row r="23" customFormat="false" ht="13.5" hidden="false" customHeight="true" outlineLevel="0" collapsed="false">
      <c r="A23" s="11" t="s">
        <v>26</v>
      </c>
      <c r="B23" s="161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26" t="n">
        <f aca="false">+GrossMargin!K24-[1]GrossMargin!K28</f>
        <v>0</v>
      </c>
      <c r="K23" s="27" t="n">
        <f aca="false">SUM(H23:J23)</f>
        <v>0</v>
      </c>
    </row>
    <row r="24" customFormat="false" ht="3" hidden="false" customHeight="true" outlineLevel="0" collapsed="false">
      <c r="A24" s="11"/>
      <c r="B24" s="9"/>
      <c r="C24" s="25"/>
      <c r="D24" s="26"/>
      <c r="E24" s="26"/>
      <c r="F24" s="26"/>
      <c r="G24" s="147"/>
      <c r="H24" s="36"/>
      <c r="I24" s="25"/>
      <c r="J24" s="26"/>
      <c r="K24" s="147"/>
    </row>
    <row r="25" customFormat="false" ht="13.5" hidden="false" customHeight="true" outlineLevel="0" collapsed="false">
      <c r="A25" s="37" t="s">
        <v>85</v>
      </c>
      <c r="B25" s="9"/>
      <c r="C25" s="38" t="n">
        <f aca="false">+C9+C10+C11+C12+C13+C20+C21+C22+C23</f>
        <v>7529.507</v>
      </c>
      <c r="D25" s="39" t="n">
        <f aca="false">+D9+D10+D11+D12+D13+D20+D21+D22+D23</f>
        <v>18.57261</v>
      </c>
      <c r="E25" s="39" t="n">
        <f aca="false">+E9+E10+E11+E12+E13+E20+E21+E22+E23</f>
        <v>0</v>
      </c>
      <c r="F25" s="39" t="n">
        <f aca="false">+F9+F10+F11+F12+F13+F20+F21+F22+F23</f>
        <v>-197.194</v>
      </c>
      <c r="G25" s="40" t="n">
        <f aca="false">+G9+G10+G11+G12+G13+G20+G21+G22+G23</f>
        <v>0</v>
      </c>
      <c r="H25" s="41" t="n">
        <f aca="false">+H9+H10+H11+H12+H13+H20+H21+H22+H23</f>
        <v>7350.88561</v>
      </c>
      <c r="I25" s="39" t="n">
        <f aca="false">+I9+I10+I11+I12+I13+I20+I21+I22+I23</f>
        <v>0</v>
      </c>
      <c r="J25" s="39" t="n">
        <f aca="false">+J9+J10+J11+J12+J13+J20+J21+J22+J23</f>
        <v>0</v>
      </c>
      <c r="K25" s="40" t="n">
        <f aca="false">+K9+K10+K11+K12+K13+K20+K21+K22+K23</f>
        <v>7350.88561</v>
      </c>
    </row>
    <row r="26" customFormat="false" ht="3" hidden="false" customHeight="true" outlineLevel="0" collapsed="false">
      <c r="A26" s="11"/>
      <c r="B26" s="9"/>
      <c r="C26" s="25"/>
      <c r="D26" s="26"/>
      <c r="E26" s="26"/>
      <c r="F26" s="26"/>
      <c r="G26" s="147"/>
      <c r="H26" s="36"/>
      <c r="I26" s="25"/>
      <c r="J26" s="26"/>
      <c r="K26" s="147"/>
    </row>
    <row r="27" customFormat="false" ht="13.5" hidden="false" customHeight="true" outlineLevel="0" collapsed="false">
      <c r="A27" s="11" t="s">
        <v>53</v>
      </c>
      <c r="B27" s="9"/>
      <c r="C27" s="25" t="n">
        <f aca="false">+GrossMargin!D28-[1]GrossMargin!D28</f>
        <v>0</v>
      </c>
      <c r="D27" s="26" t="n">
        <f aca="false">+GrossMargin!E28-[1]GrossMargin!E28</f>
        <v>0</v>
      </c>
      <c r="E27" s="26" t="n">
        <f aca="false">+GrossMargin!F28-[1]GrossMargin!F28</f>
        <v>0</v>
      </c>
      <c r="F27" s="26" t="n">
        <f aca="false">+GrossMargin!G28-[1]GrossMargin!G28</f>
        <v>0</v>
      </c>
      <c r="G27" s="147" t="n">
        <f aca="false">+GrossMargin!H28-[1]GrossMargin!H28</f>
        <v>0</v>
      </c>
      <c r="H27" s="36" t="n">
        <f aca="false">SUM(C27:G27)</f>
        <v>0</v>
      </c>
      <c r="I27" s="25" t="n">
        <f aca="false">GrossMargin!J28-[1]GrossMargin!J28</f>
        <v>0</v>
      </c>
      <c r="J27" s="26" t="n">
        <f aca="false">+GrossMargin!K28-[1]GrossMargin!K23</f>
        <v>0</v>
      </c>
      <c r="K27" s="27" t="n">
        <f aca="false">SUM(H27:J27)</f>
        <v>0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11" t="s">
        <v>54</v>
      </c>
      <c r="B28" s="9"/>
      <c r="C28" s="25" t="n">
        <f aca="false">+GrossMargin!D29-[1]GrossMargin!D29</f>
        <v>0</v>
      </c>
      <c r="D28" s="26" t="n">
        <f aca="false">+GrossMargin!E29-[1]GrossMargin!E29</f>
        <v>0</v>
      </c>
      <c r="E28" s="26" t="n">
        <f aca="false">+GrossMargin!F29-[1]GrossMargin!F29</f>
        <v>0</v>
      </c>
      <c r="F28" s="26" t="n">
        <f aca="false">+GrossMargin!G29-[1]GrossMargin!G29</f>
        <v>0</v>
      </c>
      <c r="G28" s="147" t="n">
        <f aca="false">+GrossMargin!H29-[1]GrossMargin!H29</f>
        <v>0</v>
      </c>
      <c r="H28" s="36" t="n">
        <f aca="false">SUM(C28:G28)</f>
        <v>0</v>
      </c>
      <c r="I28" s="25" t="n">
        <f aca="false">GrossMargin!J29-[1]GrossMargin!J29</f>
        <v>0</v>
      </c>
      <c r="J28" s="26" t="n">
        <f aca="false">+GrossMargin!K29-[1]GrossMargin!K24</f>
        <v>0</v>
      </c>
      <c r="K28" s="27" t="n">
        <f aca="false">SUM(H28:J28)</f>
        <v>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A29" s="11" t="s">
        <v>55</v>
      </c>
      <c r="B29" s="9"/>
      <c r="C29" s="25" t="n">
        <f aca="false">+GrossMargin!D30-[1]GrossMargin!D30</f>
        <v>0</v>
      </c>
      <c r="D29" s="26" t="n">
        <f aca="false">+GrossMargin!E30-[1]GrossMargin!E30</f>
        <v>0</v>
      </c>
      <c r="E29" s="26" t="n">
        <f aca="false">+GrossMargin!F30-[1]GrossMargin!F30</f>
        <v>0</v>
      </c>
      <c r="F29" s="26" t="n">
        <f aca="false">+GrossMargin!G30-[1]GrossMargin!G30</f>
        <v>0</v>
      </c>
      <c r="G29" s="147" t="n">
        <f aca="false">+GrossMargin!H30-[1]GrossMargin!H30</f>
        <v>0</v>
      </c>
      <c r="H29" s="36" t="n">
        <f aca="false">SUM(C29:G29)</f>
        <v>0</v>
      </c>
      <c r="I29" s="25" t="n">
        <f aca="false">GrossMargin!J30-[1]GrossMargin!J30</f>
        <v>0</v>
      </c>
      <c r="J29" s="26" t="n">
        <f aca="false">GrossMargin!K30-[1]GrossMargin!K30</f>
        <v>0</v>
      </c>
      <c r="K29" s="27" t="n">
        <f aca="false">SUM(H29:J29)</f>
        <v>0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" hidden="false" customHeight="true" outlineLevel="0" collapsed="false">
      <c r="A30" s="11"/>
      <c r="B30" s="9"/>
      <c r="C30" s="25"/>
      <c r="D30" s="26"/>
      <c r="E30" s="26"/>
      <c r="F30" s="26"/>
      <c r="G30" s="147"/>
      <c r="H30" s="36"/>
      <c r="I30" s="25"/>
      <c r="J30" s="26"/>
      <c r="K30" s="147"/>
    </row>
    <row r="31" customFormat="false" ht="13.5" hidden="false" customHeight="true" outlineLevel="0" collapsed="false">
      <c r="A31" s="37" t="s">
        <v>86</v>
      </c>
      <c r="B31" s="9"/>
      <c r="C31" s="38" t="n">
        <f aca="false">SUM(C27:C30)</f>
        <v>0</v>
      </c>
      <c r="D31" s="39" t="n">
        <f aca="false">SUM(D27:D30)</f>
        <v>0</v>
      </c>
      <c r="E31" s="39" t="n">
        <f aca="false">SUM(E27:E30)</f>
        <v>0</v>
      </c>
      <c r="F31" s="39" t="n">
        <f aca="false">SUM(F27:F30)</f>
        <v>0</v>
      </c>
      <c r="G31" s="40" t="n">
        <f aca="false">SUM(G27:G30)</f>
        <v>0</v>
      </c>
      <c r="H31" s="41" t="n">
        <f aca="false">SUM(H27:H30)</f>
        <v>0</v>
      </c>
      <c r="I31" s="39" t="n">
        <f aca="false">SUM(I27:I30)</f>
        <v>0</v>
      </c>
      <c r="J31" s="39" t="n">
        <f aca="false">SUM(J27:J30)</f>
        <v>0</v>
      </c>
      <c r="K31" s="40" t="n">
        <f aca="false">SUM(K27:K30)</f>
        <v>0</v>
      </c>
    </row>
    <row r="32" customFormat="false" ht="3" hidden="false" customHeight="true" outlineLevel="0" collapsed="false">
      <c r="A32" s="11"/>
      <c r="B32" s="9"/>
      <c r="C32" s="25"/>
      <c r="D32" s="26"/>
      <c r="E32" s="26"/>
      <c r="F32" s="26"/>
      <c r="G32" s="147"/>
      <c r="H32" s="36"/>
      <c r="I32" s="25"/>
      <c r="J32" s="26"/>
      <c r="K32" s="147"/>
    </row>
    <row r="33" customFormat="false" ht="3" hidden="false" customHeight="true" outlineLevel="0" collapsed="false">
      <c r="A33" s="11"/>
      <c r="B33" s="9"/>
      <c r="C33" s="25"/>
      <c r="D33" s="26"/>
      <c r="E33" s="26"/>
      <c r="F33" s="26"/>
      <c r="G33" s="147"/>
      <c r="H33" s="36"/>
      <c r="I33" s="25"/>
      <c r="J33" s="26"/>
      <c r="K33" s="147"/>
    </row>
    <row r="34" customFormat="false" ht="13.5" hidden="false" customHeight="true" outlineLevel="0" collapsed="false">
      <c r="A34" s="37" t="s">
        <v>87</v>
      </c>
      <c r="B34" s="9"/>
      <c r="C34" s="38" t="n">
        <f aca="false">+C25+C31</f>
        <v>7529.507</v>
      </c>
      <c r="D34" s="39" t="n">
        <f aca="false">+D25+D31</f>
        <v>18.57261</v>
      </c>
      <c r="E34" s="39" t="n">
        <f aca="false">+E25+E31</f>
        <v>0</v>
      </c>
      <c r="F34" s="39" t="n">
        <f aca="false">+F25+F31</f>
        <v>-197.194</v>
      </c>
      <c r="G34" s="40" t="n">
        <f aca="false">+G25+G31</f>
        <v>0</v>
      </c>
      <c r="H34" s="41" t="n">
        <f aca="false">+H25+H31</f>
        <v>7350.88561</v>
      </c>
      <c r="I34" s="39" t="n">
        <f aca="false">+I25+I31</f>
        <v>0</v>
      </c>
      <c r="J34" s="39" t="n">
        <f aca="false">+J25+J31</f>
        <v>0</v>
      </c>
      <c r="K34" s="40" t="n">
        <f aca="false">+K25+K31</f>
        <v>7350.88561</v>
      </c>
    </row>
    <row r="35" customFormat="false" ht="3" hidden="false" customHeight="true" outlineLevel="0" collapsed="false">
      <c r="A35" s="11"/>
      <c r="B35" s="9"/>
      <c r="C35" s="25"/>
      <c r="D35" s="26"/>
      <c r="E35" s="26"/>
      <c r="F35" s="26"/>
      <c r="G35" s="147"/>
      <c r="H35" s="36"/>
      <c r="I35" s="25"/>
      <c r="J35" s="26"/>
      <c r="K35" s="147"/>
    </row>
    <row r="36" customFormat="false" ht="13.5" hidden="false" customHeight="true" outlineLevel="0" collapsed="false">
      <c r="A36" s="11" t="s">
        <v>30</v>
      </c>
      <c r="B36" s="9"/>
      <c r="C36" s="25" t="n">
        <f aca="false">+GrossMargin!D37-[1]GrossMargin!D37</f>
        <v>0</v>
      </c>
      <c r="D36" s="26" t="n">
        <f aca="false">+GrossMargin!E37-[1]GrossMargin!E37</f>
        <v>0</v>
      </c>
      <c r="E36" s="26" t="n">
        <f aca="false">+GrossMargin!F37-[1]GrossMargin!F37</f>
        <v>0</v>
      </c>
      <c r="F36" s="26" t="n">
        <f aca="false">+GrossMargin!G37-[1]GrossMargin!G37</f>
        <v>0</v>
      </c>
      <c r="G36" s="147" t="n">
        <f aca="false">+GrossMargin!H37-[1]GrossMargin!H37</f>
        <v>0</v>
      </c>
      <c r="H36" s="36" t="n">
        <f aca="false">SUM(C36:G36)</f>
        <v>0</v>
      </c>
      <c r="I36" s="25" t="n">
        <f aca="false">GrossMargin!J37-[1]GrossMargin!J32</f>
        <v>0</v>
      </c>
      <c r="J36" s="26" t="n">
        <f aca="false">+GrossMargin!K37-[1]GrossMargin!K32</f>
        <v>0</v>
      </c>
      <c r="K36" s="27" t="n">
        <f aca="false">SUM(H36:J36)</f>
        <v>0</v>
      </c>
    </row>
    <row r="37" customFormat="false" ht="3" hidden="false" customHeight="true" outlineLevel="0" collapsed="false">
      <c r="A37" s="11"/>
      <c r="B37" s="9"/>
      <c r="C37" s="25"/>
      <c r="D37" s="26"/>
      <c r="E37" s="26"/>
      <c r="F37" s="26"/>
      <c r="G37" s="147"/>
      <c r="H37" s="36"/>
      <c r="I37" s="25"/>
      <c r="J37" s="26"/>
      <c r="K37" s="147"/>
    </row>
    <row r="38" customFormat="false" ht="13.5" hidden="false" customHeight="true" outlineLevel="0" collapsed="false">
      <c r="A38" s="37" t="s">
        <v>88</v>
      </c>
      <c r="B38" s="9"/>
      <c r="C38" s="42" t="n">
        <f aca="false">SUM(C34:C36)</f>
        <v>7529.507</v>
      </c>
      <c r="D38" s="43" t="n">
        <f aca="false">SUM(D34:D36)</f>
        <v>18.57261</v>
      </c>
      <c r="E38" s="43" t="n">
        <f aca="false">SUM(E34:E37)</f>
        <v>0</v>
      </c>
      <c r="F38" s="43" t="n">
        <f aca="false">SUM(F34:F36)</f>
        <v>-197.194</v>
      </c>
      <c r="G38" s="44" t="n">
        <f aca="false">SUM(G34:G36)</f>
        <v>0</v>
      </c>
      <c r="H38" s="42" t="n">
        <f aca="false">SUM(C38:G38)</f>
        <v>7350.88561</v>
      </c>
      <c r="I38" s="42" t="n">
        <f aca="false">SUM(I34:I36)</f>
        <v>0</v>
      </c>
      <c r="J38" s="43" t="n">
        <f aca="false">SUM(J34:J36)</f>
        <v>0</v>
      </c>
      <c r="K38" s="44" t="n">
        <f aca="false">SUM(H38:J38)</f>
        <v>7350.88561</v>
      </c>
    </row>
    <row r="39" customFormat="false" ht="3" hidden="false" customHeight="true" outlineLevel="0" collapsed="false">
      <c r="A39" s="162"/>
      <c r="B39" s="23"/>
      <c r="C39" s="163"/>
      <c r="D39" s="164"/>
      <c r="E39" s="164"/>
      <c r="F39" s="164"/>
      <c r="G39" s="165"/>
      <c r="H39" s="163"/>
      <c r="I39" s="163"/>
      <c r="J39" s="164"/>
      <c r="K39" s="165"/>
    </row>
    <row r="40" customFormat="false" ht="13.5" hidden="false" customHeight="false" outlineLevel="0" collapsed="false">
      <c r="A40" s="166" t="s">
        <v>89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customFormat="false" ht="12.75" hidden="false" customHeight="false" outlineLevel="0" collapsed="false">
      <c r="E41" s="116"/>
    </row>
    <row r="43" customFormat="false" ht="12.75" hidden="false" customHeight="false" outlineLevel="0" collapsed="false">
      <c r="G43" s="30"/>
    </row>
    <row r="44" customFormat="false" ht="15.75" hidden="false" customHeight="false" outlineLevel="0" collapsed="false">
      <c r="D44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42" activeCellId="0" sqref="D41:D4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90</v>
      </c>
    </row>
    <row r="2" customFormat="false" ht="15.75" hidden="false" customHeight="false" outlineLevel="0" collapsed="false">
      <c r="A2" s="168" t="s">
        <v>91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93</v>
      </c>
      <c r="B4" s="6" t="str">
        <f aca="false">'Mgmt Summary'!A3</f>
        <v>Results based on activity through December 14,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94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5</v>
      </c>
      <c r="J7" s="141" t="s">
        <v>6</v>
      </c>
      <c r="K7" s="141" t="s">
        <v>7</v>
      </c>
      <c r="L7" s="141" t="s">
        <v>8</v>
      </c>
      <c r="M7" s="141" t="s">
        <v>14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72" t="s">
        <v>74</v>
      </c>
      <c r="E8" s="141" t="s">
        <v>75</v>
      </c>
      <c r="F8" s="141" t="s">
        <v>76</v>
      </c>
      <c r="G8" s="141" t="s">
        <v>77</v>
      </c>
      <c r="H8" s="141" t="s">
        <v>78</v>
      </c>
      <c r="I8" s="141" t="s">
        <v>14</v>
      </c>
      <c r="J8" s="141" t="s">
        <v>17</v>
      </c>
      <c r="K8" s="141" t="s">
        <v>14</v>
      </c>
      <c r="L8" s="141" t="s">
        <v>14</v>
      </c>
      <c r="M8" s="141" t="s">
        <v>2</v>
      </c>
      <c r="N8" s="144" t="s">
        <v>44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20</v>
      </c>
      <c r="C10" s="179"/>
      <c r="D10" s="25" t="n">
        <v>-7526</v>
      </c>
      <c r="E10" s="26" t="n">
        <v>0</v>
      </c>
      <c r="F10" s="26" t="n">
        <v>0</v>
      </c>
      <c r="G10" s="26" t="n">
        <f aca="false">-129.617-197.194</f>
        <v>-326.811</v>
      </c>
      <c r="H10" s="147" t="n">
        <v>0</v>
      </c>
      <c r="I10" s="28" t="n">
        <f aca="false">SUM(D10:H10)</f>
        <v>-7852.811</v>
      </c>
      <c r="J10" s="29"/>
      <c r="K10" s="26" t="n">
        <v>0</v>
      </c>
      <c r="L10" s="26" t="n">
        <f aca="false">+I10+K10</f>
        <v>-7852.811</v>
      </c>
      <c r="M10" s="147" t="n">
        <v>30000</v>
      </c>
      <c r="N10" s="27" t="n">
        <f aca="false">L10-M10</f>
        <v>-37852.811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95</v>
      </c>
      <c r="B11" s="11" t="s">
        <v>21</v>
      </c>
      <c r="C11" s="179"/>
      <c r="D11" s="25" t="n">
        <v>8391</v>
      </c>
      <c r="E11" s="26" t="n">
        <f aca="false">413.82992-262.279</f>
        <v>151.55092</v>
      </c>
      <c r="F11" s="26" t="n">
        <v>79.724</v>
      </c>
      <c r="G11" s="26" t="n">
        <v>0</v>
      </c>
      <c r="H11" s="147" t="n">
        <v>0</v>
      </c>
      <c r="I11" s="28" t="n">
        <f aca="false">SUM(D11:H11)</f>
        <v>8622.27492</v>
      </c>
      <c r="J11" s="29"/>
      <c r="K11" s="26" t="n">
        <v>0</v>
      </c>
      <c r="L11" s="26" t="n">
        <f aca="false">+I11+K11</f>
        <v>8622.27492</v>
      </c>
      <c r="M11" s="147" t="e">
        <f aca="false">ROUND(HPVAL($A11,$A$1,$A$2,$A$3,$A$4,$A$6)/1000,3)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96</v>
      </c>
      <c r="B12" s="11" t="s">
        <v>22</v>
      </c>
      <c r="C12" s="179"/>
      <c r="D12" s="25" t="n">
        <v>6807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6807</v>
      </c>
      <c r="J12" s="29"/>
      <c r="K12" s="26" t="n">
        <v>0</v>
      </c>
      <c r="L12" s="26" t="n">
        <f aca="false">+I12+K12</f>
        <v>6807</v>
      </c>
      <c r="M12" s="147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97</v>
      </c>
      <c r="B13" s="11" t="s">
        <v>23</v>
      </c>
      <c r="C13" s="179"/>
      <c r="D13" s="25" t="n">
        <v>3105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3105</v>
      </c>
      <c r="J13" s="29"/>
      <c r="K13" s="26" t="n">
        <v>0</v>
      </c>
      <c r="L13" s="26" t="n">
        <f aca="false">+I13+K13</f>
        <v>3105</v>
      </c>
      <c r="M13" s="147" t="e">
        <f aca="false">ROUND(HPVAL($A13,$A$1,$A$2,$A$3,$A$4,$A$6)/1000,3)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98</v>
      </c>
      <c r="B14" s="11" t="s">
        <v>24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e">
        <f aca="false">ROUND(HPVAL($A14,$A$1,$A$2,$A$3,$A$4,$A$6)/1000,3)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99</v>
      </c>
      <c r="B15" s="148" t="s">
        <v>79</v>
      </c>
      <c r="C15" s="180"/>
      <c r="D15" s="150" t="n">
        <v>50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50</v>
      </c>
      <c r="J15" s="151"/>
      <c r="K15" s="151" t="n">
        <v>0</v>
      </c>
      <c r="L15" s="26" t="n">
        <f aca="false">+I15+K15</f>
        <v>50</v>
      </c>
      <c r="M15" s="147" t="n">
        <v>0</v>
      </c>
      <c r="N15" s="152" t="n">
        <f aca="false">L15-M15</f>
        <v>50</v>
      </c>
    </row>
    <row r="16" customFormat="false" ht="13.5" hidden="true" customHeight="true" outlineLevel="0" collapsed="false">
      <c r="A16" s="168" t="s">
        <v>99</v>
      </c>
      <c r="B16" s="148" t="s">
        <v>80</v>
      </c>
      <c r="C16" s="180"/>
      <c r="D16" s="150" t="n">
        <v>-498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-498</v>
      </c>
      <c r="J16" s="151"/>
      <c r="K16" s="151" t="n">
        <v>0</v>
      </c>
      <c r="L16" s="26" t="n">
        <f aca="false">+I16+K16</f>
        <v>-498</v>
      </c>
      <c r="M16" s="147" t="n">
        <v>0</v>
      </c>
      <c r="N16" s="152" t="n">
        <f aca="false">L16-M16</f>
        <v>-498</v>
      </c>
    </row>
    <row r="17" customFormat="false" ht="13.5" hidden="true" customHeight="true" outlineLevel="0" collapsed="false">
      <c r="B17" s="148" t="s">
        <v>81</v>
      </c>
      <c r="C17" s="180"/>
      <c r="D17" s="150" t="n">
        <v>2176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2176</v>
      </c>
      <c r="J17" s="151"/>
      <c r="K17" s="151" t="n">
        <v>0</v>
      </c>
      <c r="L17" s="26" t="n">
        <f aca="false">+I17+K17</f>
        <v>2176</v>
      </c>
      <c r="M17" s="152" t="n">
        <v>0</v>
      </c>
      <c r="N17" s="152" t="n">
        <f aca="false">L17-M17</f>
        <v>2176</v>
      </c>
      <c r="P17" s="30"/>
    </row>
    <row r="18" customFormat="false" ht="13.5" hidden="true" customHeight="true" outlineLevel="0" collapsed="false">
      <c r="B18" s="148" t="s">
        <v>82</v>
      </c>
      <c r="C18" s="180"/>
      <c r="D18" s="150" t="n">
        <v>-87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-87</v>
      </c>
      <c r="J18" s="151"/>
      <c r="K18" s="151" t="n">
        <v>0</v>
      </c>
      <c r="L18" s="26" t="n">
        <f aca="false">+I18+K18</f>
        <v>-87</v>
      </c>
      <c r="M18" s="152" t="n">
        <v>0</v>
      </c>
      <c r="N18" s="152" t="n">
        <f aca="false">L18-M18</f>
        <v>-87</v>
      </c>
      <c r="O18" s="30"/>
    </row>
    <row r="19" customFormat="false" ht="13.5" hidden="true" customHeight="true" outlineLevel="0" collapsed="false">
      <c r="B19" s="148" t="s">
        <v>83</v>
      </c>
      <c r="C19" s="180"/>
      <c r="D19" s="150" t="n">
        <v>38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38</v>
      </c>
      <c r="J19" s="151"/>
      <c r="K19" s="151" t="n">
        <v>0</v>
      </c>
      <c r="L19" s="26" t="n">
        <f aca="false">+I19+K19</f>
        <v>38</v>
      </c>
      <c r="M19" s="152" t="n">
        <v>0</v>
      </c>
      <c r="N19" s="152" t="n">
        <f aca="false">L19-M19</f>
        <v>38</v>
      </c>
    </row>
    <row r="20" customFormat="false" ht="13.5" hidden="true" customHeight="true" outlineLevel="0" collapsed="false">
      <c r="B20" s="148" t="s">
        <v>84</v>
      </c>
      <c r="C20" s="180"/>
      <c r="D20" s="155" t="n">
        <v>-54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-54</v>
      </c>
      <c r="J20" s="156"/>
      <c r="K20" s="156" t="n">
        <v>0</v>
      </c>
      <c r="L20" s="183" t="n">
        <f aca="false">+I20+K20</f>
        <v>-54</v>
      </c>
      <c r="M20" s="157" t="n">
        <v>0</v>
      </c>
      <c r="N20" s="157" t="n">
        <f aca="false">L20-M20</f>
        <v>-54</v>
      </c>
    </row>
    <row r="21" customFormat="false" ht="13.5" hidden="false" customHeight="true" outlineLevel="0" collapsed="false">
      <c r="B21" s="11" t="s">
        <v>25</v>
      </c>
      <c r="C21" s="179"/>
      <c r="D21" s="25" t="n">
        <f aca="false">SUM(D15:D20)</f>
        <v>1625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1625</v>
      </c>
      <c r="J21" s="29"/>
      <c r="K21" s="26" t="n">
        <f aca="false">SUM(K15:K20)</f>
        <v>0</v>
      </c>
      <c r="L21" s="26" t="n">
        <f aca="false">+I21+K21</f>
        <v>1625</v>
      </c>
      <c r="M21" s="147" t="n">
        <f aca="false">33848.881-22365.668-2500.002+2500.002</f>
        <v>11483.213</v>
      </c>
      <c r="N21" s="27" t="n">
        <f aca="false">L21-M21</f>
        <v>-9858.213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11" t="s">
        <v>51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78"/>
      <c r="B23" s="11" t="s">
        <v>27</v>
      </c>
      <c r="C23" s="179"/>
      <c r="D23" s="25" t="n">
        <v>0</v>
      </c>
      <c r="E23" s="26" t="n">
        <v>0</v>
      </c>
      <c r="F23" s="26" t="n">
        <v>0</v>
      </c>
      <c r="G23" s="26" t="n">
        <v>0</v>
      </c>
      <c r="H23" s="147" t="n">
        <v>0</v>
      </c>
      <c r="I23" s="28" t="n">
        <f aca="false">SUM(D23:H23)</f>
        <v>0</v>
      </c>
      <c r="J23" s="29"/>
      <c r="K23" s="25" t="n">
        <v>0</v>
      </c>
      <c r="L23" s="26" t="n">
        <f aca="false">+I23+K23</f>
        <v>0</v>
      </c>
      <c r="M23" s="147" t="n">
        <v>0</v>
      </c>
      <c r="N23" s="27" t="n">
        <f aca="false">L23-M23</f>
        <v>0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2" hidden="false" customHeight="true" outlineLevel="0" collapsed="false">
      <c r="A24" s="178"/>
      <c r="B24" s="11" t="s">
        <v>26</v>
      </c>
      <c r="C24" s="179"/>
      <c r="D24" s="25" t="n">
        <v>0</v>
      </c>
      <c r="E24" s="26" t="n">
        <v>0</v>
      </c>
      <c r="F24" s="26" t="n">
        <v>0</v>
      </c>
      <c r="G24" s="26" t="n">
        <v>0</v>
      </c>
      <c r="H24" s="147" t="n">
        <v>0</v>
      </c>
      <c r="I24" s="28" t="n">
        <f aca="false">SUM(D24:H24)</f>
        <v>0</v>
      </c>
      <c r="J24" s="29"/>
      <c r="K24" s="25" t="n">
        <v>0</v>
      </c>
      <c r="L24" s="26" t="n">
        <f aca="false">+I24+K24</f>
        <v>0</v>
      </c>
      <c r="M24" s="147" t="n">
        <v>10100</v>
      </c>
      <c r="N24" s="27" t="n">
        <f aca="false">L24-M24</f>
        <v>-10100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3" hidden="false" customHeight="true" outlineLevel="0" collapsed="false">
      <c r="B25" s="11"/>
      <c r="C25" s="9"/>
      <c r="D25" s="25"/>
      <c r="E25" s="26"/>
      <c r="F25" s="26"/>
      <c r="G25" s="26"/>
      <c r="H25" s="147"/>
      <c r="I25" s="28"/>
      <c r="J25" s="26"/>
      <c r="K25" s="25"/>
      <c r="L25" s="26"/>
      <c r="M25" s="147"/>
      <c r="N25" s="27"/>
    </row>
    <row r="26" customFormat="false" ht="12" hidden="false" customHeight="true" outlineLevel="0" collapsed="false">
      <c r="B26" s="184" t="s">
        <v>52</v>
      </c>
      <c r="C26" s="9"/>
      <c r="D26" s="38" t="n">
        <f aca="false">+D10+D11+D12+D13+D14+D21+D22+D23+D24</f>
        <v>12402</v>
      </c>
      <c r="E26" s="39" t="n">
        <f aca="false">+E10+E11+E12+E13+E14+E21+E22+E23+E24</f>
        <v>151.55092</v>
      </c>
      <c r="F26" s="39" t="n">
        <f aca="false">+F10+F11+F12+F13+F14+F21+F22+F23+F24</f>
        <v>79.724</v>
      </c>
      <c r="G26" s="39" t="n">
        <f aca="false">+G10+G11+G12+G13+G14+G21+G22+G23+G24</f>
        <v>-326.811</v>
      </c>
      <c r="H26" s="40" t="n">
        <f aca="false">+H10+H11+H12+H13+H14+H21+H22+H23+H24</f>
        <v>0</v>
      </c>
      <c r="I26" s="41" t="n">
        <f aca="false">+I10+I11+I12+I13+I14+I21+I22+I23+I24</f>
        <v>12306.46392</v>
      </c>
      <c r="J26" s="39" t="n">
        <f aca="false">+J10+J11+J12+J13+J14+J21+J22+J23+J24</f>
        <v>0</v>
      </c>
      <c r="K26" s="39" t="n">
        <f aca="false">+K10+K11+K12+K13+K14+K21+K22+K23+K24</f>
        <v>0</v>
      </c>
      <c r="L26" s="39" t="n">
        <f aca="false">+L10+L11+L12+L13+L14+L21+L22+L23+L24</f>
        <v>12306.46392</v>
      </c>
      <c r="M26" s="40" t="e">
        <f aca="false">+M10+M11+M12+M13+M14+M21+M22+M23+M24</f>
        <v>#NAME?</v>
      </c>
      <c r="N26" s="40" t="e">
        <f aca="false">+N10+N11+N12+N13+N14+N21+N22+N23+N24</f>
        <v>#NAME?</v>
      </c>
    </row>
    <row r="27" customFormat="false" ht="3" hidden="false" customHeight="true" outlineLevel="0" collapsed="false">
      <c r="B27" s="11"/>
      <c r="C27" s="9"/>
      <c r="D27" s="25"/>
      <c r="E27" s="26"/>
      <c r="F27" s="26"/>
      <c r="G27" s="26"/>
      <c r="H27" s="147"/>
      <c r="I27" s="28"/>
      <c r="J27" s="26"/>
      <c r="K27" s="25"/>
      <c r="L27" s="26"/>
      <c r="M27" s="147"/>
      <c r="N27" s="27"/>
    </row>
    <row r="28" customFormat="false" ht="13.5" hidden="false" customHeight="true" outlineLevel="0" collapsed="false">
      <c r="B28" s="11" t="s">
        <v>53</v>
      </c>
      <c r="C28" s="179"/>
      <c r="D28" s="25" t="n">
        <v>0</v>
      </c>
      <c r="E28" s="26" t="n">
        <v>0</v>
      </c>
      <c r="F28" s="26" t="n">
        <f aca="false">674-188-100-300</f>
        <v>86</v>
      </c>
      <c r="G28" s="26" t="n">
        <v>0</v>
      </c>
      <c r="H28" s="147" t="n">
        <v>0</v>
      </c>
      <c r="I28" s="28" t="n">
        <f aca="false">SUM(D28:H28)</f>
        <v>86</v>
      </c>
      <c r="J28" s="29"/>
      <c r="K28" s="26" t="n">
        <v>0</v>
      </c>
      <c r="L28" s="26" t="n">
        <f aca="false">+I28+K28</f>
        <v>86</v>
      </c>
      <c r="M28" s="147" t="n">
        <f aca="false">1159-15</f>
        <v>1144</v>
      </c>
      <c r="N28" s="27" t="n">
        <f aca="false">L28-M28</f>
        <v>-1058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B29" s="11" t="s">
        <v>54</v>
      </c>
      <c r="C29" s="179"/>
      <c r="D29" s="25" t="n">
        <v>0</v>
      </c>
      <c r="E29" s="26" t="n">
        <v>0</v>
      </c>
      <c r="F29" s="26" t="n">
        <v>132</v>
      </c>
      <c r="G29" s="26" t="n">
        <v>0</v>
      </c>
      <c r="H29" s="147" t="n">
        <v>0</v>
      </c>
      <c r="I29" s="28" t="n">
        <f aca="false">SUM(D29:H29)</f>
        <v>132</v>
      </c>
      <c r="J29" s="29"/>
      <c r="K29" s="26" t="n">
        <v>0</v>
      </c>
      <c r="L29" s="26" t="n">
        <f aca="false">+I29+K29</f>
        <v>132</v>
      </c>
      <c r="M29" s="147" t="n">
        <v>4617</v>
      </c>
      <c r="N29" s="27" t="n">
        <f aca="false">L29-M29</f>
        <v>-4485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13.5" hidden="false" customHeight="true" outlineLevel="0" collapsed="false">
      <c r="B30" s="11" t="s">
        <v>55</v>
      </c>
      <c r="C30" s="179"/>
      <c r="D30" s="25" t="n">
        <v>0</v>
      </c>
      <c r="E30" s="26" t="n">
        <v>0</v>
      </c>
      <c r="F30" s="26" t="n">
        <v>-3089</v>
      </c>
      <c r="G30" s="26" t="n">
        <v>0</v>
      </c>
      <c r="H30" s="147" t="n">
        <v>0</v>
      </c>
      <c r="I30" s="28" t="n">
        <f aca="false">SUM(D30:H30)</f>
        <v>-3089</v>
      </c>
      <c r="J30" s="29"/>
      <c r="K30" s="26" t="n">
        <v>0</v>
      </c>
      <c r="L30" s="26" t="n">
        <f aca="false">+I30+K30</f>
        <v>-3089</v>
      </c>
      <c r="M30" s="147" t="n">
        <v>530</v>
      </c>
      <c r="N30" s="27" t="n">
        <f aca="false">L30-M30</f>
        <v>-3619</v>
      </c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  <c r="IW30" s="59"/>
    </row>
    <row r="31" customFormat="false" ht="3" hidden="false" customHeight="true" outlineLevel="0" collapsed="false">
      <c r="B31" s="11"/>
      <c r="C31" s="9"/>
      <c r="D31" s="25"/>
      <c r="E31" s="26"/>
      <c r="F31" s="26"/>
      <c r="G31" s="26"/>
      <c r="H31" s="147"/>
      <c r="I31" s="28"/>
      <c r="J31" s="26"/>
      <c r="K31" s="25"/>
      <c r="L31" s="26"/>
      <c r="M31" s="147"/>
      <c r="N31" s="27"/>
    </row>
    <row r="32" customFormat="false" ht="12" hidden="false" customHeight="true" outlineLevel="0" collapsed="false">
      <c r="B32" s="184" t="s">
        <v>56</v>
      </c>
      <c r="C32" s="9"/>
      <c r="D32" s="38" t="n">
        <f aca="false">SUM(D28:D31)</f>
        <v>0</v>
      </c>
      <c r="E32" s="39" t="n">
        <f aca="false">SUM(E28:E31)</f>
        <v>0</v>
      </c>
      <c r="F32" s="39" t="n">
        <f aca="false">SUM(F28:F31)</f>
        <v>-2871</v>
      </c>
      <c r="G32" s="39" t="n">
        <f aca="false">SUM(G28:G31)</f>
        <v>0</v>
      </c>
      <c r="H32" s="40" t="n">
        <f aca="false">SUM(H28:H31)</f>
        <v>0</v>
      </c>
      <c r="I32" s="41" t="n">
        <f aca="false">SUM(I28:I31)</f>
        <v>-2871</v>
      </c>
      <c r="J32" s="39" t="n">
        <f aca="false">SUM(J28:J31)</f>
        <v>0</v>
      </c>
      <c r="K32" s="39" t="n">
        <f aca="false">SUM(K28:K31)</f>
        <v>0</v>
      </c>
      <c r="L32" s="39" t="n">
        <f aca="false">SUM(L28:L31)</f>
        <v>-2871</v>
      </c>
      <c r="M32" s="40" t="n">
        <f aca="false">SUM(M28:M31)</f>
        <v>6291</v>
      </c>
      <c r="N32" s="40" t="n">
        <f aca="false">SUM(N28:N31)</f>
        <v>-9162</v>
      </c>
    </row>
    <row r="33" customFormat="false" ht="3" hidden="false" customHeight="true" outlineLevel="0" collapsed="false">
      <c r="B33" s="11"/>
      <c r="C33" s="9"/>
      <c r="D33" s="25"/>
      <c r="E33" s="26"/>
      <c r="F33" s="26"/>
      <c r="G33" s="26"/>
      <c r="H33" s="147"/>
      <c r="I33" s="28"/>
      <c r="J33" s="26"/>
      <c r="K33" s="25"/>
      <c r="L33" s="26"/>
      <c r="M33" s="147"/>
      <c r="N33" s="27"/>
    </row>
    <row r="34" customFormat="false" ht="3" hidden="false" customHeight="true" outlineLevel="0" collapsed="false">
      <c r="B34" s="11"/>
      <c r="C34" s="9"/>
      <c r="D34" s="25"/>
      <c r="E34" s="26"/>
      <c r="F34" s="26"/>
      <c r="G34" s="26"/>
      <c r="H34" s="147"/>
      <c r="I34" s="28"/>
      <c r="J34" s="26"/>
      <c r="K34" s="25"/>
      <c r="L34" s="26"/>
      <c r="M34" s="147"/>
      <c r="N34" s="27"/>
    </row>
    <row r="35" customFormat="false" ht="12" hidden="false" customHeight="true" outlineLevel="0" collapsed="false">
      <c r="B35" s="184" t="s">
        <v>100</v>
      </c>
      <c r="C35" s="9"/>
      <c r="D35" s="38" t="n">
        <f aca="false">+D26+D32</f>
        <v>12402</v>
      </c>
      <c r="E35" s="39" t="n">
        <f aca="false">+E26+E32</f>
        <v>151.55092</v>
      </c>
      <c r="F35" s="39" t="n">
        <f aca="false">+F26+F32</f>
        <v>-2791.276</v>
      </c>
      <c r="G35" s="39" t="n">
        <f aca="false">+G26+G32</f>
        <v>-326.811</v>
      </c>
      <c r="H35" s="40" t="n">
        <f aca="false">+H26+H32</f>
        <v>0</v>
      </c>
      <c r="I35" s="41" t="n">
        <f aca="false">+I26+I32</f>
        <v>9435.46392</v>
      </c>
      <c r="J35" s="39" t="n">
        <f aca="false">+J26+J32</f>
        <v>0</v>
      </c>
      <c r="K35" s="39" t="n">
        <f aca="false">+K26+K32</f>
        <v>0</v>
      </c>
      <c r="L35" s="39" t="n">
        <f aca="false">+L26+L32</f>
        <v>9435.46392</v>
      </c>
      <c r="M35" s="40" t="e">
        <f aca="false">+M26+M32</f>
        <v>#NAME?</v>
      </c>
      <c r="N35" s="40" t="e">
        <f aca="false">+N26+N32</f>
        <v>#NAME?</v>
      </c>
    </row>
    <row r="36" customFormat="false" ht="3" hidden="false" customHeight="true" outlineLevel="0" collapsed="false">
      <c r="B36" s="11"/>
      <c r="C36" s="9"/>
      <c r="D36" s="25"/>
      <c r="E36" s="26"/>
      <c r="F36" s="26"/>
      <c r="G36" s="26"/>
      <c r="H36" s="147"/>
      <c r="I36" s="28"/>
      <c r="J36" s="26"/>
      <c r="K36" s="25"/>
      <c r="L36" s="26"/>
      <c r="M36" s="147"/>
      <c r="N36" s="27"/>
    </row>
    <row r="37" customFormat="false" ht="13.5" hidden="false" customHeight="true" outlineLevel="0" collapsed="false">
      <c r="B37" s="11" t="s">
        <v>30</v>
      </c>
      <c r="C37" s="9"/>
      <c r="D37" s="25" t="n">
        <v>0</v>
      </c>
      <c r="E37" s="26" t="n">
        <v>0</v>
      </c>
      <c r="F37" s="26" t="n">
        <v>0</v>
      </c>
      <c r="G37" s="26" t="n">
        <v>-520</v>
      </c>
      <c r="H37" s="147" t="n">
        <v>0</v>
      </c>
      <c r="I37" s="28" t="n">
        <f aca="false">SUM(D37:H37)</f>
        <v>-520</v>
      </c>
      <c r="J37" s="26"/>
      <c r="K37" s="25" t="n">
        <v>0</v>
      </c>
      <c r="L37" s="26" t="n">
        <f aca="false">SUM(I37:K37)</f>
        <v>-520</v>
      </c>
      <c r="M37" s="147" t="n">
        <f aca="false">+G37</f>
        <v>-520</v>
      </c>
      <c r="N37" s="27" t="n">
        <f aca="false">L37-M37</f>
        <v>0</v>
      </c>
    </row>
    <row r="38" customFormat="false" ht="3" hidden="false" customHeight="true" outlineLevel="0" collapsed="false">
      <c r="B38" s="11"/>
      <c r="C38" s="9"/>
      <c r="D38" s="25"/>
      <c r="E38" s="26"/>
      <c r="F38" s="26"/>
      <c r="G38" s="26"/>
      <c r="H38" s="147"/>
      <c r="I38" s="28"/>
      <c r="J38" s="26"/>
      <c r="K38" s="25"/>
      <c r="L38" s="26"/>
      <c r="M38" s="147"/>
      <c r="N38" s="27"/>
    </row>
    <row r="39" customFormat="false" ht="12" hidden="false" customHeight="true" outlineLevel="0" collapsed="false">
      <c r="B39" s="37" t="s">
        <v>101</v>
      </c>
      <c r="C39" s="9"/>
      <c r="D39" s="42" t="n">
        <f aca="false">+D35+D37</f>
        <v>12402</v>
      </c>
      <c r="E39" s="43" t="n">
        <f aca="false">+E35+E37</f>
        <v>151.55092</v>
      </c>
      <c r="F39" s="43" t="n">
        <f aca="false">+F35+F37</f>
        <v>-2791.276</v>
      </c>
      <c r="G39" s="43" t="n">
        <f aca="false">+G35+G37</f>
        <v>-846.811</v>
      </c>
      <c r="H39" s="44" t="n">
        <f aca="false">+H35+H37</f>
        <v>0</v>
      </c>
      <c r="I39" s="45" t="n">
        <f aca="false">SUM(I35:I37)</f>
        <v>8915.46392</v>
      </c>
      <c r="J39" s="43" t="n">
        <f aca="false">SUM(J35:J37)</f>
        <v>0</v>
      </c>
      <c r="K39" s="42" t="n">
        <f aca="false">+K35+K37</f>
        <v>0</v>
      </c>
      <c r="L39" s="43" t="n">
        <f aca="false">+L35+L37</f>
        <v>8915.46392</v>
      </c>
      <c r="M39" s="44" t="e">
        <f aca="false">+M35+M37</f>
        <v>#NAME?</v>
      </c>
      <c r="N39" s="44" t="e">
        <f aca="false">SUM(N35:N37)</f>
        <v>#NAME?</v>
      </c>
    </row>
    <row r="40" customFormat="false" ht="3" hidden="false" customHeight="true" outlineLevel="0" collapsed="false">
      <c r="B40" s="46"/>
      <c r="D40" s="48"/>
      <c r="E40" s="49"/>
      <c r="F40" s="49"/>
      <c r="G40" s="49"/>
      <c r="H40" s="50"/>
      <c r="I40" s="185"/>
      <c r="J40" s="49"/>
      <c r="K40" s="48"/>
      <c r="L40" s="49"/>
      <c r="M40" s="50"/>
      <c r="N40" s="50"/>
    </row>
    <row r="41" customFormat="false" ht="12.75" hidden="false" customHeight="false" outlineLevel="0" collapsed="false">
      <c r="B41" s="166" t="s">
        <v>89</v>
      </c>
      <c r="C41" s="186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customFormat="false" ht="12.75" hidden="false" customHeight="false" outlineLevel="0" collapsed="false">
      <c r="B42" s="187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customFormat="false" ht="12.75" hidden="false" customHeight="false" outlineLevel="0" collapsed="false">
      <c r="B43" s="187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customFormat="false" ht="12.75" hidden="false" customHeight="false" outlineLevel="0" collapsed="false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2.75" hidden="false" customHeight="false" outlineLevel="0" collapsed="false"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customFormat="false" ht="12.75" hidden="false" customHeight="false" outlineLevel="0" collapsed="false">
      <c r="D46" s="51"/>
      <c r="E46" s="51"/>
      <c r="F46" s="51"/>
      <c r="G46" s="51"/>
      <c r="H46" s="51"/>
      <c r="I46" s="51"/>
      <c r="J46" s="51"/>
      <c r="K46" s="51"/>
      <c r="L46" s="51" t="s">
        <v>34</v>
      </c>
      <c r="M46" s="51"/>
      <c r="N46" s="51"/>
    </row>
    <row r="47" customFormat="false" ht="12.75" hidden="false" customHeight="false" outlineLevel="0" collapsed="false">
      <c r="D47" s="51"/>
    </row>
    <row r="48" customFormat="false" ht="12.75" hidden="false" customHeight="false" outlineLevel="0" collapsed="false">
      <c r="D48" s="5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  <row r="66" customFormat="false" ht="12.75" hidden="false" customHeight="false" outlineLevel="0" collapsed="false">
      <c r="A66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90</v>
      </c>
    </row>
    <row r="2" customFormat="false" ht="15.75" hidden="false" customHeight="false" outlineLevel="0" collapsed="false">
      <c r="A2" s="188" t="s">
        <v>102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103</v>
      </c>
    </row>
    <row r="3" customFormat="false" ht="15" hidden="false" customHeight="false" outlineLevel="0" collapsed="false">
      <c r="A3" s="190" t="n">
        <v>36861</v>
      </c>
      <c r="B3" s="191" t="s">
        <v>104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93</v>
      </c>
      <c r="B4" s="192" t="str">
        <f aca="false">+GrossMargin!B4</f>
        <v>Results based on activity through December 14, 2000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94</v>
      </c>
      <c r="B6" s="193"/>
      <c r="C6" s="194"/>
      <c r="D6" s="195" t="s">
        <v>105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13</v>
      </c>
      <c r="C7" s="194"/>
      <c r="D7" s="200" t="s">
        <v>7</v>
      </c>
      <c r="E7" s="201" t="s">
        <v>2</v>
      </c>
      <c r="F7" s="202" t="s">
        <v>44</v>
      </c>
      <c r="G7" s="194"/>
      <c r="H7" s="203" t="s">
        <v>106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20</v>
      </c>
      <c r="C9" s="210"/>
      <c r="D9" s="211" t="n">
        <f aca="false">+E9</f>
        <v>6246</v>
      </c>
      <c r="E9" s="212" t="n">
        <v>6246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95</v>
      </c>
      <c r="B10" s="218" t="s">
        <v>21</v>
      </c>
      <c r="C10" s="194"/>
      <c r="D10" s="211" t="n">
        <f aca="false">2439.7-380</f>
        <v>2059.7</v>
      </c>
      <c r="E10" s="212" t="e">
        <f aca="false">ROUND(HPVAL($A10,$A$1,$A$2,$A$3,$A$4,$A$6)/1000,1)</f>
        <v>#NAME?</v>
      </c>
      <c r="F10" s="213" t="e">
        <f aca="false">E10-D10</f>
        <v>#NAME?</v>
      </c>
      <c r="G10" s="212"/>
      <c r="H10" s="214" t="s">
        <v>107</v>
      </c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96</v>
      </c>
      <c r="B11" s="218" t="s">
        <v>22</v>
      </c>
      <c r="C11" s="194"/>
      <c r="D11" s="211" t="e">
        <f aca="false">+E11+1000+120+200</f>
        <v>#NAME?</v>
      </c>
      <c r="E11" s="212" t="e">
        <f aca="false">ROUND(HPVAL($A11,$A$1,$A$2,$A$3,$A$4,$A$6)/1000,1)</f>
        <v>#NAME?</v>
      </c>
      <c r="F11" s="213" t="e">
        <f aca="false">E11-D11</f>
        <v>#NAME?</v>
      </c>
      <c r="G11" s="212"/>
      <c r="H11" s="214" t="s">
        <v>108</v>
      </c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97</v>
      </c>
      <c r="B12" s="218" t="s">
        <v>23</v>
      </c>
      <c r="C12" s="194"/>
      <c r="D12" s="211" t="e">
        <f aca="false">+E12</f>
        <v>#NAME?</v>
      </c>
      <c r="E12" s="212" t="e">
        <f aca="false">ROUND(HPVAL($A12,$A$1,$A$2,$A$3,$A$4,$A$6)/1000,1)</f>
        <v>#NAME?</v>
      </c>
      <c r="F12" s="213" t="e">
        <f aca="false">E12-D12</f>
        <v>#NAME?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98</v>
      </c>
      <c r="B13" s="218" t="s">
        <v>24</v>
      </c>
      <c r="C13" s="194"/>
      <c r="D13" s="211" t="e">
        <f aca="false">+E13+250</f>
        <v>#NAME?</v>
      </c>
      <c r="E13" s="212" t="e">
        <f aca="false">ROUND(HPVAL($A13,$A$1,$A$2,$A$3,$A$4,$A$6)/1000,1)</f>
        <v>#NAME?</v>
      </c>
      <c r="F13" s="213" t="e">
        <f aca="false">E13-D13</f>
        <v>#NAME?</v>
      </c>
      <c r="G13" s="212"/>
      <c r="H13" s="214" t="s">
        <v>109</v>
      </c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99</v>
      </c>
      <c r="B14" s="209" t="s">
        <v>25</v>
      </c>
      <c r="C14" s="210"/>
      <c r="D14" s="211" t="n">
        <f aca="false">+E14</f>
        <v>896.126</v>
      </c>
      <c r="E14" s="212" t="n">
        <f aca="false">2000.4-487.223-649.533+32.482</f>
        <v>896.126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09" t="s">
        <v>51</v>
      </c>
      <c r="C15" s="210"/>
      <c r="D15" s="211" t="n">
        <v>1525</v>
      </c>
      <c r="E15" s="212" t="n">
        <v>0</v>
      </c>
      <c r="F15" s="213" t="n">
        <f aca="false">E15-D15</f>
        <v>-1525</v>
      </c>
      <c r="G15" s="212"/>
      <c r="H15" s="214" t="s">
        <v>110</v>
      </c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27</v>
      </c>
      <c r="C16" s="194"/>
      <c r="D16" s="211" t="n">
        <v>750</v>
      </c>
      <c r="E16" s="212" t="n">
        <v>0</v>
      </c>
      <c r="F16" s="213" t="n">
        <f aca="false">E16-D16</f>
        <v>-750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3" hidden="false" customHeight="true" outlineLevel="0" collapsed="false">
      <c r="B17" s="218"/>
      <c r="C17" s="194"/>
      <c r="D17" s="211"/>
      <c r="E17" s="212"/>
      <c r="F17" s="213"/>
      <c r="G17" s="212"/>
      <c r="H17" s="219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1.25" hidden="false" customHeight="true" outlineLevel="0" collapsed="false">
      <c r="B18" s="220" t="s">
        <v>111</v>
      </c>
      <c r="C18" s="194"/>
      <c r="D18" s="221" t="e">
        <f aca="false">SUM(D9:D17)</f>
        <v>#NAME?</v>
      </c>
      <c r="E18" s="222" t="e">
        <f aca="false">SUM(E9:E17)</f>
        <v>#NAME?</v>
      </c>
      <c r="F18" s="223" t="e">
        <f aca="false">SUM(F9:F17)</f>
        <v>#NAME?</v>
      </c>
      <c r="G18" s="212"/>
      <c r="H18" s="224"/>
      <c r="I18" s="225"/>
      <c r="J18" s="225"/>
      <c r="K18" s="22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3" hidden="false" customHeight="true" outlineLevel="0" collapsed="false">
      <c r="B19" s="218"/>
      <c r="C19" s="194"/>
      <c r="D19" s="211"/>
      <c r="E19" s="212"/>
      <c r="F19" s="213"/>
      <c r="G19" s="212"/>
      <c r="H19" s="219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53</v>
      </c>
      <c r="C20" s="210"/>
      <c r="D20" s="211" t="n">
        <f aca="false">2873</f>
        <v>2873</v>
      </c>
      <c r="E20" s="212" t="n">
        <v>1385</v>
      </c>
      <c r="F20" s="213" t="n">
        <f aca="false">E20-D20</f>
        <v>-1488</v>
      </c>
      <c r="G20" s="212"/>
      <c r="H20" s="214" t="s">
        <v>112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13.5" hidden="false" customHeight="true" outlineLevel="0" collapsed="false">
      <c r="B21" s="209" t="s">
        <v>54</v>
      </c>
      <c r="C21" s="210"/>
      <c r="D21" s="211" t="n">
        <f aca="false">2044+525</f>
        <v>2569</v>
      </c>
      <c r="E21" s="212" t="n">
        <v>1536</v>
      </c>
      <c r="F21" s="213" t="n">
        <f aca="false">E21-D21</f>
        <v>-1033</v>
      </c>
      <c r="G21" s="212"/>
      <c r="H21" s="214" t="s">
        <v>113</v>
      </c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3.5" hidden="false" customHeight="true" outlineLevel="0" collapsed="false">
      <c r="B22" s="209" t="s">
        <v>55</v>
      </c>
      <c r="C22" s="210"/>
      <c r="D22" s="211" t="n">
        <v>1056</v>
      </c>
      <c r="E22" s="212" t="n">
        <f aca="false">1601</f>
        <v>1601</v>
      </c>
      <c r="F22" s="213" t="n">
        <f aca="false">E22-D22</f>
        <v>545</v>
      </c>
      <c r="G22" s="212"/>
      <c r="H22" s="214" t="s">
        <v>114</v>
      </c>
      <c r="I22" s="215"/>
      <c r="J22" s="215"/>
      <c r="K22" s="21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18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1.25" hidden="false" customHeight="true" outlineLevel="0" collapsed="false">
      <c r="B24" s="220" t="s">
        <v>52</v>
      </c>
      <c r="C24" s="194"/>
      <c r="D24" s="221" t="n">
        <f aca="false">SUM(D20:D23)</f>
        <v>6498</v>
      </c>
      <c r="E24" s="222" t="n">
        <f aca="false">SUM(E20:E23)</f>
        <v>4522</v>
      </c>
      <c r="F24" s="223" t="n">
        <f aca="false">SUM(F20:F23)</f>
        <v>-1976</v>
      </c>
      <c r="G24" s="212"/>
      <c r="H24" s="224"/>
      <c r="I24" s="225"/>
      <c r="J24" s="225"/>
      <c r="K24" s="22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3" hidden="false" customHeight="true" outlineLevel="0" collapsed="false">
      <c r="B25" s="218"/>
      <c r="C25" s="194"/>
      <c r="D25" s="211"/>
      <c r="E25" s="212"/>
      <c r="F25" s="213"/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18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1.25" hidden="false" customHeight="true" outlineLevel="0" collapsed="false">
      <c r="B27" s="220" t="s">
        <v>8</v>
      </c>
      <c r="C27" s="194"/>
      <c r="D27" s="221" t="e">
        <f aca="false">+D18+D24</f>
        <v>#NAME?</v>
      </c>
      <c r="E27" s="222" t="e">
        <f aca="false">+E18+E24</f>
        <v>#NAME?</v>
      </c>
      <c r="F27" s="223" t="e">
        <f aca="false">+F18+F24</f>
        <v>#NAME?</v>
      </c>
      <c r="G27" s="212"/>
      <c r="H27" s="224"/>
      <c r="I27" s="225"/>
      <c r="J27" s="225"/>
      <c r="K27" s="226"/>
      <c r="L27" s="217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</row>
    <row r="28" customFormat="false" ht="3" hidden="false" customHeight="true" outlineLevel="0" collapsed="false">
      <c r="B28" s="218"/>
      <c r="C28" s="194"/>
      <c r="D28" s="211"/>
      <c r="E28" s="212"/>
      <c r="F28" s="213"/>
      <c r="G28" s="212"/>
      <c r="H28" s="219"/>
      <c r="I28" s="215"/>
      <c r="J28" s="215"/>
      <c r="K28" s="216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13.5" hidden="false" customHeight="true" outlineLevel="0" collapsed="false">
      <c r="B29" s="218" t="s">
        <v>29</v>
      </c>
      <c r="C29" s="194"/>
      <c r="D29" s="211" t="e">
        <f aca="false">26030+'CapChrg-AllocExp'!M29+1188-998.93+12.872+4103-1600</f>
        <v>#NAME?</v>
      </c>
      <c r="E29" s="212" t="n">
        <f aca="false">26030+1188-998.93+12.872+4103-1600</f>
        <v>28734.942</v>
      </c>
      <c r="F29" s="213" t="e">
        <f aca="false">E29-D29</f>
        <v>#NAME?</v>
      </c>
      <c r="G29" s="212"/>
      <c r="H29" s="214" t="s">
        <v>115</v>
      </c>
      <c r="I29" s="215"/>
      <c r="J29" s="215"/>
      <c r="K29" s="216"/>
      <c r="L29" s="217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</row>
    <row r="30" customFormat="false" ht="13.5" hidden="false" customHeight="true" outlineLevel="0" collapsed="false">
      <c r="B30" s="218" t="s">
        <v>30</v>
      </c>
      <c r="C30" s="194"/>
      <c r="D30" s="211" t="n">
        <v>0</v>
      </c>
      <c r="E30" s="212" t="n">
        <v>0</v>
      </c>
      <c r="F30" s="213" t="n">
        <f aca="false">E30-D30</f>
        <v>0</v>
      </c>
      <c r="G30" s="212"/>
      <c r="H30" s="219"/>
      <c r="I30" s="215"/>
      <c r="J30" s="215"/>
      <c r="K30" s="216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3" hidden="false" customHeight="true" outlineLevel="0" collapsed="false">
      <c r="B31" s="218"/>
      <c r="C31" s="194"/>
      <c r="D31" s="211"/>
      <c r="E31" s="212"/>
      <c r="F31" s="213"/>
      <c r="G31" s="212"/>
      <c r="H31" s="219"/>
      <c r="I31" s="215"/>
      <c r="J31" s="215"/>
      <c r="K31" s="216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3.5" hidden="false" customHeight="true" outlineLevel="0" collapsed="false">
      <c r="A32" s="194"/>
      <c r="B32" s="220" t="s">
        <v>8</v>
      </c>
      <c r="C32" s="194"/>
      <c r="D32" s="227" t="e">
        <f aca="false">SUM(D27:D30)</f>
        <v>#NAME?</v>
      </c>
      <c r="E32" s="228" t="e">
        <f aca="false">SUM(E27:E30)</f>
        <v>#NAME?</v>
      </c>
      <c r="F32" s="229" t="e">
        <f aca="false">SUM(F27:F30)</f>
        <v>#NAME?</v>
      </c>
      <c r="G32" s="212"/>
      <c r="H32" s="224"/>
      <c r="I32" s="225"/>
      <c r="J32" s="225"/>
      <c r="K32" s="226"/>
      <c r="L32" s="217"/>
    </row>
    <row r="33" customFormat="false" ht="3" hidden="false" customHeight="true" outlineLevel="0" collapsed="false">
      <c r="B33" s="230"/>
      <c r="C33" s="194"/>
      <c r="D33" s="231"/>
      <c r="E33" s="232"/>
      <c r="F33" s="233"/>
      <c r="G33" s="194"/>
      <c r="H33" s="231"/>
      <c r="I33" s="232"/>
      <c r="J33" s="232"/>
      <c r="K33" s="233"/>
      <c r="L33" s="217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</row>
    <row r="34" customFormat="false" ht="3" hidden="false" customHeight="true" outlineLevel="0" collapsed="false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</row>
    <row r="35" customFormat="false" ht="12.75" hidden="true" customHeight="false" outlineLevel="0" collapsed="false">
      <c r="B35" s="237"/>
      <c r="C35" s="217"/>
      <c r="D35" s="238" t="s">
        <v>116</v>
      </c>
      <c r="E35" s="238"/>
      <c r="F35" s="238"/>
      <c r="G35" s="217"/>
      <c r="H35" s="239"/>
      <c r="I35" s="240"/>
      <c r="J35" s="240"/>
      <c r="K35" s="241"/>
      <c r="L35" s="217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true" customHeight="false" outlineLevel="0" collapsed="false">
      <c r="B36" s="242" t="s">
        <v>13</v>
      </c>
      <c r="C36" s="217"/>
      <c r="D36" s="243" t="s">
        <v>7</v>
      </c>
      <c r="E36" s="244" t="s">
        <v>2</v>
      </c>
      <c r="F36" s="245" t="s">
        <v>44</v>
      </c>
      <c r="G36" s="217"/>
      <c r="H36" s="242" t="s">
        <v>106</v>
      </c>
      <c r="I36" s="242"/>
      <c r="J36" s="242"/>
      <c r="K36" s="242"/>
      <c r="L36" s="217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" hidden="true" customHeight="false" outlineLevel="0" collapsed="false">
      <c r="A37" s="194"/>
      <c r="B37" s="193"/>
      <c r="C37" s="194"/>
      <c r="D37" s="246" t="n">
        <v>0</v>
      </c>
      <c r="E37" s="247" t="n">
        <v>0</v>
      </c>
      <c r="F37" s="248" t="n">
        <f aca="false">E37-D37</f>
        <v>0</v>
      </c>
      <c r="G37" s="194"/>
      <c r="H37" s="196"/>
      <c r="I37" s="197"/>
      <c r="J37" s="197"/>
      <c r="K37" s="198"/>
    </row>
    <row r="38" customFormat="false" ht="12" hidden="true" customHeight="false" outlineLevel="0" collapsed="false">
      <c r="A38" s="194"/>
      <c r="B38" s="218"/>
      <c r="C38" s="194"/>
      <c r="D38" s="211" t="n">
        <v>0</v>
      </c>
      <c r="E38" s="212" t="n">
        <v>0</v>
      </c>
      <c r="F38" s="213" t="n">
        <f aca="false">E38-D38</f>
        <v>0</v>
      </c>
      <c r="G38" s="194"/>
      <c r="H38" s="219"/>
      <c r="I38" s="215"/>
      <c r="J38" s="215"/>
      <c r="K38" s="216"/>
    </row>
    <row r="39" customFormat="false" ht="12" hidden="true" customHeight="false" outlineLevel="0" collapsed="false">
      <c r="A39" s="194"/>
      <c r="B39" s="230"/>
      <c r="C39" s="194"/>
      <c r="D39" s="249" t="n">
        <v>0</v>
      </c>
      <c r="E39" s="250" t="n">
        <v>0</v>
      </c>
      <c r="F39" s="251" t="n">
        <f aca="false">E39-D39</f>
        <v>0</v>
      </c>
      <c r="G39" s="194"/>
      <c r="H39" s="231"/>
      <c r="I39" s="232"/>
      <c r="J39" s="232"/>
      <c r="K39" s="233"/>
    </row>
    <row r="40" customFormat="false" ht="12.75" hidden="false" customHeight="false" outlineLevel="0" collapsed="false">
      <c r="D40" s="252"/>
      <c r="E40" s="252"/>
      <c r="F40" s="208"/>
      <c r="G40" s="208"/>
      <c r="H40" s="208"/>
      <c r="I40" s="208"/>
      <c r="J40" s="208"/>
      <c r="K40" s="208"/>
      <c r="L40" s="208"/>
      <c r="M40" s="208" t="s">
        <v>34</v>
      </c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52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52"/>
      <c r="E42" s="208"/>
      <c r="F42" s="253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52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D53" s="208"/>
      <c r="E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D54" s="208"/>
      <c r="E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D55" s="208"/>
      <c r="E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D56" s="208"/>
      <c r="E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</row>
  </sheetData>
  <mergeCells count="7">
    <mergeCell ref="B2:K2"/>
    <mergeCell ref="B3:K3"/>
    <mergeCell ref="B4:K4"/>
    <mergeCell ref="D6:F6"/>
    <mergeCell ref="H7:K7"/>
    <mergeCell ref="D35:F35"/>
    <mergeCell ref="H36:K3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117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December 14, 2000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105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13</v>
      </c>
      <c r="B7" s="194"/>
      <c r="C7" s="200" t="s">
        <v>7</v>
      </c>
      <c r="D7" s="201" t="s">
        <v>2</v>
      </c>
      <c r="E7" s="202" t="s">
        <v>44</v>
      </c>
      <c r="F7" s="194"/>
      <c r="G7" s="203" t="s">
        <v>106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18" t="s">
        <v>20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18" t="s">
        <v>21</v>
      </c>
      <c r="B10" s="194"/>
      <c r="C10" s="211" t="n">
        <f aca="false">+Expenses!D10-[1]Expenses!D10</f>
        <v>0</v>
      </c>
      <c r="D10" s="212" t="e">
        <f aca="false">+Expenses!E10-[1]Expenses!E10</f>
        <v>#NAME?</v>
      </c>
      <c r="E10" s="213" t="e">
        <f aca="false">D10-C10</f>
        <v>#NAME?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18" t="s">
        <v>22</v>
      </c>
      <c r="B11" s="194"/>
      <c r="C11" s="211" t="e">
        <f aca="false">+Expenses!D11-[1]Expenses!D11</f>
        <v>#NAME?</v>
      </c>
      <c r="D11" s="212" t="e">
        <f aca="false">+Expenses!E11-[1]Expenses!E11</f>
        <v>#NAME?</v>
      </c>
      <c r="E11" s="213" t="e">
        <f aca="false">D11-C11</f>
        <v>#NAME?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18" t="s">
        <v>23</v>
      </c>
      <c r="B12" s="194"/>
      <c r="C12" s="211" t="e">
        <f aca="false">+Expenses!D12-[1]Expenses!D12</f>
        <v>#NAME?</v>
      </c>
      <c r="D12" s="212" t="e">
        <f aca="false">+Expenses!E12-[1]Expenses!E12</f>
        <v>#NAME?</v>
      </c>
      <c r="E12" s="213" t="e">
        <f aca="false">D12-C12</f>
        <v>#NAME?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18" t="s">
        <v>24</v>
      </c>
      <c r="B13" s="194"/>
      <c r="C13" s="211" t="e">
        <f aca="false">+Expenses!D13-[1]Expenses!D13</f>
        <v>#NAME?</v>
      </c>
      <c r="D13" s="212" t="e">
        <f aca="false">+Expenses!E13-[1]Expenses!E13</f>
        <v>#NAME?</v>
      </c>
      <c r="E13" s="213" t="e">
        <f aca="false">D13-C13</f>
        <v>#NAME?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25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51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27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3" hidden="false" customHeight="true" outlineLevel="0" collapsed="false">
      <c r="A17" s="218"/>
      <c r="B17" s="194"/>
      <c r="C17" s="211"/>
      <c r="D17" s="212"/>
      <c r="E17" s="213"/>
      <c r="F17" s="212"/>
      <c r="G17" s="219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1.25" hidden="false" customHeight="true" outlineLevel="0" collapsed="false">
      <c r="A18" s="254" t="s">
        <v>111</v>
      </c>
      <c r="B18" s="194"/>
      <c r="C18" s="227" t="e">
        <f aca="false">SUM(C9:C17)</f>
        <v>#NAME?</v>
      </c>
      <c r="D18" s="228" t="e">
        <f aca="false">SUM(D9:D17)</f>
        <v>#NAME?</v>
      </c>
      <c r="E18" s="229" t="e">
        <f aca="false">SUM(E9:E17)</f>
        <v>#NAME?</v>
      </c>
      <c r="F18" s="212"/>
      <c r="G18" s="219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3" hidden="false" customHeight="true" outlineLevel="0" collapsed="false">
      <c r="A19" s="218"/>
      <c r="B19" s="194"/>
      <c r="C19" s="211"/>
      <c r="D19" s="212"/>
      <c r="E19" s="213"/>
      <c r="F19" s="212"/>
      <c r="G19" s="219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18" t="s">
        <v>53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13.5" hidden="false" customHeight="true" outlineLevel="0" collapsed="false">
      <c r="A21" s="218" t="s">
        <v>54</v>
      </c>
      <c r="B21" s="194"/>
      <c r="C21" s="211" t="n">
        <f aca="false">+Expenses!D21-[1]Expenses!D21</f>
        <v>0</v>
      </c>
      <c r="D21" s="212" t="n">
        <f aca="false">+Expenses!E21-[1]Expenses!E21</f>
        <v>0</v>
      </c>
      <c r="E21" s="213" t="n">
        <f aca="false">D21-C21</f>
        <v>0</v>
      </c>
      <c r="F21" s="212"/>
      <c r="G21" s="214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3.5" hidden="false" customHeight="true" outlineLevel="0" collapsed="false">
      <c r="A22" s="218" t="s">
        <v>55</v>
      </c>
      <c r="B22" s="194"/>
      <c r="C22" s="211" t="n">
        <f aca="false">+Expenses!D22-[1]Expenses!D22</f>
        <v>0</v>
      </c>
      <c r="D22" s="212" t="n">
        <f aca="false">+Expenses!E22-[1]Expenses!E22</f>
        <v>0</v>
      </c>
      <c r="E22" s="213" t="n">
        <f aca="false">D22-C22</f>
        <v>0</v>
      </c>
      <c r="F22" s="212"/>
      <c r="G22" s="214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18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1.25" hidden="false" customHeight="true" outlineLevel="0" collapsed="false">
      <c r="A24" s="254" t="s">
        <v>52</v>
      </c>
      <c r="B24" s="194"/>
      <c r="C24" s="227" t="n">
        <f aca="false">SUM(C20:C23)</f>
        <v>0</v>
      </c>
      <c r="D24" s="228" t="n">
        <f aca="false">SUM(D20:D23)</f>
        <v>0</v>
      </c>
      <c r="E24" s="229" t="n">
        <f aca="false">SUM(E20:E23)</f>
        <v>0</v>
      </c>
      <c r="F24" s="212"/>
      <c r="G24" s="219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3" hidden="false" customHeight="true" outlineLevel="0" collapsed="false">
      <c r="A25" s="218"/>
      <c r="B25" s="194"/>
      <c r="C25" s="211"/>
      <c r="D25" s="212"/>
      <c r="E25" s="213"/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18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8</v>
      </c>
      <c r="B27" s="194"/>
      <c r="C27" s="227" t="e">
        <f aca="false">+C18+C24</f>
        <v>#NAME?</v>
      </c>
      <c r="D27" s="228" t="e">
        <f aca="false">+D18+D24</f>
        <v>#NAME?</v>
      </c>
      <c r="E27" s="229" t="e">
        <f aca="false">+E18+E24</f>
        <v>#NAME?</v>
      </c>
      <c r="F27" s="212"/>
      <c r="G27" s="219"/>
      <c r="H27" s="215"/>
      <c r="I27" s="215"/>
      <c r="J27" s="216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</row>
    <row r="28" customFormat="false" ht="3" hidden="false" customHeight="true" outlineLevel="0" collapsed="false">
      <c r="A28" s="218"/>
      <c r="B28" s="194"/>
      <c r="C28" s="211"/>
      <c r="D28" s="212"/>
      <c r="E28" s="213"/>
      <c r="F28" s="212"/>
      <c r="G28" s="219"/>
      <c r="H28" s="215"/>
      <c r="I28" s="215"/>
      <c r="J28" s="216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13.5" hidden="false" customHeight="true" outlineLevel="0" collapsed="false">
      <c r="A29" s="218" t="s">
        <v>29</v>
      </c>
      <c r="B29" s="194"/>
      <c r="C29" s="211" t="e">
        <f aca="false">+Expenses!D29-[1]Expenses!D29</f>
        <v>#NAME?</v>
      </c>
      <c r="D29" s="212" t="n">
        <f aca="false">+Expenses!E29-[1]Expenses!E29</f>
        <v>-1600</v>
      </c>
      <c r="E29" s="213" t="e">
        <f aca="false">D29-C29</f>
        <v>#NAME?</v>
      </c>
      <c r="F29" s="212"/>
      <c r="G29" s="214"/>
      <c r="H29" s="215"/>
      <c r="I29" s="215"/>
      <c r="J29" s="216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</row>
    <row r="30" customFormat="false" ht="13.5" hidden="false" customHeight="true" outlineLevel="0" collapsed="false">
      <c r="A30" s="218" t="s">
        <v>30</v>
      </c>
      <c r="B30" s="194"/>
      <c r="C30" s="211" t="n">
        <f aca="false">+Expenses!D30-[1]Expenses!D30</f>
        <v>0</v>
      </c>
      <c r="D30" s="212" t="n">
        <f aca="false">+Expenses!E30-[1]Expenses!E30</f>
        <v>0</v>
      </c>
      <c r="E30" s="213" t="n">
        <f aca="false">D30-C30</f>
        <v>0</v>
      </c>
      <c r="F30" s="212"/>
      <c r="G30" s="219"/>
      <c r="H30" s="215"/>
      <c r="I30" s="215"/>
      <c r="J30" s="216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</row>
    <row r="31" customFormat="false" ht="3" hidden="false" customHeight="true" outlineLevel="0" collapsed="false">
      <c r="A31" s="218"/>
      <c r="B31" s="194"/>
      <c r="C31" s="211"/>
      <c r="D31" s="212"/>
      <c r="E31" s="213"/>
      <c r="F31" s="212"/>
      <c r="G31" s="219"/>
      <c r="H31" s="215"/>
      <c r="I31" s="215"/>
      <c r="J31" s="216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</row>
    <row r="32" customFormat="false" ht="11.25" hidden="false" customHeight="true" outlineLevel="0" collapsed="false">
      <c r="A32" s="220" t="s">
        <v>8</v>
      </c>
      <c r="B32" s="194"/>
      <c r="C32" s="227" t="e">
        <f aca="false">SUM(C27:C30)</f>
        <v>#NAME?</v>
      </c>
      <c r="D32" s="228" t="e">
        <f aca="false">SUM(D27:D30)</f>
        <v>#NAME?</v>
      </c>
      <c r="E32" s="229" t="e">
        <f aca="false">SUM(E27:E30)</f>
        <v>#NAME?</v>
      </c>
      <c r="F32" s="212"/>
      <c r="G32" s="224"/>
      <c r="H32" s="225"/>
      <c r="I32" s="225"/>
      <c r="J32" s="226"/>
    </row>
    <row r="33" customFormat="false" ht="3" hidden="false" customHeight="true" outlineLevel="0" collapsed="false">
      <c r="A33" s="255"/>
      <c r="B33" s="217"/>
      <c r="C33" s="256"/>
      <c r="D33" s="257"/>
      <c r="E33" s="258"/>
      <c r="F33" s="217"/>
      <c r="G33" s="256"/>
      <c r="H33" s="257"/>
      <c r="I33" s="257"/>
      <c r="J33" s="25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 customFormat="false" ht="3" hidden="false" customHeight="true" outlineLevel="0" collapsed="false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</row>
    <row r="35" customFormat="false" ht="12" hidden="true" customHeight="false" outlineLevel="0" collapsed="false">
      <c r="A35" s="193"/>
      <c r="B35" s="194"/>
      <c r="C35" s="195" t="s">
        <v>116</v>
      </c>
      <c r="D35" s="195"/>
      <c r="E35" s="195"/>
      <c r="F35" s="194"/>
      <c r="G35" s="196"/>
      <c r="H35" s="197"/>
      <c r="I35" s="197"/>
      <c r="J35" s="198"/>
    </row>
    <row r="36" customFormat="false" ht="12" hidden="true" customHeight="false" outlineLevel="0" collapsed="false">
      <c r="A36" s="203" t="s">
        <v>13</v>
      </c>
      <c r="B36" s="194"/>
      <c r="C36" s="200" t="s">
        <v>7</v>
      </c>
      <c r="D36" s="201" t="s">
        <v>2</v>
      </c>
      <c r="E36" s="202" t="s">
        <v>44</v>
      </c>
      <c r="F36" s="194"/>
      <c r="G36" s="203" t="s">
        <v>106</v>
      </c>
      <c r="H36" s="203"/>
      <c r="I36" s="203"/>
      <c r="J36" s="203"/>
    </row>
    <row r="37" customFormat="false" ht="12" hidden="true" customHeight="false" outlineLevel="0" collapsed="false">
      <c r="A37" s="193"/>
      <c r="B37" s="194"/>
      <c r="C37" s="211" t="e">
        <f aca="false">Expenses!D37-[1]Expenses!D35</f>
        <v>#VALUE!</v>
      </c>
      <c r="D37" s="212" t="n">
        <f aca="false">Expenses!E37-[1]Expenses!E35</f>
        <v>0</v>
      </c>
      <c r="E37" s="213" t="e">
        <f aca="false">D37-C37</f>
        <v>#VALUE!</v>
      </c>
      <c r="F37" s="194"/>
      <c r="G37" s="196"/>
      <c r="H37" s="197"/>
      <c r="I37" s="197"/>
      <c r="J37" s="198"/>
    </row>
    <row r="38" customFormat="false" ht="12" hidden="true" customHeight="false" outlineLevel="0" collapsed="false">
      <c r="A38" s="218"/>
      <c r="B38" s="194"/>
      <c r="C38" s="211" t="e">
        <f aca="false">Expenses!D38-[1]Expenses!D36</f>
        <v>#VALUE!</v>
      </c>
      <c r="D38" s="212" t="e">
        <f aca="false">Expenses!E38-[1]Expenses!E36</f>
        <v>#VALUE!</v>
      </c>
      <c r="E38" s="213" t="e">
        <f aca="false">D38-C38</f>
        <v>#VALUE!</v>
      </c>
      <c r="F38" s="194"/>
      <c r="G38" s="219"/>
      <c r="H38" s="215"/>
      <c r="I38" s="215"/>
      <c r="J38" s="216"/>
    </row>
    <row r="39" customFormat="false" ht="12" hidden="true" customHeight="false" outlineLevel="0" collapsed="false">
      <c r="A39" s="230"/>
      <c r="B39" s="194"/>
      <c r="C39" s="249" t="n">
        <f aca="false">Expenses!D39-[1]Expenses!D37</f>
        <v>0</v>
      </c>
      <c r="D39" s="250" t="n">
        <f aca="false">Expenses!E39-[1]Expenses!E37</f>
        <v>0</v>
      </c>
      <c r="E39" s="251" t="n">
        <f aca="false">D39-C39</f>
        <v>0</v>
      </c>
      <c r="F39" s="194"/>
      <c r="G39" s="231"/>
      <c r="H39" s="232"/>
      <c r="I39" s="232"/>
      <c r="J39" s="233"/>
    </row>
    <row r="40" customFormat="false" ht="12.75" hidden="false" customHeight="false" outlineLevel="0" collapsed="false">
      <c r="A40" s="217"/>
      <c r="B40" s="217"/>
      <c r="C40" s="259"/>
      <c r="D40" s="259"/>
      <c r="E40" s="217"/>
      <c r="F40" s="217"/>
      <c r="G40" s="217"/>
      <c r="H40" s="217"/>
      <c r="I40" s="217"/>
      <c r="J40" s="217"/>
      <c r="K40" s="208"/>
      <c r="L40" s="208" t="s">
        <v>34</v>
      </c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53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5.75" hidden="false" customHeight="false" outlineLevel="0" collapsed="false">
      <c r="C43" s="167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C53" s="208"/>
      <c r="D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C54" s="208"/>
      <c r="D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C55" s="208"/>
      <c r="D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C56" s="208"/>
      <c r="D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  <row r="131" customFormat="false" ht="12.75" hidden="false" customHeight="false" outlineLevel="0" collapsed="false"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</row>
    <row r="132" customFormat="false" ht="12.75" hidden="false" customHeight="false" outlineLevel="0" collapsed="false"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</row>
    <row r="133" customFormat="false" ht="12.75" hidden="false" customHeight="false" outlineLevel="0" collapsed="false"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</row>
    <row r="134" customFormat="false" ht="12.75" hidden="false" customHeight="false" outlineLevel="0" collapsed="false"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</row>
    <row r="135" customFormat="false" ht="12.75" hidden="false" customHeight="false" outlineLevel="0" collapsed="false"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90</v>
      </c>
    </row>
    <row r="2" customFormat="false" ht="15.75" hidden="false" customHeight="false" outlineLevel="0" collapsed="false">
      <c r="A2" s="188" t="s">
        <v>118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103</v>
      </c>
    </row>
    <row r="3" customFormat="false" ht="15" hidden="false" customHeight="false" outlineLevel="0" collapsed="false">
      <c r="A3" s="188" t="s">
        <v>119</v>
      </c>
      <c r="B3" s="191" t="s">
        <v>120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December 14, 2000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93</v>
      </c>
    </row>
    <row r="6" customFormat="false" ht="12.75" hidden="false" customHeight="false" outlineLevel="0" collapsed="false">
      <c r="A6" s="188" t="s">
        <v>94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18"/>
      <c r="C7" s="194"/>
      <c r="D7" s="203" t="s">
        <v>121</v>
      </c>
      <c r="E7" s="203"/>
      <c r="F7" s="203"/>
      <c r="G7" s="203"/>
      <c r="H7" s="203"/>
      <c r="I7" s="203"/>
      <c r="J7" s="194"/>
      <c r="K7" s="203" t="s">
        <v>122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13</v>
      </c>
      <c r="C8" s="194"/>
      <c r="D8" s="260" t="s">
        <v>7</v>
      </c>
      <c r="E8" s="261" t="s">
        <v>2</v>
      </c>
      <c r="F8" s="262" t="s">
        <v>44</v>
      </c>
      <c r="G8" s="263" t="s">
        <v>123</v>
      </c>
      <c r="H8" s="263"/>
      <c r="I8" s="263"/>
      <c r="J8" s="194"/>
      <c r="K8" s="200" t="s">
        <v>7</v>
      </c>
      <c r="L8" s="201" t="s">
        <v>2</v>
      </c>
      <c r="M8" s="202" t="s">
        <v>44</v>
      </c>
      <c r="N8" s="195" t="s">
        <v>123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20</v>
      </c>
      <c r="C10" s="210"/>
      <c r="D10" s="211" t="n">
        <v>0</v>
      </c>
      <c r="E10" s="212" t="n">
        <v>0</v>
      </c>
      <c r="F10" s="264" t="n">
        <f aca="false">E10-D10</f>
        <v>0</v>
      </c>
      <c r="G10" s="265"/>
      <c r="H10" s="265"/>
      <c r="I10" s="266"/>
      <c r="J10" s="210"/>
      <c r="K10" s="211" t="n">
        <f aca="false">L10+600</f>
        <v>8446</v>
      </c>
      <c r="L10" s="212" t="n">
        <v>7846</v>
      </c>
      <c r="M10" s="264" t="n">
        <f aca="false">L10-K10</f>
        <v>-600</v>
      </c>
      <c r="N10" s="236" t="s">
        <v>124</v>
      </c>
      <c r="O10" s="215"/>
      <c r="P10" s="267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95</v>
      </c>
      <c r="B11" s="218" t="s">
        <v>21</v>
      </c>
      <c r="C11" s="194"/>
      <c r="D11" s="211" t="n">
        <v>658</v>
      </c>
      <c r="E11" s="212" t="e">
        <f aca="false">ROUND(HPVAL($A11,$A$1,$A$2,$A$4,$A$5,$A$6)/1000,1)</f>
        <v>#NAME?</v>
      </c>
      <c r="F11" s="264" t="e">
        <f aca="false">E11-D11</f>
        <v>#NAME?</v>
      </c>
      <c r="G11" s="215"/>
      <c r="H11" s="215"/>
      <c r="I11" s="216"/>
      <c r="J11" s="194"/>
      <c r="K11" s="211" t="e">
        <f aca="false">L11</f>
        <v>#NAME?</v>
      </c>
      <c r="L11" s="212" t="e">
        <f aca="false">ROUND(HPVAL($A11,$A$1,$A$3,$A$4,$A$5,$A$6)/1000,1)</f>
        <v>#NAME?</v>
      </c>
      <c r="M11" s="264" t="e">
        <f aca="false">ROUND(L11-K11,0)</f>
        <v>#NAME?</v>
      </c>
      <c r="N11" s="215"/>
      <c r="O11" s="215"/>
      <c r="P11" s="267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96</v>
      </c>
      <c r="B12" s="218" t="s">
        <v>22</v>
      </c>
      <c r="C12" s="194"/>
      <c r="D12" s="211" t="e">
        <f aca="false">E12</f>
        <v>#NAME?</v>
      </c>
      <c r="E12" s="212" t="e">
        <f aca="false">ROUND(HPVAL($A12,$A$1,$A$2,$A$4,$A$5,$A$6)/1000,0)</f>
        <v>#NAME?</v>
      </c>
      <c r="F12" s="264" t="e">
        <f aca="false">E12-D12</f>
        <v>#NAME?</v>
      </c>
      <c r="G12" s="215"/>
      <c r="H12" s="215"/>
      <c r="I12" s="216"/>
      <c r="J12" s="194"/>
      <c r="K12" s="211" t="e">
        <f aca="false">L12</f>
        <v>#NAME?</v>
      </c>
      <c r="L12" s="212" t="e">
        <f aca="false">ROUND(HPVAL($A12,$A$1,$A$3,$A$4,$A$5,$A$6)/1000,1)</f>
        <v>#NAME?</v>
      </c>
      <c r="M12" s="264" t="e">
        <f aca="false">ROUND(L12-K12,0)</f>
        <v>#NAME?</v>
      </c>
      <c r="N12" s="215"/>
      <c r="O12" s="215"/>
      <c r="P12" s="267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97</v>
      </c>
      <c r="B13" s="218" t="s">
        <v>23</v>
      </c>
      <c r="C13" s="194"/>
      <c r="D13" s="211" t="e">
        <f aca="false">E13</f>
        <v>#NAME?</v>
      </c>
      <c r="E13" s="212" t="e">
        <f aca="false">ROUND(HPVAL($A13,$A$1,$A$2,$A$4,$A$5,$A$6)/1000,0)</f>
        <v>#NAME?</v>
      </c>
      <c r="F13" s="264" t="e">
        <f aca="false">E13-D13</f>
        <v>#NAME?</v>
      </c>
      <c r="G13" s="215"/>
      <c r="H13" s="215"/>
      <c r="I13" s="216"/>
      <c r="J13" s="194"/>
      <c r="K13" s="211" t="e">
        <f aca="false">L13</f>
        <v>#NAME?</v>
      </c>
      <c r="L13" s="212" t="e">
        <f aca="false">ROUND(HPVAL($A13,$A$1,$A$3,$A$4,$A$5,$A$6)/1000,1)</f>
        <v>#NAME?</v>
      </c>
      <c r="M13" s="264" t="e">
        <f aca="false">ROUND(L13-K13,0)</f>
        <v>#NAME?</v>
      </c>
      <c r="N13" s="215"/>
      <c r="O13" s="215"/>
      <c r="P13" s="267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98</v>
      </c>
      <c r="B14" s="218" t="s">
        <v>24</v>
      </c>
      <c r="C14" s="194"/>
      <c r="D14" s="211" t="n">
        <v>0</v>
      </c>
      <c r="E14" s="212" t="e">
        <f aca="false">ROUND(HPVAL($A14,$A$1,$A$2,$A$4,$A$5,$A$6)/1000,0)</f>
        <v>#NAME?</v>
      </c>
      <c r="F14" s="264" t="e">
        <f aca="false">E14-D14</f>
        <v>#NAME?</v>
      </c>
      <c r="G14" s="215"/>
      <c r="H14" s="215"/>
      <c r="I14" s="216"/>
      <c r="J14" s="194"/>
      <c r="K14" s="211" t="e">
        <f aca="false">L14</f>
        <v>#NAME?</v>
      </c>
      <c r="L14" s="212" t="e">
        <f aca="false">ROUND(HPVAL($A14,$A$1,$A$3,$A$4,$A$5,$A$6)/1000,1)</f>
        <v>#NAME?</v>
      </c>
      <c r="M14" s="264" t="e">
        <f aca="false">ROUND(L14-K14,0)</f>
        <v>#NAME?</v>
      </c>
      <c r="N14" s="215"/>
      <c r="O14" s="215"/>
      <c r="P14" s="267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99</v>
      </c>
      <c r="B15" s="209" t="s">
        <v>25</v>
      </c>
      <c r="C15" s="210"/>
      <c r="D15" s="211" t="e">
        <f aca="false">E15</f>
        <v>#NAME?</v>
      </c>
      <c r="E15" s="212" t="e">
        <f aca="false">ROUND(HPVAL($A15,$A$1,$A$2,$A$4,$A$5,$A$6)/1000,0)</f>
        <v>#NAME?</v>
      </c>
      <c r="F15" s="264" t="e">
        <f aca="false">E15-D15</f>
        <v>#NAME?</v>
      </c>
      <c r="G15" s="265"/>
      <c r="H15" s="265"/>
      <c r="I15" s="266"/>
      <c r="J15" s="210"/>
      <c r="K15" s="211" t="n">
        <f aca="false">L15</f>
        <v>911.015</v>
      </c>
      <c r="L15" s="212" t="n">
        <f aca="false">2090.152-193.079-998.93+12.872</f>
        <v>911.015</v>
      </c>
      <c r="M15" s="264" t="n">
        <f aca="false">ROUND(L15-K15,0)</f>
        <v>0</v>
      </c>
      <c r="N15" s="215"/>
      <c r="O15" s="215"/>
      <c r="P15" s="267"/>
      <c r="Q15" s="208"/>
      <c r="R15" s="208"/>
      <c r="S15" s="208"/>
      <c r="T15" s="208"/>
    </row>
    <row r="16" customFormat="false" ht="13.5" hidden="false" customHeight="true" outlineLevel="0" collapsed="false">
      <c r="B16" s="209" t="s">
        <v>51</v>
      </c>
      <c r="C16" s="210"/>
      <c r="D16" s="211" t="n">
        <v>0</v>
      </c>
      <c r="E16" s="212" t="n">
        <v>0</v>
      </c>
      <c r="F16" s="264" t="n">
        <f aca="false">E16-D16</f>
        <v>0</v>
      </c>
      <c r="G16" s="265"/>
      <c r="H16" s="265"/>
      <c r="I16" s="266"/>
      <c r="J16" s="210"/>
      <c r="K16" s="211" t="n">
        <v>0</v>
      </c>
      <c r="L16" s="212" t="n">
        <v>0</v>
      </c>
      <c r="M16" s="264" t="n">
        <f aca="false">L16-K16</f>
        <v>0</v>
      </c>
      <c r="N16" s="215"/>
      <c r="O16" s="215"/>
      <c r="P16" s="267"/>
      <c r="Q16" s="208"/>
      <c r="R16" s="208"/>
      <c r="S16" s="208"/>
      <c r="T16" s="208"/>
    </row>
    <row r="17" customFormat="false" ht="11.25" hidden="false" customHeight="true" outlineLevel="0" collapsed="false">
      <c r="B17" s="254" t="s">
        <v>111</v>
      </c>
      <c r="C17" s="194"/>
      <c r="D17" s="221" t="e">
        <f aca="false">SUM(D10:D16)</f>
        <v>#NAME?</v>
      </c>
      <c r="E17" s="222" t="e">
        <f aca="false">SUM(E10:E16)</f>
        <v>#NAME?</v>
      </c>
      <c r="F17" s="222" t="e">
        <f aca="false">SUM(F10:F16)</f>
        <v>#NAME?</v>
      </c>
      <c r="G17" s="225"/>
      <c r="H17" s="225"/>
      <c r="I17" s="226"/>
      <c r="J17" s="194"/>
      <c r="K17" s="221" t="e">
        <f aca="false">SUM(K10:K16)</f>
        <v>#NAME?</v>
      </c>
      <c r="L17" s="222" t="e">
        <f aca="false">SUM(L10:L16)</f>
        <v>#NAME?</v>
      </c>
      <c r="M17" s="222" t="e">
        <f aca="false">SUM(M10:M16)</f>
        <v>#NAME?</v>
      </c>
      <c r="N17" s="225"/>
      <c r="O17" s="225"/>
      <c r="P17" s="268"/>
      <c r="Q17" s="208"/>
      <c r="R17" s="208"/>
      <c r="S17" s="208"/>
      <c r="T17" s="208"/>
    </row>
    <row r="18" customFormat="false" ht="13.5" hidden="false" customHeight="true" outlineLevel="0" collapsed="false">
      <c r="B18" s="209" t="s">
        <v>53</v>
      </c>
      <c r="C18" s="210"/>
      <c r="D18" s="211" t="n">
        <f aca="false">-97</f>
        <v>-97</v>
      </c>
      <c r="E18" s="212" t="n">
        <f aca="false">-10-5</f>
        <v>-15</v>
      </c>
      <c r="F18" s="264" t="n">
        <f aca="false">E18-D18</f>
        <v>82</v>
      </c>
      <c r="G18" s="265"/>
      <c r="H18" s="265"/>
      <c r="I18" s="266"/>
      <c r="J18" s="210"/>
      <c r="K18" s="211" t="n">
        <v>0</v>
      </c>
      <c r="L18" s="212" t="n">
        <v>0</v>
      </c>
      <c r="M18" s="264" t="n">
        <f aca="false">L18-K18</f>
        <v>0</v>
      </c>
      <c r="N18" s="215"/>
      <c r="O18" s="215"/>
      <c r="P18" s="267"/>
      <c r="Q18" s="208"/>
      <c r="R18" s="208"/>
      <c r="S18" s="208"/>
      <c r="T18" s="208"/>
    </row>
    <row r="19" customFormat="false" ht="13.5" hidden="false" customHeight="true" outlineLevel="0" collapsed="false">
      <c r="B19" s="209" t="s">
        <v>54</v>
      </c>
      <c r="C19" s="210"/>
      <c r="D19" s="211" t="n">
        <f aca="false">+E19</f>
        <v>652</v>
      </c>
      <c r="E19" s="212" t="n">
        <v>652</v>
      </c>
      <c r="F19" s="264" t="n">
        <f aca="false">E19-D19</f>
        <v>0</v>
      </c>
      <c r="G19" s="265"/>
      <c r="H19" s="265"/>
      <c r="I19" s="266"/>
      <c r="J19" s="210"/>
      <c r="K19" s="211" t="n">
        <v>0</v>
      </c>
      <c r="L19" s="212" t="n">
        <v>0</v>
      </c>
      <c r="M19" s="264" t="n">
        <f aca="false">L19-K19</f>
        <v>0</v>
      </c>
      <c r="N19" s="215"/>
      <c r="O19" s="215"/>
      <c r="P19" s="267"/>
      <c r="Q19" s="208"/>
      <c r="R19" s="208"/>
      <c r="S19" s="208"/>
      <c r="T19" s="208"/>
    </row>
    <row r="20" customFormat="false" ht="13.5" hidden="false" customHeight="true" outlineLevel="0" collapsed="false">
      <c r="B20" s="209" t="s">
        <v>55</v>
      </c>
      <c r="C20" s="210"/>
      <c r="D20" s="211" t="n">
        <v>0</v>
      </c>
      <c r="E20" s="212" t="n">
        <v>545</v>
      </c>
      <c r="F20" s="264" t="n">
        <f aca="false">E20-D20</f>
        <v>545</v>
      </c>
      <c r="G20" s="265"/>
      <c r="H20" s="265"/>
      <c r="I20" s="266"/>
      <c r="J20" s="210"/>
      <c r="K20" s="211" t="n">
        <v>0</v>
      </c>
      <c r="L20" s="212" t="n">
        <v>0</v>
      </c>
      <c r="M20" s="264" t="n">
        <f aca="false">L20-K20</f>
        <v>0</v>
      </c>
      <c r="N20" s="215"/>
      <c r="O20" s="215"/>
      <c r="P20" s="267"/>
      <c r="Q20" s="208"/>
      <c r="R20" s="208"/>
      <c r="S20" s="208"/>
      <c r="T20" s="208"/>
    </row>
    <row r="21" customFormat="false" ht="3" hidden="false" customHeight="true" outlineLevel="0" collapsed="false">
      <c r="B21" s="218"/>
      <c r="C21" s="194"/>
      <c r="D21" s="211"/>
      <c r="E21" s="212"/>
      <c r="F21" s="264"/>
      <c r="G21" s="215"/>
      <c r="H21" s="215"/>
      <c r="I21" s="216"/>
      <c r="J21" s="194"/>
      <c r="K21" s="211"/>
      <c r="L21" s="212"/>
      <c r="M21" s="264"/>
      <c r="N21" s="215"/>
      <c r="O21" s="215"/>
      <c r="P21" s="267"/>
      <c r="Q21" s="208"/>
      <c r="R21" s="208"/>
      <c r="S21" s="208"/>
      <c r="T21" s="208"/>
    </row>
    <row r="22" customFormat="false" ht="11.25" hidden="false" customHeight="true" outlineLevel="0" collapsed="false">
      <c r="B22" s="254" t="s">
        <v>52</v>
      </c>
      <c r="C22" s="194"/>
      <c r="D22" s="221" t="n">
        <f aca="false">SUM(D18:D21)</f>
        <v>555</v>
      </c>
      <c r="E22" s="222" t="n">
        <f aca="false">SUM(E18:E21)</f>
        <v>1182</v>
      </c>
      <c r="F22" s="222" t="n">
        <f aca="false">SUM(F18:F21)</f>
        <v>627</v>
      </c>
      <c r="G22" s="225"/>
      <c r="H22" s="225"/>
      <c r="I22" s="226"/>
      <c r="J22" s="194"/>
      <c r="K22" s="221" t="e">
        <f aca="false">SUM(K17:K20)</f>
        <v>#NAME?</v>
      </c>
      <c r="L22" s="222" t="e">
        <f aca="false">SUM(L17:L20)</f>
        <v>#NAME?</v>
      </c>
      <c r="M22" s="222" t="e">
        <f aca="false">SUM(M17:M20)</f>
        <v>#NAME?</v>
      </c>
      <c r="N22" s="225"/>
      <c r="O22" s="225"/>
      <c r="P22" s="268"/>
      <c r="Q22" s="208"/>
      <c r="R22" s="208"/>
      <c r="S22" s="208"/>
      <c r="T22" s="208"/>
    </row>
    <row r="23" customFormat="false" ht="3" hidden="false" customHeight="true" outlineLevel="0" collapsed="false">
      <c r="B23" s="218"/>
      <c r="C23" s="194"/>
      <c r="D23" s="211"/>
      <c r="E23" s="212"/>
      <c r="F23" s="264"/>
      <c r="G23" s="215"/>
      <c r="H23" s="215"/>
      <c r="I23" s="216"/>
      <c r="J23" s="194"/>
      <c r="K23" s="211"/>
      <c r="L23" s="212"/>
      <c r="M23" s="264"/>
      <c r="N23" s="215"/>
      <c r="O23" s="215"/>
      <c r="P23" s="267"/>
      <c r="Q23" s="208"/>
      <c r="R23" s="208"/>
      <c r="S23" s="208"/>
      <c r="T23" s="208"/>
    </row>
    <row r="24" customFormat="false" ht="13.5" hidden="false" customHeight="true" outlineLevel="0" collapsed="false">
      <c r="B24" s="218" t="s">
        <v>27</v>
      </c>
      <c r="C24" s="194"/>
      <c r="D24" s="211" t="n">
        <v>0</v>
      </c>
      <c r="E24" s="212" t="n">
        <v>0</v>
      </c>
      <c r="F24" s="264" t="n">
        <f aca="false">E24-D24</f>
        <v>0</v>
      </c>
      <c r="G24" s="215"/>
      <c r="H24" s="215"/>
      <c r="I24" s="216"/>
      <c r="J24" s="194"/>
      <c r="K24" s="211" t="n">
        <f aca="false">L24</f>
        <v>0</v>
      </c>
      <c r="L24" s="212" t="n">
        <v>0</v>
      </c>
      <c r="M24" s="264" t="n">
        <f aca="false">L24-K24</f>
        <v>0</v>
      </c>
      <c r="N24" s="215"/>
      <c r="O24" s="215"/>
      <c r="P24" s="267"/>
      <c r="Q24" s="208"/>
      <c r="R24" s="208"/>
      <c r="S24" s="208"/>
      <c r="T24" s="208"/>
    </row>
    <row r="25" customFormat="false" ht="3" hidden="false" customHeight="true" outlineLevel="0" collapsed="false">
      <c r="B25" s="218"/>
      <c r="C25" s="194"/>
      <c r="D25" s="211"/>
      <c r="E25" s="212"/>
      <c r="F25" s="264"/>
      <c r="G25" s="215"/>
      <c r="H25" s="215"/>
      <c r="I25" s="216"/>
      <c r="J25" s="194"/>
      <c r="K25" s="211"/>
      <c r="L25" s="212"/>
      <c r="M25" s="264"/>
      <c r="N25" s="215"/>
      <c r="O25" s="215"/>
      <c r="P25" s="267"/>
      <c r="Q25" s="208"/>
      <c r="R25" s="208"/>
      <c r="S25" s="208"/>
      <c r="T25" s="208"/>
    </row>
    <row r="26" customFormat="false" ht="11.25" hidden="false" customHeight="true" outlineLevel="0" collapsed="false">
      <c r="B26" s="220" t="s">
        <v>8</v>
      </c>
      <c r="C26" s="194"/>
      <c r="D26" s="221" t="e">
        <f aca="false">+D17+D22</f>
        <v>#NAME?</v>
      </c>
      <c r="E26" s="222" t="e">
        <f aca="false">+E17+E22</f>
        <v>#NAME?</v>
      </c>
      <c r="F26" s="222" t="e">
        <f aca="false">+F17+F22</f>
        <v>#NAME?</v>
      </c>
      <c r="G26" s="225"/>
      <c r="H26" s="225"/>
      <c r="I26" s="226"/>
      <c r="J26" s="194"/>
      <c r="K26" s="221" t="e">
        <f aca="false">+K22+K24</f>
        <v>#NAME?</v>
      </c>
      <c r="L26" s="222" t="e">
        <f aca="false">+L22+L24</f>
        <v>#NAME?</v>
      </c>
      <c r="M26" s="222" t="e">
        <f aca="false">+M22+M24</f>
        <v>#NAME?</v>
      </c>
      <c r="N26" s="225"/>
      <c r="O26" s="225"/>
      <c r="P26" s="268"/>
      <c r="Q26" s="208"/>
      <c r="R26" s="208"/>
      <c r="S26" s="208"/>
      <c r="T26" s="208"/>
    </row>
    <row r="27" customFormat="false" ht="3" hidden="false" customHeight="true" outlineLevel="0" collapsed="false">
      <c r="B27" s="218"/>
      <c r="C27" s="194"/>
      <c r="D27" s="211"/>
      <c r="E27" s="212"/>
      <c r="F27" s="264"/>
      <c r="G27" s="215"/>
      <c r="H27" s="215"/>
      <c r="I27" s="216"/>
      <c r="J27" s="194"/>
      <c r="K27" s="211"/>
      <c r="L27" s="212"/>
      <c r="M27" s="264"/>
      <c r="N27" s="215"/>
      <c r="O27" s="215"/>
      <c r="P27" s="267"/>
      <c r="Q27" s="208"/>
      <c r="R27" s="208"/>
      <c r="S27" s="208"/>
      <c r="T27" s="208"/>
    </row>
    <row r="28" customFormat="false" ht="13.5" hidden="false" customHeight="true" outlineLevel="0" collapsed="false">
      <c r="B28" s="218" t="s">
        <v>125</v>
      </c>
      <c r="C28" s="194"/>
      <c r="D28" s="211" t="e">
        <f aca="false">-(D26)</f>
        <v>#NAME?</v>
      </c>
      <c r="E28" s="212" t="e">
        <f aca="false">-(E26)</f>
        <v>#NAME?</v>
      </c>
      <c r="F28" s="264" t="e">
        <f aca="false">E28-D28</f>
        <v>#NAME?</v>
      </c>
      <c r="G28" s="215"/>
      <c r="H28" s="215"/>
      <c r="I28" s="216"/>
      <c r="J28" s="194"/>
      <c r="K28" s="211" t="n">
        <v>0</v>
      </c>
      <c r="L28" s="212" t="n">
        <v>0</v>
      </c>
      <c r="M28" s="264" t="n">
        <f aca="false">L28-K28</f>
        <v>0</v>
      </c>
      <c r="N28" s="215"/>
      <c r="O28" s="215"/>
      <c r="P28" s="267"/>
      <c r="Q28" s="208"/>
      <c r="R28" s="208"/>
      <c r="S28" s="208"/>
      <c r="T28" s="208"/>
    </row>
    <row r="29" customFormat="false" ht="13.5" hidden="false" customHeight="true" outlineLevel="0" collapsed="false">
      <c r="B29" s="218" t="s">
        <v>126</v>
      </c>
      <c r="C29" s="194"/>
      <c r="D29" s="211" t="n">
        <v>0</v>
      </c>
      <c r="E29" s="212" t="n">
        <v>0</v>
      </c>
      <c r="F29" s="264" t="n">
        <f aca="false">E29-D29</f>
        <v>0</v>
      </c>
      <c r="G29" s="215"/>
      <c r="H29" s="215"/>
      <c r="I29" s="216"/>
      <c r="J29" s="194"/>
      <c r="K29" s="211" t="e">
        <f aca="false">-K26</f>
        <v>#NAME?</v>
      </c>
      <c r="L29" s="212" t="e">
        <f aca="false">-L26</f>
        <v>#NAME?</v>
      </c>
      <c r="M29" s="264" t="e">
        <f aca="false">L29-K29</f>
        <v>#NAME?</v>
      </c>
      <c r="N29" s="215"/>
      <c r="O29" s="215"/>
      <c r="P29" s="267"/>
      <c r="Q29" s="208"/>
      <c r="R29" s="208"/>
      <c r="S29" s="208"/>
      <c r="T29" s="208"/>
    </row>
    <row r="30" customFormat="false" ht="3" hidden="false" customHeight="true" outlineLevel="0" collapsed="false">
      <c r="B30" s="218"/>
      <c r="C30" s="194"/>
      <c r="D30" s="211"/>
      <c r="E30" s="212"/>
      <c r="F30" s="264"/>
      <c r="G30" s="215"/>
      <c r="H30" s="215"/>
      <c r="I30" s="216"/>
      <c r="J30" s="194"/>
      <c r="K30" s="211"/>
      <c r="L30" s="212"/>
      <c r="M30" s="264"/>
      <c r="N30" s="215"/>
      <c r="O30" s="215"/>
      <c r="P30" s="267"/>
      <c r="Q30" s="208"/>
      <c r="R30" s="208"/>
      <c r="S30" s="208"/>
      <c r="T30" s="208"/>
    </row>
    <row r="31" customFormat="false" ht="11.25" hidden="false" customHeight="true" outlineLevel="0" collapsed="false">
      <c r="A31" s="194"/>
      <c r="B31" s="220" t="s">
        <v>8</v>
      </c>
      <c r="C31" s="194"/>
      <c r="D31" s="227" t="e">
        <f aca="false">SUM(D26:D29)</f>
        <v>#NAME?</v>
      </c>
      <c r="E31" s="228" t="e">
        <f aca="false">SUM(E26:E29)</f>
        <v>#NAME?</v>
      </c>
      <c r="F31" s="228" t="e">
        <f aca="false">SUM(F26:F29)</f>
        <v>#NAME?</v>
      </c>
      <c r="G31" s="225"/>
      <c r="H31" s="225"/>
      <c r="I31" s="226"/>
      <c r="J31" s="194"/>
      <c r="K31" s="227" t="e">
        <f aca="false">SUM(K26:K29)</f>
        <v>#NAME?</v>
      </c>
      <c r="L31" s="228" t="e">
        <f aca="false">SUM(L26:L29)</f>
        <v>#NAME?</v>
      </c>
      <c r="M31" s="228" t="e">
        <f aca="false">SUM(M26:M29)</f>
        <v>#NAME?</v>
      </c>
      <c r="N31" s="225"/>
      <c r="O31" s="225"/>
      <c r="P31" s="268"/>
    </row>
    <row r="32" customFormat="false" ht="3" hidden="false" customHeight="true" outlineLevel="0" collapsed="false">
      <c r="B32" s="230"/>
      <c r="C32" s="194"/>
      <c r="D32" s="249"/>
      <c r="E32" s="250"/>
      <c r="F32" s="250"/>
      <c r="G32" s="232"/>
      <c r="H32" s="232"/>
      <c r="I32" s="233"/>
      <c r="J32" s="194"/>
      <c r="K32" s="249"/>
      <c r="L32" s="250"/>
      <c r="M32" s="250"/>
      <c r="N32" s="232"/>
      <c r="O32" s="232"/>
      <c r="P32" s="25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/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 t="s">
        <v>34</v>
      </c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F45" s="269"/>
      <c r="G45" s="208"/>
      <c r="H45" s="208"/>
      <c r="I45" s="208"/>
      <c r="J45" s="208"/>
      <c r="K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F46" s="269"/>
      <c r="G46" s="208"/>
      <c r="H46" s="208"/>
      <c r="I46" s="208"/>
      <c r="J46" s="208"/>
      <c r="K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F47" s="269"/>
      <c r="G47" s="208"/>
      <c r="H47" s="208"/>
      <c r="I47" s="208"/>
      <c r="J47" s="208"/>
      <c r="K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D52" s="269"/>
      <c r="E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D53" s="269"/>
      <c r="E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D54" s="269"/>
      <c r="E54" s="269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A58" s="269"/>
      <c r="B58" s="208"/>
      <c r="C58" s="208"/>
      <c r="D58" s="208"/>
      <c r="E58" s="208"/>
      <c r="F58" s="269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A59" s="269"/>
      <c r="B59" s="208"/>
      <c r="C59" s="208"/>
      <c r="D59" s="208"/>
      <c r="E59" s="208"/>
      <c r="F59" s="269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A60" s="269"/>
      <c r="B60" s="208"/>
      <c r="C60" s="208"/>
      <c r="D60" s="208"/>
      <c r="E60" s="208"/>
      <c r="F60" s="269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69"/>
      <c r="L117" s="269"/>
      <c r="M117" s="269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69"/>
      <c r="L118" s="269"/>
      <c r="M118" s="269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69"/>
      <c r="L119" s="269"/>
      <c r="M119" s="269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  <row r="199" customFormat="false" ht="12.75" hidden="false" customHeight="false" outlineLevel="0" collapsed="false"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</row>
    <row r="200" customFormat="false" ht="12.75" hidden="false" customHeight="false" outlineLevel="0" collapsed="false"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</row>
    <row r="201" customFormat="false" ht="12.75" hidden="false" customHeight="false" outlineLevel="0" collapsed="false"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2000-12-15T15:53:43Z</cp:lastPrinted>
  <cp:revision>0</cp:revision>
  <dc:subject/>
  <dc:title/>
</cp:coreProperties>
</file>