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BC" sheetId="1" state="visible" r:id="rId3"/>
    <sheet name="eSource" sheetId="2" state="visible" r:id="rId4"/>
    <sheet name="Fin Ops" sheetId="3" state="visible" r:id="rId5"/>
    <sheet name="Fin Ops Detail" sheetId="4" state="visible" r:id="rId6"/>
    <sheet name="HR" sheetId="5" state="visible" r:id="rId7"/>
    <sheet name="HR Detail" sheetId="6" state="visible" r:id="rId8"/>
    <sheet name="Legal" sheetId="7" state="visible" r:id="rId9"/>
    <sheet name="Detail - Outside Legal" sheetId="8" state="visible" r:id="rId10"/>
    <sheet name="Detail - Internal Legal" sheetId="9" state="visible" r:id="rId11"/>
    <sheet name="PR" sheetId="10" state="visible" r:id="rId12"/>
    <sheet name="Research" sheetId="11" state="visible" r:id="rId13"/>
    <sheet name="Tax" sheetId="12" state="visible" r:id="rId14"/>
    <sheet name="Transaction Supp" sheetId="13" state="visible" r:id="rId15"/>
    <sheet name="Treasury" sheetId="14" state="visible" r:id="rId16"/>
    <sheet name="Sheet6" sheetId="15" state="visible" r:id="rId17"/>
    <sheet name="Sheet5" sheetId="16" state="visible" r:id="rId18"/>
    <sheet name="Sheet4" sheetId="17" state="visible" r:id="rId19"/>
  </sheets>
  <externalReferences>
    <externalReference r:id="rId20"/>
    <externalReference r:id="rId21"/>
    <externalReference r:id="rId2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" authorId="0">
      <text>
        <r>
          <rPr>
            <b val="true"/>
            <sz val="8"/>
            <color rgb="FF000000"/>
            <rFont val="Tahoma"/>
            <family val="0"/>
          </rPr>
          <t xml:space="preserve">kbooth:
</t>
        </r>
        <r>
          <rPr>
            <sz val="8"/>
            <color rgb="FF000000"/>
            <rFont val="Tahoma"/>
            <family val="0"/>
          </rPr>
          <t xml:space="preserve">Based on headcount used for PEP Purposes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11</xdr:rowOff>
              </xdr:from>
              <xdr:to>
                <xdr:col>3</xdr:col>
                <xdr:colOff>60</xdr:colOff>
                <xdr:row>16</xdr:row>
                <xdr:rowOff>32</xdr:rowOff>
              </xdr:to>
            </anchor>
          </commentPr>
        </mc:Choice>
        <mc:Fallback/>
      </mc:AlternateContent>
    </comment>
    <comment ref="B26" authorId="0">
      <text>
        <r>
          <rPr>
            <b val="true"/>
            <sz val="8"/>
            <color rgb="FF000000"/>
            <rFont val="Tahoma"/>
            <family val="0"/>
          </rPr>
          <t xml:space="preserve">kbooth:
</t>
        </r>
        <r>
          <rPr>
            <sz val="8"/>
            <color rgb="FF000000"/>
            <rFont val="Tahoma"/>
            <family val="0"/>
          </rPr>
          <t xml:space="preserve">Based on headcount used for PEP Purposes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11</xdr:rowOff>
              </xdr:from>
              <xdr:to>
                <xdr:col>3</xdr:col>
                <xdr:colOff>62</xdr:colOff>
                <xdr:row>28</xdr:row>
                <xdr:rowOff>9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now is EPI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4</xdr:colOff>
                <xdr:row>12</xdr:row>
                <xdr:rowOff>7</xdr:rowOff>
              </xdr:from>
              <xdr:to>
                <xdr:col>4</xdr:col>
                <xdr:colOff>35</xdr:colOff>
                <xdr:row>17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add 1.2M per Faith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5</xdr:row>
                <xdr:rowOff>7</xdr:rowOff>
              </xdr:from>
              <xdr:to>
                <xdr:col>8</xdr:col>
                <xdr:colOff>5</xdr:colOff>
                <xdr:row>9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120484
121125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7</xdr:row>
                <xdr:rowOff>7</xdr:rowOff>
              </xdr:from>
              <xdr:to>
                <xdr:col>5</xdr:col>
                <xdr:colOff>-11</xdr:colOff>
                <xdr:row>10</xdr:row>
                <xdr:rowOff>1</xdr:rowOff>
              </xdr:to>
            </anchor>
          </commentPr>
        </mc:Choice>
        <mc:Fallback/>
      </mc:AlternateContent>
    </commen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100055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8</xdr:row>
                <xdr:rowOff>7</xdr:rowOff>
              </xdr:from>
              <xdr:to>
                <xdr:col>5</xdr:col>
                <xdr:colOff>-1</xdr:colOff>
                <xdr:row>10</xdr:row>
                <xdr:rowOff>4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150249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9</xdr:row>
                <xdr:rowOff>7</xdr:rowOff>
              </xdr:from>
              <xdr:to>
                <xdr:col>5</xdr:col>
                <xdr:colOff>-13</xdr:colOff>
                <xdr:row>11</xdr:row>
                <xdr:rowOff>5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140052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10</xdr:row>
                <xdr:rowOff>7</xdr:rowOff>
              </xdr:from>
              <xdr:to>
                <xdr:col>6</xdr:col>
                <xdr:colOff>24</xdr:colOff>
                <xdr:row>12</xdr:row>
                <xdr:rowOff>16</xdr:rowOff>
              </xdr:to>
            </anchor>
          </commentPr>
        </mc:Choice>
        <mc:Fallback/>
      </mc:AlternateContent>
    </comment>
    <comment ref="C13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140167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11</xdr:row>
                <xdr:rowOff>7</xdr:rowOff>
              </xdr:from>
              <xdr:to>
                <xdr:col>5</xdr:col>
                <xdr:colOff>-12</xdr:colOff>
                <xdr:row>14</xdr:row>
                <xdr:rowOff>4</xdr:rowOff>
              </xdr:to>
            </anchor>
          </commentPr>
        </mc:Choice>
        <mc:Fallback/>
      </mc:AlternateContent>
    </comment>
    <comment ref="C14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106042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4</xdr:col>
                <xdr:colOff>4</xdr:colOff>
                <xdr:row>12</xdr:row>
                <xdr:rowOff>7</xdr:rowOff>
              </xdr:from>
              <xdr:to>
                <xdr:col>5</xdr:col>
                <xdr:colOff>-16</xdr:colOff>
                <xdr:row>15</xdr:row>
                <xdr:rowOff>3</xdr:rowOff>
              </xdr:to>
            </anchor>
          </commentPr>
        </mc:Choice>
        <mc:Fallback/>
      </mc:AlternateContent>
    </commen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106196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12</xdr:row>
                <xdr:rowOff>7</xdr:rowOff>
              </xdr:from>
              <xdr:to>
                <xdr:col>5</xdr:col>
                <xdr:colOff>-9</xdr:colOff>
                <xdr:row>15</xdr:row>
                <xdr:rowOff>12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100663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14</xdr:row>
                <xdr:rowOff>7</xdr:rowOff>
              </xdr:from>
              <xdr:to>
                <xdr:col>5</xdr:col>
                <xdr:colOff>-12</xdr:colOff>
                <xdr:row>16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102564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15</xdr:row>
                <xdr:rowOff>7</xdr:rowOff>
              </xdr:from>
              <xdr:to>
                <xdr:col>5</xdr:col>
                <xdr:colOff>-5</xdr:colOff>
                <xdr:row>17</xdr:row>
                <xdr:rowOff>3</xdr:rowOff>
              </xdr:to>
            </anchor>
          </commentPr>
        </mc:Choice>
        <mc:Fallback/>
      </mc:AlternateContent>
    </comment>
    <comment ref="C18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103478 (Murray = 1,193,172)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16</xdr:row>
                <xdr:rowOff>7</xdr:rowOff>
              </xdr:from>
              <xdr:to>
                <xdr:col>6</xdr:col>
                <xdr:colOff>36</xdr:colOff>
                <xdr:row>19</xdr:row>
                <xdr:rowOff>6</xdr:rowOff>
              </xdr:to>
            </anchor>
          </commentPr>
        </mc:Choice>
        <mc:Fallback/>
      </mc:AlternateContent>
    </comment>
    <comment ref="C19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104151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17</xdr:row>
                <xdr:rowOff>7</xdr:rowOff>
              </xdr:from>
              <xdr:to>
                <xdr:col>5</xdr:col>
                <xdr:colOff>-13</xdr:colOff>
                <xdr:row>19</xdr:row>
                <xdr:rowOff>7</xdr:rowOff>
              </xdr:to>
            </anchor>
          </commentPr>
        </mc:Choice>
        <mc:Fallback/>
      </mc:AlternateContent>
    </comment>
    <comment ref="C20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105168;  not split between wholesale and retail in 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18</xdr:row>
                <xdr:rowOff>7</xdr:rowOff>
              </xdr:from>
              <xdr:to>
                <xdr:col>6</xdr:col>
                <xdr:colOff>40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140399
140402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</xdr:colOff>
                <xdr:row>20</xdr:row>
                <xdr:rowOff>7</xdr:rowOff>
              </xdr:from>
              <xdr:to>
                <xdr:col>5</xdr:col>
                <xdr:colOff>-12</xdr:colOff>
                <xdr:row>23</xdr:row>
                <xdr:rowOff>9</xdr:rowOff>
              </xdr:to>
            </anchor>
          </commentPr>
        </mc:Choice>
        <mc:Fallback/>
      </mc:AlternateContent>
    </comment>
    <comment ref="I12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No APACHI for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10</xdr:row>
                <xdr:rowOff>7</xdr:rowOff>
              </xdr:from>
              <xdr:to>
                <xdr:col>12</xdr:col>
                <xdr:colOff>41</xdr:colOff>
                <xdr:row>12</xdr:row>
                <xdr:rowOff>3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8"/>
            <color rgb="FF000000"/>
            <rFont val="Tahoma"/>
            <family val="0"/>
          </rPr>
          <t xml:space="preserve">lguillia:
</t>
        </r>
        <r>
          <rPr>
            <sz val="8"/>
            <color rgb="FF000000"/>
            <rFont val="Tahoma"/>
            <family val="0"/>
          </rPr>
          <t xml:space="preserve">Includes Murray in Plan and Forecast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</xdr:colOff>
                <xdr:row>16</xdr:row>
                <xdr:rowOff>7</xdr:rowOff>
              </xdr:from>
              <xdr:to>
                <xdr:col>12</xdr:col>
                <xdr:colOff>38</xdr:colOff>
                <xdr:row>19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<sst xmlns="http://schemas.openxmlformats.org/spreadsheetml/2006/main" count="558" uniqueCount="297">
  <si>
    <t xml:space="preserve">CABC</t>
  </si>
  <si>
    <t xml:space="preserve">Analysis of I/C Billings</t>
  </si>
  <si>
    <t xml:space="preserve">2001 Forecast</t>
  </si>
  <si>
    <t xml:space="preserve">2002 Plan</t>
  </si>
  <si>
    <t xml:space="preserve">$</t>
  </si>
  <si>
    <t xml:space="preserve">%</t>
  </si>
  <si>
    <t xml:space="preserve">HC</t>
  </si>
  <si>
    <t xml:space="preserve">Total Direct Expense</t>
  </si>
  <si>
    <t xml:space="preserve">  Allocation to other business units</t>
  </si>
  <si>
    <t xml:space="preserve">     EGM</t>
  </si>
  <si>
    <t xml:space="preserve">     EIM</t>
  </si>
  <si>
    <t xml:space="preserve">     EBS</t>
  </si>
  <si>
    <t xml:space="preserve">     EES Wholesale</t>
  </si>
  <si>
    <t xml:space="preserve">     Total</t>
  </si>
  <si>
    <t xml:space="preserve">Net to ENA</t>
  </si>
  <si>
    <t xml:space="preserve">Note</t>
  </si>
  <si>
    <t xml:space="preserve">2002 Plan Direct Expense and allocations to business units include Bonus Accrual.</t>
  </si>
  <si>
    <t xml:space="preserve">eSource</t>
  </si>
  <si>
    <t xml:space="preserve">     Enron Corp.</t>
  </si>
  <si>
    <t xml:space="preserve">     EES Retail</t>
  </si>
  <si>
    <t xml:space="preserve">     ENW</t>
  </si>
  <si>
    <t xml:space="preserve">Financial Operations</t>
  </si>
  <si>
    <t xml:space="preserve">Total Direct Expenses</t>
  </si>
  <si>
    <t xml:space="preserve">     EPI</t>
  </si>
  <si>
    <t xml:space="preserve">     EWS</t>
  </si>
  <si>
    <t xml:space="preserve">     Europe</t>
  </si>
  <si>
    <t xml:space="preserve">     EEOS</t>
  </si>
  <si>
    <t xml:space="preserve">     Xcelerator</t>
  </si>
  <si>
    <t xml:space="preserve">     ESA</t>
  </si>
  <si>
    <t xml:space="preserve">Total</t>
  </si>
  <si>
    <t xml:space="preserve">Allocations to Other Business Units</t>
  </si>
  <si>
    <t xml:space="preserve">Shared</t>
  </si>
  <si>
    <t xml:space="preserve">Faith</t>
  </si>
  <si>
    <t xml:space="preserve">Kirk</t>
  </si>
  <si>
    <t xml:space="preserve">Jody</t>
  </si>
  <si>
    <t xml:space="preserve">Mary Lynne</t>
  </si>
  <si>
    <t xml:space="preserve">Georganne &amp; Susan</t>
  </si>
  <si>
    <t xml:space="preserve">Elaine</t>
  </si>
  <si>
    <t xml:space="preserve">Hope</t>
  </si>
  <si>
    <t xml:space="preserve">FTEs</t>
  </si>
  <si>
    <t xml:space="preserve">Wes</t>
  </si>
  <si>
    <t xml:space="preserve">Total Fin Ops</t>
  </si>
  <si>
    <t xml:space="preserve">Bonus</t>
  </si>
  <si>
    <t xml:space="preserve">Total Fin Ops incl Bonus</t>
  </si>
  <si>
    <t xml:space="preserve">Total Gross Expense</t>
  </si>
  <si>
    <t xml:space="preserve">EPI</t>
  </si>
  <si>
    <t xml:space="preserve">ESA</t>
  </si>
  <si>
    <t xml:space="preserve">EBS</t>
  </si>
  <si>
    <t xml:space="preserve">EWS</t>
  </si>
  <si>
    <t xml:space="preserve">EES Wholesale</t>
  </si>
  <si>
    <t xml:space="preserve">EGM</t>
  </si>
  <si>
    <t xml:space="preserve">Europe</t>
  </si>
  <si>
    <t xml:space="preserve">EIM</t>
  </si>
  <si>
    <t xml:space="preserve">ENW</t>
  </si>
  <si>
    <t xml:space="preserve">EEOS</t>
  </si>
  <si>
    <t xml:space="preserve">Xcelerator</t>
  </si>
  <si>
    <t xml:space="preserve">Total Allocated to Other BU's</t>
  </si>
  <si>
    <t xml:space="preserve">Net Expense to ENA</t>
  </si>
  <si>
    <t xml:space="preserve">Human Resources Consolidated</t>
  </si>
  <si>
    <t xml:space="preserve">  APACHI</t>
  </si>
  <si>
    <t xml:space="preserve">  CALME</t>
  </si>
  <si>
    <t xml:space="preserve">  CF-MTBE</t>
  </si>
  <si>
    <t xml:space="preserve">  Citrus</t>
  </si>
  <si>
    <t xml:space="preserve">  CORP</t>
  </si>
  <si>
    <t xml:space="preserve">  EBS</t>
  </si>
  <si>
    <t xml:space="preserve">  ECB</t>
  </si>
  <si>
    <t xml:space="preserve">  EEDC</t>
  </si>
  <si>
    <t xml:space="preserve">  EEL</t>
  </si>
  <si>
    <t xml:space="preserve">  EEOS</t>
  </si>
  <si>
    <t xml:space="preserve">  EES Retail</t>
  </si>
  <si>
    <t xml:space="preserve">  EES Wholesale</t>
  </si>
  <si>
    <t xml:space="preserve">  EFS</t>
  </si>
  <si>
    <t xml:space="preserve">  EGAS</t>
  </si>
  <si>
    <t xml:space="preserve">  EGEP</t>
  </si>
  <si>
    <t xml:space="preserve">  EGF</t>
  </si>
  <si>
    <t xml:space="preserve">  EGM</t>
  </si>
  <si>
    <t xml:space="preserve">  EIM</t>
  </si>
  <si>
    <t xml:space="preserve">  EIP</t>
  </si>
  <si>
    <t xml:space="preserve">  ENA</t>
  </si>
  <si>
    <t xml:space="preserve">  ENW</t>
  </si>
  <si>
    <t xml:space="preserve">  EPI</t>
  </si>
  <si>
    <t xml:space="preserve">  EREC</t>
  </si>
  <si>
    <t xml:space="preserve">  ETS</t>
  </si>
  <si>
    <t xml:space="preserve">  FGT</t>
  </si>
  <si>
    <t xml:space="preserve">  HPLP</t>
  </si>
  <si>
    <t xml:space="preserve">  India</t>
  </si>
  <si>
    <t xml:space="preserve">  NEPCO</t>
  </si>
  <si>
    <t xml:space="preserve">  NNG</t>
  </si>
  <si>
    <t xml:space="preserve">  Northern Plains</t>
  </si>
  <si>
    <t xml:space="preserve">  South America</t>
  </si>
  <si>
    <t xml:space="preserve">  TW</t>
  </si>
  <si>
    <t xml:space="preserve">  Xcelerator</t>
  </si>
  <si>
    <t xml:space="preserve">Total 2001 Forecast Allocations</t>
  </si>
  <si>
    <t xml:space="preserve">Total 2002 Plan Allocations</t>
  </si>
  <si>
    <t xml:space="preserve">Other Business Units</t>
  </si>
  <si>
    <t xml:space="preserve">Net ENA</t>
  </si>
  <si>
    <t xml:space="preserve">      2002 Plan Direct Expense and allocations to business units include Bonus Accrual.</t>
  </si>
  <si>
    <t xml:space="preserve">Business Unit</t>
  </si>
  <si>
    <t xml:space="preserve">Headcount</t>
  </si>
  <si>
    <t xml:space="preserve">Executive</t>
  </si>
  <si>
    <t xml:space="preserve">Generalist</t>
  </si>
  <si>
    <t xml:space="preserve">Commercial Resources/Staff</t>
  </si>
  <si>
    <t xml:space="preserve">Recruiting</t>
  </si>
  <si>
    <t xml:space="preserve">Comp.</t>
  </si>
  <si>
    <t xml:space="preserve">OD&amp;T</t>
  </si>
  <si>
    <t xml:space="preserve">MAD</t>
  </si>
  <si>
    <t xml:space="preserve">PEP</t>
  </si>
  <si>
    <t xml:space="preserve">Service Connection</t>
  </si>
  <si>
    <t xml:space="preserve">Totals</t>
  </si>
  <si>
    <t xml:space="preserve">PEP Rent Adj.</t>
  </si>
  <si>
    <t xml:space="preserve">Bonus Adj.</t>
  </si>
  <si>
    <t xml:space="preserve">Adj. Total</t>
  </si>
  <si>
    <t xml:space="preserve">EA</t>
  </si>
  <si>
    <t xml:space="preserve">EES</t>
  </si>
  <si>
    <t xml:space="preserve">CORP (S.W.)</t>
  </si>
  <si>
    <t xml:space="preserve">CORP (EPI)</t>
  </si>
  <si>
    <t xml:space="preserve">CORP (A/A)</t>
  </si>
  <si>
    <t xml:space="preserve">EGAS</t>
  </si>
  <si>
    <t xml:space="preserve">ETS-Allocated</t>
  </si>
  <si>
    <t xml:space="preserve">EEL</t>
  </si>
  <si>
    <t xml:space="preserve">Totals:</t>
  </si>
  <si>
    <t xml:space="preserve">plus ETS</t>
  </si>
  <si>
    <t xml:space="preserve">EWS/CORP/EES</t>
  </si>
  <si>
    <t xml:space="preserve"> </t>
  </si>
  <si>
    <t xml:space="preserve">ETS-Direct</t>
  </si>
  <si>
    <t xml:space="preserve">Legal</t>
  </si>
  <si>
    <t xml:space="preserve">  Allocation to business units</t>
  </si>
  <si>
    <t xml:space="preserve">     RAC - Investment Underwriting</t>
  </si>
  <si>
    <t xml:space="preserve">     Corp</t>
  </si>
  <si>
    <t xml:space="preserve">     APACHI</t>
  </si>
  <si>
    <t xml:space="preserve">     EEDC</t>
  </si>
  <si>
    <t xml:space="preserve">     EGF/ECM</t>
  </si>
  <si>
    <t xml:space="preserve">     EEL</t>
  </si>
  <si>
    <t xml:space="preserve">     EI - S.A.</t>
  </si>
  <si>
    <t xml:space="preserve">     ENA</t>
  </si>
  <si>
    <t xml:space="preserve">ENA Commercial Teams</t>
  </si>
  <si>
    <t xml:space="preserve">ENA Net to Group</t>
  </si>
  <si>
    <t xml:space="preserve">Total ENA</t>
  </si>
  <si>
    <t xml:space="preserve">YTD Summary of external legal billout to other BUs and commercial teams</t>
  </si>
  <si>
    <t xml:space="preserve">As of 07-31-01</t>
  </si>
  <si>
    <t xml:space="preserve">Cost Center</t>
  </si>
  <si>
    <t xml:space="preserve">BUs and Commercial Teams</t>
  </si>
  <si>
    <t xml:space="preserve">Old Name</t>
  </si>
  <si>
    <t xml:space="preserve">Total Jan- July Actuals</t>
  </si>
  <si>
    <t xml:space="preserve">Energy Capital - 105653</t>
  </si>
  <si>
    <t xml:space="preserve">West Orig - 105654</t>
  </si>
  <si>
    <t xml:space="preserve">Litigation - 105656</t>
  </si>
  <si>
    <t xml:space="preserve">Fin'l Trdg - 105657</t>
  </si>
  <si>
    <t xml:space="preserve">EGM - 105658</t>
  </si>
  <si>
    <t xml:space="preserve">Labor &amp; Emp Law - 105660</t>
  </si>
  <si>
    <t xml:space="preserve">Power Trdg - 107061</t>
  </si>
  <si>
    <t xml:space="preserve">EIM - 107062</t>
  </si>
  <si>
    <t xml:space="preserve">Total Aug-Dec Based on %</t>
  </si>
  <si>
    <t xml:space="preserve">RAC - Investment Underwriting</t>
  </si>
  <si>
    <t xml:space="preserve">I/C - CORP-Other G&amp;A Costs</t>
  </si>
  <si>
    <t xml:space="preserve">I/C</t>
  </si>
  <si>
    <t xml:space="preserve">I/C - EEL-ECT NA G&amp;A ALLOCATIONS</t>
  </si>
  <si>
    <t xml:space="preserve">I/C - ES-HOU - Corp. Allocations (EI - So. Am)</t>
  </si>
  <si>
    <t xml:space="preserve">I/C - EIM</t>
  </si>
  <si>
    <t xml:space="preserve">I/C - EES - Commodity Risk Management</t>
  </si>
  <si>
    <t xml:space="preserve">I/C - EES - IT - Executive</t>
  </si>
  <si>
    <t xml:space="preserve">NA-Company 413 Group Non Controllable</t>
  </si>
  <si>
    <t xml:space="preserve">NA-Treasury</t>
  </si>
  <si>
    <t xml:space="preserve">Group</t>
  </si>
  <si>
    <t xml:space="preserve">Bridgeline</t>
  </si>
  <si>
    <t xml:space="preserve">NA-Upstream Originations Compression</t>
  </si>
  <si>
    <t xml:space="preserve">I/C - EEDC (now EPI)</t>
  </si>
  <si>
    <t xml:space="preserve">I/C - ECM(EGF)</t>
  </si>
  <si>
    <t xml:space="preserve">NA-Generation Investments</t>
  </si>
  <si>
    <t xml:space="preserve">NA-Office of the Chair G&amp;A</t>
  </si>
  <si>
    <t xml:space="preserve">NBD</t>
  </si>
  <si>
    <t xml:space="preserve">NA-Natural Gas Derivatives</t>
  </si>
  <si>
    <t xml:space="preserve">Office of the Chairman</t>
  </si>
  <si>
    <t xml:space="preserve">NA-HPL</t>
  </si>
  <si>
    <t xml:space="preserve">NA-East Originations G&amp;A</t>
  </si>
  <si>
    <t xml:space="preserve">NA-Industrial Downstream G&amp;A</t>
  </si>
  <si>
    <t xml:space="preserve">East Orig</t>
  </si>
  <si>
    <t xml:space="preserve">NA-Gas Network Services G&amp;A</t>
  </si>
  <si>
    <t xml:space="preserve">Downstream Industrial</t>
  </si>
  <si>
    <t xml:space="preserve">NA-Upstream Originations Storage</t>
  </si>
  <si>
    <t xml:space="preserve">Assets</t>
  </si>
  <si>
    <t xml:space="preserve">NA-Enron Power Transmission G&amp;A</t>
  </si>
  <si>
    <t xml:space="preserve">NA-Gas Network Development G&amp;A</t>
  </si>
  <si>
    <t xml:space="preserve">NA-Transportation &amp; Storage G&amp;A</t>
  </si>
  <si>
    <t xml:space="preserve">NA-Gas Network Engineering G&amp;A</t>
  </si>
  <si>
    <t xml:space="preserve">NA-Gas Network Opererations</t>
  </si>
  <si>
    <t xml:space="preserve">NA-Rocky Mountain G&amp;A</t>
  </si>
  <si>
    <t xml:space="preserve">NA-Debt Trading Trading G&amp;A</t>
  </si>
  <si>
    <t xml:space="preserve">NA-Genco G&amp;A</t>
  </si>
  <si>
    <t xml:space="preserve">Credit Spread</t>
  </si>
  <si>
    <t xml:space="preserve">NA-Asset Trading G&amp;A</t>
  </si>
  <si>
    <t xml:space="preserve">Genco</t>
  </si>
  <si>
    <t xml:space="preserve">NA-Financial Gas G&amp;A</t>
  </si>
  <si>
    <t xml:space="preserve">NA-Central Gas G&amp;A</t>
  </si>
  <si>
    <t xml:space="preserve">LT Gas Trading</t>
  </si>
  <si>
    <t xml:space="preserve">NA-East Gas G&amp;A</t>
  </si>
  <si>
    <t xml:space="preserve">Short-term Gas Trading - Central</t>
  </si>
  <si>
    <t xml:space="preserve">NA-West Gas G&amp;A</t>
  </si>
  <si>
    <t xml:space="preserve">Short-term Gas Trading - East </t>
  </si>
  <si>
    <t xml:space="preserve">NA-CTG G&amp;A</t>
  </si>
  <si>
    <t xml:space="preserve">Short-term Gas Trading - West</t>
  </si>
  <si>
    <t xml:space="preserve">NA-Risk Management Houston G&amp;A</t>
  </si>
  <si>
    <t xml:space="preserve">CTG</t>
  </si>
  <si>
    <t xml:space="preserve">NA-Risk Management New York G&amp;A</t>
  </si>
  <si>
    <t xml:space="preserve">Risk Management - Houston</t>
  </si>
  <si>
    <t xml:space="preserve">NA-Energy Capital Resources</t>
  </si>
  <si>
    <t xml:space="preserve">Risk Management - New York</t>
  </si>
  <si>
    <t xml:space="preserve">NA-Upstream Originations Executive</t>
  </si>
  <si>
    <t xml:space="preserve">Financial Origination</t>
  </si>
  <si>
    <t xml:space="preserve">NA-Upstream Originations Prod E-Commerce</t>
  </si>
  <si>
    <t xml:space="preserve">SA: perf &amp; nonperf</t>
  </si>
  <si>
    <t xml:space="preserve">NA-TAC</t>
  </si>
  <si>
    <t xml:space="preserve">Upstream Origination</t>
  </si>
  <si>
    <t xml:space="preserve">NA-Assets Transportation G&amp;A</t>
  </si>
  <si>
    <t xml:space="preserve">Executive Assets</t>
  </si>
  <si>
    <t xml:space="preserve">NA-Offshore Services G&amp;A</t>
  </si>
  <si>
    <t xml:space="preserve">NA-Canada Finance G&amp;A</t>
  </si>
  <si>
    <t xml:space="preserve">NA-Canada Trading G&amp;A</t>
  </si>
  <si>
    <t xml:space="preserve">NA-Mexico G&amp;A</t>
  </si>
  <si>
    <t xml:space="preserve">NA-West Power Originations </t>
  </si>
  <si>
    <t xml:space="preserve">Canada</t>
  </si>
  <si>
    <t xml:space="preserve">NA-West Origination Development</t>
  </si>
  <si>
    <t xml:space="preserve">NA-West Power Trading G&amp;A</t>
  </si>
  <si>
    <t xml:space="preserve">Mexico</t>
  </si>
  <si>
    <t xml:space="preserve">NA-East Power Northeast Trading</t>
  </si>
  <si>
    <t xml:space="preserve">NA-Natural Gas Midwest Originations</t>
  </si>
  <si>
    <t xml:space="preserve">West Originations</t>
  </si>
  <si>
    <t xml:space="preserve">NA-East Power Generation Development</t>
  </si>
  <si>
    <t xml:space="preserve">NA-West Gas Denver</t>
  </si>
  <si>
    <t xml:space="preserve">West Power Trading</t>
  </si>
  <si>
    <t xml:space="preserve">NA-East Power Peakers</t>
  </si>
  <si>
    <t xml:space="preserve">NA-East Power Mgmt Book Trading</t>
  </si>
  <si>
    <t xml:space="preserve">NA-East Power Northeast Origination</t>
  </si>
  <si>
    <t xml:space="preserve">NA-East Power Southeast Origination</t>
  </si>
  <si>
    <t xml:space="preserve">NA-East Power Southeast Trading</t>
  </si>
  <si>
    <t xml:space="preserve">NA-East Power ERCOT Trading</t>
  </si>
  <si>
    <t xml:space="preserve">NA-Natural Gas East Region Originations</t>
  </si>
  <si>
    <t xml:space="preserve">Northeast Origination</t>
  </si>
  <si>
    <t xml:space="preserve">I/C - Enron Global Markets</t>
  </si>
  <si>
    <t xml:space="preserve">ENRON FREIGHT MARKETS</t>
  </si>
  <si>
    <t xml:space="preserve">I/C - ENW</t>
  </si>
  <si>
    <t xml:space="preserve">NA-Principal Investing G&amp;A</t>
  </si>
  <si>
    <t xml:space="preserve">NA-Restructuring</t>
  </si>
  <si>
    <t xml:space="preserve">I/C,Coal,Weather, SO2,Currency, Insurance and Equity Trdg</t>
  </si>
  <si>
    <t xml:space="preserve">NA-North Carolina Coal Plants (Alamac)</t>
  </si>
  <si>
    <t xml:space="preserve">Corp Development</t>
  </si>
  <si>
    <t xml:space="preserve">I/C - EIM (J. Murray cost center)</t>
  </si>
  <si>
    <t xml:space="preserve">a)</t>
  </si>
  <si>
    <t xml:space="preserve">(estimated)</t>
  </si>
  <si>
    <t xml:space="preserve">I/C - EBS</t>
  </si>
  <si>
    <t xml:space="preserve">Pulp &amp; Paper</t>
  </si>
  <si>
    <t xml:space="preserve">b)</t>
  </si>
  <si>
    <t xml:space="preserve">140399/140402</t>
  </si>
  <si>
    <t xml:space="preserve">IC - EPI/Restructuring</t>
  </si>
  <si>
    <t xml:space="preserve">c)</t>
  </si>
  <si>
    <t xml:space="preserve">External BUs =</t>
  </si>
  <si>
    <t xml:space="preserve">External CTs = </t>
  </si>
  <si>
    <t xml:space="preserve">Notes:</t>
  </si>
  <si>
    <t xml:space="preserve">excludes 105659-HPL that will not be here in 2002, includes Murray</t>
  </si>
  <si>
    <t xml:space="preserve">a)  EIM allocation from Murray is for 6,525,540:  5M for external and remainder for internal.</t>
  </si>
  <si>
    <t xml:space="preserve">b)  EBS allocation is for 8M.  5M for external and 3M for internal.</t>
  </si>
  <si>
    <t xml:space="preserve">c)  EPI allocations is 900k.  650k for external and 250 for internal.</t>
  </si>
  <si>
    <t xml:space="preserve">2002 Internal legal billout to other business units (nonENA)</t>
  </si>
  <si>
    <t xml:space="preserve">L. Schuler - 105653</t>
  </si>
  <si>
    <t xml:space="preserve">L. Schuler (EBS) - 140567</t>
  </si>
  <si>
    <t xml:space="preserve">M. Haedicke - 105655</t>
  </si>
  <si>
    <t xml:space="preserve">M. Taylor - 105657</t>
  </si>
  <si>
    <t xml:space="preserve">J. Murray - 107062</t>
  </si>
  <si>
    <t xml:space="preserve">A. Aronowitz - 105658</t>
  </si>
  <si>
    <t xml:space="preserve">Total/month</t>
  </si>
  <si>
    <t xml:space="preserve">Total/year</t>
  </si>
  <si>
    <t xml:space="preserve">Enron Capital Management - CC 106196</t>
  </si>
  <si>
    <t xml:space="preserve">Enron Global Markets - CC 120484</t>
  </si>
  <si>
    <t xml:space="preserve">Enron Industrial Markets - CC 103478</t>
  </si>
  <si>
    <t xml:space="preserve">Enron South America - CC 102564</t>
  </si>
  <si>
    <t xml:space="preserve">Enron Networks - CC 140167</t>
  </si>
  <si>
    <t xml:space="preserve">EEL - CC 100663</t>
  </si>
  <si>
    <t xml:space="preserve">Enron Principal Investments - CC 140399</t>
  </si>
  <si>
    <t xml:space="preserve">Enron Broadband Services</t>
  </si>
  <si>
    <t xml:space="preserve">Total Monthly Internal Expenses for 2002 Plan</t>
  </si>
  <si>
    <t xml:space="preserve">Flat amount of 250k/yr</t>
  </si>
  <si>
    <t xml:space="preserve">Flat amount of $8M/yr</t>
  </si>
  <si>
    <t xml:space="preserve">Note:  These amounts are being billed to the above business units monthly.</t>
  </si>
  <si>
    <t xml:space="preserve">a) EBS internal is 3,000,000 for the year, and 5,000,000 for external for the year for a total of 8,000,000 flat rate billed.</t>
  </si>
  <si>
    <t xml:space="preserve">b) Murray internal is 1,525,540 for the year and 5M for external for the year = 6,525,540 2002 Plan.</t>
  </si>
  <si>
    <t xml:space="preserve">c) EPI interanl is 250k for the year and 650k for external for the year; 900k total.</t>
  </si>
  <si>
    <t xml:space="preserve">Public Relations</t>
  </si>
  <si>
    <t xml:space="preserve">Research</t>
  </si>
  <si>
    <t xml:space="preserve">     RAC</t>
  </si>
  <si>
    <t xml:space="preserve">     ETS</t>
  </si>
  <si>
    <t xml:space="preserve">     EIC</t>
  </si>
  <si>
    <t xml:space="preserve">     ESS</t>
  </si>
  <si>
    <t xml:space="preserve">     ECM</t>
  </si>
  <si>
    <t xml:space="preserve">     ELO</t>
  </si>
  <si>
    <t xml:space="preserve">Tax</t>
  </si>
  <si>
    <t xml:space="preserve">     EGF</t>
  </si>
  <si>
    <t xml:space="preserve">Treasury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</si>
</sst>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??_);_(@_)"/>
    <numFmt numFmtId="166" formatCode="0%"/>
    <numFmt numFmtId="167" formatCode="0.00%"/>
    <numFmt numFmtId="168" formatCode="0"/>
    <numFmt numFmtId="169" formatCode="_(* #,##0.00_);_(* \(#,##0.00\);_(* \-??_);_(@_)"/>
    <numFmt numFmtId="170" formatCode="_(* #,##0_);_(* \(#,##0\);_(* \-_);_(@_)"/>
    <numFmt numFmtId="171" formatCode="\$#,##0"/>
    <numFmt numFmtId="172" formatCode="0.0%"/>
    <numFmt numFmtId="173" formatCode="#,##0"/>
    <numFmt numFmtId="174" formatCode="_(\$* #,##0.00_);_(\$* \(#,##0.00\);_(\$* \-??_);_(@_)"/>
    <numFmt numFmtId="175" formatCode="0.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2" fontId="8" fillId="0" borderId="0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2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8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2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2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5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5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externalLink" Target="externalLinks/externalLink3.xml"/><Relationship Id="rId2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upportDetail-Presentation-Group-Rev-9.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2/2002%20Plan/Human%20Resources/Allocations%20to%20BUs%20091901v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2002/2002%20Plan/Legal/2001%20legal%20billout-rev-9.1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nada"/>
      <sheetName val="CABC"/>
      <sheetName val="CABC Explanations"/>
      <sheetName val="CABCAlloc"/>
      <sheetName val="eSource"/>
      <sheetName val="eSourceAlloc"/>
      <sheetName val="Fin Ops"/>
      <sheetName val="Fin Ops excl Wes"/>
      <sheetName val="Fin Ops Alloc yr on yr"/>
      <sheetName val="Fin_Ops Allocations"/>
      <sheetName val="Fin_Ops 2002 Plan Detail"/>
      <sheetName val="Fin_Ops 2001 Forecast Detail"/>
      <sheetName val="Fin-Ops Variance Analysis"/>
      <sheetName val="Elaine Allocations"/>
      <sheetName val="Empee Exp reduction"/>
      <sheetName val="HR"/>
      <sheetName val="HRAlloc"/>
      <sheetName val="Legal Revised "/>
      <sheetName val="LegalAlloc-old"/>
      <sheetName val="Legal - old"/>
      <sheetName val="LegalAlloc revised"/>
      <sheetName val="PR"/>
      <sheetName val="PRAlloc"/>
      <sheetName val="Research"/>
      <sheetName val="ResearchAlloc"/>
      <sheetName val="Tax"/>
      <sheetName val="TaxAlloc"/>
      <sheetName val="TechSvcs-Cons"/>
      <sheetName val="TranSup"/>
      <sheetName val="TranSup Orig 2001 Plan"/>
      <sheetName val="TranSuppAlloc"/>
      <sheetName val="Treasury"/>
      <sheetName val="TreasAlloc"/>
      <sheetName val="EnOps"/>
      <sheetName val="IT"/>
    </sheetNames>
    <sheetDataSet>
      <sheetData sheetId="0"/>
      <sheetData sheetId="1">
        <row r="56">
          <cell r="K56">
            <v>8067693.41904762</v>
          </cell>
        </row>
        <row r="56">
          <cell r="M56">
            <v>6707013.091</v>
          </cell>
        </row>
      </sheetData>
      <sheetData sheetId="2"/>
      <sheetData sheetId="3"/>
      <sheetData sheetId="4">
        <row r="56">
          <cell r="K56">
            <v>1094015.64571429</v>
          </cell>
        </row>
        <row r="56">
          <cell r="M56">
            <v>1727215.954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6">
          <cell r="P56">
            <v>53359418.4285714</v>
          </cell>
        </row>
        <row r="56">
          <cell r="R56">
            <v>57269780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52">
          <cell r="K52">
            <v>2832923.45571429</v>
          </cell>
        </row>
        <row r="52">
          <cell r="M52">
            <v>3641345.695125</v>
          </cell>
        </row>
      </sheetData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>
            <v>0.212357414448669</v>
          </cell>
        </row>
        <row r="2">
          <cell r="E2">
            <v>0.226600985221675</v>
          </cell>
        </row>
        <row r="2">
          <cell r="H2">
            <v>0.0716674242477434</v>
          </cell>
        </row>
        <row r="3">
          <cell r="B3">
            <v>0.079277566539924</v>
          </cell>
        </row>
        <row r="3">
          <cell r="E3">
            <v>0.0788177339901478</v>
          </cell>
        </row>
        <row r="3">
          <cell r="H3">
            <v>0.074328472298328</v>
          </cell>
        </row>
        <row r="4">
          <cell r="B4">
            <v>0.0347275031685678</v>
          </cell>
        </row>
        <row r="4">
          <cell r="E4">
            <v>0.0394088669950739</v>
          </cell>
        </row>
        <row r="4">
          <cell r="H4">
            <v>0.0361711129909026</v>
          </cell>
        </row>
        <row r="5">
          <cell r="B5">
            <v>0.0342205323193916</v>
          </cell>
        </row>
        <row r="5">
          <cell r="E5">
            <v>0.0295566502463054</v>
          </cell>
        </row>
        <row r="5">
          <cell r="H5">
            <v>0.0659988454647554</v>
          </cell>
        </row>
        <row r="6">
          <cell r="B6">
            <v>0.248098859315589</v>
          </cell>
        </row>
        <row r="6">
          <cell r="E6">
            <v>0.305418719211823</v>
          </cell>
        </row>
        <row r="6">
          <cell r="H6">
            <v>0.358721762806198</v>
          </cell>
        </row>
        <row r="7">
          <cell r="B7">
            <v>0.0190114068441065</v>
          </cell>
        </row>
        <row r="7">
          <cell r="E7">
            <v>0.0738916256157636</v>
          </cell>
        </row>
        <row r="7">
          <cell r="H7">
            <v>0.0351728765419624</v>
          </cell>
        </row>
        <row r="8">
          <cell r="B8">
            <v>0.261406844106464</v>
          </cell>
        </row>
        <row r="8">
          <cell r="E8">
            <v>0.246305418719212</v>
          </cell>
        </row>
        <row r="8">
          <cell r="H8">
            <v>0.242344335405005</v>
          </cell>
        </row>
        <row r="10">
          <cell r="B10">
            <v>0.110899873257288</v>
          </cell>
        </row>
        <row r="10">
          <cell r="H10">
            <v>0.115595170245105</v>
          </cell>
        </row>
        <row r="11">
          <cell r="B11">
            <v>0</v>
          </cell>
        </row>
        <row r="11">
          <cell r="H11">
            <v>0</v>
          </cell>
        </row>
        <row r="12">
          <cell r="B12">
            <v>0</v>
          </cell>
        </row>
        <row r="13">
          <cell r="B13">
            <v>0</v>
          </cell>
        </row>
        <row r="13">
          <cell r="H1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Summary ($)"/>
      <sheetName val="Allocations"/>
      <sheetName val="2002 Ext billout"/>
      <sheetName val="YTD Summary (%) - 105659"/>
      <sheetName val="Teams"/>
      <sheetName val="Teams (2)"/>
      <sheetName val="teams (plan $)"/>
      <sheetName val="teams (plan $-2)"/>
      <sheetName val="2001 Forecast-external legal"/>
      <sheetName val="2002 Plan-external legal"/>
      <sheetName val="2001 Plan-external legal"/>
      <sheetName val="2001 Forecast-ext legal-revised"/>
      <sheetName val="2002 Plan-extl legal revised"/>
      <sheetName val="Ext to ENA Comm Team"/>
      <sheetName val="YTD Summary ($) - 105659"/>
      <sheetName val="2001 Int Legal billout"/>
      <sheetName val="2002 Plan int legal billout"/>
      <sheetName val="YTD billout"/>
      <sheetName val="Jan ext legal"/>
      <sheetName val="Feb ext legal"/>
      <sheetName val="Mar ext legal"/>
      <sheetName val="Apr ext legal"/>
      <sheetName val="Jun ext legal"/>
      <sheetName val="May ext legal"/>
      <sheetName val="Jul ext leg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C7">
            <v>0.0138079223989612</v>
          </cell>
        </row>
        <row r="7">
          <cell r="E7">
            <v>0.0118350666225192</v>
          </cell>
        </row>
        <row r="9">
          <cell r="D9">
            <v>0.0034129589554713</v>
          </cell>
          <cell r="E9">
            <v>0.0236701332450384</v>
          </cell>
        </row>
        <row r="9">
          <cell r="G9">
            <v>0.0943240118909663</v>
          </cell>
        </row>
        <row r="11">
          <cell r="D11">
            <v>0.00170647344975376</v>
          </cell>
          <cell r="E11">
            <v>0.00473402832125967</v>
          </cell>
        </row>
        <row r="11">
          <cell r="G11">
            <v>0.0223819656689007</v>
          </cell>
        </row>
        <row r="13">
          <cell r="E13">
            <v>0.00355052124094476</v>
          </cell>
        </row>
        <row r="15">
          <cell r="D15">
            <v>0.0034129589554713</v>
          </cell>
          <cell r="E15">
            <v>0.015385587863464</v>
          </cell>
        </row>
        <row r="15">
          <cell r="G15">
            <v>0.00159871264025083</v>
          </cell>
        </row>
        <row r="17">
          <cell r="D17">
            <v>0.00170647344975376</v>
          </cell>
          <cell r="E17">
            <v>0.00118350708031492</v>
          </cell>
        </row>
        <row r="17">
          <cell r="G17">
            <v>0.00879291669772685</v>
          </cell>
        </row>
      </sheetData>
      <sheetData sheetId="16"/>
      <sheetData sheetId="17"/>
      <sheetData sheetId="18">
        <row r="9">
          <cell r="M9">
            <v>3654.11</v>
          </cell>
        </row>
        <row r="17">
          <cell r="E17">
            <v>10051.88</v>
          </cell>
        </row>
        <row r="19">
          <cell r="E19">
            <v>6382.12</v>
          </cell>
        </row>
        <row r="20">
          <cell r="G20">
            <v>20093.13</v>
          </cell>
        </row>
        <row r="20">
          <cell r="K20">
            <v>12087.09</v>
          </cell>
        </row>
        <row r="43">
          <cell r="E43">
            <v>-2050.8</v>
          </cell>
        </row>
        <row r="43">
          <cell r="G43">
            <v>120</v>
          </cell>
        </row>
        <row r="44">
          <cell r="G44">
            <v>95476.21</v>
          </cell>
        </row>
        <row r="51">
          <cell r="F51">
            <v>4407.26</v>
          </cell>
        </row>
        <row r="52">
          <cell r="F52">
            <v>-91481.03</v>
          </cell>
        </row>
        <row r="54">
          <cell r="G54">
            <v>40550.04</v>
          </cell>
        </row>
        <row r="54">
          <cell r="L54">
            <v>4248.44</v>
          </cell>
        </row>
        <row r="66">
          <cell r="E66">
            <v>17123.79</v>
          </cell>
        </row>
        <row r="66">
          <cell r="G66">
            <v>3317.09</v>
          </cell>
        </row>
        <row r="66">
          <cell r="I66">
            <v>-2142.66</v>
          </cell>
        </row>
        <row r="69">
          <cell r="E69">
            <v>5895.16</v>
          </cell>
        </row>
        <row r="70">
          <cell r="E70">
            <v>831.92</v>
          </cell>
        </row>
        <row r="71">
          <cell r="E71">
            <v>2993</v>
          </cell>
        </row>
        <row r="71">
          <cell r="G71">
            <v>169972.5</v>
          </cell>
        </row>
      </sheetData>
      <sheetData sheetId="19">
        <row r="7">
          <cell r="G7">
            <v>96652.66</v>
          </cell>
        </row>
        <row r="7">
          <cell r="I7">
            <v>64130.38</v>
          </cell>
        </row>
        <row r="9">
          <cell r="F9">
            <v>17528.4</v>
          </cell>
        </row>
        <row r="9">
          <cell r="M9">
            <v>4138.71</v>
          </cell>
        </row>
        <row r="13">
          <cell r="K13">
            <v>11214.54</v>
          </cell>
        </row>
        <row r="14">
          <cell r="E14">
            <v>53730.06</v>
          </cell>
        </row>
        <row r="14">
          <cell r="H14">
            <v>5009.38</v>
          </cell>
        </row>
        <row r="17">
          <cell r="E17">
            <v>11088.58</v>
          </cell>
        </row>
        <row r="17">
          <cell r="K17">
            <v>967.5</v>
          </cell>
        </row>
        <row r="18">
          <cell r="E18">
            <v>4326.12</v>
          </cell>
        </row>
        <row r="19">
          <cell r="E19">
            <v>211359.68</v>
          </cell>
        </row>
        <row r="20">
          <cell r="G20">
            <v>1199.61</v>
          </cell>
        </row>
        <row r="20">
          <cell r="K20">
            <v>149.98</v>
          </cell>
        </row>
        <row r="21">
          <cell r="G21">
            <v>3361.48</v>
          </cell>
        </row>
        <row r="22">
          <cell r="G22">
            <v>10353.23</v>
          </cell>
        </row>
        <row r="43">
          <cell r="E43">
            <v>90314.57</v>
          </cell>
        </row>
        <row r="44">
          <cell r="G44">
            <v>52756.92</v>
          </cell>
          <cell r="H44">
            <v>873.08</v>
          </cell>
        </row>
        <row r="51">
          <cell r="F51">
            <v>10097.17</v>
          </cell>
          <cell r="G51">
            <v>671</v>
          </cell>
        </row>
        <row r="52">
          <cell r="F52">
            <v>26342.15</v>
          </cell>
        </row>
        <row r="54">
          <cell r="G54">
            <v>218680.75</v>
          </cell>
          <cell r="H54">
            <v>42686.85</v>
          </cell>
        </row>
        <row r="55">
          <cell r="G55">
            <v>2325</v>
          </cell>
          <cell r="H55">
            <v>1991.64</v>
          </cell>
        </row>
        <row r="60">
          <cell r="G60">
            <v>13150.35</v>
          </cell>
        </row>
        <row r="61">
          <cell r="E61">
            <v>1948.94</v>
          </cell>
          <cell r="F61">
            <v>149618.09</v>
          </cell>
          <cell r="G61">
            <v>4508.84</v>
          </cell>
        </row>
        <row r="61">
          <cell r="I61">
            <v>1699.52</v>
          </cell>
        </row>
        <row r="64">
          <cell r="H64">
            <v>846.19</v>
          </cell>
        </row>
        <row r="66">
          <cell r="E66">
            <v>23857.77</v>
          </cell>
        </row>
        <row r="66">
          <cell r="G66">
            <v>150</v>
          </cell>
          <cell r="H66">
            <v>19336.4</v>
          </cell>
        </row>
        <row r="69">
          <cell r="E69">
            <v>13543.75</v>
          </cell>
        </row>
        <row r="69">
          <cell r="H69">
            <v>10556.15</v>
          </cell>
        </row>
        <row r="70">
          <cell r="E70">
            <v>1408.38</v>
          </cell>
        </row>
        <row r="71">
          <cell r="E71">
            <v>6465.35</v>
          </cell>
        </row>
        <row r="71">
          <cell r="G71">
            <v>28612.79</v>
          </cell>
        </row>
      </sheetData>
      <sheetData sheetId="20">
        <row r="7">
          <cell r="I7">
            <v>32500.53</v>
          </cell>
        </row>
        <row r="11">
          <cell r="L11">
            <v>16627.85</v>
          </cell>
        </row>
        <row r="14">
          <cell r="E14">
            <v>21155.8</v>
          </cell>
        </row>
        <row r="17">
          <cell r="E17">
            <v>46042.62</v>
          </cell>
        </row>
        <row r="17">
          <cell r="K17">
            <v>12013.1</v>
          </cell>
        </row>
        <row r="19">
          <cell r="E19">
            <v>61996.29</v>
          </cell>
        </row>
        <row r="20">
          <cell r="G20">
            <v>85146.36</v>
          </cell>
        </row>
        <row r="21">
          <cell r="G21">
            <v>10965.59</v>
          </cell>
          <cell r="H21">
            <v>6303.86</v>
          </cell>
        </row>
        <row r="22">
          <cell r="G22">
            <v>298587.59</v>
          </cell>
          <cell r="H22">
            <v>873.08</v>
          </cell>
        </row>
        <row r="43">
          <cell r="E43">
            <v>172641.53</v>
          </cell>
        </row>
        <row r="44">
          <cell r="G44">
            <v>-148233.13</v>
          </cell>
          <cell r="H44">
            <v>-873.08</v>
          </cell>
        </row>
        <row r="51">
          <cell r="F51">
            <v>17071.85</v>
          </cell>
          <cell r="G51">
            <v>1589.2</v>
          </cell>
        </row>
        <row r="52">
          <cell r="F52">
            <v>27288.26</v>
          </cell>
        </row>
        <row r="53">
          <cell r="G53">
            <v>10671.37</v>
          </cell>
        </row>
        <row r="54">
          <cell r="G54">
            <v>482430.7</v>
          </cell>
          <cell r="H54">
            <v>5968.86</v>
          </cell>
        </row>
        <row r="54">
          <cell r="L54">
            <v>249645.29</v>
          </cell>
        </row>
        <row r="55">
          <cell r="H55">
            <v>3969.18</v>
          </cell>
        </row>
        <row r="55">
          <cell r="L55">
            <v>41307.05</v>
          </cell>
        </row>
        <row r="56">
          <cell r="E56">
            <v>2079.1</v>
          </cell>
        </row>
        <row r="57">
          <cell r="E57">
            <v>-130.16</v>
          </cell>
          <cell r="F57">
            <v>52137.87</v>
          </cell>
        </row>
        <row r="60">
          <cell r="G60">
            <v>34103.28</v>
          </cell>
        </row>
        <row r="61">
          <cell r="E61">
            <v>-1948.94</v>
          </cell>
          <cell r="F61">
            <v>-149618.09</v>
          </cell>
          <cell r="G61">
            <v>-4508.84</v>
          </cell>
        </row>
        <row r="64">
          <cell r="H64">
            <v>954.21</v>
          </cell>
        </row>
        <row r="66">
          <cell r="E66">
            <v>12033.81</v>
          </cell>
        </row>
        <row r="66">
          <cell r="G66">
            <v>44351.99</v>
          </cell>
          <cell r="H66">
            <v>46506.12</v>
          </cell>
          <cell r="I66">
            <v>239865.85</v>
          </cell>
        </row>
        <row r="69">
          <cell r="E69">
            <v>1156.06</v>
          </cell>
        </row>
        <row r="69">
          <cell r="H69">
            <v>6937.77</v>
          </cell>
        </row>
        <row r="70">
          <cell r="E70">
            <v>183982.21</v>
          </cell>
          <cell r="F70">
            <v>17697.36</v>
          </cell>
        </row>
        <row r="71">
          <cell r="E71">
            <v>49833.85</v>
          </cell>
        </row>
        <row r="71">
          <cell r="G71">
            <v>33293.82</v>
          </cell>
        </row>
        <row r="73">
          <cell r="E73">
            <v>2990.73</v>
          </cell>
        </row>
      </sheetData>
      <sheetData sheetId="21">
        <row r="7">
          <cell r="G7">
            <v>40011.79</v>
          </cell>
        </row>
        <row r="7">
          <cell r="I7">
            <v>48035.21</v>
          </cell>
        </row>
        <row r="8">
          <cell r="I8">
            <v>3413.77</v>
          </cell>
        </row>
        <row r="11">
          <cell r="L11">
            <v>4522.17</v>
          </cell>
        </row>
        <row r="14">
          <cell r="E14">
            <v>1140</v>
          </cell>
        </row>
        <row r="17">
          <cell r="E17">
            <v>16787.4</v>
          </cell>
        </row>
        <row r="19">
          <cell r="E19">
            <v>27809.62</v>
          </cell>
        </row>
        <row r="20">
          <cell r="I20">
            <v>34787.31</v>
          </cell>
        </row>
        <row r="21">
          <cell r="G21">
            <v>7160.43</v>
          </cell>
          <cell r="H21">
            <v>646.71</v>
          </cell>
        </row>
        <row r="22">
          <cell r="G22">
            <v>20934.95</v>
          </cell>
        </row>
        <row r="43">
          <cell r="E43">
            <v>35259.09</v>
          </cell>
        </row>
        <row r="51">
          <cell r="F51">
            <v>37428.65</v>
          </cell>
          <cell r="G51">
            <v>10146.04</v>
          </cell>
        </row>
        <row r="52">
          <cell r="F52">
            <v>281806.47</v>
          </cell>
        </row>
        <row r="53">
          <cell r="G53">
            <v>1450.83</v>
          </cell>
        </row>
        <row r="54">
          <cell r="G54">
            <v>616960.9</v>
          </cell>
          <cell r="H54">
            <v>1648</v>
          </cell>
        </row>
        <row r="54">
          <cell r="L54">
            <v>542062.91</v>
          </cell>
        </row>
        <row r="55">
          <cell r="H55">
            <v>648</v>
          </cell>
        </row>
        <row r="55">
          <cell r="L55">
            <v>-4758.79</v>
          </cell>
        </row>
        <row r="57">
          <cell r="F57">
            <v>21182.83</v>
          </cell>
        </row>
        <row r="61">
          <cell r="E61">
            <v>55217.6</v>
          </cell>
        </row>
        <row r="62">
          <cell r="F62">
            <v>213451.93</v>
          </cell>
        </row>
        <row r="63">
          <cell r="L63">
            <v>31742.32</v>
          </cell>
        </row>
        <row r="66">
          <cell r="E66">
            <v>659.61</v>
          </cell>
        </row>
        <row r="66">
          <cell r="G66">
            <v>266021.62</v>
          </cell>
          <cell r="H66">
            <v>4975</v>
          </cell>
          <cell r="I66">
            <v>14733.59</v>
          </cell>
        </row>
        <row r="67">
          <cell r="E67">
            <v>108674.32</v>
          </cell>
        </row>
        <row r="69">
          <cell r="E69">
            <v>88.73</v>
          </cell>
        </row>
        <row r="69">
          <cell r="H69">
            <v>777.51</v>
          </cell>
        </row>
        <row r="70">
          <cell r="E70">
            <v>33917.99</v>
          </cell>
          <cell r="F70">
            <v>4062.6</v>
          </cell>
        </row>
        <row r="71">
          <cell r="E71">
            <v>25442.29</v>
          </cell>
        </row>
        <row r="71">
          <cell r="G71">
            <v>225155.75</v>
          </cell>
        </row>
        <row r="72">
          <cell r="E72">
            <v>335.25</v>
          </cell>
        </row>
      </sheetData>
      <sheetData sheetId="22">
        <row r="5">
          <cell r="E5">
            <v>7972.89</v>
          </cell>
        </row>
        <row r="7">
          <cell r="G7">
            <v>7079.27</v>
          </cell>
        </row>
        <row r="7">
          <cell r="I7">
            <v>3323.18</v>
          </cell>
        </row>
        <row r="11">
          <cell r="L11">
            <v>2708.28</v>
          </cell>
        </row>
        <row r="14">
          <cell r="E14">
            <v>2238.3</v>
          </cell>
        </row>
        <row r="14">
          <cell r="H14">
            <v>2034.18</v>
          </cell>
        </row>
        <row r="17">
          <cell r="E17">
            <v>3618.93</v>
          </cell>
        </row>
        <row r="19">
          <cell r="E19">
            <v>21739.34</v>
          </cell>
        </row>
        <row r="20">
          <cell r="G20">
            <v>215.5</v>
          </cell>
        </row>
        <row r="20">
          <cell r="K20">
            <v>817.42</v>
          </cell>
        </row>
        <row r="21">
          <cell r="H21">
            <v>7214.68</v>
          </cell>
        </row>
        <row r="22">
          <cell r="G22">
            <v>52143.53</v>
          </cell>
        </row>
        <row r="43">
          <cell r="E43">
            <v>9930.57</v>
          </cell>
        </row>
        <row r="46">
          <cell r="I46">
            <v>3015</v>
          </cell>
        </row>
        <row r="51">
          <cell r="F51">
            <v>31027.24</v>
          </cell>
        </row>
        <row r="51">
          <cell r="H51">
            <v>2034.18</v>
          </cell>
        </row>
        <row r="52">
          <cell r="F52">
            <v>611624.81</v>
          </cell>
        </row>
        <row r="54">
          <cell r="G54">
            <v>330798.14</v>
          </cell>
          <cell r="H54">
            <v>2034.18</v>
          </cell>
        </row>
        <row r="54">
          <cell r="L54">
            <v>143236.31</v>
          </cell>
        </row>
        <row r="55">
          <cell r="H55">
            <v>2034.18</v>
          </cell>
        </row>
        <row r="55">
          <cell r="L55">
            <v>49891.57</v>
          </cell>
        </row>
        <row r="57">
          <cell r="F57">
            <v>16894.28</v>
          </cell>
        </row>
        <row r="61">
          <cell r="E61">
            <v>1909.03</v>
          </cell>
        </row>
        <row r="62">
          <cell r="F62">
            <v>182653.29</v>
          </cell>
        </row>
        <row r="64">
          <cell r="H64">
            <v>2034.18</v>
          </cell>
        </row>
        <row r="66">
          <cell r="E66">
            <v>11817.53</v>
          </cell>
        </row>
        <row r="66">
          <cell r="G66">
            <v>197874.22</v>
          </cell>
          <cell r="H66">
            <v>10170.9</v>
          </cell>
          <cell r="I66">
            <v>342446.85</v>
          </cell>
        </row>
        <row r="69">
          <cell r="H69">
            <v>40108</v>
          </cell>
        </row>
        <row r="70">
          <cell r="E70">
            <v>3056.65</v>
          </cell>
        </row>
        <row r="71">
          <cell r="E71">
            <v>27142.15</v>
          </cell>
        </row>
        <row r="71">
          <cell r="G71">
            <v>1014534.78</v>
          </cell>
        </row>
        <row r="73">
          <cell r="F73">
            <v>11929.71</v>
          </cell>
        </row>
      </sheetData>
      <sheetData sheetId="23">
        <row r="7">
          <cell r="I7">
            <v>-515.91</v>
          </cell>
        </row>
        <row r="8">
          <cell r="I8">
            <v>428.04</v>
          </cell>
        </row>
        <row r="11">
          <cell r="L11">
            <v>650</v>
          </cell>
        </row>
        <row r="14">
          <cell r="E14">
            <v>16880.35</v>
          </cell>
        </row>
        <row r="17">
          <cell r="E17">
            <v>11653.84</v>
          </cell>
        </row>
        <row r="19">
          <cell r="E19">
            <v>3447.15</v>
          </cell>
        </row>
        <row r="20">
          <cell r="E20">
            <v>148.63</v>
          </cell>
        </row>
        <row r="20">
          <cell r="I20">
            <v>-34787.31</v>
          </cell>
        </row>
        <row r="22">
          <cell r="G22">
            <v>55564.48</v>
          </cell>
        </row>
        <row r="43">
          <cell r="E43">
            <v>22627.7</v>
          </cell>
        </row>
        <row r="45">
          <cell r="E45">
            <v>1029.82</v>
          </cell>
        </row>
        <row r="46">
          <cell r="I46">
            <v>37399.62</v>
          </cell>
        </row>
        <row r="51">
          <cell r="F51">
            <v>13438.34</v>
          </cell>
        </row>
        <row r="52">
          <cell r="F52">
            <v>537903.03</v>
          </cell>
        </row>
        <row r="53">
          <cell r="G53">
            <v>7579.77</v>
          </cell>
        </row>
        <row r="54">
          <cell r="G54">
            <v>263053.42</v>
          </cell>
        </row>
        <row r="57">
          <cell r="E57">
            <v>460.1</v>
          </cell>
          <cell r="F57">
            <v>-12246.53</v>
          </cell>
        </row>
        <row r="60">
          <cell r="G60">
            <v>5871.73</v>
          </cell>
        </row>
        <row r="61">
          <cell r="E61">
            <v>1211.51</v>
          </cell>
        </row>
        <row r="62">
          <cell r="F62">
            <v>126170.36</v>
          </cell>
        </row>
        <row r="66">
          <cell r="E66">
            <v>9963.84</v>
          </cell>
        </row>
        <row r="66">
          <cell r="G66">
            <v>3315.37</v>
          </cell>
          <cell r="H66">
            <v>34253.11</v>
          </cell>
          <cell r="I66">
            <v>46452.82</v>
          </cell>
        </row>
        <row r="66">
          <cell r="K66">
            <v>462.9</v>
          </cell>
        </row>
        <row r="69">
          <cell r="E69">
            <v>33228.26</v>
          </cell>
        </row>
        <row r="70">
          <cell r="E70">
            <v>596.97</v>
          </cell>
        </row>
        <row r="71">
          <cell r="E71">
            <v>14777.71</v>
          </cell>
        </row>
        <row r="71">
          <cell r="G71">
            <v>198060.57</v>
          </cell>
        </row>
        <row r="73">
          <cell r="F73">
            <v>117895.92</v>
          </cell>
        </row>
      </sheetData>
      <sheetData sheetId="24">
        <row r="5">
          <cell r="E5">
            <v>599540.4</v>
          </cell>
        </row>
        <row r="7">
          <cell r="G7">
            <v>97224.13</v>
          </cell>
          <cell r="H7">
            <v>10621.78</v>
          </cell>
          <cell r="I7">
            <v>30200.69</v>
          </cell>
        </row>
        <row r="7">
          <cell r="K7">
            <v>7660.52</v>
          </cell>
        </row>
        <row r="11">
          <cell r="L11">
            <v>4354.47</v>
          </cell>
        </row>
        <row r="14">
          <cell r="E14">
            <v>154.6</v>
          </cell>
        </row>
        <row r="17">
          <cell r="E17">
            <v>3303.25</v>
          </cell>
        </row>
        <row r="18">
          <cell r="E18">
            <v>16475.82</v>
          </cell>
        </row>
        <row r="19">
          <cell r="E19">
            <v>730663.66</v>
          </cell>
        </row>
        <row r="20">
          <cell r="G20">
            <v>1772.13</v>
          </cell>
        </row>
        <row r="20">
          <cell r="K20">
            <v>2685.6</v>
          </cell>
        </row>
        <row r="21">
          <cell r="G21">
            <v>14981.01</v>
          </cell>
          <cell r="H21">
            <v>718.4</v>
          </cell>
        </row>
        <row r="22">
          <cell r="G22">
            <v>56259.95</v>
          </cell>
        </row>
        <row r="43">
          <cell r="E43">
            <v>51307.49</v>
          </cell>
        </row>
        <row r="46">
          <cell r="I46">
            <v>6708.58</v>
          </cell>
        </row>
        <row r="51">
          <cell r="F51">
            <v>24936.76</v>
          </cell>
        </row>
        <row r="52">
          <cell r="F52">
            <v>136846.82</v>
          </cell>
        </row>
        <row r="53">
          <cell r="G53">
            <v>135982.74</v>
          </cell>
        </row>
        <row r="54">
          <cell r="G54">
            <v>559901.56</v>
          </cell>
          <cell r="H54">
            <v>359.2</v>
          </cell>
        </row>
        <row r="54">
          <cell r="L54">
            <v>33373.76</v>
          </cell>
        </row>
        <row r="55">
          <cell r="H55">
            <v>1109.2</v>
          </cell>
        </row>
        <row r="55">
          <cell r="L55">
            <v>9221.34</v>
          </cell>
        </row>
        <row r="56">
          <cell r="E56">
            <v>5873.51</v>
          </cell>
        </row>
        <row r="57">
          <cell r="F57">
            <v>-29889.61</v>
          </cell>
        </row>
        <row r="61">
          <cell r="E61">
            <v>5036.25</v>
          </cell>
        </row>
        <row r="62">
          <cell r="F62">
            <v>232454.22</v>
          </cell>
        </row>
        <row r="66">
          <cell r="E66">
            <v>15747.06</v>
          </cell>
        </row>
        <row r="66">
          <cell r="G66">
            <v>19874.25</v>
          </cell>
          <cell r="H66">
            <v>2155.2</v>
          </cell>
          <cell r="I66">
            <v>72585.05</v>
          </cell>
        </row>
        <row r="69">
          <cell r="E69">
            <v>85142.65</v>
          </cell>
        </row>
        <row r="69">
          <cell r="H69">
            <v>4774.27</v>
          </cell>
        </row>
        <row r="70">
          <cell r="E70">
            <v>-88265.66</v>
          </cell>
        </row>
        <row r="71">
          <cell r="E71">
            <v>57041.22</v>
          </cell>
        </row>
        <row r="71">
          <cell r="G71">
            <v>329379.89</v>
          </cell>
        </row>
        <row r="73">
          <cell r="F73">
            <v>9687.44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.13"/>
    <col collapsed="false" customWidth="true" hidden="false" outlineLevel="0" max="3" min="3" style="0" width="10.28"/>
    <col collapsed="false" customWidth="true" hidden="false" outlineLevel="0" max="4" min="4" style="0" width="2.13"/>
    <col collapsed="false" customWidth="true" hidden="false" outlineLevel="0" max="5" min="5" style="0" width="7.7"/>
    <col collapsed="false" customWidth="true" hidden="false" outlineLevel="0" max="6" min="6" style="0" width="1.7"/>
    <col collapsed="false" customWidth="true" hidden="false" outlineLevel="0" max="7" min="7" style="0" width="7.42"/>
    <col collapsed="false" customWidth="true" hidden="false" outlineLevel="0" max="8" min="8" style="0" width="2.13"/>
    <col collapsed="false" customWidth="true" hidden="false" outlineLevel="0" max="9" min="9" style="0" width="11.28"/>
    <col collapsed="false" customWidth="true" hidden="false" outlineLevel="0" max="10" min="10" style="0" width="2.13"/>
    <col collapsed="false" customWidth="true" hidden="false" outlineLevel="0" max="12" min="12" style="0" width="1.85"/>
    <col collapsed="false" customWidth="true" hidden="false" outlineLevel="0" max="13" min="13" style="0" width="7.7"/>
    <col collapsed="false" customWidth="true" hidden="false" outlineLevel="0" max="14" min="14" style="0" width="2.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4" t="s">
        <v>4</v>
      </c>
      <c r="D5" s="5"/>
      <c r="E5" s="4" t="s">
        <v>5</v>
      </c>
      <c r="F5" s="6"/>
      <c r="G5" s="4" t="s">
        <v>6</v>
      </c>
      <c r="I5" s="4" t="s">
        <v>4</v>
      </c>
      <c r="J5" s="5"/>
      <c r="K5" s="4" t="s">
        <v>5</v>
      </c>
      <c r="L5" s="6"/>
      <c r="M5" s="4" t="s">
        <v>6</v>
      </c>
    </row>
    <row r="7" customFormat="false" ht="12.75" hidden="false" customHeight="false" outlineLevel="0" collapsed="false">
      <c r="A7" s="0" t="s">
        <v>7</v>
      </c>
      <c r="C7" s="7" t="n">
        <f aca="false">+[1]CABC!K56</f>
        <v>8067693.41904762</v>
      </c>
      <c r="E7" s="8" t="n">
        <f aca="false">SUM(E9:E15)-E13</f>
        <v>0.999999876048835</v>
      </c>
      <c r="F7" s="8"/>
      <c r="G7" s="0" t="n">
        <v>27</v>
      </c>
      <c r="I7" s="7" t="n">
        <f aca="false">[1]CABC!M56</f>
        <v>6707013.091</v>
      </c>
      <c r="K7" s="8" t="n">
        <f aca="false">SUM(K9:K15)-K13</f>
        <v>1</v>
      </c>
      <c r="L7" s="8"/>
      <c r="M7" s="0" t="n">
        <v>27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10"/>
    </row>
    <row r="9" customFormat="false" ht="12.75" hidden="false" customHeight="false" outlineLevel="0" collapsed="false">
      <c r="A9" s="0" t="s">
        <v>9</v>
      </c>
      <c r="C9" s="11" t="n">
        <f aca="false">375000+166095.86+(125000*6)+1424571</f>
        <v>2715666.86</v>
      </c>
      <c r="E9" s="8" t="n">
        <f aca="false">C9/$C$7</f>
        <v>0.336610071670346</v>
      </c>
      <c r="F9" s="8"/>
      <c r="G9" s="10" t="n">
        <f aca="false">+G$7*E9</f>
        <v>9.08847193509934</v>
      </c>
      <c r="I9" s="11" t="n">
        <v>2249474</v>
      </c>
      <c r="K9" s="8" t="n">
        <f aca="false">I9/$I$7</f>
        <v>0.335391323899236</v>
      </c>
      <c r="L9" s="8"/>
      <c r="M9" s="10" t="n">
        <f aca="false">+M$7*K9</f>
        <v>9.05556574527938</v>
      </c>
    </row>
    <row r="10" customFormat="false" ht="12.75" hidden="false" customHeight="false" outlineLevel="0" collapsed="false">
      <c r="A10" s="0" t="s">
        <v>10</v>
      </c>
      <c r="C10" s="11" t="n">
        <f aca="false">96000+350607.84+(50000*6)+856534</f>
        <v>1603141.84</v>
      </c>
      <c r="E10" s="8" t="n">
        <f aca="false">C10/$C$7</f>
        <v>0.198711299095107</v>
      </c>
      <c r="F10" s="8"/>
      <c r="G10" s="10" t="n">
        <f aca="false">+G$7*E10</f>
        <v>5.36520507556789</v>
      </c>
      <c r="I10" s="11" t="n">
        <v>492306</v>
      </c>
      <c r="K10" s="8" t="n">
        <f aca="false">I10/$I$7</f>
        <v>0.0734016757266532</v>
      </c>
      <c r="L10" s="8"/>
      <c r="M10" s="10" t="n">
        <f aca="false">+M$7*K10</f>
        <v>1.98184524461964</v>
      </c>
    </row>
    <row r="11" customFormat="false" ht="12.75" hidden="false" customHeight="false" outlineLevel="0" collapsed="false">
      <c r="A11" s="12" t="s">
        <v>11</v>
      </c>
      <c r="C11" s="11" t="n">
        <v>784062</v>
      </c>
      <c r="E11" s="8" t="n">
        <f aca="false">C11/$C$7</f>
        <v>0.097185398511655</v>
      </c>
      <c r="F11" s="8"/>
      <c r="G11" s="10" t="n">
        <f aca="false">+G$7*E11</f>
        <v>2.62400575981469</v>
      </c>
      <c r="I11" s="11" t="n">
        <v>843732</v>
      </c>
      <c r="K11" s="8" t="n">
        <f aca="false">I11/$I$7</f>
        <v>0.125798472218906</v>
      </c>
      <c r="L11" s="8"/>
      <c r="M11" s="10" t="n">
        <v>4</v>
      </c>
    </row>
    <row r="12" customFormat="false" ht="12.75" hidden="false" customHeight="false" outlineLevel="0" collapsed="false">
      <c r="A12" s="12" t="s">
        <v>12</v>
      </c>
      <c r="C12" s="13" t="n">
        <v>522951</v>
      </c>
      <c r="E12" s="14" t="n">
        <f aca="false">C12/$C$7</f>
        <v>0.0648203858075873</v>
      </c>
      <c r="F12" s="8"/>
      <c r="G12" s="15" t="n">
        <f aca="false">+G$7*E12</f>
        <v>1.75015041680486</v>
      </c>
      <c r="I12" s="13" t="n">
        <v>559671</v>
      </c>
      <c r="K12" s="14" t="n">
        <f aca="false">I12/$I$7</f>
        <v>0.0834456400198489</v>
      </c>
      <c r="L12" s="8"/>
      <c r="M12" s="15" t="n">
        <f aca="false">+M$7*K12</f>
        <v>2.25303228053592</v>
      </c>
    </row>
    <row r="13" customFormat="false" ht="12.75" hidden="false" customHeight="false" outlineLevel="0" collapsed="false">
      <c r="A13" s="0" t="s">
        <v>13</v>
      </c>
      <c r="C13" s="11" t="n">
        <f aca="false">SUM(C9:C12)</f>
        <v>5625821.7</v>
      </c>
      <c r="E13" s="8" t="n">
        <f aca="false">C13/$C$7</f>
        <v>0.697327155084696</v>
      </c>
      <c r="F13" s="8"/>
      <c r="G13" s="10" t="n">
        <f aca="false">SUM(G9:G12)</f>
        <v>18.8278331872868</v>
      </c>
      <c r="I13" s="11" t="n">
        <f aca="false">SUM(I9:I12)</f>
        <v>4145183</v>
      </c>
      <c r="K13" s="8" t="n">
        <f aca="false">I13/$I$7</f>
        <v>0.618037111864644</v>
      </c>
      <c r="L13" s="8"/>
      <c r="M13" s="10" t="n">
        <f aca="false">SUM(M9:M12)</f>
        <v>17.2904432704349</v>
      </c>
    </row>
    <row r="14" customFormat="false" ht="12.75" hidden="false" customHeight="false" outlineLevel="0" collapsed="false">
      <c r="C14" s="11"/>
      <c r="I14" s="11"/>
      <c r="M14" s="10"/>
    </row>
    <row r="15" customFormat="false" ht="12.75" hidden="false" customHeight="false" outlineLevel="0" collapsed="false">
      <c r="A15" s="0" t="s">
        <v>14</v>
      </c>
      <c r="C15" s="16" t="n">
        <f aca="false">C7-C13-1</f>
        <v>2441870.71904762</v>
      </c>
      <c r="E15" s="8" t="n">
        <f aca="false">C15/$C$7</f>
        <v>0.302672720964139</v>
      </c>
      <c r="F15" s="8"/>
      <c r="G15" s="10" t="n">
        <f aca="false">+G$7*E15</f>
        <v>8.17216346603176</v>
      </c>
      <c r="I15" s="11" t="n">
        <f aca="false">I7-I13</f>
        <v>2561830.091</v>
      </c>
      <c r="K15" s="8" t="n">
        <f aca="false">I15/I7</f>
        <v>0.381962888135356</v>
      </c>
      <c r="L15" s="8"/>
      <c r="M15" s="10" t="n">
        <f aca="false">+M$7*K15</f>
        <v>10.3129979796546</v>
      </c>
    </row>
    <row r="16" customFormat="false" ht="12.75" hidden="false" customHeight="false" outlineLevel="0" collapsed="false">
      <c r="M16" s="10"/>
    </row>
    <row r="17" customFormat="false" ht="12.75" hidden="false" customHeight="false" outlineLevel="0" collapsed="false">
      <c r="M17" s="10"/>
    </row>
    <row r="18" customFormat="false" ht="12.75" hidden="false" customHeight="false" outlineLevel="0" collapsed="false">
      <c r="A18" s="0" t="s">
        <v>15</v>
      </c>
    </row>
    <row r="19" customFormat="false" ht="12.75" hidden="false" customHeight="false" outlineLevel="0" collapsed="false">
      <c r="A19" s="17" t="s">
        <v>16</v>
      </c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.85"/>
    <col collapsed="false" customWidth="true" hidden="false" outlineLevel="0" max="3" min="3" style="0" width="10.28"/>
    <col collapsed="false" customWidth="true" hidden="false" outlineLevel="0" max="4" min="4" style="0" width="1.85"/>
    <col collapsed="false" customWidth="true" hidden="false" outlineLevel="0" max="5" min="5" style="0" width="7.85"/>
    <col collapsed="false" customWidth="true" hidden="false" outlineLevel="0" max="6" min="6" style="0" width="2.13"/>
    <col collapsed="false" customWidth="true" hidden="false" outlineLevel="0" max="7" min="7" style="0" width="5.71"/>
    <col collapsed="false" customWidth="true" hidden="false" outlineLevel="0" max="8" min="8" style="0" width="1.85"/>
    <col collapsed="false" customWidth="true" hidden="false" outlineLevel="0" max="9" min="9" style="0" width="11.28"/>
    <col collapsed="false" customWidth="true" hidden="false" outlineLevel="0" max="10" min="10" style="0" width="1.85"/>
    <col collapsed="false" customWidth="true" hidden="false" outlineLevel="0" max="12" min="12" style="0" width="1.85"/>
    <col collapsed="false" customWidth="true" hidden="false" outlineLevel="0" max="13" min="13" style="0" width="5.71"/>
    <col collapsed="false" customWidth="true" hidden="false" outlineLevel="0" max="14" min="14" style="0" width="1.85"/>
  </cols>
  <sheetData>
    <row r="1" customFormat="false" ht="15.75" hidden="false" customHeight="false" outlineLevel="0" collapsed="false">
      <c r="A1" s="200" t="s">
        <v>286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4" t="s">
        <v>4</v>
      </c>
      <c r="D5" s="5"/>
      <c r="E5" s="4" t="s">
        <v>5</v>
      </c>
      <c r="F5" s="6"/>
      <c r="G5" s="4" t="s">
        <v>6</v>
      </c>
      <c r="I5" s="4" t="s">
        <v>4</v>
      </c>
      <c r="J5" s="5"/>
      <c r="K5" s="4" t="s">
        <v>5</v>
      </c>
      <c r="L5" s="6"/>
      <c r="M5" s="4" t="s">
        <v>6</v>
      </c>
    </row>
    <row r="7" customFormat="false" ht="12.75" hidden="false" customHeight="false" outlineLevel="0" collapsed="false">
      <c r="A7" s="0" t="s">
        <v>7</v>
      </c>
      <c r="C7" s="7" t="n">
        <v>2235120</v>
      </c>
      <c r="E7" s="8" t="n">
        <v>1</v>
      </c>
      <c r="F7" s="8"/>
      <c r="G7" s="0" t="n">
        <v>10</v>
      </c>
      <c r="I7" s="7" t="n">
        <v>2368744</v>
      </c>
      <c r="K7" s="8" t="n">
        <f aca="false">SUM(K9:K16)-K14</f>
        <v>1</v>
      </c>
      <c r="L7" s="8"/>
      <c r="M7" s="0" t="n">
        <v>10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0" t="s">
        <v>9</v>
      </c>
      <c r="C9" s="11" t="n">
        <v>302800</v>
      </c>
      <c r="E9" s="22" t="n">
        <f aca="false">C9/$C$7</f>
        <v>0.135473710583772</v>
      </c>
      <c r="F9" s="8"/>
      <c r="G9" s="10" t="n">
        <f aca="false">+G$7*E9</f>
        <v>1.35473710583772</v>
      </c>
      <c r="I9" s="11" t="n">
        <v>473749</v>
      </c>
      <c r="K9" s="8" t="n">
        <f aca="false">I9/$I$7</f>
        <v>0.200000084432932</v>
      </c>
      <c r="L9" s="8"/>
      <c r="M9" s="201" t="n">
        <f aca="false">+M$7*K9</f>
        <v>2.00000084432932</v>
      </c>
    </row>
    <row r="10" customFormat="false" ht="12.75" hidden="false" customHeight="false" outlineLevel="0" collapsed="false">
      <c r="A10" s="0" t="s">
        <v>10</v>
      </c>
      <c r="C10" s="11" t="n">
        <v>302800</v>
      </c>
      <c r="E10" s="22" t="n">
        <f aca="false">C10/$C$7</f>
        <v>0.135473710583772</v>
      </c>
      <c r="F10" s="8"/>
      <c r="G10" s="10" t="n">
        <f aca="false">+G$7*E10</f>
        <v>1.35473710583772</v>
      </c>
      <c r="I10" s="11" t="n">
        <v>473749</v>
      </c>
      <c r="K10" s="8" t="n">
        <f aca="false">I10/$I$7</f>
        <v>0.200000084432932</v>
      </c>
      <c r="L10" s="8"/>
      <c r="M10" s="201" t="n">
        <f aca="false">+M$7*K10</f>
        <v>2.00000084432932</v>
      </c>
    </row>
    <row r="11" customFormat="false" ht="12.75" hidden="false" customHeight="false" outlineLevel="0" collapsed="false">
      <c r="A11" s="0" t="s">
        <v>20</v>
      </c>
      <c r="C11" s="11" t="n">
        <v>100933</v>
      </c>
      <c r="E11" s="22" t="n">
        <f aca="false">C11/$C$7</f>
        <v>0.0451577543935001</v>
      </c>
      <c r="F11" s="8"/>
      <c r="G11" s="119" t="n">
        <f aca="false">+G$7*E11+0.1</f>
        <v>0.551577543935001</v>
      </c>
      <c r="I11" s="11" t="n">
        <v>473749</v>
      </c>
      <c r="K11" s="8" t="n">
        <f aca="false">I11/$I$7</f>
        <v>0.200000084432932</v>
      </c>
      <c r="L11" s="8"/>
      <c r="M11" s="201" t="n">
        <f aca="false">+M$7*K11</f>
        <v>2.00000084432932</v>
      </c>
    </row>
    <row r="12" customFormat="false" ht="12.75" hidden="false" customHeight="false" outlineLevel="0" collapsed="false">
      <c r="A12" s="0" t="s">
        <v>11</v>
      </c>
      <c r="C12" s="11" t="n">
        <v>0</v>
      </c>
      <c r="E12" s="22" t="n">
        <v>0</v>
      </c>
      <c r="F12" s="8"/>
      <c r="G12" s="10" t="n">
        <f aca="false">+G$7*E12</f>
        <v>0</v>
      </c>
      <c r="I12" s="11" t="n">
        <v>118437</v>
      </c>
      <c r="K12" s="8" t="n">
        <f aca="false">I12/$I$7</f>
        <v>0.0499999155670685</v>
      </c>
      <c r="L12" s="8"/>
      <c r="M12" s="201" t="n">
        <f aca="false">+M$7*K12</f>
        <v>0.499999155670685</v>
      </c>
    </row>
    <row r="13" customFormat="false" ht="12.75" hidden="false" customHeight="false" outlineLevel="0" collapsed="false">
      <c r="A13" s="0" t="s">
        <v>26</v>
      </c>
      <c r="C13" s="13" t="n">
        <v>0</v>
      </c>
      <c r="E13" s="27" t="n">
        <f aca="false">C13/$C$7</f>
        <v>0</v>
      </c>
      <c r="F13" s="8"/>
      <c r="G13" s="15" t="n">
        <f aca="false">+G$7*E13</f>
        <v>0</v>
      </c>
      <c r="I13" s="13" t="n">
        <v>118437</v>
      </c>
      <c r="K13" s="14" t="n">
        <f aca="false">I13/$I$7</f>
        <v>0.0499999155670685</v>
      </c>
      <c r="L13" s="8"/>
      <c r="M13" s="202" t="n">
        <f aca="false">+M$7*K13</f>
        <v>0.499999155670685</v>
      </c>
    </row>
    <row r="14" customFormat="false" ht="12.75" hidden="false" customHeight="false" outlineLevel="0" collapsed="false">
      <c r="A14" s="0" t="s">
        <v>13</v>
      </c>
      <c r="C14" s="11" t="n">
        <f aca="false">SUM(C9:C13)</f>
        <v>706533</v>
      </c>
      <c r="E14" s="22" t="n">
        <f aca="false">C14/$C$7+0.01</f>
        <v>0.326105175561044</v>
      </c>
      <c r="F14" s="8"/>
      <c r="G14" s="63" t="n">
        <f aca="false">SUM(G9:G13)</f>
        <v>3.26105175561044</v>
      </c>
      <c r="I14" s="11" t="n">
        <f aca="false">SUM(I9:I13)</f>
        <v>1658121</v>
      </c>
      <c r="K14" s="8" t="n">
        <f aca="false">I14/$I$7</f>
        <v>0.700000084432932</v>
      </c>
      <c r="L14" s="8"/>
      <c r="M14" s="10" t="n">
        <f aca="false">SUM(M9:M13)</f>
        <v>7.00000084432932</v>
      </c>
    </row>
    <row r="15" customFormat="false" ht="12.75" hidden="false" customHeight="false" outlineLevel="0" collapsed="false">
      <c r="C15" s="11"/>
      <c r="E15" s="116"/>
      <c r="G15" s="63"/>
      <c r="I15" s="11"/>
      <c r="M15" s="10"/>
    </row>
    <row r="16" customFormat="false" ht="12.75" hidden="false" customHeight="false" outlineLevel="0" collapsed="false">
      <c r="A16" s="0" t="s">
        <v>14</v>
      </c>
      <c r="C16" s="7" t="n">
        <f aca="false">C7-C14</f>
        <v>1528587</v>
      </c>
      <c r="E16" s="22" t="n">
        <f aca="false">+C16/C7-0.01</f>
        <v>0.673894824438956</v>
      </c>
      <c r="F16" s="8"/>
      <c r="G16" s="10" t="n">
        <f aca="false">+G$7*E16</f>
        <v>6.73894824438956</v>
      </c>
      <c r="I16" s="11" t="n">
        <f aca="false">I7-I14</f>
        <v>710623</v>
      </c>
      <c r="K16" s="8" t="n">
        <f aca="false">I16/I7</f>
        <v>0.299999915567068</v>
      </c>
      <c r="L16" s="8"/>
      <c r="M16" s="10" t="n">
        <f aca="false">+M$7*K16</f>
        <v>2.99999915567068</v>
      </c>
    </row>
    <row r="17" customFormat="false" ht="12.75" hidden="false" customHeight="false" outlineLevel="0" collapsed="false">
      <c r="G17" s="63"/>
      <c r="M17" s="10"/>
    </row>
    <row r="18" customFormat="false" ht="12.75" hidden="false" customHeight="false" outlineLevel="0" collapsed="false">
      <c r="G18" s="63"/>
      <c r="M18" s="10"/>
    </row>
    <row r="19" customFormat="false" ht="12.75" hidden="false" customHeight="false" outlineLevel="0" collapsed="false">
      <c r="A19" s="0" t="s">
        <v>15</v>
      </c>
      <c r="G19" s="63"/>
      <c r="M19" s="10"/>
    </row>
    <row r="20" customFormat="false" ht="12.75" hidden="false" customHeight="false" outlineLevel="0" collapsed="false">
      <c r="A20" s="17" t="s">
        <v>16</v>
      </c>
      <c r="G20" s="63"/>
      <c r="M20" s="63"/>
    </row>
    <row r="21" customFormat="false" ht="12.75" hidden="false" customHeight="false" outlineLevel="0" collapsed="false">
      <c r="G21" s="63"/>
      <c r="M21" s="19"/>
    </row>
    <row r="22" customFormat="false" ht="12.75" hidden="false" customHeight="false" outlineLevel="0" collapsed="false">
      <c r="G22" s="63"/>
      <c r="M22" s="10"/>
    </row>
    <row r="23" customFormat="false" ht="12.75" hidden="false" customHeight="false" outlineLevel="0" collapsed="false">
      <c r="G23" s="63"/>
      <c r="M23" s="10"/>
    </row>
    <row r="24" customFormat="false" ht="12.75" hidden="false" customHeight="false" outlineLevel="0" collapsed="false">
      <c r="G24" s="63"/>
      <c r="M24" s="10"/>
    </row>
    <row r="25" customFormat="false" ht="12.75" hidden="false" customHeight="false" outlineLevel="0" collapsed="false">
      <c r="G25" s="10"/>
      <c r="M25" s="10"/>
    </row>
    <row r="27" customFormat="false" ht="12.75" hidden="false" customHeight="false" outlineLevel="0" collapsed="false">
      <c r="G27" s="11"/>
      <c r="M27" s="11"/>
    </row>
    <row r="28" customFormat="false" ht="12.75" hidden="false" customHeight="false" outlineLevel="0" collapsed="false">
      <c r="G28" s="11"/>
      <c r="M28" s="11"/>
    </row>
    <row r="29" customFormat="false" ht="12.75" hidden="false" customHeight="false" outlineLevel="0" collapsed="false">
      <c r="G29" s="11"/>
      <c r="M29" s="11"/>
    </row>
    <row r="30" customFormat="false" ht="12.75" hidden="false" customHeight="false" outlineLevel="0" collapsed="false">
      <c r="G30" s="11"/>
      <c r="M30" s="11"/>
    </row>
    <row r="31" customFormat="false" ht="12.75" hidden="false" customHeight="false" outlineLevel="0" collapsed="false">
      <c r="G31" s="11"/>
      <c r="M31" s="11"/>
    </row>
    <row r="32" customFormat="false" ht="12.75" hidden="false" customHeight="false" outlineLevel="0" collapsed="false">
      <c r="G32" s="11"/>
      <c r="M32" s="11"/>
    </row>
    <row r="33" customFormat="false" ht="12.75" hidden="false" customHeight="false" outlineLevel="0" collapsed="false">
      <c r="G33" s="11"/>
      <c r="M33" s="11"/>
    </row>
    <row r="34" customFormat="false" ht="12.75" hidden="false" customHeight="false" outlineLevel="0" collapsed="false">
      <c r="G34" s="11"/>
      <c r="M34" s="11"/>
    </row>
    <row r="35" customFormat="false" ht="12.75" hidden="false" customHeight="false" outlineLevel="0" collapsed="false">
      <c r="G35" s="11"/>
      <c r="M35" s="11"/>
    </row>
    <row r="36" customFormat="false" ht="12.75" hidden="false" customHeight="false" outlineLevel="0" collapsed="false">
      <c r="G36" s="11"/>
      <c r="M36" s="11"/>
    </row>
    <row r="37" customFormat="false" ht="12.75" hidden="false" customHeight="false" outlineLevel="0" collapsed="false">
      <c r="G37" s="7"/>
      <c r="M37" s="7"/>
    </row>
    <row r="38" customFormat="false" ht="12.75" hidden="false" customHeight="false" outlineLevel="0" collapsed="false">
      <c r="G38" s="11"/>
      <c r="M38" s="11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.99"/>
    <col collapsed="false" customWidth="true" hidden="false" outlineLevel="0" max="3" min="3" style="0" width="10.28"/>
    <col collapsed="false" customWidth="true" hidden="false" outlineLevel="0" max="4" min="4" style="0" width="1.99"/>
    <col collapsed="false" customWidth="true" hidden="false" outlineLevel="0" max="5" min="5" style="0" width="8.85"/>
    <col collapsed="false" customWidth="true" hidden="false" outlineLevel="0" max="6" min="6" style="0" width="2.28"/>
    <col collapsed="false" customWidth="true" hidden="false" outlineLevel="0" max="7" min="7" style="0" width="5.71"/>
    <col collapsed="false" customWidth="true" hidden="false" outlineLevel="0" max="8" min="8" style="0" width="1.99"/>
    <col collapsed="false" customWidth="true" hidden="false" outlineLevel="0" max="9" min="9" style="0" width="12.85"/>
    <col collapsed="false" customWidth="true" hidden="false" outlineLevel="0" max="10" min="10" style="0" width="1.99"/>
    <col collapsed="false" customWidth="true" hidden="false" outlineLevel="0" max="12" min="12" style="0" width="2.13"/>
    <col collapsed="false" customWidth="true" hidden="false" outlineLevel="0" max="13" min="13" style="0" width="6.28"/>
    <col collapsed="false" customWidth="true" hidden="false" outlineLevel="0" max="14" min="14" style="0" width="1.99"/>
  </cols>
  <sheetData>
    <row r="1" customFormat="false" ht="15.75" hidden="false" customHeight="false" outlineLevel="0" collapsed="false">
      <c r="A1" s="200" t="s">
        <v>287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4" customFormat="false" ht="12.75" hidden="false" customHeight="false" outlineLevel="0" collapsed="false">
      <c r="C4" s="3" t="s">
        <v>2</v>
      </c>
      <c r="D4" s="3"/>
      <c r="E4" s="3"/>
      <c r="F4" s="3"/>
      <c r="G4" s="3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20" t="s">
        <v>4</v>
      </c>
      <c r="D5" s="5"/>
      <c r="E5" s="20" t="s">
        <v>5</v>
      </c>
      <c r="F5" s="6"/>
      <c r="G5" s="20" t="s">
        <v>6</v>
      </c>
      <c r="I5" s="4" t="s">
        <v>4</v>
      </c>
      <c r="J5" s="5"/>
      <c r="K5" s="4" t="s">
        <v>5</v>
      </c>
      <c r="L5" s="6"/>
      <c r="M5" s="20" t="s">
        <v>6</v>
      </c>
    </row>
    <row r="7" customFormat="false" ht="12.75" hidden="false" customHeight="false" outlineLevel="0" collapsed="false">
      <c r="A7" s="0" t="s">
        <v>7</v>
      </c>
      <c r="C7" s="203" t="n">
        <v>8626794</v>
      </c>
      <c r="E7" s="8" t="n">
        <f aca="false">SUM(E9:E21)-E19-0.01</f>
        <v>0.9955</v>
      </c>
      <c r="F7" s="8"/>
      <c r="G7" s="0" t="n">
        <v>53</v>
      </c>
      <c r="I7" s="7" t="n">
        <v>13032023</v>
      </c>
      <c r="K7" s="8" t="n">
        <f aca="false">SUM(K9:K21)-K19</f>
        <v>1</v>
      </c>
      <c r="L7" s="8"/>
      <c r="M7" s="0" t="n">
        <v>67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0" t="s">
        <v>288</v>
      </c>
      <c r="C9" s="11" t="n">
        <v>748754</v>
      </c>
      <c r="E9" s="22" t="n">
        <f aca="false">C9/$C$7</f>
        <v>0.0867940048180124</v>
      </c>
      <c r="F9" s="8"/>
      <c r="G9" s="204" t="n">
        <f aca="false">+G$7*E9-0.11</f>
        <v>4.49008225535465</v>
      </c>
      <c r="I9" s="11" t="n">
        <v>2867045</v>
      </c>
      <c r="K9" s="8" t="n">
        <f aca="false">I9/$I$7</f>
        <v>0.219999995395957</v>
      </c>
      <c r="L9" s="8"/>
      <c r="M9" s="10" t="n">
        <f aca="false">+M$7*K9</f>
        <v>14.7399996915291</v>
      </c>
    </row>
    <row r="10" customFormat="false" ht="12.75" hidden="false" customHeight="false" outlineLevel="0" collapsed="false">
      <c r="A10" s="0" t="s">
        <v>12</v>
      </c>
      <c r="C10" s="11" t="n">
        <v>1316177</v>
      </c>
      <c r="E10" s="22" t="n">
        <f aca="false">C10/$C$7+0.005</f>
        <v>0.15756849763655</v>
      </c>
      <c r="F10" s="8"/>
      <c r="G10" s="10" t="n">
        <f aca="false">+G$7*E10</f>
        <v>8.35113037473713</v>
      </c>
      <c r="I10" s="11" t="n">
        <v>2085124</v>
      </c>
      <c r="K10" s="8" t="n">
        <f aca="false">I10/$I$7</f>
        <v>0.160000024554898</v>
      </c>
      <c r="L10" s="8"/>
      <c r="M10" s="10" t="n">
        <f aca="false">+M$7*K10</f>
        <v>10.7200016451782</v>
      </c>
    </row>
    <row r="11" customFormat="false" ht="12.75" hidden="false" customHeight="false" outlineLevel="0" collapsed="false">
      <c r="A11" s="0" t="s">
        <v>289</v>
      </c>
      <c r="C11" s="11" t="n">
        <v>485000</v>
      </c>
      <c r="E11" s="22" t="n">
        <f aca="false">C11/$C$7</f>
        <v>0.0562201902583973</v>
      </c>
      <c r="F11" s="8"/>
      <c r="G11" s="10" t="n">
        <f aca="false">+G$7*E11</f>
        <v>2.97967008369506</v>
      </c>
      <c r="I11" s="11" t="n">
        <v>651601</v>
      </c>
      <c r="K11" s="8" t="n">
        <f aca="false">I11/$I$7</f>
        <v>0.0499999884898914</v>
      </c>
      <c r="L11" s="8"/>
      <c r="M11" s="10" t="n">
        <f aca="false">+M$7*K11</f>
        <v>3.34999922882272</v>
      </c>
    </row>
    <row r="12" customFormat="false" ht="12.75" hidden="false" customHeight="false" outlineLevel="0" collapsed="false">
      <c r="A12" s="0" t="s">
        <v>25</v>
      </c>
      <c r="C12" s="11" t="n">
        <v>233986</v>
      </c>
      <c r="E12" s="22" t="n">
        <f aca="false">C12/$C$7</f>
        <v>0.0271231699748481</v>
      </c>
      <c r="F12" s="8"/>
      <c r="G12" s="10" t="n">
        <f aca="false">+G$7*E12</f>
        <v>1.43752800866695</v>
      </c>
      <c r="I12" s="11" t="n">
        <v>260640</v>
      </c>
      <c r="K12" s="8" t="n">
        <f aca="false">I12/$I$7</f>
        <v>0.0199999647023336</v>
      </c>
      <c r="L12" s="8"/>
      <c r="M12" s="10" t="n">
        <f aca="false">+M$7*K12</f>
        <v>1.33999763505635</v>
      </c>
    </row>
    <row r="13" customFormat="false" ht="12.75" hidden="false" customHeight="false" outlineLevel="0" collapsed="false">
      <c r="A13" s="0" t="s">
        <v>290</v>
      </c>
      <c r="C13" s="11" t="n">
        <v>116999</v>
      </c>
      <c r="E13" s="22" t="n">
        <f aca="false">C13/$C$7</f>
        <v>0.0135622804949324</v>
      </c>
      <c r="F13" s="8"/>
      <c r="G13" s="10" t="n">
        <f aca="false">+G$7*E13</f>
        <v>0.718800866231418</v>
      </c>
      <c r="I13" s="11" t="n">
        <v>0</v>
      </c>
      <c r="K13" s="8" t="n">
        <f aca="false">I13/$I$7</f>
        <v>0</v>
      </c>
      <c r="L13" s="8"/>
      <c r="M13" s="10" t="n">
        <f aca="false">+M$7*K13</f>
        <v>0</v>
      </c>
    </row>
    <row r="14" customFormat="false" ht="12.75" hidden="false" customHeight="false" outlineLevel="0" collapsed="false">
      <c r="A14" s="0" t="s">
        <v>291</v>
      </c>
      <c r="C14" s="11" t="n">
        <v>116999</v>
      </c>
      <c r="E14" s="22" t="n">
        <f aca="false">C14/$C$7</f>
        <v>0.0135622804949324</v>
      </c>
      <c r="F14" s="8"/>
      <c r="G14" s="10" t="n">
        <f aca="false">+G$7*E14</f>
        <v>0.718800866231418</v>
      </c>
      <c r="I14" s="11" t="n">
        <v>0</v>
      </c>
      <c r="K14" s="8" t="n">
        <f aca="false">I14/$I$7</f>
        <v>0</v>
      </c>
      <c r="L14" s="8"/>
      <c r="M14" s="10" t="n">
        <f aca="false">+M$7*K14</f>
        <v>0</v>
      </c>
    </row>
    <row r="15" customFormat="false" ht="12.75" hidden="false" customHeight="false" outlineLevel="0" collapsed="false">
      <c r="A15" s="0" t="s">
        <v>11</v>
      </c>
      <c r="C15" s="11" t="n">
        <v>1335671</v>
      </c>
      <c r="E15" s="22" t="n">
        <f aca="false">C15/$C$7</f>
        <v>0.154828201531183</v>
      </c>
      <c r="F15" s="8"/>
      <c r="G15" s="10" t="n">
        <f aca="false">+G$7*E15</f>
        <v>8.2058946811527</v>
      </c>
      <c r="I15" s="11" t="n">
        <f aca="false">+I7*0.15</f>
        <v>1954803.45</v>
      </c>
      <c r="K15" s="8" t="n">
        <f aca="false">I15/$I$7</f>
        <v>0.15</v>
      </c>
      <c r="L15" s="8"/>
      <c r="M15" s="10" t="n">
        <f aca="false">+M$7*K15</f>
        <v>10.05</v>
      </c>
    </row>
    <row r="16" customFormat="false" ht="12.75" hidden="false" customHeight="false" outlineLevel="0" collapsed="false">
      <c r="A16" s="0" t="s">
        <v>292</v>
      </c>
      <c r="C16" s="11" t="n">
        <v>97493</v>
      </c>
      <c r="E16" s="22" t="n">
        <f aca="false">C16/$C$7</f>
        <v>0.0113011855852823</v>
      </c>
      <c r="F16" s="8"/>
      <c r="G16" s="10" t="n">
        <f aca="false">+G$7*E16</f>
        <v>0.598962836019963</v>
      </c>
      <c r="I16" s="11" t="n">
        <v>0</v>
      </c>
      <c r="K16" s="8" t="n">
        <f aca="false">I16/$I$7</f>
        <v>0</v>
      </c>
      <c r="L16" s="8"/>
      <c r="M16" s="10" t="n">
        <f aca="false">+M$7*K16</f>
        <v>0</v>
      </c>
    </row>
    <row r="17" customFormat="false" ht="12.75" hidden="false" customHeight="false" outlineLevel="0" collapsed="false">
      <c r="A17" s="0" t="s">
        <v>9</v>
      </c>
      <c r="C17" s="11" t="n">
        <v>1745150</v>
      </c>
      <c r="E17" s="22" t="n">
        <f aca="false">C17/$C$7+0.0005</f>
        <v>0.20279415469988</v>
      </c>
      <c r="F17" s="8"/>
      <c r="G17" s="10" t="n">
        <f aca="false">+G$7*E17</f>
        <v>10.7480901990937</v>
      </c>
      <c r="I17" s="11" t="n">
        <f aca="false">+I7*0.2</f>
        <v>2606404.6</v>
      </c>
      <c r="K17" s="8" t="n">
        <f aca="false">I17/$I$7</f>
        <v>0.2</v>
      </c>
      <c r="L17" s="8"/>
      <c r="M17" s="10" t="n">
        <f aca="false">+M$7*K17+0.11</f>
        <v>13.51</v>
      </c>
    </row>
    <row r="18" customFormat="false" ht="12.75" hidden="false" customHeight="false" outlineLevel="0" collapsed="false">
      <c r="A18" s="0" t="s">
        <v>293</v>
      </c>
      <c r="C18" s="13" t="n">
        <v>116999</v>
      </c>
      <c r="E18" s="27" t="n">
        <f aca="false">C18/$C$7</f>
        <v>0.0135622804949324</v>
      </c>
      <c r="F18" s="8"/>
      <c r="G18" s="15" t="n">
        <f aca="false">+G$7*E18</f>
        <v>0.718800866231418</v>
      </c>
      <c r="I18" s="13" t="n">
        <v>0</v>
      </c>
      <c r="K18" s="14" t="n">
        <f aca="false">I18/$I$7</f>
        <v>0</v>
      </c>
      <c r="L18" s="8"/>
      <c r="M18" s="15" t="n">
        <f aca="false">+M$7*K18</f>
        <v>0</v>
      </c>
    </row>
    <row r="19" customFormat="false" ht="12.75" hidden="false" customHeight="false" outlineLevel="0" collapsed="false">
      <c r="A19" s="0" t="s">
        <v>13</v>
      </c>
      <c r="C19" s="11" t="n">
        <f aca="false">SUM(C9:C18)</f>
        <v>6313228</v>
      </c>
      <c r="E19" s="8" t="n">
        <f aca="false">C19/$C$7</f>
        <v>0.73181624598895</v>
      </c>
      <c r="F19" s="8"/>
      <c r="G19" s="10" t="n">
        <f aca="false">SUM(G9:G18)</f>
        <v>38.9677610374144</v>
      </c>
      <c r="I19" s="11" t="n">
        <f aca="false">SUM(I9:I18)</f>
        <v>10425618.05</v>
      </c>
      <c r="K19" s="8" t="n">
        <f aca="false">I19/$I$7</f>
        <v>0.79999997314308</v>
      </c>
      <c r="L19" s="8"/>
      <c r="M19" s="10" t="n">
        <f aca="false">SUM(M9:M18)</f>
        <v>53.7099982005864</v>
      </c>
    </row>
    <row r="20" customFormat="false" ht="12.75" hidden="false" customHeight="false" outlineLevel="0" collapsed="false">
      <c r="C20" s="11"/>
      <c r="G20" s="10"/>
      <c r="I20" s="11"/>
      <c r="M20" s="10"/>
    </row>
    <row r="21" customFormat="false" ht="12.75" hidden="false" customHeight="false" outlineLevel="0" collapsed="false">
      <c r="A21" s="0" t="s">
        <v>14</v>
      </c>
      <c r="C21" s="7" t="n">
        <f aca="false">C7-C19</f>
        <v>2313566</v>
      </c>
      <c r="E21" s="8" t="n">
        <f aca="false">C21/$C$7</f>
        <v>0.26818375401105</v>
      </c>
      <c r="F21" s="8"/>
      <c r="G21" s="10" t="n">
        <f aca="false">+G$7*E21</f>
        <v>14.2137389625856</v>
      </c>
      <c r="I21" s="11" t="n">
        <f aca="false">I7-I19</f>
        <v>2606404.95</v>
      </c>
      <c r="K21" s="8" t="n">
        <f aca="false">I21/I7</f>
        <v>0.20000002685692</v>
      </c>
      <c r="L21" s="8"/>
      <c r="M21" s="10" t="n">
        <f aca="false">+M$7*K21</f>
        <v>13.4000017994136</v>
      </c>
    </row>
    <row r="22" customFormat="false" ht="12.75" hidden="false" customHeight="false" outlineLevel="0" collapsed="false">
      <c r="E22" s="8"/>
      <c r="F22" s="8"/>
      <c r="G22" s="10"/>
    </row>
    <row r="23" customFormat="false" ht="12.75" hidden="false" customHeight="false" outlineLevel="0" collapsed="false">
      <c r="G23" s="10"/>
    </row>
    <row r="24" customFormat="false" ht="12.75" hidden="false" customHeight="false" outlineLevel="0" collapsed="false">
      <c r="A24" s="0" t="s">
        <v>15</v>
      </c>
    </row>
    <row r="25" customFormat="false" ht="12.75" hidden="false" customHeight="false" outlineLevel="0" collapsed="false">
      <c r="A25" s="17" t="s">
        <v>16</v>
      </c>
      <c r="C25" s="11"/>
      <c r="E25" s="11"/>
      <c r="F25" s="11"/>
      <c r="G25" s="11"/>
      <c r="I25" s="205"/>
    </row>
    <row r="26" customFormat="false" ht="12.75" hidden="false" customHeight="false" outlineLevel="0" collapsed="false">
      <c r="C26" s="11"/>
      <c r="E26" s="11"/>
      <c r="F26" s="11"/>
      <c r="G26" s="11"/>
      <c r="I26" s="205"/>
    </row>
    <row r="27" customFormat="false" ht="12.75" hidden="false" customHeight="false" outlineLevel="0" collapsed="false">
      <c r="C27" s="11"/>
      <c r="E27" s="11"/>
      <c r="F27" s="11"/>
      <c r="G27" s="11"/>
      <c r="I27" s="205"/>
    </row>
    <row r="28" customFormat="false" ht="12.75" hidden="false" customHeight="false" outlineLevel="0" collapsed="false">
      <c r="C28" s="11"/>
      <c r="E28" s="11"/>
      <c r="F28" s="11"/>
      <c r="G28" s="11"/>
      <c r="I28" s="205"/>
    </row>
    <row r="29" customFormat="false" ht="12.75" hidden="false" customHeight="false" outlineLevel="0" collapsed="false">
      <c r="C29" s="11"/>
      <c r="E29" s="11"/>
      <c r="F29" s="11"/>
      <c r="G29" s="11"/>
      <c r="I29" s="205"/>
    </row>
    <row r="30" customFormat="false" ht="12.75" hidden="false" customHeight="false" outlineLevel="0" collapsed="false">
      <c r="C30" s="11"/>
      <c r="E30" s="11"/>
      <c r="F30" s="11"/>
      <c r="G30" s="11"/>
      <c r="I30" s="205"/>
    </row>
    <row r="31" customFormat="false" ht="12.75" hidden="false" customHeight="false" outlineLevel="0" collapsed="false">
      <c r="C31" s="11"/>
      <c r="E31" s="11"/>
      <c r="F31" s="11"/>
      <c r="G31" s="11"/>
      <c r="I31" s="205"/>
    </row>
    <row r="32" customFormat="false" ht="12.75" hidden="false" customHeight="false" outlineLevel="0" collapsed="false">
      <c r="C32" s="11"/>
      <c r="E32" s="11"/>
      <c r="F32" s="11"/>
      <c r="G32" s="11"/>
      <c r="I32" s="205"/>
    </row>
    <row r="33" customFormat="false" ht="12.75" hidden="false" customHeight="false" outlineLevel="0" collapsed="false">
      <c r="C33" s="11"/>
      <c r="E33" s="11"/>
      <c r="F33" s="11"/>
      <c r="G33" s="11"/>
      <c r="I33" s="205"/>
    </row>
    <row r="34" customFormat="false" ht="12.75" hidden="false" customHeight="false" outlineLevel="0" collapsed="false">
      <c r="C34" s="11"/>
      <c r="E34" s="11"/>
      <c r="F34" s="11"/>
      <c r="G34" s="11"/>
      <c r="I34" s="205"/>
    </row>
    <row r="35" customFormat="false" ht="12.75" hidden="false" customHeight="false" outlineLevel="0" collapsed="false">
      <c r="C35" s="54"/>
      <c r="E35" s="7"/>
      <c r="F35" s="7"/>
      <c r="G35" s="7"/>
      <c r="I35" s="11"/>
    </row>
    <row r="36" customFormat="false" ht="12.75" hidden="false" customHeight="false" outlineLevel="0" collapsed="false">
      <c r="C36" s="11"/>
      <c r="E36" s="11"/>
      <c r="F36" s="11"/>
      <c r="G36" s="11"/>
    </row>
    <row r="37" customFormat="false" ht="12.75" hidden="false" customHeight="false" outlineLevel="0" collapsed="false">
      <c r="C37" s="11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.56"/>
    <col collapsed="false" customWidth="true" hidden="false" outlineLevel="0" max="5" min="5" style="0" width="11.85"/>
    <col collapsed="false" customWidth="true" hidden="false" outlineLevel="0" max="6" min="6" style="0" width="1.85"/>
    <col collapsed="false" customWidth="true" hidden="false" outlineLevel="0" max="7" min="7" style="0" width="7.28"/>
    <col collapsed="false" customWidth="true" hidden="false" outlineLevel="0" max="8" min="8" style="0" width="1.56"/>
    <col collapsed="false" customWidth="true" hidden="false" outlineLevel="0" max="9" min="9" style="0" width="11.28"/>
    <col collapsed="false" customWidth="true" hidden="false" outlineLevel="0" max="10" min="10" style="0" width="1.56"/>
    <col collapsed="false" customWidth="true" hidden="false" outlineLevel="0" max="11" min="11" style="0" width="8.28"/>
    <col collapsed="false" customWidth="true" hidden="false" outlineLevel="0" max="12" min="12" style="0" width="1.56"/>
    <col collapsed="false" customWidth="true" hidden="false" outlineLevel="0" max="13" min="13" style="0" width="8.28"/>
    <col collapsed="false" customWidth="true" hidden="false" outlineLevel="0" max="14" min="14" style="0" width="1.56"/>
  </cols>
  <sheetData>
    <row r="1" customFormat="false" ht="15.75" hidden="false" customHeight="false" outlineLevel="0" collapsed="false">
      <c r="A1" s="1" t="s">
        <v>294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4" customFormat="false" ht="12.75" hidden="false" customHeight="false" outlineLevel="0" collapsed="false">
      <c r="C4" s="3" t="s">
        <v>2</v>
      </c>
      <c r="D4" s="3"/>
      <c r="E4" s="3"/>
      <c r="F4" s="3"/>
      <c r="G4" s="3"/>
      <c r="I4" s="3" t="s">
        <v>3</v>
      </c>
      <c r="J4" s="3"/>
      <c r="K4" s="3"/>
      <c r="L4" s="3"/>
      <c r="M4" s="3"/>
    </row>
    <row r="5" customFormat="false" ht="12.75" hidden="false" customHeight="false" outlineLevel="0" collapsed="false">
      <c r="C5" s="20" t="s">
        <v>4</v>
      </c>
      <c r="D5" s="5"/>
      <c r="E5" s="20" t="s">
        <v>5</v>
      </c>
      <c r="F5" s="6"/>
      <c r="G5" s="20" t="s">
        <v>6</v>
      </c>
      <c r="I5" s="20" t="s">
        <v>4</v>
      </c>
      <c r="J5" s="5"/>
      <c r="K5" s="20" t="s">
        <v>5</v>
      </c>
      <c r="L5" s="6"/>
      <c r="M5" s="20" t="s">
        <v>6</v>
      </c>
    </row>
    <row r="7" customFormat="false" ht="12.75" hidden="false" customHeight="false" outlineLevel="0" collapsed="false">
      <c r="A7" s="0" t="s">
        <v>22</v>
      </c>
      <c r="C7" s="7" t="n">
        <v>4568113</v>
      </c>
      <c r="E7" s="8" t="n">
        <f aca="false">+E15+E17</f>
        <v>0.99698</v>
      </c>
      <c r="F7" s="8"/>
      <c r="G7" s="0" t="n">
        <v>33</v>
      </c>
      <c r="I7" s="7" t="n">
        <v>4735596</v>
      </c>
      <c r="K7" s="8" t="n">
        <f aca="false">+K17+K15</f>
        <v>1</v>
      </c>
      <c r="L7" s="8"/>
      <c r="M7" s="0" t="n">
        <v>24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0" t="s">
        <v>295</v>
      </c>
      <c r="C9" s="11" t="n">
        <v>259108</v>
      </c>
      <c r="E9" s="22" t="n">
        <f aca="false">+C9/$C$7-0.00072</f>
        <v>0.0560010136877087</v>
      </c>
      <c r="F9" s="8"/>
      <c r="G9" s="10" t="n">
        <f aca="false">+G$7*E9</f>
        <v>1.84803345169439</v>
      </c>
      <c r="I9" s="11" t="n">
        <v>236780</v>
      </c>
      <c r="K9" s="8" t="n">
        <f aca="false">+I9/I7</f>
        <v>0.0500000422333324</v>
      </c>
      <c r="L9" s="8"/>
      <c r="M9" s="10" t="n">
        <f aca="false">+M$7*K9</f>
        <v>1.20000101359998</v>
      </c>
    </row>
    <row r="10" customFormat="false" ht="12.75" hidden="false" customHeight="false" outlineLevel="0" collapsed="false">
      <c r="A10" s="0" t="s">
        <v>9</v>
      </c>
      <c r="C10" s="11" t="n">
        <v>621855</v>
      </c>
      <c r="E10" s="22" t="n">
        <f aca="false">+C10/$C$7-0.0023</f>
        <v>0.133829513433665</v>
      </c>
      <c r="F10" s="8"/>
      <c r="G10" s="10" t="n">
        <f aca="false">+G$7*E10</f>
        <v>4.41637394331095</v>
      </c>
      <c r="I10" s="11" t="n">
        <v>1420679</v>
      </c>
      <c r="K10" s="8" t="n">
        <f aca="false">+I10/I7</f>
        <v>0.300000042233332</v>
      </c>
      <c r="L10" s="8"/>
      <c r="M10" s="10" t="n">
        <f aca="false">+M$7*K10+0.3</f>
        <v>7.50000101359998</v>
      </c>
    </row>
    <row r="11" customFormat="false" ht="12.75" hidden="false" customHeight="false" outlineLevel="0" collapsed="false">
      <c r="A11" s="0" t="s">
        <v>10</v>
      </c>
      <c r="C11" s="11" t="n">
        <v>362751</v>
      </c>
      <c r="E11" s="22" t="n">
        <f aca="false">+C11/$C$7</f>
        <v>0.0794093753810381</v>
      </c>
      <c r="F11" s="8"/>
      <c r="G11" s="10" t="n">
        <f aca="false">+G$7*E11</f>
        <v>2.62050938757426</v>
      </c>
      <c r="I11" s="11" t="n">
        <v>710339</v>
      </c>
      <c r="K11" s="8" t="n">
        <f aca="false">+I11/I7</f>
        <v>0.149999915533335</v>
      </c>
      <c r="L11" s="8"/>
      <c r="M11" s="10" t="n">
        <f aca="false">+M$7*K11</f>
        <v>3.59999797280004</v>
      </c>
    </row>
    <row r="12" customFormat="false" ht="12.75" hidden="false" customHeight="false" outlineLevel="0" collapsed="false">
      <c r="A12" s="0" t="s">
        <v>20</v>
      </c>
      <c r="C12" s="11" t="n">
        <v>518213</v>
      </c>
      <c r="E12" s="22" t="n">
        <f aca="false">+C12/$C$7</f>
        <v>0.113441370649106</v>
      </c>
      <c r="F12" s="8"/>
      <c r="G12" s="10" t="n">
        <f aca="false">+G$7*E12-0.5</f>
        <v>3.2435652314205</v>
      </c>
      <c r="I12" s="11" t="n">
        <v>236780</v>
      </c>
      <c r="K12" s="8" t="n">
        <f aca="false">+I12/I7</f>
        <v>0.0500000422333324</v>
      </c>
      <c r="L12" s="8"/>
      <c r="M12" s="10" t="n">
        <f aca="false">+M$7*K12</f>
        <v>1.20000101359998</v>
      </c>
    </row>
    <row r="13" customFormat="false" ht="12.75" hidden="false" customHeight="false" outlineLevel="0" collapsed="false">
      <c r="A13" s="0" t="s">
        <v>132</v>
      </c>
      <c r="C13" s="11" t="n">
        <v>25910</v>
      </c>
      <c r="E13" s="22" t="n">
        <f aca="false">+C13/$C$7</f>
        <v>0.00567192624175453</v>
      </c>
      <c r="F13" s="8"/>
      <c r="G13" s="10" t="n">
        <f aca="false">+G$7*E13</f>
        <v>0.187173565977899</v>
      </c>
      <c r="I13" s="11" t="n">
        <v>47356</v>
      </c>
      <c r="K13" s="8" t="n">
        <f aca="false">+I13/I7</f>
        <v>0.0100000084466665</v>
      </c>
      <c r="L13" s="8"/>
      <c r="M13" s="10" t="n">
        <f aca="false">+M$7*K13</f>
        <v>0.240000202719996</v>
      </c>
    </row>
    <row r="14" customFormat="false" ht="12.75" hidden="false" customHeight="false" outlineLevel="0" collapsed="false">
      <c r="A14" s="0" t="s">
        <v>23</v>
      </c>
      <c r="C14" s="13" t="n">
        <v>350400</v>
      </c>
      <c r="E14" s="27" t="n">
        <f aca="false">+C14/$C$7</f>
        <v>0.0767056331574985</v>
      </c>
      <c r="F14" s="8"/>
      <c r="G14" s="15" t="n">
        <f aca="false">+G$7*E14</f>
        <v>2.53128589419745</v>
      </c>
      <c r="I14" s="13" t="n">
        <v>473560</v>
      </c>
      <c r="K14" s="14" t="n">
        <f aca="false">+I14/I7</f>
        <v>0.100000084466665</v>
      </c>
      <c r="L14" s="8"/>
      <c r="M14" s="15" t="n">
        <f aca="false">+M$7*K14</f>
        <v>2.40000202719996</v>
      </c>
    </row>
    <row r="15" customFormat="false" ht="12.75" hidden="false" customHeight="false" outlineLevel="0" collapsed="false">
      <c r="A15" s="29" t="s">
        <v>13</v>
      </c>
      <c r="C15" s="11" t="n">
        <f aca="false">SUM(C9:C14)</f>
        <v>2138237</v>
      </c>
      <c r="E15" s="22" t="n">
        <f aca="false">SUM(E9:E14)</f>
        <v>0.465058832550771</v>
      </c>
      <c r="F15" s="8"/>
      <c r="G15" s="10" t="n">
        <f aca="false">SUM(G9:G14)</f>
        <v>14.8469414741754</v>
      </c>
      <c r="I15" s="11" t="n">
        <f aca="false">SUM(I9:I14)</f>
        <v>3125494</v>
      </c>
      <c r="K15" s="8" t="n">
        <f aca="false">SUM(K9:K14)</f>
        <v>0.660000135146664</v>
      </c>
      <c r="L15" s="8"/>
      <c r="M15" s="10" t="n">
        <f aca="false">SUM(M9:M14)</f>
        <v>16.1400032435199</v>
      </c>
    </row>
    <row r="16" customFormat="false" ht="12.75" hidden="false" customHeight="false" outlineLevel="0" collapsed="false">
      <c r="C16" s="11"/>
      <c r="I16" s="11"/>
    </row>
    <row r="17" customFormat="false" ht="12.75" hidden="false" customHeight="false" outlineLevel="0" collapsed="false">
      <c r="A17" s="29" t="s">
        <v>14</v>
      </c>
      <c r="C17" s="7" t="n">
        <f aca="false">+C7-C15</f>
        <v>2429876</v>
      </c>
      <c r="E17" s="8" t="n">
        <f aca="false">+C17/$C$7</f>
        <v>0.531921167449229</v>
      </c>
      <c r="F17" s="8"/>
      <c r="G17" s="10" t="n">
        <f aca="false">+G$7*E17</f>
        <v>17.5533985258246</v>
      </c>
      <c r="I17" s="11" t="n">
        <f aca="false">+I7-I15</f>
        <v>1610102</v>
      </c>
      <c r="K17" s="8" t="n">
        <f aca="false">+I17/$I$7</f>
        <v>0.339999864853336</v>
      </c>
      <c r="L17" s="8"/>
      <c r="M17" s="10" t="n">
        <f aca="false">+M$7*K17</f>
        <v>8.15999675648007</v>
      </c>
    </row>
    <row r="20" customFormat="false" ht="12.75" hidden="false" customHeight="false" outlineLevel="0" collapsed="false">
      <c r="A20" s="0" t="s">
        <v>15</v>
      </c>
    </row>
    <row r="21" customFormat="false" ht="12.75" hidden="false" customHeight="false" outlineLevel="0" collapsed="false">
      <c r="A21" s="17" t="s">
        <v>16</v>
      </c>
    </row>
    <row r="23" customFormat="false" ht="12.75" hidden="false" customHeight="false" outlineLevel="0" collapsed="false">
      <c r="A23" s="30"/>
      <c r="C23" s="8"/>
      <c r="E23" s="30"/>
      <c r="F23" s="30"/>
      <c r="G23" s="30"/>
    </row>
    <row r="24" customFormat="false" ht="12.75" hidden="false" customHeight="false" outlineLevel="0" collapsed="false">
      <c r="C24" s="8"/>
      <c r="E24" s="30"/>
      <c r="F24" s="30"/>
      <c r="G24" s="30"/>
    </row>
    <row r="25" customFormat="false" ht="12.75" hidden="false" customHeight="false" outlineLevel="0" collapsed="false">
      <c r="C25" s="8"/>
      <c r="E25" s="30"/>
      <c r="F25" s="30"/>
      <c r="G25" s="30"/>
    </row>
    <row r="26" customFormat="false" ht="12.75" hidden="false" customHeight="false" outlineLevel="0" collapsed="false">
      <c r="C26" s="8"/>
      <c r="E26" s="30"/>
      <c r="F26" s="30"/>
      <c r="G26" s="30"/>
    </row>
    <row r="27" customFormat="false" ht="12.75" hidden="false" customHeight="false" outlineLevel="0" collapsed="false">
      <c r="C27" s="8"/>
      <c r="E27" s="30"/>
      <c r="F27" s="30"/>
      <c r="G27" s="30"/>
    </row>
    <row r="28" customFormat="false" ht="12.75" hidden="false" customHeight="false" outlineLevel="0" collapsed="false">
      <c r="C28" s="8"/>
      <c r="E28" s="30"/>
      <c r="F28" s="30"/>
      <c r="G28" s="30"/>
    </row>
    <row r="29" customFormat="false" ht="12.75" hidden="false" customHeight="false" outlineLevel="0" collapsed="false">
      <c r="C29" s="8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.56"/>
    <col collapsed="false" customWidth="true" hidden="false" outlineLevel="0" max="3" min="3" style="0" width="10.28"/>
    <col collapsed="false" customWidth="true" hidden="false" outlineLevel="0" max="4" min="4" style="0" width="1.56"/>
    <col collapsed="false" customWidth="true" hidden="false" outlineLevel="0" max="5" min="5" style="0" width="11.85"/>
    <col collapsed="false" customWidth="true" hidden="false" outlineLevel="0" max="6" min="6" style="0" width="1.85"/>
    <col collapsed="false" customWidth="true" hidden="false" outlineLevel="0" max="7" min="7" style="0" width="7.28"/>
    <col collapsed="false" customWidth="true" hidden="false" outlineLevel="0" max="8" min="8" style="0" width="1.56"/>
    <col collapsed="false" customWidth="true" hidden="false" outlineLevel="0" max="9" min="9" style="0" width="11.28"/>
    <col collapsed="false" customWidth="true" hidden="false" outlineLevel="0" max="10" min="10" style="0" width="1.56"/>
    <col collapsed="false" customWidth="true" hidden="false" outlineLevel="0" max="11" min="11" style="0" width="8.28"/>
    <col collapsed="false" customWidth="true" hidden="false" outlineLevel="0" max="12" min="12" style="0" width="1.56"/>
    <col collapsed="false" customWidth="true" hidden="false" outlineLevel="0" max="13" min="13" style="0" width="8.28"/>
    <col collapsed="false" customWidth="true" hidden="false" outlineLevel="0" max="14" min="14" style="0" width="1.56"/>
  </cols>
  <sheetData>
    <row r="1" customFormat="false" ht="15.75" hidden="false" customHeight="false" outlineLevel="0" collapsed="false">
      <c r="A1" s="1" t="s">
        <v>294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4" customFormat="false" ht="12.75" hidden="false" customHeight="false" outlineLevel="0" collapsed="false">
      <c r="C4" s="3" t="s">
        <v>2</v>
      </c>
      <c r="D4" s="3"/>
      <c r="E4" s="3"/>
      <c r="F4" s="3"/>
      <c r="G4" s="3"/>
      <c r="I4" s="3" t="s">
        <v>3</v>
      </c>
      <c r="J4" s="3"/>
      <c r="K4" s="3"/>
      <c r="L4" s="3"/>
      <c r="M4" s="3"/>
    </row>
    <row r="5" customFormat="false" ht="12.75" hidden="false" customHeight="false" outlineLevel="0" collapsed="false">
      <c r="C5" s="20" t="s">
        <v>4</v>
      </c>
      <c r="D5" s="5"/>
      <c r="E5" s="20" t="s">
        <v>5</v>
      </c>
      <c r="F5" s="6"/>
      <c r="G5" s="20" t="s">
        <v>6</v>
      </c>
      <c r="I5" s="20" t="s">
        <v>4</v>
      </c>
      <c r="J5" s="5"/>
      <c r="K5" s="20" t="s">
        <v>5</v>
      </c>
      <c r="L5" s="6"/>
      <c r="M5" s="20" t="s">
        <v>6</v>
      </c>
    </row>
    <row r="7" customFormat="false" ht="12.75" hidden="false" customHeight="false" outlineLevel="0" collapsed="false">
      <c r="A7" s="0" t="s">
        <v>22</v>
      </c>
      <c r="C7" s="7" t="n">
        <v>4568113</v>
      </c>
      <c r="E7" s="8" t="n">
        <f aca="false">+E15+E17</f>
        <v>0.99698</v>
      </c>
      <c r="F7" s="8"/>
      <c r="G7" s="0" t="n">
        <v>33</v>
      </c>
      <c r="I7" s="7" t="n">
        <v>4735596</v>
      </c>
      <c r="K7" s="8" t="n">
        <f aca="false">+K17+K15</f>
        <v>1</v>
      </c>
      <c r="L7" s="8"/>
      <c r="M7" s="0" t="n">
        <v>24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0" t="s">
        <v>295</v>
      </c>
      <c r="C9" s="11" t="n">
        <v>259108</v>
      </c>
      <c r="E9" s="22" t="n">
        <f aca="false">+C9/$C$7-0.00072</f>
        <v>0.0560010136877087</v>
      </c>
      <c r="F9" s="8"/>
      <c r="G9" s="10" t="n">
        <f aca="false">+G$7*E9</f>
        <v>1.84803345169439</v>
      </c>
      <c r="I9" s="11" t="n">
        <v>236780</v>
      </c>
      <c r="K9" s="8" t="n">
        <f aca="false">+I9/I7</f>
        <v>0.0500000422333324</v>
      </c>
      <c r="L9" s="8"/>
      <c r="M9" s="10" t="n">
        <f aca="false">+M$7*K9</f>
        <v>1.20000101359998</v>
      </c>
    </row>
    <row r="10" customFormat="false" ht="12.75" hidden="false" customHeight="false" outlineLevel="0" collapsed="false">
      <c r="A10" s="0" t="s">
        <v>9</v>
      </c>
      <c r="C10" s="11" t="n">
        <v>621855</v>
      </c>
      <c r="E10" s="22" t="n">
        <f aca="false">+C10/$C$7-0.0023</f>
        <v>0.133829513433665</v>
      </c>
      <c r="F10" s="8"/>
      <c r="G10" s="10" t="n">
        <f aca="false">+G$7*E10</f>
        <v>4.41637394331095</v>
      </c>
      <c r="I10" s="11" t="n">
        <v>1420679</v>
      </c>
      <c r="K10" s="8" t="n">
        <f aca="false">+I10/I7</f>
        <v>0.300000042233332</v>
      </c>
      <c r="L10" s="8"/>
      <c r="M10" s="10" t="n">
        <f aca="false">+M$7*K10+0.3</f>
        <v>7.50000101359998</v>
      </c>
    </row>
    <row r="11" customFormat="false" ht="12.75" hidden="false" customHeight="false" outlineLevel="0" collapsed="false">
      <c r="A11" s="0" t="s">
        <v>10</v>
      </c>
      <c r="C11" s="11" t="n">
        <v>362751</v>
      </c>
      <c r="E11" s="22" t="n">
        <f aca="false">+C11/$C$7</f>
        <v>0.0794093753810381</v>
      </c>
      <c r="F11" s="8"/>
      <c r="G11" s="10" t="n">
        <f aca="false">+G$7*E11</f>
        <v>2.62050938757426</v>
      </c>
      <c r="I11" s="11" t="n">
        <v>710339</v>
      </c>
      <c r="K11" s="8" t="n">
        <f aca="false">+I11/I7</f>
        <v>0.149999915533335</v>
      </c>
      <c r="L11" s="8"/>
      <c r="M11" s="10" t="n">
        <f aca="false">+M$7*K11</f>
        <v>3.59999797280004</v>
      </c>
    </row>
    <row r="12" customFormat="false" ht="12.75" hidden="false" customHeight="false" outlineLevel="0" collapsed="false">
      <c r="A12" s="0" t="s">
        <v>20</v>
      </c>
      <c r="C12" s="11" t="n">
        <v>518213</v>
      </c>
      <c r="E12" s="22" t="n">
        <f aca="false">+C12/$C$7</f>
        <v>0.113441370649106</v>
      </c>
      <c r="F12" s="8"/>
      <c r="G12" s="10" t="n">
        <f aca="false">+G$7*E12-0.5</f>
        <v>3.2435652314205</v>
      </c>
      <c r="I12" s="11" t="n">
        <v>236780</v>
      </c>
      <c r="K12" s="8" t="n">
        <f aca="false">+I12/I7</f>
        <v>0.0500000422333324</v>
      </c>
      <c r="L12" s="8"/>
      <c r="M12" s="10" t="n">
        <f aca="false">+M$7*K12</f>
        <v>1.20000101359998</v>
      </c>
    </row>
    <row r="13" customFormat="false" ht="12.75" hidden="false" customHeight="false" outlineLevel="0" collapsed="false">
      <c r="A13" s="0" t="s">
        <v>132</v>
      </c>
      <c r="C13" s="11" t="n">
        <v>25910</v>
      </c>
      <c r="E13" s="22" t="n">
        <f aca="false">+C13/$C$7</f>
        <v>0.00567192624175453</v>
      </c>
      <c r="F13" s="8"/>
      <c r="G13" s="10" t="n">
        <f aca="false">+G$7*E13</f>
        <v>0.187173565977899</v>
      </c>
      <c r="I13" s="11" t="n">
        <v>47356</v>
      </c>
      <c r="K13" s="8" t="n">
        <f aca="false">+I13/I7</f>
        <v>0.0100000084466665</v>
      </c>
      <c r="L13" s="8"/>
      <c r="M13" s="10" t="n">
        <f aca="false">+M$7*K13</f>
        <v>0.240000202719996</v>
      </c>
    </row>
    <row r="14" customFormat="false" ht="12.75" hidden="false" customHeight="false" outlineLevel="0" collapsed="false">
      <c r="A14" s="0" t="s">
        <v>23</v>
      </c>
      <c r="C14" s="13" t="n">
        <v>350400</v>
      </c>
      <c r="E14" s="27" t="n">
        <f aca="false">+C14/$C$7</f>
        <v>0.0767056331574985</v>
      </c>
      <c r="F14" s="8"/>
      <c r="G14" s="15" t="n">
        <f aca="false">+G$7*E14</f>
        <v>2.53128589419745</v>
      </c>
      <c r="I14" s="13" t="n">
        <v>473560</v>
      </c>
      <c r="K14" s="14" t="n">
        <f aca="false">+I14/I7</f>
        <v>0.100000084466665</v>
      </c>
      <c r="L14" s="8"/>
      <c r="M14" s="15" t="n">
        <f aca="false">+M$7*K14</f>
        <v>2.40000202719996</v>
      </c>
    </row>
    <row r="15" customFormat="false" ht="12.75" hidden="false" customHeight="false" outlineLevel="0" collapsed="false">
      <c r="A15" s="29" t="s">
        <v>13</v>
      </c>
      <c r="C15" s="11" t="n">
        <f aca="false">SUM(C9:C14)</f>
        <v>2138237</v>
      </c>
      <c r="E15" s="22" t="n">
        <f aca="false">SUM(E9:E14)</f>
        <v>0.465058832550771</v>
      </c>
      <c r="F15" s="8"/>
      <c r="G15" s="10" t="n">
        <f aca="false">SUM(G9:G14)</f>
        <v>14.8469414741754</v>
      </c>
      <c r="I15" s="11" t="n">
        <f aca="false">SUM(I9:I14)</f>
        <v>3125494</v>
      </c>
      <c r="K15" s="8" t="n">
        <f aca="false">SUM(K9:K14)</f>
        <v>0.660000135146664</v>
      </c>
      <c r="L15" s="8"/>
      <c r="M15" s="10" t="n">
        <f aca="false">SUM(M9:M14)</f>
        <v>16.1400032435199</v>
      </c>
    </row>
    <row r="16" customFormat="false" ht="12.75" hidden="false" customHeight="false" outlineLevel="0" collapsed="false">
      <c r="C16" s="11"/>
      <c r="I16" s="11"/>
    </row>
    <row r="17" customFormat="false" ht="12.75" hidden="false" customHeight="false" outlineLevel="0" collapsed="false">
      <c r="A17" s="29" t="s">
        <v>14</v>
      </c>
      <c r="C17" s="7" t="n">
        <f aca="false">+C7-C15</f>
        <v>2429876</v>
      </c>
      <c r="E17" s="8" t="n">
        <f aca="false">+C17/$C$7</f>
        <v>0.531921167449229</v>
      </c>
      <c r="F17" s="8"/>
      <c r="G17" s="10" t="n">
        <f aca="false">+G$7*E17</f>
        <v>17.5533985258246</v>
      </c>
      <c r="I17" s="11" t="n">
        <f aca="false">+I7-I15</f>
        <v>1610102</v>
      </c>
      <c r="K17" s="8" t="n">
        <f aca="false">+I17/$I$7</f>
        <v>0.339999864853336</v>
      </c>
      <c r="L17" s="8"/>
      <c r="M17" s="10" t="n">
        <f aca="false">+M$7*K17</f>
        <v>8.15999675648007</v>
      </c>
    </row>
    <row r="20" customFormat="false" ht="12.75" hidden="false" customHeight="false" outlineLevel="0" collapsed="false">
      <c r="A20" s="0" t="s">
        <v>15</v>
      </c>
    </row>
    <row r="21" customFormat="false" ht="12.75" hidden="false" customHeight="false" outlineLevel="0" collapsed="false">
      <c r="A21" s="17" t="s">
        <v>16</v>
      </c>
    </row>
    <row r="23" customFormat="false" ht="12.75" hidden="false" customHeight="false" outlineLevel="0" collapsed="false">
      <c r="A23" s="30"/>
      <c r="C23" s="8"/>
      <c r="E23" s="30"/>
      <c r="F23" s="30"/>
      <c r="G23" s="30"/>
    </row>
    <row r="24" customFormat="false" ht="12.75" hidden="false" customHeight="false" outlineLevel="0" collapsed="false">
      <c r="C24" s="8"/>
      <c r="E24" s="30"/>
      <c r="F24" s="30"/>
      <c r="G24" s="30"/>
    </row>
    <row r="25" customFormat="false" ht="12.75" hidden="false" customHeight="false" outlineLevel="0" collapsed="false">
      <c r="C25" s="8"/>
      <c r="E25" s="30"/>
      <c r="F25" s="30"/>
      <c r="G25" s="30"/>
    </row>
    <row r="26" customFormat="false" ht="12.75" hidden="false" customHeight="false" outlineLevel="0" collapsed="false">
      <c r="C26" s="8"/>
      <c r="E26" s="30"/>
      <c r="F26" s="30"/>
      <c r="G26" s="30"/>
    </row>
    <row r="27" customFormat="false" ht="12.75" hidden="false" customHeight="false" outlineLevel="0" collapsed="false">
      <c r="C27" s="8"/>
      <c r="E27" s="30"/>
      <c r="F27" s="30"/>
      <c r="G27" s="30"/>
    </row>
    <row r="28" customFormat="false" ht="12.75" hidden="false" customHeight="false" outlineLevel="0" collapsed="false">
      <c r="C28" s="8"/>
      <c r="E28" s="30"/>
      <c r="F28" s="30"/>
      <c r="G28" s="30"/>
    </row>
    <row r="29" customFormat="false" ht="12.75" hidden="false" customHeight="false" outlineLevel="0" collapsed="false">
      <c r="C29" s="8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N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1.85"/>
    <col collapsed="false" customWidth="true" hidden="false" outlineLevel="0" max="3" min="3" style="0" width="10.28"/>
    <col collapsed="false" customWidth="true" hidden="false" outlineLevel="0" max="4" min="4" style="0" width="1.85"/>
    <col collapsed="false" customWidth="true" hidden="false" outlineLevel="0" max="5" min="5" style="0" width="7.7"/>
    <col collapsed="false" customWidth="true" hidden="false" outlineLevel="0" max="6" min="6" style="0" width="1.85"/>
    <col collapsed="false" customWidth="true" hidden="false" outlineLevel="0" max="7" min="7" style="0" width="5.71"/>
    <col collapsed="false" customWidth="true" hidden="false" outlineLevel="0" max="8" min="8" style="0" width="1.85"/>
    <col collapsed="false" customWidth="true" hidden="false" outlineLevel="0" max="9" min="9" style="0" width="11.28"/>
    <col collapsed="false" customWidth="true" hidden="false" outlineLevel="0" max="10" min="10" style="0" width="1.85"/>
    <col collapsed="false" customWidth="true" hidden="false" outlineLevel="0" max="12" min="12" style="0" width="2.13"/>
    <col collapsed="false" customWidth="true" hidden="false" outlineLevel="0" max="13" min="13" style="0" width="5.71"/>
    <col collapsed="false" customWidth="true" hidden="false" outlineLevel="0" max="14" min="14" style="0" width="1.85"/>
  </cols>
  <sheetData>
    <row r="1" customFormat="false" ht="15.75" hidden="false" customHeight="false" outlineLevel="0" collapsed="false">
      <c r="A1" s="1" t="s">
        <v>296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4" t="s">
        <v>4</v>
      </c>
      <c r="D5" s="5"/>
      <c r="E5" s="4" t="s">
        <v>5</v>
      </c>
      <c r="F5" s="6"/>
      <c r="G5" s="4" t="s">
        <v>6</v>
      </c>
      <c r="I5" s="4" t="s">
        <v>4</v>
      </c>
      <c r="J5" s="5"/>
      <c r="K5" s="4" t="s">
        <v>5</v>
      </c>
      <c r="L5" s="6"/>
      <c r="M5" s="4" t="s">
        <v>6</v>
      </c>
    </row>
    <row r="7" customFormat="false" ht="12.75" hidden="false" customHeight="false" outlineLevel="0" collapsed="false">
      <c r="A7" s="0" t="s">
        <v>7</v>
      </c>
      <c r="C7" s="7" t="n">
        <f aca="false">+[1]Treasury!K52</f>
        <v>2832923.45571429</v>
      </c>
      <c r="E7" s="8" t="n">
        <v>1</v>
      </c>
      <c r="F7" s="8"/>
      <c r="G7" s="0" t="n">
        <v>16</v>
      </c>
      <c r="I7" s="7" t="n">
        <f aca="false">+[1]Treasury!M52</f>
        <v>3641345.695125</v>
      </c>
      <c r="K7" s="8" t="n">
        <v>1</v>
      </c>
      <c r="L7" s="8"/>
      <c r="M7" s="0" t="n">
        <v>20</v>
      </c>
    </row>
    <row r="8" customFormat="false" ht="12.75" hidden="false" customHeight="false" outlineLevel="0" collapsed="false">
      <c r="A8" s="0" t="s">
        <v>8</v>
      </c>
      <c r="C8" s="7"/>
      <c r="E8" s="8"/>
      <c r="F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0" t="s">
        <v>9</v>
      </c>
      <c r="C9" s="11" t="n">
        <f aca="false">67396.08*12</f>
        <v>808752.96</v>
      </c>
      <c r="D9" s="19"/>
      <c r="E9" s="8" t="n">
        <f aca="false">C9/$C$7</f>
        <v>0.285483519990159</v>
      </c>
      <c r="F9" s="8"/>
      <c r="G9" s="10" t="n">
        <f aca="false">+G$7*E9</f>
        <v>4.56773631984255</v>
      </c>
      <c r="H9" s="19"/>
      <c r="I9" s="11" t="n">
        <v>0</v>
      </c>
      <c r="J9" s="19"/>
      <c r="K9" s="8" t="n">
        <f aca="false">I9/$I$7</f>
        <v>0</v>
      </c>
      <c r="L9" s="8"/>
      <c r="M9" s="10" t="n">
        <f aca="false">+M$7*K9</f>
        <v>0</v>
      </c>
    </row>
    <row r="10" customFormat="false" ht="12.75" hidden="false" customHeight="false" outlineLevel="0" collapsed="false">
      <c r="A10" s="12" t="s">
        <v>23</v>
      </c>
      <c r="C10" s="13" t="n">
        <f aca="false">8800*6</f>
        <v>52800</v>
      </c>
      <c r="E10" s="14" t="n">
        <f aca="false">C10/$C$7</f>
        <v>0.0186379903394485</v>
      </c>
      <c r="F10" s="8"/>
      <c r="G10" s="15" t="n">
        <f aca="false">+G$7*E10</f>
        <v>0.298207845431176</v>
      </c>
      <c r="I10" s="13" t="n">
        <v>0</v>
      </c>
      <c r="K10" s="14" t="n">
        <f aca="false">I10/$I$7</f>
        <v>0</v>
      </c>
      <c r="L10" s="8"/>
      <c r="M10" s="15" t="n">
        <f aca="false">+M$7*K10</f>
        <v>0</v>
      </c>
    </row>
    <row r="11" customFormat="false" ht="12.75" hidden="false" customHeight="false" outlineLevel="0" collapsed="false">
      <c r="A11" s="0" t="s">
        <v>13</v>
      </c>
      <c r="C11" s="11" t="n">
        <f aca="false">+C9+C10</f>
        <v>861552.96</v>
      </c>
      <c r="E11" s="8" t="n">
        <f aca="false">SUM(E9:E10)+0.01</f>
        <v>0.314121510329608</v>
      </c>
      <c r="F11" s="8"/>
      <c r="G11" s="10" t="n">
        <f aca="false">SUM(G9:G10)</f>
        <v>4.86594416527372</v>
      </c>
      <c r="I11" s="11" t="n">
        <f aca="false">+I9+I10</f>
        <v>0</v>
      </c>
      <c r="K11" s="8" t="n">
        <f aca="false">SUM(K9:K10)</f>
        <v>0</v>
      </c>
      <c r="L11" s="8"/>
      <c r="M11" s="10" t="n">
        <f aca="false">SUM(M9:M10)</f>
        <v>0</v>
      </c>
    </row>
    <row r="12" customFormat="false" ht="12.75" hidden="false" customHeight="false" outlineLevel="0" collapsed="false">
      <c r="C12" s="11"/>
      <c r="G12" s="10"/>
      <c r="I12" s="11"/>
      <c r="M12" s="10"/>
    </row>
    <row r="13" customFormat="false" ht="12.75" hidden="false" customHeight="false" outlineLevel="0" collapsed="false">
      <c r="A13" s="0" t="s">
        <v>14</v>
      </c>
      <c r="C13" s="7" t="n">
        <f aca="false">C7-C11</f>
        <v>1971370.49571429</v>
      </c>
      <c r="E13" s="8" t="n">
        <f aca="false">+E7-E11</f>
        <v>0.685878489670392</v>
      </c>
      <c r="F13" s="8"/>
      <c r="G13" s="10" t="n">
        <f aca="false">+G$7*E13</f>
        <v>10.9740558347263</v>
      </c>
      <c r="I13" s="11" t="n">
        <f aca="false">I7-I11</f>
        <v>3641345.695125</v>
      </c>
      <c r="K13" s="8" t="n">
        <f aca="false">+K7-K11</f>
        <v>1</v>
      </c>
      <c r="L13" s="8"/>
      <c r="M13" s="10" t="n">
        <f aca="false">+M$7*K13-0.11</f>
        <v>19.89</v>
      </c>
    </row>
    <row r="14" customFormat="false" ht="12.75" hidden="false" customHeight="false" outlineLevel="0" collapsed="false">
      <c r="G14" s="63"/>
      <c r="M14" s="63"/>
    </row>
    <row r="15" customFormat="false" ht="12.75" hidden="false" customHeight="false" outlineLevel="0" collapsed="false">
      <c r="G15" s="10"/>
      <c r="M15" s="10"/>
    </row>
    <row r="16" customFormat="false" ht="12.75" hidden="false" customHeight="false" outlineLevel="0" collapsed="false">
      <c r="G16" s="63"/>
      <c r="M16" s="63"/>
    </row>
    <row r="17" customFormat="false" ht="12.75" hidden="false" customHeight="false" outlineLevel="0" collapsed="false">
      <c r="G17" s="63"/>
      <c r="M17" s="63"/>
    </row>
    <row r="18" customFormat="false" ht="12.75" hidden="false" customHeight="false" outlineLevel="0" collapsed="false">
      <c r="G18" s="63"/>
      <c r="M18" s="63"/>
    </row>
    <row r="19" customFormat="false" ht="12.75" hidden="false" customHeight="false" outlineLevel="0" collapsed="false">
      <c r="G19" s="63"/>
      <c r="M19" s="63"/>
    </row>
    <row r="20" customFormat="false" ht="12.75" hidden="false" customHeight="false" outlineLevel="0" collapsed="false">
      <c r="G20" s="63"/>
      <c r="M20" s="63"/>
    </row>
    <row r="21" customFormat="false" ht="12.75" hidden="false" customHeight="false" outlineLevel="0" collapsed="false">
      <c r="G21" s="63"/>
      <c r="M21" s="63"/>
    </row>
    <row r="22" customFormat="false" ht="12.75" hidden="false" customHeight="false" outlineLevel="0" collapsed="false">
      <c r="G22" s="63"/>
      <c r="M22" s="63"/>
    </row>
    <row r="23" customFormat="false" ht="12.75" hidden="false" customHeight="false" outlineLevel="0" collapsed="false">
      <c r="G23" s="63"/>
      <c r="M23" s="63"/>
    </row>
    <row r="24" customFormat="false" ht="12.75" hidden="false" customHeight="false" outlineLevel="0" collapsed="false">
      <c r="G24" s="10"/>
      <c r="M24" s="10"/>
    </row>
    <row r="26" customFormat="false" ht="12.75" hidden="false" customHeight="false" outlineLevel="0" collapsed="false">
      <c r="G26" s="11"/>
      <c r="M26" s="11"/>
    </row>
    <row r="27" customFormat="false" ht="12.75" hidden="false" customHeight="false" outlineLevel="0" collapsed="false">
      <c r="G27" s="11"/>
      <c r="M27" s="11"/>
    </row>
    <row r="28" customFormat="false" ht="12.75" hidden="false" customHeight="false" outlineLevel="0" collapsed="false">
      <c r="G28" s="11"/>
      <c r="M28" s="11"/>
    </row>
    <row r="29" customFormat="false" ht="12.75" hidden="false" customHeight="false" outlineLevel="0" collapsed="false">
      <c r="G29" s="11"/>
      <c r="M29" s="11"/>
    </row>
    <row r="30" customFormat="false" ht="12.75" hidden="false" customHeight="false" outlineLevel="0" collapsed="false">
      <c r="G30" s="11"/>
      <c r="M30" s="11"/>
    </row>
    <row r="31" customFormat="false" ht="12.75" hidden="false" customHeight="false" outlineLevel="0" collapsed="false">
      <c r="G31" s="11"/>
      <c r="M31" s="11"/>
    </row>
    <row r="32" customFormat="false" ht="12.75" hidden="false" customHeight="false" outlineLevel="0" collapsed="false">
      <c r="G32" s="11"/>
      <c r="M32" s="11"/>
    </row>
    <row r="33" customFormat="false" ht="12.75" hidden="false" customHeight="false" outlineLevel="0" collapsed="false">
      <c r="G33" s="11"/>
      <c r="M33" s="11"/>
    </row>
    <row r="34" customFormat="false" ht="12.75" hidden="false" customHeight="false" outlineLevel="0" collapsed="false">
      <c r="G34" s="11"/>
      <c r="M34" s="11"/>
    </row>
    <row r="35" customFormat="false" ht="12.75" hidden="false" customHeight="false" outlineLevel="0" collapsed="false">
      <c r="G35" s="11"/>
      <c r="M35" s="11"/>
    </row>
    <row r="36" customFormat="false" ht="12.75" hidden="false" customHeight="false" outlineLevel="0" collapsed="false">
      <c r="G36" s="7"/>
      <c r="M36" s="7"/>
    </row>
    <row r="37" customFormat="false" ht="12.75" hidden="false" customHeight="false" outlineLevel="0" collapsed="false">
      <c r="G37" s="11"/>
      <c r="M37" s="11"/>
    </row>
  </sheetData>
  <mergeCells count="4">
    <mergeCell ref="A1:N1"/>
    <mergeCell ref="A2:N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.13"/>
    <col collapsed="false" customWidth="true" hidden="false" outlineLevel="0" max="3" min="3" style="0" width="10.28"/>
    <col collapsed="false" customWidth="true" hidden="false" outlineLevel="0" max="4" min="4" style="0" width="2.13"/>
    <col collapsed="false" customWidth="true" hidden="false" outlineLevel="0" max="5" min="5" style="0" width="7.7"/>
    <col collapsed="false" customWidth="true" hidden="false" outlineLevel="0" max="6" min="6" style="0" width="2.13"/>
    <col collapsed="false" customWidth="true" hidden="false" outlineLevel="0" max="7" min="7" style="0" width="7.14"/>
    <col collapsed="false" customWidth="true" hidden="false" outlineLevel="0" max="8" min="8" style="0" width="2.13"/>
    <col collapsed="false" customWidth="true" hidden="false" outlineLevel="0" max="9" min="9" style="0" width="11.28"/>
    <col collapsed="false" customWidth="true" hidden="false" outlineLevel="0" max="10" min="10" style="0" width="2.13"/>
    <col collapsed="false" customWidth="true" hidden="false" outlineLevel="0" max="12" min="12" style="0" width="1.85"/>
    <col collapsed="false" customWidth="true" hidden="false" outlineLevel="0" max="13" min="13" style="0" width="7.7"/>
    <col collapsed="false" customWidth="true" hidden="false" outlineLevel="0" max="14" min="14" style="0" width="2.13"/>
  </cols>
  <sheetData>
    <row r="1" customFormat="false" ht="15.75" hidden="false" customHeight="false" outlineLevel="0" collapsed="false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8.75" hidden="false" customHeight="true" outlineLevel="0" collapsed="false"/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4" t="s">
        <v>4</v>
      </c>
      <c r="D5" s="5"/>
      <c r="E5" s="4" t="s">
        <v>5</v>
      </c>
      <c r="G5" s="4" t="s">
        <v>6</v>
      </c>
      <c r="I5" s="4" t="s">
        <v>4</v>
      </c>
      <c r="J5" s="5"/>
      <c r="K5" s="4" t="s">
        <v>5</v>
      </c>
      <c r="L5" s="6"/>
      <c r="M5" s="4" t="s">
        <v>6</v>
      </c>
    </row>
    <row r="7" customFormat="false" ht="12.75" hidden="false" customHeight="false" outlineLevel="0" collapsed="false">
      <c r="A7" s="0" t="s">
        <v>7</v>
      </c>
      <c r="C7" s="7" t="n">
        <f aca="false">+[1]eSource!K56</f>
        <v>1094015.64571429</v>
      </c>
      <c r="E7" s="8" t="n">
        <v>1</v>
      </c>
      <c r="G7" s="0" t="n">
        <v>11</v>
      </c>
      <c r="I7" s="7" t="n">
        <f aca="false">+[1]eSource!M56</f>
        <v>1727215.954</v>
      </c>
      <c r="K7" s="8" t="n">
        <v>1</v>
      </c>
      <c r="L7" s="8"/>
      <c r="M7" s="0" t="n">
        <v>12</v>
      </c>
    </row>
    <row r="8" customFormat="false" ht="12.75" hidden="false" customHeight="false" outlineLevel="0" collapsed="false">
      <c r="A8" s="0" t="s">
        <v>8</v>
      </c>
      <c r="C8" s="7"/>
      <c r="E8" s="8"/>
      <c r="G8" s="9"/>
      <c r="I8" s="7"/>
      <c r="K8" s="8"/>
      <c r="L8" s="8"/>
      <c r="M8" s="9"/>
    </row>
    <row r="9" customFormat="false" ht="12.75" hidden="false" customHeight="false" outlineLevel="0" collapsed="false">
      <c r="A9" s="12" t="s">
        <v>18</v>
      </c>
      <c r="C9" s="11" t="n">
        <v>245028</v>
      </c>
      <c r="E9" s="8" t="n">
        <f aca="false">C9/$C$7</f>
        <v>0.223971202751877</v>
      </c>
      <c r="G9" s="10" t="n">
        <f aca="false">+G$7*E9</f>
        <v>2.46368323027065</v>
      </c>
      <c r="I9" s="11" t="n">
        <v>431804</v>
      </c>
      <c r="K9" s="8" t="n">
        <f aca="false">I9/$I$7</f>
        <v>0.250000006658114</v>
      </c>
      <c r="L9" s="8"/>
      <c r="M9" s="10" t="n">
        <f aca="false">+M$7*K9</f>
        <v>3.00000007989736</v>
      </c>
    </row>
    <row r="10" customFormat="false" ht="12.75" hidden="false" customHeight="false" outlineLevel="0" collapsed="false">
      <c r="A10" s="0" t="s">
        <v>9</v>
      </c>
      <c r="C10" s="11" t="n">
        <v>196022</v>
      </c>
      <c r="E10" s="8" t="n">
        <f aca="false">C10/$C$7</f>
        <v>0.179176596576018</v>
      </c>
      <c r="G10" s="10" t="n">
        <f aca="false">+G$7*E10</f>
        <v>1.97094256233619</v>
      </c>
      <c r="I10" s="11" t="n">
        <v>345443</v>
      </c>
      <c r="K10" s="8" t="n">
        <f aca="false">I10/$I$7</f>
        <v>0.199999889533211</v>
      </c>
      <c r="L10" s="8"/>
      <c r="M10" s="10" t="n">
        <f aca="false">+M$7*K10</f>
        <v>2.39999867439853</v>
      </c>
    </row>
    <row r="11" customFormat="false" ht="12.75" hidden="false" customHeight="false" outlineLevel="0" collapsed="false">
      <c r="A11" s="12" t="s">
        <v>11</v>
      </c>
      <c r="C11" s="11" t="n">
        <v>186221</v>
      </c>
      <c r="E11" s="8" t="n">
        <f aca="false">C11/$C$7</f>
        <v>0.170217858153588</v>
      </c>
      <c r="G11" s="10" t="n">
        <f aca="false">+G$7*E11</f>
        <v>1.87239643968947</v>
      </c>
      <c r="I11" s="11" t="n">
        <v>328171</v>
      </c>
      <c r="K11" s="8" t="n">
        <f aca="false">I11/$I$7</f>
        <v>0.18999998190151</v>
      </c>
      <c r="L11" s="8"/>
      <c r="M11" s="10" t="n">
        <f aca="false">+M$7*K11</f>
        <v>2.27999978281813</v>
      </c>
    </row>
    <row r="12" customFormat="false" ht="12.75" hidden="false" customHeight="false" outlineLevel="0" collapsed="false">
      <c r="A12" s="0" t="s">
        <v>10</v>
      </c>
      <c r="C12" s="11" t="n">
        <f aca="false">166619+113904</f>
        <v>280523</v>
      </c>
      <c r="E12" s="8" t="n">
        <f aca="false">C12/$C$7</f>
        <v>0.256415894140934</v>
      </c>
      <c r="G12" s="10" t="n">
        <f aca="false">+G$7*E12</f>
        <v>2.82057483555028</v>
      </c>
      <c r="I12" s="11" t="n">
        <v>293627</v>
      </c>
      <c r="K12" s="8" t="n">
        <f aca="false">I12/$I$7</f>
        <v>0.170000166638109</v>
      </c>
      <c r="L12" s="8"/>
      <c r="M12" s="10" t="n">
        <f aca="false">+M$7*K12</f>
        <v>2.04000199965731</v>
      </c>
    </row>
    <row r="13" customFormat="false" ht="12.75" hidden="false" customHeight="false" outlineLevel="0" collapsed="false">
      <c r="A13" s="18" t="s">
        <v>19</v>
      </c>
      <c r="B13" s="19"/>
      <c r="C13" s="11" t="n">
        <v>127415</v>
      </c>
      <c r="D13" s="19"/>
      <c r="E13" s="8" t="n">
        <f aca="false">C13/$C$7</f>
        <v>0.116465427619009</v>
      </c>
      <c r="F13" s="19"/>
      <c r="G13" s="10" t="n">
        <f aca="false">+G$7*E13</f>
        <v>1.28111970380909</v>
      </c>
      <c r="H13" s="19"/>
      <c r="I13" s="11" t="n">
        <v>224538</v>
      </c>
      <c r="J13" s="19"/>
      <c r="K13" s="8" t="n">
        <f aca="false">I13/$I$7</f>
        <v>0.129999957144907</v>
      </c>
      <c r="L13" s="8"/>
      <c r="M13" s="10" t="n">
        <f aca="false">+M$7*K13</f>
        <v>1.55999948573889</v>
      </c>
      <c r="N13" s="19"/>
    </row>
    <row r="14" customFormat="false" ht="12.75" hidden="false" customHeight="false" outlineLevel="0" collapsed="false">
      <c r="A14" s="12" t="s">
        <v>20</v>
      </c>
      <c r="C14" s="13" t="n">
        <v>58807</v>
      </c>
      <c r="E14" s="14" t="n">
        <f aca="false">C14/$C$7</f>
        <v>0.0537533445982893</v>
      </c>
      <c r="G14" s="15" t="n">
        <f aca="false">+G$7*E14</f>
        <v>0.591286790581183</v>
      </c>
      <c r="I14" s="13" t="n">
        <v>103633</v>
      </c>
      <c r="K14" s="14" t="n">
        <f aca="false">I14/$I$7</f>
        <v>0.0600000247566032</v>
      </c>
      <c r="L14" s="8"/>
      <c r="M14" s="15" t="n">
        <f aca="false">+M$7*K14</f>
        <v>0.720000297079238</v>
      </c>
    </row>
    <row r="15" customFormat="false" ht="12.75" hidden="false" customHeight="false" outlineLevel="0" collapsed="false">
      <c r="A15" s="0" t="s">
        <v>13</v>
      </c>
      <c r="C15" s="11" t="n">
        <f aca="false">SUM(C9:C14)</f>
        <v>1094016</v>
      </c>
      <c r="E15" s="8" t="n">
        <f aca="false">SUM(E9:E14)</f>
        <v>1.00000032383971</v>
      </c>
      <c r="G15" s="10" t="n">
        <f aca="false">SUM(G9:G14)</f>
        <v>11.0000035622369</v>
      </c>
      <c r="I15" s="11" t="n">
        <f aca="false">SUM(I9:I14)</f>
        <v>1727216</v>
      </c>
      <c r="K15" s="8" t="n">
        <f aca="false">SUM(K9:K14)</f>
        <v>1.00000002663245</v>
      </c>
      <c r="L15" s="8"/>
      <c r="M15" s="10" t="n">
        <f aca="false">SUM(M9:M14)</f>
        <v>12.0000003195895</v>
      </c>
    </row>
    <row r="16" customFormat="false" ht="12.75" hidden="false" customHeight="false" outlineLevel="0" collapsed="false">
      <c r="C16" s="11"/>
      <c r="I16" s="11"/>
    </row>
    <row r="17" customFormat="false" ht="12.75" hidden="false" customHeight="false" outlineLevel="0" collapsed="false">
      <c r="A17" s="0" t="s">
        <v>14</v>
      </c>
      <c r="C17" s="7" t="n">
        <f aca="false">C7-C15</f>
        <v>-0.35428571421653</v>
      </c>
      <c r="E17" s="8" t="n">
        <f aca="false">C17/$C$7</f>
        <v>-3.23839714362783E-007</v>
      </c>
      <c r="G17" s="10" t="n">
        <f aca="false">+G$7*E17</f>
        <v>-3.56223685799062E-006</v>
      </c>
      <c r="I17" s="11" t="n">
        <f aca="false">I7-I15</f>
        <v>-0.046000000089407</v>
      </c>
      <c r="K17" s="8" t="n">
        <f aca="false">I17/I7</f>
        <v>-2.66324543742646E-008</v>
      </c>
      <c r="L17" s="8"/>
      <c r="M17" s="10" t="n">
        <f aca="false">+M$7*K17</f>
        <v>-3.19589452491176E-007</v>
      </c>
    </row>
    <row r="20" customFormat="false" ht="12.75" hidden="false" customHeight="false" outlineLevel="0" collapsed="false">
      <c r="A20" s="0" t="s">
        <v>15</v>
      </c>
    </row>
    <row r="21" customFormat="false" ht="12.75" hidden="false" customHeight="false" outlineLevel="0" collapsed="false">
      <c r="A21" s="17" t="s">
        <v>16</v>
      </c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56"/>
    <col collapsed="false" customWidth="true" hidden="false" outlineLevel="0" max="2" min="2" style="0" width="3.7"/>
    <col collapsed="false" customWidth="true" hidden="false" outlineLevel="0" max="3" min="3" style="0" width="12.56"/>
    <col collapsed="false" customWidth="true" hidden="false" outlineLevel="0" max="4" min="4" style="0" width="1.56"/>
    <col collapsed="false" customWidth="true" hidden="false" outlineLevel="0" max="5" min="5" style="0" width="8.28"/>
    <col collapsed="false" customWidth="true" hidden="false" outlineLevel="0" max="6" min="6" style="0" width="1.41"/>
    <col collapsed="false" customWidth="true" hidden="false" outlineLevel="0" max="7" min="7" style="0" width="7.42"/>
    <col collapsed="false" customWidth="true" hidden="false" outlineLevel="0" max="8" min="8" style="0" width="2.7"/>
    <col collapsed="false" customWidth="true" hidden="false" outlineLevel="0" max="9" min="9" style="0" width="11.28"/>
    <col collapsed="false" customWidth="true" hidden="false" outlineLevel="0" max="10" min="10" style="0" width="1.7"/>
    <col collapsed="false" customWidth="true" hidden="false" outlineLevel="0" max="11" min="11" style="0" width="10.28"/>
    <col collapsed="false" customWidth="true" hidden="false" outlineLevel="0" max="12" min="12" style="0" width="1.56"/>
    <col collapsed="false" customWidth="true" hidden="false" outlineLevel="0" max="14" min="14" style="0" width="2.7"/>
  </cols>
  <sheetData>
    <row r="1" customFormat="false" ht="15.75" hidden="false" customHeight="false" outlineLevel="0" collapsed="false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20" t="s">
        <v>4</v>
      </c>
      <c r="D5" s="5"/>
      <c r="E5" s="20" t="s">
        <v>5</v>
      </c>
      <c r="F5" s="20"/>
      <c r="G5" s="20" t="s">
        <v>6</v>
      </c>
      <c r="H5" s="5"/>
      <c r="I5" s="20" t="s">
        <v>4</v>
      </c>
      <c r="J5" s="5"/>
      <c r="K5" s="20" t="s">
        <v>5</v>
      </c>
      <c r="L5" s="20"/>
      <c r="M5" s="21" t="s">
        <v>6</v>
      </c>
    </row>
    <row r="7" customFormat="false" ht="12.75" hidden="false" customHeight="false" outlineLevel="0" collapsed="false">
      <c r="A7" s="0" t="s">
        <v>22</v>
      </c>
      <c r="C7" s="7" t="n">
        <v>18243481</v>
      </c>
      <c r="E7" s="22" t="n">
        <f aca="false">+E20+E22</f>
        <v>0.9998</v>
      </c>
      <c r="F7" s="9"/>
      <c r="G7" s="23" t="n">
        <v>172</v>
      </c>
      <c r="H7" s="23"/>
      <c r="I7" s="7" t="n">
        <v>19138698</v>
      </c>
      <c r="K7" s="22" t="n">
        <f aca="false">+K20+K22</f>
        <v>1.003</v>
      </c>
      <c r="L7" s="9"/>
      <c r="M7" s="0" t="n">
        <v>164</v>
      </c>
    </row>
    <row r="8" customFormat="false" ht="12.75" hidden="false" customHeight="false" outlineLevel="0" collapsed="false">
      <c r="A8" s="0" t="s">
        <v>8</v>
      </c>
      <c r="C8" s="7"/>
      <c r="E8" s="22"/>
      <c r="F8" s="9"/>
      <c r="I8" s="7"/>
      <c r="K8" s="22"/>
      <c r="L8" s="9"/>
    </row>
    <row r="9" customFormat="false" ht="12.75" hidden="false" customHeight="false" outlineLevel="0" collapsed="false">
      <c r="A9" s="0" t="s">
        <v>9</v>
      </c>
      <c r="C9" s="11" t="n">
        <f aca="false">300000+23091</f>
        <v>323091</v>
      </c>
      <c r="E9" s="22" t="n">
        <f aca="false">+C9/$C$7</f>
        <v>0.0177099425268675</v>
      </c>
      <c r="F9" s="9"/>
      <c r="G9" s="23" t="n">
        <f aca="false">+$G$7*E9</f>
        <v>3.04611011462122</v>
      </c>
      <c r="H9" s="23"/>
      <c r="I9" s="11" t="n">
        <v>417618</v>
      </c>
      <c r="K9" s="22" t="n">
        <f aca="false">+I9/$I$7</f>
        <v>0.0218206066055277</v>
      </c>
      <c r="L9" s="9"/>
      <c r="M9" s="23" t="n">
        <f aca="false">+$M$7*K9</f>
        <v>3.57857948330654</v>
      </c>
    </row>
    <row r="10" customFormat="false" ht="12.75" hidden="false" customHeight="false" outlineLevel="0" collapsed="false">
      <c r="A10" s="0" t="s">
        <v>20</v>
      </c>
      <c r="C10" s="11" t="n">
        <v>11635</v>
      </c>
      <c r="E10" s="22" t="n">
        <f aca="false">+C10/$C$7</f>
        <v>0.000637762058677289</v>
      </c>
      <c r="F10" s="9"/>
      <c r="G10" s="23" t="n">
        <f aca="false">+$G$7*E10</f>
        <v>0.109695074092494</v>
      </c>
      <c r="H10" s="23"/>
      <c r="I10" s="11" t="n">
        <v>123749</v>
      </c>
      <c r="K10" s="22" t="n">
        <f aca="false">+I10/$I$7</f>
        <v>0.00646590483845871</v>
      </c>
      <c r="L10" s="9"/>
      <c r="M10" s="23" t="n">
        <f aca="false">+$M$7*K10</f>
        <v>1.06040839350723</v>
      </c>
    </row>
    <row r="11" customFormat="false" ht="12.75" hidden="false" customHeight="false" outlineLevel="0" collapsed="false">
      <c r="A11" s="0" t="s">
        <v>10</v>
      </c>
      <c r="C11" s="11" t="n">
        <f aca="false">21000+50004+29004</f>
        <v>100008</v>
      </c>
      <c r="E11" s="22" t="n">
        <f aca="false">+C11/$C$7</f>
        <v>0.0054818485573011</v>
      </c>
      <c r="F11" s="9"/>
      <c r="G11" s="23" t="n">
        <f aca="false">+$G$7*E11</f>
        <v>0.942877951855789</v>
      </c>
      <c r="H11" s="23"/>
      <c r="I11" s="11" t="n">
        <v>253760</v>
      </c>
      <c r="K11" s="22" t="n">
        <f aca="false">+I11/$I$7</f>
        <v>0.013259000168141</v>
      </c>
      <c r="L11" s="9"/>
      <c r="M11" s="23" t="n">
        <f aca="false">+$M$7*K11</f>
        <v>2.17447602757513</v>
      </c>
    </row>
    <row r="12" customFormat="false" ht="12.75" hidden="false" customHeight="false" outlineLevel="0" collapsed="false">
      <c r="A12" s="0" t="s">
        <v>11</v>
      </c>
      <c r="C12" s="11" t="n">
        <v>3011695</v>
      </c>
      <c r="E12" s="22" t="n">
        <f aca="false">+C12/$C$7-0.0002</f>
        <v>0.16488335223963</v>
      </c>
      <c r="F12" s="9"/>
      <c r="G12" s="24" t="n">
        <f aca="false">+$G$7*E12+0.2</f>
        <v>28.5599365852164</v>
      </c>
      <c r="H12" s="23"/>
      <c r="I12" s="11" t="n">
        <v>2277528</v>
      </c>
      <c r="K12" s="22" t="n">
        <f aca="false">+I12/$I$7</f>
        <v>0.119001198514131</v>
      </c>
      <c r="L12" s="9"/>
      <c r="M12" s="23" t="n">
        <f aca="false">+$M$7*K12</f>
        <v>19.5161965563175</v>
      </c>
    </row>
    <row r="13" customFormat="false" ht="12.75" hidden="false" customHeight="false" outlineLevel="0" collapsed="false">
      <c r="A13" s="0" t="s">
        <v>12</v>
      </c>
      <c r="C13" s="11" t="n">
        <f aca="false">4651585+4753</f>
        <v>4656338</v>
      </c>
      <c r="E13" s="22" t="n">
        <f aca="false">+C13/$C$7</f>
        <v>0.255232978837756</v>
      </c>
      <c r="F13" s="9"/>
      <c r="G13" s="23" t="n">
        <f aca="false">+$G$7*E13</f>
        <v>43.900072360094</v>
      </c>
      <c r="H13" s="23"/>
      <c r="I13" s="11" t="n">
        <v>5465769</v>
      </c>
      <c r="K13" s="22" t="n">
        <f aca="false">+I13/$I$7</f>
        <v>0.285587295436712</v>
      </c>
      <c r="L13" s="9"/>
      <c r="M13" s="23" t="n">
        <f aca="false">+$M$7*K13</f>
        <v>46.8363164516207</v>
      </c>
    </row>
    <row r="14" customFormat="false" ht="12.75" hidden="false" customHeight="false" outlineLevel="0" collapsed="false">
      <c r="A14" s="0" t="s">
        <v>23</v>
      </c>
      <c r="C14" s="11" t="n">
        <v>780000</v>
      </c>
      <c r="E14" s="22" t="n">
        <f aca="false">+C14/$C$7</f>
        <v>0.0427549983470808</v>
      </c>
      <c r="F14" s="9"/>
      <c r="G14" s="23" t="n">
        <f aca="false">+$G$7*E14</f>
        <v>7.3538597156979</v>
      </c>
      <c r="H14" s="23"/>
      <c r="I14" s="11" t="n">
        <v>1009567</v>
      </c>
      <c r="K14" s="22" t="n">
        <f aca="false">+I14/$I$7</f>
        <v>0.0527500355562327</v>
      </c>
      <c r="L14" s="9"/>
      <c r="M14" s="25" t="n">
        <f aca="false">+$M$7*K14</f>
        <v>8.65100583122217</v>
      </c>
    </row>
    <row r="15" customFormat="false" ht="12.75" hidden="false" customHeight="false" outlineLevel="0" collapsed="false">
      <c r="A15" s="0" t="s">
        <v>24</v>
      </c>
      <c r="C15" s="11" t="n">
        <v>0</v>
      </c>
      <c r="E15" s="22" t="n">
        <f aca="false">+C15/$C$7</f>
        <v>0</v>
      </c>
      <c r="F15" s="9"/>
      <c r="G15" s="23" t="n">
        <f aca="false">+$G$7*E15</f>
        <v>0</v>
      </c>
      <c r="H15" s="23"/>
      <c r="I15" s="11" t="n">
        <v>470016</v>
      </c>
      <c r="K15" s="22" t="n">
        <f aca="false">+I15/$I$7+0.003</f>
        <v>0.0275584103997043</v>
      </c>
      <c r="L15" s="9"/>
      <c r="M15" s="26" t="n">
        <f aca="false">+$M$7*K15</f>
        <v>4.51957930555151</v>
      </c>
    </row>
    <row r="16" customFormat="false" ht="12.75" hidden="false" customHeight="false" outlineLevel="0" collapsed="false">
      <c r="A16" s="0" t="s">
        <v>25</v>
      </c>
      <c r="C16" s="11" t="n">
        <v>0</v>
      </c>
      <c r="E16" s="22" t="n">
        <f aca="false">+C16/$C$7</f>
        <v>0</v>
      </c>
      <c r="F16" s="9"/>
      <c r="G16" s="23" t="n">
        <f aca="false">+$G$7*E16</f>
        <v>0</v>
      </c>
      <c r="H16" s="23"/>
      <c r="I16" s="11" t="n">
        <v>56727</v>
      </c>
      <c r="K16" s="22" t="n">
        <f aca="false">+I16/$I$7</f>
        <v>0.00296399472942203</v>
      </c>
      <c r="L16" s="9"/>
      <c r="M16" s="23" t="n">
        <f aca="false">+$M$7*K16</f>
        <v>0.486095135625213</v>
      </c>
    </row>
    <row r="17" customFormat="false" ht="12.75" hidden="false" customHeight="false" outlineLevel="0" collapsed="false">
      <c r="A17" s="0" t="s">
        <v>26</v>
      </c>
      <c r="C17" s="11" t="n">
        <v>0</v>
      </c>
      <c r="E17" s="22" t="n">
        <f aca="false">+C17/$C$7</f>
        <v>0</v>
      </c>
      <c r="F17" s="9"/>
      <c r="G17" s="23" t="n">
        <f aca="false">+$G$7*E17</f>
        <v>0</v>
      </c>
      <c r="H17" s="23"/>
      <c r="I17" s="11" t="n">
        <v>38306</v>
      </c>
      <c r="K17" s="22" t="n">
        <f aca="false">+I17/$I$7</f>
        <v>0.00200149456352778</v>
      </c>
      <c r="L17" s="9"/>
      <c r="M17" s="23" t="n">
        <f aca="false">+$M$7*K17</f>
        <v>0.328245108418556</v>
      </c>
    </row>
    <row r="18" customFormat="false" ht="12.75" hidden="false" customHeight="false" outlineLevel="0" collapsed="false">
      <c r="A18" s="0" t="s">
        <v>27</v>
      </c>
      <c r="C18" s="11" t="n">
        <v>0</v>
      </c>
      <c r="E18" s="22" t="n">
        <f aca="false">+C18/$C$7</f>
        <v>0</v>
      </c>
      <c r="F18" s="9"/>
      <c r="G18" s="23" t="n">
        <f aca="false">+$G$7*E18</f>
        <v>0</v>
      </c>
      <c r="H18" s="23"/>
      <c r="I18" s="11" t="n">
        <v>50970</v>
      </c>
      <c r="K18" s="22" t="n">
        <f aca="false">+I18/$I$7</f>
        <v>0.00266319056813583</v>
      </c>
      <c r="L18" s="9"/>
      <c r="M18" s="23" t="n">
        <f aca="false">+$M$7*K18</f>
        <v>0.436763253174276</v>
      </c>
    </row>
    <row r="19" customFormat="false" ht="12.75" hidden="false" customHeight="false" outlineLevel="0" collapsed="false">
      <c r="A19" s="0" t="s">
        <v>28</v>
      </c>
      <c r="C19" s="13" t="n">
        <v>0</v>
      </c>
      <c r="E19" s="27" t="n">
        <f aca="false">+C19/$C$7</f>
        <v>0</v>
      </c>
      <c r="F19" s="9"/>
      <c r="G19" s="28" t="n">
        <f aca="false">+$G$7*E19</f>
        <v>0</v>
      </c>
      <c r="H19" s="23"/>
      <c r="I19" s="13" t="n">
        <v>527323</v>
      </c>
      <c r="K19" s="27" t="n">
        <f aca="false">+I19/$I$7</f>
        <v>0.0275527102209356</v>
      </c>
      <c r="L19" s="9"/>
      <c r="M19" s="28" t="n">
        <f aca="false">+$M$7*K19</f>
        <v>4.51864447623344</v>
      </c>
    </row>
    <row r="20" customFormat="false" ht="12.75" hidden="false" customHeight="false" outlineLevel="0" collapsed="false">
      <c r="A20" s="29" t="s">
        <v>29</v>
      </c>
      <c r="C20" s="11" t="n">
        <f aca="false">SUM(C9:C19)</f>
        <v>8882767</v>
      </c>
      <c r="E20" s="22" t="n">
        <f aca="false">SUM(E9:E19)</f>
        <v>0.486700882567313</v>
      </c>
      <c r="F20" s="9"/>
      <c r="G20" s="23" t="n">
        <f aca="false">+$G$7*E20</f>
        <v>83.7125518015778</v>
      </c>
      <c r="H20" s="23"/>
      <c r="I20" s="11" t="n">
        <f aca="false">SUM(I9:I19)</f>
        <v>10691333</v>
      </c>
      <c r="K20" s="22" t="n">
        <f aca="false">SUM(K9:K19)</f>
        <v>0.561623841600928</v>
      </c>
      <c r="L20" s="9"/>
      <c r="M20" s="23" t="n">
        <f aca="false">SUM(M9:M19)</f>
        <v>92.1063100225522</v>
      </c>
    </row>
    <row r="21" customFormat="false" ht="12.75" hidden="false" customHeight="false" outlineLevel="0" collapsed="false">
      <c r="C21" s="11"/>
      <c r="E21" s="22"/>
      <c r="F21" s="9"/>
      <c r="G21" s="23"/>
      <c r="H21" s="23"/>
      <c r="I21" s="11"/>
      <c r="K21" s="22"/>
      <c r="L21" s="9"/>
      <c r="M21" s="23"/>
    </row>
    <row r="22" customFormat="false" ht="12.75" hidden="false" customHeight="false" outlineLevel="0" collapsed="false">
      <c r="A22" s="29" t="s">
        <v>14</v>
      </c>
      <c r="C22" s="7" t="n">
        <f aca="false">+C7-C20</f>
        <v>9360714</v>
      </c>
      <c r="E22" s="22" t="n">
        <f aca="false">+C22/$C$7</f>
        <v>0.513099117432687</v>
      </c>
      <c r="F22" s="9"/>
      <c r="G22" s="23" t="n">
        <f aca="false">+$G$7*E22</f>
        <v>88.2530481984222</v>
      </c>
      <c r="H22" s="23"/>
      <c r="I22" s="11" t="n">
        <f aca="false">+I7-I20</f>
        <v>8447365</v>
      </c>
      <c r="K22" s="22" t="n">
        <f aca="false">+I22/$I$7</f>
        <v>0.441376158399072</v>
      </c>
      <c r="L22" s="9"/>
      <c r="M22" s="23" t="n">
        <f aca="false">+$M$7*K22</f>
        <v>72.3856899774478</v>
      </c>
    </row>
    <row r="23" customFormat="false" ht="12.75" hidden="false" customHeight="false" outlineLevel="0" collapsed="false">
      <c r="G23" s="23"/>
      <c r="H23" s="23"/>
      <c r="M23" s="23"/>
    </row>
    <row r="24" customFormat="false" ht="12.75" hidden="false" customHeight="false" outlineLevel="0" collapsed="false">
      <c r="G24" s="23"/>
      <c r="H24" s="23"/>
      <c r="M24" s="23"/>
    </row>
    <row r="25" customFormat="false" ht="12.75" hidden="false" customHeight="false" outlineLevel="0" collapsed="false">
      <c r="A25" s="0" t="s">
        <v>15</v>
      </c>
      <c r="D25" s="30"/>
      <c r="G25" s="23"/>
      <c r="H25" s="23"/>
    </row>
    <row r="26" customFormat="false" ht="12.75" hidden="false" customHeight="false" outlineLevel="0" collapsed="false">
      <c r="A26" s="17" t="s">
        <v>16</v>
      </c>
      <c r="D26" s="30"/>
      <c r="G26" s="23"/>
      <c r="H26" s="23"/>
    </row>
    <row r="27" customFormat="false" ht="12.75" hidden="false" customHeight="false" outlineLevel="0" collapsed="false">
      <c r="D27" s="30"/>
      <c r="G27" s="23"/>
      <c r="H27" s="23"/>
    </row>
    <row r="28" customFormat="false" ht="12.75" hidden="false" customHeight="false" outlineLevel="0" collapsed="false">
      <c r="C28" s="19"/>
      <c r="D28" s="30"/>
      <c r="G28" s="23"/>
      <c r="H28" s="23"/>
    </row>
    <row r="29" customFormat="false" ht="12.75" hidden="false" customHeight="false" outlineLevel="0" collapsed="false">
      <c r="A29" s="30"/>
      <c r="C29" s="31"/>
      <c r="D29" s="30"/>
    </row>
    <row r="30" customFormat="false" ht="12.75" hidden="false" customHeight="false" outlineLevel="0" collapsed="false">
      <c r="A30" s="30"/>
      <c r="C30" s="19"/>
      <c r="D30" s="30"/>
    </row>
    <row r="31" customFormat="false" ht="12.75" hidden="false" customHeight="false" outlineLevel="0" collapsed="false">
      <c r="A31" s="30"/>
      <c r="C31" s="31"/>
      <c r="D31" s="30"/>
    </row>
    <row r="32" customFormat="false" ht="12.75" hidden="false" customHeight="false" outlineLevel="0" collapsed="false">
      <c r="A32" s="30"/>
      <c r="C32" s="19"/>
      <c r="D32" s="30"/>
    </row>
    <row r="33" customFormat="false" ht="12.75" hidden="false" customHeight="false" outlineLevel="0" collapsed="false">
      <c r="A33" s="30"/>
      <c r="C33" s="19"/>
      <c r="D33" s="30"/>
    </row>
    <row r="34" customFormat="false" ht="12.75" hidden="false" customHeight="false" outlineLevel="0" collapsed="false">
      <c r="A34" s="30"/>
      <c r="C34" s="19"/>
      <c r="D34" s="30"/>
    </row>
    <row r="35" customFormat="false" ht="12.75" hidden="false" customHeight="false" outlineLevel="0" collapsed="false">
      <c r="A35" s="30"/>
      <c r="C35" s="19"/>
      <c r="D35" s="30"/>
    </row>
    <row r="36" customFormat="false" ht="12.75" hidden="false" customHeight="false" outlineLevel="0" collapsed="false">
      <c r="A36" s="30"/>
      <c r="C36" s="19"/>
      <c r="D36" s="30"/>
    </row>
    <row r="37" customFormat="false" ht="12.75" hidden="false" customHeight="false" outlineLevel="0" collapsed="false">
      <c r="A37" s="30"/>
      <c r="C37" s="19"/>
      <c r="D37" s="19"/>
    </row>
    <row r="38" customFormat="false" ht="12.75" hidden="false" customHeight="false" outlineLevel="0" collapsed="false">
      <c r="A38" s="30"/>
    </row>
    <row r="39" customFormat="false" ht="12.75" hidden="false" customHeight="false" outlineLevel="0" collapsed="false">
      <c r="A39" s="30"/>
    </row>
    <row r="40" customFormat="false" ht="12.75" hidden="false" customHeight="false" outlineLevel="0" collapsed="false">
      <c r="A40" s="30"/>
    </row>
    <row r="41" customFormat="false" ht="12.75" hidden="false" customHeight="false" outlineLevel="0" collapsed="false">
      <c r="A41" s="30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S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56"/>
    <col collapsed="false" customWidth="true" hidden="false" outlineLevel="0" max="2" min="2" style="0" width="1.7"/>
    <col collapsed="false" customWidth="true" hidden="false" outlineLevel="0" max="3" min="3" style="0" width="10.41"/>
    <col collapsed="false" customWidth="true" hidden="false" outlineLevel="0" max="4" min="4" style="0" width="1.7"/>
    <col collapsed="false" customWidth="true" hidden="false" outlineLevel="0" max="5" min="5" style="0" width="10.28"/>
    <col collapsed="false" customWidth="true" hidden="false" outlineLevel="0" max="6" min="6" style="0" width="1.7"/>
    <col collapsed="false" customWidth="true" hidden="false" outlineLevel="0" max="7" min="7" style="0" width="10.41"/>
    <col collapsed="false" customWidth="true" hidden="false" outlineLevel="0" max="8" min="8" style="0" width="1.7"/>
    <col collapsed="false" customWidth="true" hidden="false" outlineLevel="0" max="9" min="9" style="0" width="9.28"/>
    <col collapsed="false" customWidth="true" hidden="false" outlineLevel="0" max="10" min="10" style="0" width="1.7"/>
    <col collapsed="false" customWidth="true" hidden="false" outlineLevel="0" max="11" min="11" style="0" width="10.85"/>
    <col collapsed="false" customWidth="true" hidden="false" outlineLevel="0" max="12" min="12" style="0" width="1.7"/>
    <col collapsed="false" customWidth="true" hidden="false" outlineLevel="0" max="13" min="13" style="0" width="10.28"/>
    <col collapsed="false" customWidth="true" hidden="false" outlineLevel="0" max="14" min="14" style="0" width="1.7"/>
    <col collapsed="false" customWidth="true" hidden="false" outlineLevel="0" max="15" min="15" style="0" width="10.28"/>
    <col collapsed="false" customWidth="true" hidden="false" outlineLevel="0" max="16" min="16" style="0" width="1.7"/>
    <col collapsed="false" customWidth="true" hidden="false" outlineLevel="0" max="17" min="17" style="0" width="10.28"/>
    <col collapsed="false" customWidth="true" hidden="false" outlineLevel="0" max="18" min="18" style="0" width="1.7"/>
    <col collapsed="false" customWidth="true" hidden="false" outlineLevel="0" max="19" min="19" style="0" width="11.28"/>
    <col collapsed="false" customWidth="true" hidden="false" outlineLevel="0" max="20" min="20" style="0" width="8.28"/>
    <col collapsed="false" customWidth="true" hidden="false" outlineLevel="0" max="21" min="21" style="0" width="8.14"/>
    <col collapsed="false" customWidth="true" hidden="false" outlineLevel="0" max="22" min="22" style="0" width="11.85"/>
    <col collapsed="false" customWidth="true" hidden="false" outlineLevel="0" max="23" min="23" style="0" width="12.85"/>
    <col collapsed="false" customWidth="true" hidden="false" outlineLevel="0" max="26" min="26" style="0" width="10.56"/>
    <col collapsed="false" customWidth="true" hidden="false" outlineLevel="0" max="27" min="27" style="0" width="11.28"/>
  </cols>
  <sheetData>
    <row r="1" customFormat="false" ht="15" hidden="false" customHeight="false" outlineLevel="0" collapsed="false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customFormat="false" ht="15" hidden="false" customHeight="false" outlineLevel="0" collapsed="false">
      <c r="A2" s="33" t="s">
        <v>30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customFormat="false" ht="15" hidden="false" customHeight="false" outlineLevel="0" collapsed="false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customFormat="false" ht="13.5" hidden="false" customHeight="false" outlineLevel="0" collapsed="false"/>
    <row r="5" customFormat="false" ht="38.25" hidden="false" customHeight="false" outlineLevel="0" collapsed="false">
      <c r="A5" s="6"/>
      <c r="B5" s="5"/>
      <c r="C5" s="4" t="s">
        <v>31</v>
      </c>
      <c r="D5" s="5"/>
      <c r="E5" s="4" t="s">
        <v>32</v>
      </c>
      <c r="F5" s="5"/>
      <c r="G5" s="4" t="s">
        <v>33</v>
      </c>
      <c r="H5" s="5"/>
      <c r="I5" s="4" t="s">
        <v>34</v>
      </c>
      <c r="J5" s="5"/>
      <c r="K5" s="4" t="s">
        <v>35</v>
      </c>
      <c r="L5" s="5"/>
      <c r="M5" s="34" t="s">
        <v>36</v>
      </c>
      <c r="N5" s="5"/>
      <c r="O5" s="4" t="s">
        <v>37</v>
      </c>
      <c r="P5" s="5"/>
      <c r="Q5" s="4" t="s">
        <v>38</v>
      </c>
      <c r="S5" s="35" t="s">
        <v>29</v>
      </c>
      <c r="T5" s="36" t="s">
        <v>5</v>
      </c>
      <c r="U5" s="37" t="s">
        <v>39</v>
      </c>
      <c r="V5" s="4" t="s">
        <v>40</v>
      </c>
      <c r="W5" s="35" t="s">
        <v>41</v>
      </c>
      <c r="X5" s="36" t="s">
        <v>5</v>
      </c>
      <c r="Y5" s="37" t="s">
        <v>39</v>
      </c>
      <c r="Z5" s="38" t="s">
        <v>42</v>
      </c>
      <c r="AA5" s="39" t="s">
        <v>43</v>
      </c>
      <c r="AB5" s="36" t="s">
        <v>5</v>
      </c>
      <c r="AC5" s="40"/>
    </row>
    <row r="6" customFormat="false" ht="12.75" hidden="false" customHeight="false" outlineLevel="0" collapsed="false">
      <c r="S6" s="41"/>
      <c r="T6" s="19"/>
      <c r="U6" s="42"/>
      <c r="W6" s="41"/>
      <c r="X6" s="19"/>
      <c r="Y6" s="42"/>
      <c r="AA6" s="41"/>
      <c r="AB6" s="19"/>
      <c r="AC6" s="42"/>
    </row>
    <row r="7" customFormat="false" ht="12.75" hidden="false" customHeight="false" outlineLevel="0" collapsed="false">
      <c r="A7" s="43" t="s">
        <v>44</v>
      </c>
      <c r="B7" s="43"/>
      <c r="C7" s="44" t="n">
        <v>246721</v>
      </c>
      <c r="D7" s="44"/>
      <c r="E7" s="44" t="n">
        <v>1260837</v>
      </c>
      <c r="F7" s="44"/>
      <c r="G7" s="44" t="n">
        <v>1511267</v>
      </c>
      <c r="H7" s="44"/>
      <c r="I7" s="44" t="n">
        <v>816537</v>
      </c>
      <c r="J7" s="44"/>
      <c r="K7" s="44" t="n">
        <v>4169104</v>
      </c>
      <c r="L7" s="44"/>
      <c r="M7" s="44" t="n">
        <v>1184899</v>
      </c>
      <c r="N7" s="44"/>
      <c r="O7" s="44" t="n">
        <f aca="false">5316759-816537</f>
        <v>4500222</v>
      </c>
      <c r="P7" s="44"/>
      <c r="Q7" s="44" t="n">
        <v>1449285</v>
      </c>
      <c r="R7" s="44"/>
      <c r="S7" s="45" t="n">
        <f aca="false">SUM(C7:Q7)</f>
        <v>15138872</v>
      </c>
      <c r="T7" s="46" t="n">
        <f aca="false">SUM(T9:T23)</f>
        <v>1</v>
      </c>
      <c r="U7" s="47" t="n">
        <f aca="false">SUM(U9:U23)</f>
        <v>159</v>
      </c>
      <c r="V7" s="44" t="n">
        <v>1211826</v>
      </c>
      <c r="W7" s="45" t="n">
        <f aca="false">+V7+S7</f>
        <v>16350698</v>
      </c>
      <c r="X7" s="46" t="n">
        <f aca="false">SUM(X9:X23)</f>
        <v>1</v>
      </c>
      <c r="Y7" s="47" t="n">
        <f aca="false">SUM(Y9:Y23)</f>
        <v>164</v>
      </c>
      <c r="Z7" s="44" t="n">
        <v>2788000</v>
      </c>
      <c r="AA7" s="45" t="n">
        <f aca="false">+Z7+W7</f>
        <v>19138698</v>
      </c>
      <c r="AB7" s="19"/>
      <c r="AC7" s="42" t="n">
        <v>164</v>
      </c>
    </row>
    <row r="8" customFormat="false" ht="12.75" hidden="false" customHeight="false" outlineLevel="0" collapsed="false">
      <c r="S8" s="41"/>
      <c r="T8" s="46"/>
      <c r="U8" s="47"/>
      <c r="V8" s="23"/>
      <c r="W8" s="41"/>
      <c r="X8" s="46"/>
      <c r="Y8" s="47"/>
      <c r="AA8" s="41"/>
      <c r="AB8" s="19"/>
      <c r="AC8" s="42"/>
    </row>
    <row r="9" customFormat="false" ht="12.75" hidden="false" customHeight="false" outlineLevel="0" collapsed="false">
      <c r="A9" s="43" t="s">
        <v>45</v>
      </c>
      <c r="C9" s="11" t="n">
        <v>11565</v>
      </c>
      <c r="D9" s="11"/>
      <c r="E9" s="11" t="n">
        <v>39343</v>
      </c>
      <c r="F9" s="11"/>
      <c r="G9" s="11"/>
      <c r="H9" s="11"/>
      <c r="I9" s="11"/>
      <c r="J9" s="11"/>
      <c r="K9" s="11"/>
      <c r="L9" s="11"/>
      <c r="M9" s="11"/>
      <c r="N9" s="11"/>
      <c r="O9" s="11" t="n">
        <v>49103</v>
      </c>
      <c r="P9" s="11"/>
      <c r="Q9" s="11" t="n">
        <v>739599</v>
      </c>
      <c r="R9" s="11"/>
      <c r="S9" s="48" t="n">
        <f aca="false">SUM(C9:Q9)</f>
        <v>839610</v>
      </c>
      <c r="T9" s="46" t="n">
        <f aca="false">+S9/$S$7</f>
        <v>0.0554605389357939</v>
      </c>
      <c r="U9" s="49" t="n">
        <f aca="false">159*T9</f>
        <v>8.81822569079123</v>
      </c>
      <c r="V9" s="23" t="n">
        <f aca="false">0.17/9*V$7</f>
        <v>22890.0466666667</v>
      </c>
      <c r="W9" s="50" t="n">
        <f aca="false">+V9+S9</f>
        <v>862500.046666667</v>
      </c>
      <c r="X9" s="46" t="n">
        <f aca="false">+W9/$W$7</f>
        <v>0.0527500444731269</v>
      </c>
      <c r="Y9" s="49" t="n">
        <f aca="false">164*X9</f>
        <v>8.65100729359281</v>
      </c>
      <c r="Z9" s="23" t="n">
        <f aca="false">+$Z$7*X9</f>
        <v>147067.123991078</v>
      </c>
      <c r="AA9" s="50" t="n">
        <f aca="false">+W9+Z9</f>
        <v>1009567.17065774</v>
      </c>
      <c r="AB9" s="46" t="n">
        <f aca="false">+AA9/$AA$7</f>
        <v>0.0527500444731269</v>
      </c>
      <c r="AC9" s="49" t="n">
        <f aca="false">164*AB9</f>
        <v>8.65100729359281</v>
      </c>
    </row>
    <row r="10" customFormat="false" ht="12.75" hidden="false" customHeight="false" outlineLevel="0" collapsed="false">
      <c r="A10" s="43" t="s">
        <v>46</v>
      </c>
      <c r="C10" s="11"/>
      <c r="D10" s="11"/>
      <c r="E10" s="11"/>
      <c r="F10" s="11"/>
      <c r="G10" s="11"/>
      <c r="H10" s="11"/>
      <c r="I10" s="11" t="n">
        <f aca="false">253408+111000</f>
        <v>364408</v>
      </c>
      <c r="J10" s="11"/>
      <c r="K10" s="11"/>
      <c r="L10" s="11"/>
      <c r="M10" s="11" t="n">
        <v>14105</v>
      </c>
      <c r="N10" s="11"/>
      <c r="O10" s="11" t="n">
        <f aca="false">456740-407637</f>
        <v>49103</v>
      </c>
      <c r="P10" s="11"/>
      <c r="Q10" s="11"/>
      <c r="R10" s="11"/>
      <c r="S10" s="48" t="n">
        <f aca="false">SUM(C10:Q10)</f>
        <v>427616</v>
      </c>
      <c r="T10" s="46" t="n">
        <f aca="false">+S10/$S$7</f>
        <v>0.0282462260067989</v>
      </c>
      <c r="U10" s="49" t="n">
        <f aca="false">159*T10</f>
        <v>4.49114993508103</v>
      </c>
      <c r="V10" s="23" t="n">
        <f aca="false">0.17/9*V$7</f>
        <v>22890.0466666667</v>
      </c>
      <c r="W10" s="50" t="n">
        <f aca="false">+V10+S10</f>
        <v>450506.046666667</v>
      </c>
      <c r="X10" s="46" t="n">
        <f aca="false">+W10/$W$7</f>
        <v>0.0275527103898969</v>
      </c>
      <c r="Y10" s="49" t="n">
        <f aca="false">164*X10</f>
        <v>4.51864450394309</v>
      </c>
      <c r="Z10" s="23" t="n">
        <f aca="false">+$Z$7*X10</f>
        <v>76816.9565670326</v>
      </c>
      <c r="AA10" s="50" t="n">
        <f aca="false">+W10+Z10</f>
        <v>527323.003233699</v>
      </c>
      <c r="AB10" s="46" t="n">
        <f aca="false">+AA10/$AA$7</f>
        <v>0.0275527103898969</v>
      </c>
      <c r="AC10" s="49" t="n">
        <f aca="false">164*AB10</f>
        <v>4.51864450394309</v>
      </c>
    </row>
    <row r="11" customFormat="false" ht="12.75" hidden="false" customHeight="false" outlineLevel="0" collapsed="false">
      <c r="A11" s="43" t="s">
        <v>47</v>
      </c>
      <c r="C11" s="11" t="n">
        <v>17990</v>
      </c>
      <c r="D11" s="11"/>
      <c r="E11" s="11" t="n">
        <v>39343</v>
      </c>
      <c r="F11" s="11"/>
      <c r="G11" s="11" t="n">
        <f aca="false">+G7</f>
        <v>1511267</v>
      </c>
      <c r="H11" s="11"/>
      <c r="I11" s="11"/>
      <c r="J11" s="11"/>
      <c r="K11" s="11"/>
      <c r="L11" s="11"/>
      <c r="M11" s="11" t="n">
        <v>42316</v>
      </c>
      <c r="N11" s="11"/>
      <c r="O11" s="11" t="n">
        <v>311947</v>
      </c>
      <c r="P11" s="11"/>
      <c r="Q11" s="11"/>
      <c r="R11" s="11"/>
      <c r="S11" s="48" t="n">
        <f aca="false">SUM(C11:Q11)</f>
        <v>1922863</v>
      </c>
      <c r="T11" s="46" t="n">
        <f aca="false">+S11/$S$7</f>
        <v>0.127014945367132</v>
      </c>
      <c r="U11" s="49" t="n">
        <f aca="false">159*T11</f>
        <v>20.1953763133739</v>
      </c>
      <c r="V11" s="23" t="n">
        <f aca="false">0.17/9*V$7</f>
        <v>22890.0466666667</v>
      </c>
      <c r="W11" s="50" t="n">
        <f aca="false">+V11+S11</f>
        <v>1945753.04666667</v>
      </c>
      <c r="X11" s="46" t="n">
        <f aca="false">+W11/$W$7</f>
        <v>0.119001222251592</v>
      </c>
      <c r="Y11" s="49" t="n">
        <f aca="false">164*X11</f>
        <v>19.5162004492612</v>
      </c>
      <c r="Z11" s="23" t="n">
        <f aca="false">+$Z$7*X11</f>
        <v>331775.40763744</v>
      </c>
      <c r="AA11" s="50" t="n">
        <f aca="false">+W11+Z11</f>
        <v>2277528.45430411</v>
      </c>
      <c r="AB11" s="46" t="n">
        <f aca="false">+AA11/$AA$7</f>
        <v>0.119001222251592</v>
      </c>
      <c r="AC11" s="49" t="n">
        <f aca="false">164*AB11</f>
        <v>19.5162004492611</v>
      </c>
    </row>
    <row r="12" customFormat="false" ht="12.75" hidden="false" customHeight="false" outlineLevel="0" collapsed="false">
      <c r="A12" s="43" t="s">
        <v>48</v>
      </c>
      <c r="C12" s="11"/>
      <c r="D12" s="11"/>
      <c r="E12" s="11" t="n">
        <v>153439</v>
      </c>
      <c r="F12" s="11"/>
      <c r="G12" s="11"/>
      <c r="H12" s="11"/>
      <c r="I12" s="11"/>
      <c r="J12" s="11"/>
      <c r="K12" s="11"/>
      <c r="L12" s="11"/>
      <c r="M12" s="11" t="n">
        <v>28211</v>
      </c>
      <c r="N12" s="11"/>
      <c r="O12" s="11" t="n">
        <v>197007</v>
      </c>
      <c r="P12" s="11"/>
      <c r="Q12" s="11"/>
      <c r="R12" s="11"/>
      <c r="S12" s="48" t="n">
        <f aca="false">SUM(C12:Q12)</f>
        <v>378657</v>
      </c>
      <c r="T12" s="46" t="n">
        <f aca="false">+S12/$S$7</f>
        <v>0.025012233408143</v>
      </c>
      <c r="U12" s="49" t="n">
        <f aca="false">159*T12</f>
        <v>3.97694511189473</v>
      </c>
      <c r="V12" s="23" t="n">
        <f aca="false">0.17/9*V$7</f>
        <v>22890.0466666667</v>
      </c>
      <c r="W12" s="50" t="n">
        <f aca="false">+V12+S12</f>
        <v>401547.046666667</v>
      </c>
      <c r="X12" s="46" t="n">
        <f aca="false">+W12/$W$7</f>
        <v>0.0245584039694615</v>
      </c>
      <c r="Y12" s="49" t="n">
        <f aca="false">164*X12</f>
        <v>4.02757825099169</v>
      </c>
      <c r="Z12" s="23" t="n">
        <f aca="false">+$Z$7*X12</f>
        <v>68468.8302668587</v>
      </c>
      <c r="AA12" s="50" t="n">
        <f aca="false">+W12+Z12</f>
        <v>470015.876933525</v>
      </c>
      <c r="AB12" s="46" t="n">
        <f aca="false">+AA12/$AA$7</f>
        <v>0.0245584039694615</v>
      </c>
      <c r="AC12" s="49" t="n">
        <f aca="false">164*AB12</f>
        <v>4.02757825099169</v>
      </c>
    </row>
    <row r="13" customFormat="false" ht="12.75" hidden="false" customHeight="false" outlineLevel="0" collapsed="false">
      <c r="A13" s="43" t="s">
        <v>49</v>
      </c>
      <c r="C13" s="11" t="n">
        <v>61680</v>
      </c>
      <c r="D13" s="11"/>
      <c r="E13" s="11" t="n">
        <v>38360</v>
      </c>
      <c r="F13" s="11"/>
      <c r="G13" s="11"/>
      <c r="H13" s="11"/>
      <c r="I13" s="11"/>
      <c r="J13" s="11"/>
      <c r="K13" s="11" t="n">
        <f aca="false">+K7</f>
        <v>4169104</v>
      </c>
      <c r="L13" s="11"/>
      <c r="M13" s="11" t="n">
        <v>97451</v>
      </c>
      <c r="N13" s="11"/>
      <c r="O13" s="11" t="n">
        <v>0</v>
      </c>
      <c r="P13" s="11"/>
      <c r="Q13" s="11"/>
      <c r="R13" s="11"/>
      <c r="S13" s="48" t="n">
        <f aca="false">SUM(C13:Q13)</f>
        <v>4366595</v>
      </c>
      <c r="T13" s="46" t="n">
        <f aca="false">+S13/$S$7</f>
        <v>0.288435954805616</v>
      </c>
      <c r="U13" s="49" t="n">
        <f aca="false">159*T13</f>
        <v>45.8613168140929</v>
      </c>
      <c r="V13" s="23" t="n">
        <f aca="false">0.25*V7</f>
        <v>302956.5</v>
      </c>
      <c r="W13" s="50" t="n">
        <f aca="false">+V13+S13</f>
        <v>4669551.5</v>
      </c>
      <c r="X13" s="46" t="n">
        <f aca="false">+W13/$W$7</f>
        <v>0.285587288077855</v>
      </c>
      <c r="Y13" s="49" t="n">
        <f aca="false">164*X13</f>
        <v>46.8363152447681</v>
      </c>
      <c r="Z13" s="23" t="n">
        <f aca="false">+$Z$7*X13</f>
        <v>796217.359161058</v>
      </c>
      <c r="AA13" s="50" t="n">
        <f aca="false">+W13+Z13</f>
        <v>5465768.85916106</v>
      </c>
      <c r="AB13" s="46" t="n">
        <f aca="false">+AA13/$AA$7</f>
        <v>0.285587288077855</v>
      </c>
      <c r="AC13" s="49" t="n">
        <f aca="false">164*AB13</f>
        <v>46.8363152447681</v>
      </c>
    </row>
    <row r="14" customFormat="false" ht="12.75" hidden="false" customHeight="false" outlineLevel="0" collapsed="false">
      <c r="A14" s="43" t="s">
        <v>50</v>
      </c>
      <c r="C14" s="11" t="n">
        <v>46260</v>
      </c>
      <c r="D14" s="11"/>
      <c r="E14" s="11" t="n">
        <v>45245</v>
      </c>
      <c r="F14" s="11"/>
      <c r="G14" s="11"/>
      <c r="H14" s="11"/>
      <c r="I14" s="11"/>
      <c r="J14" s="11"/>
      <c r="K14" s="11"/>
      <c r="L14" s="11"/>
      <c r="M14" s="11"/>
      <c r="N14" s="11"/>
      <c r="O14" s="11" t="n">
        <v>168331</v>
      </c>
      <c r="P14" s="11"/>
      <c r="Q14" s="11"/>
      <c r="R14" s="11"/>
      <c r="S14" s="48" t="n">
        <f aca="false">SUM(C14:Q14)</f>
        <v>259836</v>
      </c>
      <c r="T14" s="46" t="n">
        <f aca="false">+S14/$S$7</f>
        <v>0.017163498046618</v>
      </c>
      <c r="U14" s="49" t="n">
        <f aca="false">159*T14</f>
        <v>2.72899618941226</v>
      </c>
      <c r="V14" s="23" t="n">
        <f aca="false">0.08*V7</f>
        <v>96946.08</v>
      </c>
      <c r="W14" s="50" t="n">
        <f aca="false">+V14+S14</f>
        <v>356782.08</v>
      </c>
      <c r="X14" s="46" t="n">
        <f aca="false">+W14/$W$7</f>
        <v>0.0218206023987477</v>
      </c>
      <c r="Y14" s="49" t="n">
        <f aca="false">164*X14</f>
        <v>3.57857879339463</v>
      </c>
      <c r="Z14" s="23" t="n">
        <f aca="false">+$Z$7*X14</f>
        <v>60835.8394877087</v>
      </c>
      <c r="AA14" s="50" t="n">
        <f aca="false">+W14+Z14</f>
        <v>417617.919487709</v>
      </c>
      <c r="AB14" s="46" t="n">
        <f aca="false">+AA14/$AA$7</f>
        <v>0.0218206023987477</v>
      </c>
      <c r="AC14" s="49" t="n">
        <f aca="false">164*AB14</f>
        <v>3.57857879339463</v>
      </c>
    </row>
    <row r="15" customFormat="false" ht="12.75" hidden="false" customHeight="false" outlineLevel="0" collapsed="false">
      <c r="A15" s="43" t="s">
        <v>51</v>
      </c>
      <c r="C15" s="11"/>
      <c r="D15" s="11"/>
      <c r="E15" s="11" t="n">
        <v>25573</v>
      </c>
      <c r="F15" s="11"/>
      <c r="G15" s="11"/>
      <c r="H15" s="11"/>
      <c r="I15" s="11"/>
      <c r="J15" s="11"/>
      <c r="K15" s="11"/>
      <c r="L15" s="11"/>
      <c r="M15" s="11"/>
      <c r="N15" s="11"/>
      <c r="O15" s="11" t="n">
        <v>0</v>
      </c>
      <c r="P15" s="11"/>
      <c r="Q15" s="11"/>
      <c r="R15" s="11"/>
      <c r="S15" s="48" t="n">
        <f aca="false">SUM(C15:Q15)</f>
        <v>25573</v>
      </c>
      <c r="T15" s="46" t="n">
        <f aca="false">+S15/$S$7</f>
        <v>0.00168922757256948</v>
      </c>
      <c r="U15" s="49" t="n">
        <f aca="false">159*T15</f>
        <v>0.268587184038547</v>
      </c>
      <c r="V15" s="23" t="n">
        <f aca="false">0.17/9*V$7</f>
        <v>22890.0466666667</v>
      </c>
      <c r="W15" s="50" t="n">
        <f aca="false">+V15+S15</f>
        <v>48463.0466666667</v>
      </c>
      <c r="X15" s="46" t="n">
        <f aca="false">+W15/$W$7</f>
        <v>0.0029639741781462</v>
      </c>
      <c r="Y15" s="49" t="n">
        <f aca="false">164*X15</f>
        <v>0.486091765215976</v>
      </c>
      <c r="Z15" s="23" t="n">
        <f aca="false">+$Z$7*X15</f>
        <v>8263.5600086716</v>
      </c>
      <c r="AA15" s="50" t="n">
        <f aca="false">+W15+Z15</f>
        <v>56726.6066753383</v>
      </c>
      <c r="AB15" s="46" t="n">
        <f aca="false">+AA15/$AA$7</f>
        <v>0.0029639741781462</v>
      </c>
      <c r="AC15" s="49" t="n">
        <f aca="false">164*AB15</f>
        <v>0.486091765215976</v>
      </c>
    </row>
    <row r="16" customFormat="false" ht="12.75" hidden="false" customHeight="false" outlineLevel="0" collapsed="false">
      <c r="A16" s="43" t="s">
        <v>52</v>
      </c>
      <c r="C16" s="11"/>
      <c r="D16" s="11"/>
      <c r="E16" s="11" t="n">
        <v>25573</v>
      </c>
      <c r="F16" s="11"/>
      <c r="G16" s="11"/>
      <c r="H16" s="11"/>
      <c r="I16" s="11"/>
      <c r="J16" s="11"/>
      <c r="K16" s="11"/>
      <c r="L16" s="11"/>
      <c r="M16" s="11"/>
      <c r="N16" s="11"/>
      <c r="O16" s="11" t="n">
        <v>168331</v>
      </c>
      <c r="P16" s="11"/>
      <c r="Q16" s="11"/>
      <c r="R16" s="11"/>
      <c r="S16" s="48" t="n">
        <f aca="false">SUM(C16:Q16)</f>
        <v>193904</v>
      </c>
      <c r="T16" s="46" t="n">
        <f aca="false">+S16/$S$7</f>
        <v>0.0128083519036293</v>
      </c>
      <c r="U16" s="49" t="n">
        <f aca="false">159*T16</f>
        <v>2.03652795267706</v>
      </c>
      <c r="V16" s="23" t="n">
        <f aca="false">0.17/9*V$7</f>
        <v>22890.0466666667</v>
      </c>
      <c r="W16" s="50" t="n">
        <f aca="false">+V16+S16</f>
        <v>216794.046666667</v>
      </c>
      <c r="X16" s="46" t="n">
        <f aca="false">+W16/$W$7</f>
        <v>0.0132590086775908</v>
      </c>
      <c r="Y16" s="49" t="n">
        <f aca="false">164*X16</f>
        <v>2.17447742312489</v>
      </c>
      <c r="Z16" s="23" t="n">
        <f aca="false">+$Z$7*X16</f>
        <v>36966.1161931232</v>
      </c>
      <c r="AA16" s="50" t="n">
        <f aca="false">+W16+Z16</f>
        <v>253760.16285979</v>
      </c>
      <c r="AB16" s="46" t="n">
        <f aca="false">+AA16/$AA$7</f>
        <v>0.0132590086775908</v>
      </c>
      <c r="AC16" s="49" t="n">
        <f aca="false">164*AB16</f>
        <v>2.17447742312489</v>
      </c>
    </row>
    <row r="17" customFormat="false" ht="12.75" hidden="false" customHeight="false" outlineLevel="0" collapsed="false">
      <c r="A17" s="43" t="s">
        <v>53</v>
      </c>
      <c r="C17" s="11"/>
      <c r="D17" s="11"/>
      <c r="E17" s="11" t="n">
        <v>25573</v>
      </c>
      <c r="F17" s="11"/>
      <c r="G17" s="11"/>
      <c r="H17" s="11"/>
      <c r="I17" s="11"/>
      <c r="J17" s="11"/>
      <c r="K17" s="11"/>
      <c r="L17" s="11"/>
      <c r="M17" s="11"/>
      <c r="N17" s="11"/>
      <c r="O17" s="11" t="n">
        <v>57259</v>
      </c>
      <c r="P17" s="11"/>
      <c r="Q17" s="11"/>
      <c r="R17" s="11"/>
      <c r="S17" s="48" t="n">
        <f aca="false">SUM(C17:Q17)</f>
        <v>82832</v>
      </c>
      <c r="T17" s="46" t="n">
        <f aca="false">+S17/$S$7</f>
        <v>0.00547147766359343</v>
      </c>
      <c r="U17" s="49" t="n">
        <f aca="false">159*T17</f>
        <v>0.869964948511355</v>
      </c>
      <c r="V17" s="23" t="n">
        <f aca="false">0.17/9*V$7</f>
        <v>22890.0466666667</v>
      </c>
      <c r="W17" s="50" t="n">
        <f aca="false">+V17+S17</f>
        <v>105722.046666667</v>
      </c>
      <c r="X17" s="46" t="n">
        <f aca="false">+W17/$W$7</f>
        <v>0.00646590418749503</v>
      </c>
      <c r="Y17" s="49" t="n">
        <f aca="false">164*X17</f>
        <v>1.06040828674919</v>
      </c>
      <c r="Z17" s="23" t="n">
        <f aca="false">+$Z$7*X17</f>
        <v>18026.9408747362</v>
      </c>
      <c r="AA17" s="50" t="n">
        <f aca="false">+W17+Z17</f>
        <v>123748.987541403</v>
      </c>
      <c r="AB17" s="46" t="n">
        <f aca="false">+AA17/$AA$7</f>
        <v>0.00646590418749503</v>
      </c>
      <c r="AC17" s="49" t="n">
        <f aca="false">164*AB17</f>
        <v>1.06040828674919</v>
      </c>
    </row>
    <row r="18" customFormat="false" ht="12.75" hidden="false" customHeight="false" outlineLevel="0" collapsed="false">
      <c r="A18" s="43" t="s">
        <v>54</v>
      </c>
      <c r="C18" s="11"/>
      <c r="D18" s="11"/>
      <c r="E18" s="11" t="n">
        <v>9836</v>
      </c>
      <c r="F18" s="11"/>
      <c r="G18" s="11"/>
      <c r="H18" s="11"/>
      <c r="I18" s="11"/>
      <c r="J18" s="11"/>
      <c r="K18" s="11"/>
      <c r="L18" s="11"/>
      <c r="M18" s="11"/>
      <c r="N18" s="11"/>
      <c r="O18" s="11" t="n">
        <v>0</v>
      </c>
      <c r="P18" s="11"/>
      <c r="Q18" s="11"/>
      <c r="R18" s="11"/>
      <c r="S18" s="48" t="n">
        <f aca="false">SUM(C18:Q18)</f>
        <v>9836</v>
      </c>
      <c r="T18" s="46" t="n">
        <f aca="false">+S18/$S$7</f>
        <v>0.000649718156015851</v>
      </c>
      <c r="U18" s="49" t="n">
        <f aca="false">159*T18</f>
        <v>0.10330518680652</v>
      </c>
      <c r="V18" s="23" t="n">
        <f aca="false">0.17/9*V$7</f>
        <v>22890.0466666667</v>
      </c>
      <c r="W18" s="50" t="n">
        <f aca="false">+V18+S18</f>
        <v>32726.0466666667</v>
      </c>
      <c r="X18" s="46" t="n">
        <f aca="false">+W18/$W$7</f>
        <v>0.00200150762167258</v>
      </c>
      <c r="Y18" s="49" t="n">
        <f aca="false">164*X18</f>
        <v>0.328247249954304</v>
      </c>
      <c r="Z18" s="23" t="n">
        <f aca="false">+$Z$7*X18</f>
        <v>5580.20324922316</v>
      </c>
      <c r="AA18" s="50" t="n">
        <f aca="false">+W18+Z18</f>
        <v>38306.2499158898</v>
      </c>
      <c r="AB18" s="46" t="n">
        <f aca="false">+AA18/$AA$7</f>
        <v>0.00200150762167258</v>
      </c>
      <c r="AC18" s="49" t="n">
        <f aca="false">164*AB18</f>
        <v>0.328247249954304</v>
      </c>
    </row>
    <row r="19" customFormat="false" ht="12.75" hidden="false" customHeight="false" outlineLevel="0" collapsed="false">
      <c r="A19" s="43" t="s">
        <v>55</v>
      </c>
      <c r="C19" s="13"/>
      <c r="D19" s="11"/>
      <c r="E19" s="13" t="n">
        <v>20655</v>
      </c>
      <c r="F19" s="11"/>
      <c r="G19" s="13"/>
      <c r="H19" s="11"/>
      <c r="I19" s="13"/>
      <c r="J19" s="11"/>
      <c r="K19" s="13"/>
      <c r="L19" s="11"/>
      <c r="M19" s="13"/>
      <c r="N19" s="11"/>
      <c r="O19" s="13" t="n">
        <v>0</v>
      </c>
      <c r="P19" s="11"/>
      <c r="Q19" s="13"/>
      <c r="R19" s="11"/>
      <c r="S19" s="51" t="n">
        <f aca="false">SUM(C19:Q19)</f>
        <v>20655</v>
      </c>
      <c r="T19" s="46" t="n">
        <f aca="false">+S19/$S$7</f>
        <v>0.00136436849456155</v>
      </c>
      <c r="U19" s="49" t="n">
        <f aca="false">159*T19</f>
        <v>0.216934590635286</v>
      </c>
      <c r="V19" s="23" t="n">
        <f aca="false">0.17/9*V$7</f>
        <v>22890.0466666667</v>
      </c>
      <c r="W19" s="52" t="n">
        <f aca="false">+V19+S19</f>
        <v>43545.0466666667</v>
      </c>
      <c r="X19" s="46" t="n">
        <f aca="false">+W19/$W$7</f>
        <v>0.00266319191184784</v>
      </c>
      <c r="Y19" s="49" t="n">
        <f aca="false">164*X19</f>
        <v>0.436763473543046</v>
      </c>
      <c r="Z19" s="23" t="n">
        <f aca="false">+$Z$7*X19</f>
        <v>7424.97905023178</v>
      </c>
      <c r="AA19" s="50" t="n">
        <f aca="false">+W19+Z19</f>
        <v>50970.0257168984</v>
      </c>
      <c r="AB19" s="46" t="n">
        <f aca="false">+AA19/$AA$7</f>
        <v>0.00266319191184784</v>
      </c>
      <c r="AC19" s="49" t="n">
        <f aca="false">164*AB19</f>
        <v>0.436763473543046</v>
      </c>
    </row>
    <row r="20" customFormat="false" ht="12.75" hidden="false" customHeight="false" outlineLevel="0" collapsed="false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53"/>
      <c r="T20" s="46"/>
      <c r="U20" s="49"/>
      <c r="V20" s="23"/>
      <c r="W20" s="41"/>
      <c r="X20" s="46"/>
      <c r="Y20" s="47"/>
      <c r="AA20" s="41"/>
      <c r="AB20" s="19"/>
      <c r="AC20" s="42"/>
    </row>
    <row r="21" customFormat="false" ht="12.75" hidden="false" customHeight="false" outlineLevel="0" collapsed="false">
      <c r="A21" s="43" t="s">
        <v>56</v>
      </c>
      <c r="B21" s="43"/>
      <c r="C21" s="54" t="n">
        <f aca="false">SUM(C9:C19)</f>
        <v>137495</v>
      </c>
      <c r="D21" s="54"/>
      <c r="E21" s="54" t="n">
        <f aca="false">SUM(E9:E19)</f>
        <v>422940</v>
      </c>
      <c r="F21" s="54"/>
      <c r="G21" s="54" t="n">
        <f aca="false">SUM(G9:G19)</f>
        <v>1511267</v>
      </c>
      <c r="H21" s="54"/>
      <c r="I21" s="54" t="n">
        <f aca="false">SUM(I9:I19)</f>
        <v>364408</v>
      </c>
      <c r="J21" s="54"/>
      <c r="K21" s="54" t="n">
        <f aca="false">SUM(K9:K19)</f>
        <v>4169104</v>
      </c>
      <c r="L21" s="54"/>
      <c r="M21" s="54" t="n">
        <f aca="false">SUM(M9:M19)</f>
        <v>182083</v>
      </c>
      <c r="N21" s="54"/>
      <c r="O21" s="54" t="n">
        <f aca="false">SUM(O9:O19)</f>
        <v>1001081</v>
      </c>
      <c r="P21" s="54"/>
      <c r="Q21" s="54" t="n">
        <f aca="false">SUM(Q9:Q19)</f>
        <v>739599</v>
      </c>
      <c r="R21" s="54"/>
      <c r="S21" s="48" t="n">
        <f aca="false">SUM(C21:Q21)</f>
        <v>8527977</v>
      </c>
      <c r="T21" s="46"/>
      <c r="U21" s="49"/>
      <c r="V21" s="55" t="n">
        <f aca="false">SUM(V9:V19)</f>
        <v>605913</v>
      </c>
      <c r="W21" s="45" t="n">
        <f aca="false">+V21+S21</f>
        <v>9133890</v>
      </c>
      <c r="X21" s="46"/>
      <c r="Y21" s="47"/>
      <c r="Z21" s="44" t="n">
        <f aca="false">SUM(Z9:Z20)</f>
        <v>1557443.31648716</v>
      </c>
      <c r="AA21" s="45" t="n">
        <f aca="false">SUM(AA9:AA20)</f>
        <v>10691333.3164872</v>
      </c>
      <c r="AB21" s="19"/>
      <c r="AC21" s="42"/>
    </row>
    <row r="22" customFormat="false" ht="12.75" hidden="false" customHeight="false" outlineLevel="0" collapsed="false">
      <c r="S22" s="41"/>
      <c r="T22" s="46"/>
      <c r="U22" s="49"/>
      <c r="V22" s="23"/>
      <c r="W22" s="50" t="n">
        <f aca="false">+V22+S22</f>
        <v>0</v>
      </c>
      <c r="X22" s="46"/>
      <c r="Y22" s="47"/>
      <c r="AA22" s="41"/>
      <c r="AB22" s="19"/>
      <c r="AC22" s="42"/>
    </row>
    <row r="23" customFormat="false" ht="13.5" hidden="false" customHeight="false" outlineLevel="0" collapsed="false">
      <c r="A23" s="43" t="s">
        <v>57</v>
      </c>
      <c r="B23" s="43"/>
      <c r="C23" s="56" t="n">
        <f aca="false">+C7-C21</f>
        <v>109226</v>
      </c>
      <c r="D23" s="43"/>
      <c r="E23" s="56" t="n">
        <f aca="false">+E7-E21</f>
        <v>837897</v>
      </c>
      <c r="F23" s="43"/>
      <c r="G23" s="56" t="n">
        <f aca="false">+G7-G21</f>
        <v>0</v>
      </c>
      <c r="H23" s="43"/>
      <c r="I23" s="56" t="n">
        <f aca="false">+I7-I21</f>
        <v>452129</v>
      </c>
      <c r="J23" s="43"/>
      <c r="K23" s="56" t="n">
        <f aca="false">+K7-K21</f>
        <v>0</v>
      </c>
      <c r="L23" s="43"/>
      <c r="M23" s="56" t="n">
        <f aca="false">+M7-M21</f>
        <v>1002816</v>
      </c>
      <c r="N23" s="43"/>
      <c r="O23" s="56" t="n">
        <f aca="false">+O7-O21</f>
        <v>3499141</v>
      </c>
      <c r="P23" s="43"/>
      <c r="Q23" s="56" t="n">
        <f aca="false">+Q7-Q21</f>
        <v>709686</v>
      </c>
      <c r="R23" s="43"/>
      <c r="S23" s="57" t="n">
        <f aca="false">+S7-S21</f>
        <v>6610895</v>
      </c>
      <c r="T23" s="58" t="n">
        <f aca="false">+S23/$S$7</f>
        <v>0.436683459639529</v>
      </c>
      <c r="U23" s="59" t="n">
        <f aca="false">159*T23</f>
        <v>69.4326700826852</v>
      </c>
      <c r="V23" s="44" t="n">
        <f aca="false">+V7-V21</f>
        <v>605913</v>
      </c>
      <c r="W23" s="60" t="n">
        <f aca="false">+V23+S23</f>
        <v>7216808</v>
      </c>
      <c r="X23" s="58" t="n">
        <f aca="false">+W23/$W$7</f>
        <v>0.441376141862568</v>
      </c>
      <c r="Y23" s="59" t="n">
        <f aca="false">164*X23</f>
        <v>72.3856872654611</v>
      </c>
      <c r="Z23" s="44" t="n">
        <f aca="false">+Z7-Z21</f>
        <v>1230556.68351284</v>
      </c>
      <c r="AA23" s="60" t="n">
        <f aca="false">+Z23+W23</f>
        <v>8447364.68351284</v>
      </c>
      <c r="AB23" s="58" t="n">
        <f aca="false">+AA23/$AA7</f>
        <v>0.441376141862568</v>
      </c>
      <c r="AC23" s="59" t="n">
        <f aca="false">164*AB23</f>
        <v>72.3856872654611</v>
      </c>
    </row>
    <row r="24" customFormat="false" ht="12.75" hidden="false" customHeight="false" outlineLevel="0" collapsed="false">
      <c r="U24" s="23"/>
      <c r="V24" s="23"/>
      <c r="Y24" s="23"/>
    </row>
    <row r="25" customFormat="false" ht="12.75" hidden="false" customHeight="false" outlineLevel="0" collapsed="false">
      <c r="U25" s="23"/>
    </row>
    <row r="26" customFormat="false" ht="12.75" hidden="false" customHeight="false" outlineLevel="0" collapsed="false">
      <c r="U26" s="23"/>
    </row>
    <row r="27" customFormat="false" ht="12.75" hidden="false" customHeight="false" outlineLevel="0" collapsed="false">
      <c r="U27" s="23"/>
    </row>
    <row r="28" customFormat="false" ht="12.75" hidden="false" customHeight="false" outlineLevel="0" collapsed="false">
      <c r="U28" s="23"/>
    </row>
    <row r="29" customFormat="false" ht="12.75" hidden="false" customHeight="false" outlineLevel="0" collapsed="false">
      <c r="U29" s="23"/>
    </row>
  </sheetData>
  <mergeCells count="3">
    <mergeCell ref="A1:S1"/>
    <mergeCell ref="A2:S2"/>
    <mergeCell ref="A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12.85"/>
    <col collapsed="false" customWidth="true" hidden="false" outlineLevel="0" max="3" min="3" style="0" width="7.42"/>
    <col collapsed="false" customWidth="true" hidden="false" outlineLevel="0" max="4" min="4" style="0" width="6.85"/>
    <col collapsed="false" customWidth="true" hidden="false" outlineLevel="0" max="5" min="5" style="0" width="6.13"/>
    <col collapsed="false" customWidth="true" hidden="false" outlineLevel="0" max="6" min="6" style="0" width="2.56"/>
    <col collapsed="false" customWidth="true" hidden="false" outlineLevel="0" max="7" min="7" style="0" width="27.28"/>
    <col collapsed="false" customWidth="true" hidden="false" outlineLevel="0" max="8" min="8" style="0" width="11.28"/>
    <col collapsed="false" customWidth="true" hidden="false" outlineLevel="0" max="9" min="9" style="0" width="7.42"/>
    <col collapsed="false" customWidth="true" hidden="false" outlineLevel="0" max="10" min="10" style="0" width="5.71"/>
    <col collapsed="false" customWidth="true" hidden="false" outlineLevel="0" max="11" min="11" style="0" width="3.7"/>
    <col collapsed="false" customWidth="true" hidden="false" outlineLevel="0" max="13" min="13" style="0" width="12.85"/>
    <col collapsed="false" customWidth="true" hidden="false" outlineLevel="0" max="14" min="14" style="0" width="10.28"/>
    <col collapsed="false" customWidth="true" hidden="false" outlineLevel="0" max="15" min="15" style="0" width="11.28"/>
  </cols>
  <sheetData>
    <row r="1" customFormat="false" ht="15.75" hidden="false" customHeight="false" outlineLevel="0" collapsed="false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" hidden="false" customHeight="false" outlineLevel="0" collapsed="false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4" customFormat="false" ht="12.75" hidden="false" customHeight="false" outlineLevel="0" collapsed="false">
      <c r="A4" s="4" t="s">
        <v>2</v>
      </c>
      <c r="B4" s="4"/>
      <c r="C4" s="4"/>
      <c r="D4" s="4"/>
      <c r="E4" s="62"/>
      <c r="F4" s="62"/>
      <c r="G4" s="4" t="s">
        <v>3</v>
      </c>
      <c r="H4" s="4"/>
      <c r="I4" s="4"/>
      <c r="J4" s="4"/>
    </row>
    <row r="5" customFormat="false" ht="12.75" hidden="false" customHeight="false" outlineLevel="0" collapsed="false">
      <c r="B5" s="4" t="s">
        <v>4</v>
      </c>
      <c r="C5" s="4" t="s">
        <v>5</v>
      </c>
      <c r="D5" s="4" t="s">
        <v>6</v>
      </c>
      <c r="E5" s="6"/>
      <c r="F5" s="6"/>
      <c r="H5" s="4" t="s">
        <v>4</v>
      </c>
      <c r="I5" s="4" t="s">
        <v>5</v>
      </c>
      <c r="J5" s="4" t="s">
        <v>6</v>
      </c>
    </row>
    <row r="6" customFormat="false" ht="20.25" hidden="false" customHeight="true" outlineLevel="0" collapsed="false">
      <c r="B6" s="6"/>
      <c r="C6" s="6"/>
      <c r="D6" s="62" t="n">
        <v>138</v>
      </c>
      <c r="E6" s="6"/>
      <c r="F6" s="6"/>
      <c r="J6" s="0" t="n">
        <v>164</v>
      </c>
    </row>
    <row r="7" customFormat="false" ht="18.75" hidden="false" customHeight="true" outlineLevel="0" collapsed="false">
      <c r="A7" s="0" t="s">
        <v>59</v>
      </c>
      <c r="B7" s="11" t="n">
        <f aca="false">3000</f>
        <v>3000</v>
      </c>
      <c r="C7" s="22" t="n">
        <f aca="false">+B7/B$40</f>
        <v>0.000168440750152004</v>
      </c>
      <c r="D7" s="63" t="n">
        <f aca="false">+C7*D$6</f>
        <v>0.0232448235209765</v>
      </c>
      <c r="E7" s="11"/>
      <c r="F7" s="11"/>
      <c r="G7" s="0" t="s">
        <v>59</v>
      </c>
      <c r="H7" s="11" t="n">
        <v>0</v>
      </c>
      <c r="I7" s="22" t="n">
        <f aca="false">+H7/H$40</f>
        <v>0</v>
      </c>
      <c r="J7" s="63" t="n">
        <f aca="false">+I7*J$6</f>
        <v>0</v>
      </c>
      <c r="M7" s="11"/>
      <c r="N7" s="11"/>
      <c r="O7" s="11"/>
    </row>
    <row r="8" customFormat="false" ht="12.75" hidden="false" customHeight="false" outlineLevel="0" collapsed="false">
      <c r="A8" s="0" t="s">
        <v>60</v>
      </c>
      <c r="B8" s="11" t="n">
        <f aca="false">996</f>
        <v>996</v>
      </c>
      <c r="C8" s="22" t="n">
        <f aca="false">+B8/B$40</f>
        <v>5.59223290504652E-005</v>
      </c>
      <c r="D8" s="63" t="n">
        <f aca="false">+C8*D$6</f>
        <v>0.0077172814089642</v>
      </c>
      <c r="E8" s="11"/>
      <c r="F8" s="11"/>
      <c r="G8" s="0" t="s">
        <v>60</v>
      </c>
      <c r="H8" s="11" t="n">
        <v>0</v>
      </c>
      <c r="I8" s="22" t="n">
        <f aca="false">+H8/H$40</f>
        <v>0</v>
      </c>
      <c r="J8" s="63" t="n">
        <f aca="false">+I8*J$6</f>
        <v>0</v>
      </c>
      <c r="M8" s="11"/>
      <c r="N8" s="11"/>
      <c r="O8" s="11"/>
    </row>
    <row r="9" customFormat="false" ht="12.75" hidden="false" customHeight="false" outlineLevel="0" collapsed="false">
      <c r="A9" s="0" t="s">
        <v>61</v>
      </c>
      <c r="B9" s="11" t="n">
        <f aca="false">3498</f>
        <v>3498</v>
      </c>
      <c r="C9" s="22" t="n">
        <f aca="false">+B9/B$40</f>
        <v>0.000196401914677236</v>
      </c>
      <c r="D9" s="63" t="n">
        <f aca="false">+C9*D$6</f>
        <v>0.0271034642254586</v>
      </c>
      <c r="E9" s="11"/>
      <c r="F9" s="11"/>
      <c r="G9" s="0" t="s">
        <v>61</v>
      </c>
      <c r="H9" s="11" t="n">
        <v>0</v>
      </c>
      <c r="I9" s="22" t="n">
        <f aca="false">+H9/H$40</f>
        <v>0</v>
      </c>
      <c r="J9" s="63" t="n">
        <f aca="false">+I9*J$6</f>
        <v>0</v>
      </c>
      <c r="M9" s="11"/>
      <c r="N9" s="11"/>
      <c r="O9" s="11"/>
    </row>
    <row r="10" customFormat="false" ht="12.75" hidden="false" customHeight="false" outlineLevel="0" collapsed="false">
      <c r="A10" s="0" t="s">
        <v>62</v>
      </c>
      <c r="B10" s="11" t="n">
        <f aca="false">996</f>
        <v>996</v>
      </c>
      <c r="C10" s="22" t="n">
        <f aca="false">+B10/B$40</f>
        <v>5.59223290504652E-005</v>
      </c>
      <c r="D10" s="63" t="n">
        <f aca="false">+C10*D$6</f>
        <v>0.0077172814089642</v>
      </c>
      <c r="E10" s="11"/>
      <c r="F10" s="11"/>
      <c r="G10" s="0" t="s">
        <v>62</v>
      </c>
      <c r="H10" s="11" t="n">
        <v>0</v>
      </c>
      <c r="I10" s="22" t="n">
        <f aca="false">+H10/H$40</f>
        <v>0</v>
      </c>
      <c r="J10" s="63" t="n">
        <f aca="false">+I10*J$6</f>
        <v>0</v>
      </c>
      <c r="M10" s="11"/>
      <c r="N10" s="11"/>
      <c r="O10" s="11"/>
    </row>
    <row r="11" customFormat="false" ht="12.75" hidden="false" customHeight="false" outlineLevel="0" collapsed="false">
      <c r="A11" s="0" t="s">
        <v>63</v>
      </c>
      <c r="B11" s="11" t="n">
        <f aca="false">991613+401861+66243</f>
        <v>1459717</v>
      </c>
      <c r="C11" s="22" t="n">
        <f aca="false">+B11/B$40</f>
        <v>0.0819586088298775</v>
      </c>
      <c r="D11" s="63" t="n">
        <f aca="false">+C11*D$6</f>
        <v>11.3102880185231</v>
      </c>
      <c r="E11" s="64"/>
      <c r="F11" s="64"/>
      <c r="G11" s="0" t="s">
        <v>63</v>
      </c>
      <c r="H11" s="11" t="n">
        <f aca="false">125777+1383997+308433</f>
        <v>1818207</v>
      </c>
      <c r="I11" s="22" t="n">
        <f aca="false">+H11/H$40</f>
        <v>0.0890635155813772</v>
      </c>
      <c r="J11" s="63" t="n">
        <f aca="false">+I11*J$6</f>
        <v>14.6064165553459</v>
      </c>
      <c r="M11" s="11"/>
      <c r="N11" s="11"/>
      <c r="O11" s="11"/>
    </row>
    <row r="12" customFormat="false" ht="12.75" hidden="false" customHeight="false" outlineLevel="0" collapsed="false">
      <c r="A12" s="0" t="s">
        <v>64</v>
      </c>
      <c r="B12" s="11" t="n">
        <f aca="false">47004+109571</f>
        <v>156575</v>
      </c>
      <c r="C12" s="22" t="n">
        <f aca="false">+B12/B$40</f>
        <v>0.00879120348501666</v>
      </c>
      <c r="D12" s="63" t="n">
        <f aca="false">+C12*D$6</f>
        <v>1.2131860809323</v>
      </c>
      <c r="E12" s="11"/>
      <c r="F12" s="11"/>
      <c r="G12" s="0" t="s">
        <v>64</v>
      </c>
      <c r="H12" s="11" t="n">
        <f aca="false">34738+305826+859436</f>
        <v>1200000</v>
      </c>
      <c r="I12" s="22" t="n">
        <f aca="false">+H12/H$40</f>
        <v>0.0587811061653886</v>
      </c>
      <c r="J12" s="63" t="n">
        <f aca="false">+I12*J$6</f>
        <v>9.64010141112373</v>
      </c>
      <c r="M12" s="11"/>
      <c r="N12" s="11"/>
      <c r="O12" s="11"/>
    </row>
    <row r="13" customFormat="false" ht="12.75" hidden="false" customHeight="false" outlineLevel="0" collapsed="false">
      <c r="A13" s="0" t="s">
        <v>65</v>
      </c>
      <c r="B13" s="65" t="n">
        <f aca="false">99996</f>
        <v>99996</v>
      </c>
      <c r="C13" s="22" t="n">
        <f aca="false">+B13/B$40</f>
        <v>0.00561446708406659</v>
      </c>
      <c r="D13" s="63" t="n">
        <f aca="false">+C13*D$6</f>
        <v>0.774796457601189</v>
      </c>
      <c r="E13" s="11"/>
      <c r="F13" s="11"/>
      <c r="G13" s="0" t="s">
        <v>65</v>
      </c>
      <c r="H13" s="11" t="n">
        <v>0</v>
      </c>
      <c r="I13" s="22" t="n">
        <f aca="false">+H13/H$40</f>
        <v>0</v>
      </c>
      <c r="J13" s="63" t="n">
        <f aca="false">+I13*J$6</f>
        <v>0</v>
      </c>
      <c r="K13" s="11"/>
      <c r="M13" s="11"/>
      <c r="N13" s="11"/>
      <c r="O13" s="11"/>
    </row>
    <row r="14" customFormat="false" ht="12.75" hidden="false" customHeight="false" outlineLevel="0" collapsed="false">
      <c r="A14" s="0" t="s">
        <v>66</v>
      </c>
      <c r="B14" s="11" t="n">
        <f aca="false">11988</f>
        <v>11988</v>
      </c>
      <c r="C14" s="22" t="n">
        <f aca="false">+B14/B$40</f>
        <v>0.000673089237607407</v>
      </c>
      <c r="D14" s="63" t="n">
        <f aca="false">+C14*D$6</f>
        <v>0.0928863147898222</v>
      </c>
      <c r="E14" s="11"/>
      <c r="F14" s="11"/>
      <c r="G14" s="0" t="s">
        <v>66</v>
      </c>
      <c r="H14" s="11" t="n">
        <v>0</v>
      </c>
      <c r="I14" s="22" t="n">
        <f aca="false">+H14/H$40</f>
        <v>0</v>
      </c>
      <c r="J14" s="63" t="n">
        <f aca="false">+I14*J$6</f>
        <v>0</v>
      </c>
      <c r="K14" s="11"/>
      <c r="M14" s="11"/>
      <c r="N14" s="11"/>
      <c r="O14" s="11"/>
    </row>
    <row r="15" customFormat="false" ht="12.75" hidden="false" customHeight="false" outlineLevel="0" collapsed="false">
      <c r="A15" s="0" t="s">
        <v>67</v>
      </c>
      <c r="B15" s="11" t="n">
        <v>68004</v>
      </c>
      <c r="C15" s="22" t="n">
        <f aca="false">+B15/B$40</f>
        <v>0.00381821492444562</v>
      </c>
      <c r="D15" s="63" t="n">
        <f aca="false">+C15*D$6</f>
        <v>0.526913659573496</v>
      </c>
      <c r="E15" s="11"/>
      <c r="F15" s="11"/>
      <c r="G15" s="0" t="s">
        <v>67</v>
      </c>
      <c r="H15" s="11" t="n">
        <f aca="false">93103+11790</f>
        <v>104893</v>
      </c>
      <c r="I15" s="22" t="n">
        <f aca="false">+H15/H$40</f>
        <v>0.00513810547417175</v>
      </c>
      <c r="J15" s="63" t="n">
        <f aca="false">+I15*J$6</f>
        <v>0.842649297764168</v>
      </c>
      <c r="K15" s="11"/>
      <c r="M15" s="11"/>
      <c r="N15" s="11"/>
      <c r="O15" s="11"/>
    </row>
    <row r="16" customFormat="false" ht="12.75" hidden="false" customHeight="false" outlineLevel="0" collapsed="false">
      <c r="A16" s="0" t="s">
        <v>68</v>
      </c>
      <c r="B16" s="65" t="n">
        <f aca="false">18000+44394</f>
        <v>62394</v>
      </c>
      <c r="C16" s="22" t="n">
        <f aca="false">+B16/B$40</f>
        <v>0.00350323072166137</v>
      </c>
      <c r="D16" s="63" t="n">
        <f aca="false">+C16*D$6+0.03</f>
        <v>0.51344583958927</v>
      </c>
      <c r="E16" s="11"/>
      <c r="F16" s="11"/>
      <c r="G16" s="0" t="s">
        <v>68</v>
      </c>
      <c r="H16" s="11" t="n">
        <f aca="false">24256+521143+246877</f>
        <v>792276</v>
      </c>
      <c r="I16" s="22" t="n">
        <f aca="false">+H16/H$40</f>
        <v>0.0388090497235745</v>
      </c>
      <c r="J16" s="63" t="n">
        <f aca="false">+I16*J$6</f>
        <v>6.36468415466622</v>
      </c>
      <c r="K16" s="11"/>
      <c r="M16" s="11"/>
      <c r="N16" s="11"/>
      <c r="O16" s="11"/>
    </row>
    <row r="17" customFormat="false" ht="12.75" hidden="false" customHeight="false" outlineLevel="0" collapsed="false">
      <c r="A17" s="0" t="s">
        <v>69</v>
      </c>
      <c r="B17" s="11" t="n">
        <f aca="false">60996+3953519</f>
        <v>4014515</v>
      </c>
      <c r="C17" s="22" t="n">
        <f aca="false">+B17/B$40</f>
        <v>0.22540263936549</v>
      </c>
      <c r="D17" s="66" t="n">
        <f aca="false">+C17*D$6</f>
        <v>31.1055642324377</v>
      </c>
      <c r="E17" s="11"/>
      <c r="F17" s="11"/>
      <c r="G17" s="0" t="s">
        <v>69</v>
      </c>
      <c r="H17" s="11" t="n">
        <f aca="false">123530+2342961+2006678+646626</f>
        <v>5119795</v>
      </c>
      <c r="I17" s="22" t="n">
        <f aca="false">+H17/H$40</f>
        <v>0.250789344533355</v>
      </c>
      <c r="J17" s="63" t="n">
        <f aca="false">+I17*J$6</f>
        <v>41.1294525034702</v>
      </c>
      <c r="K17" s="11"/>
      <c r="M17" s="11"/>
      <c r="N17" s="11"/>
      <c r="O17" s="11"/>
    </row>
    <row r="18" customFormat="false" ht="12.75" hidden="false" customHeight="false" outlineLevel="0" collapsed="false">
      <c r="A18" s="0" t="s">
        <v>70</v>
      </c>
      <c r="B18" s="11" t="n">
        <f aca="false">293501+58140</f>
        <v>351641</v>
      </c>
      <c r="C18" s="22" t="n">
        <f aca="false">+B18/B$40</f>
        <v>0.0197435579414002</v>
      </c>
      <c r="D18" s="66" t="n">
        <f aca="false">+C18*D$6</f>
        <v>2.72461099591323</v>
      </c>
      <c r="E18" s="11"/>
      <c r="F18" s="11"/>
      <c r="G18" s="0" t="s">
        <v>70</v>
      </c>
      <c r="H18" s="11" t="n">
        <f aca="false">108575</f>
        <v>108575</v>
      </c>
      <c r="I18" s="22" t="n">
        <f aca="false">+H18/H$40</f>
        <v>0.00531846550158922</v>
      </c>
      <c r="J18" s="63" t="n">
        <f aca="false">+I18*J$6</f>
        <v>0.872228342260632</v>
      </c>
      <c r="K18" s="11"/>
      <c r="M18" s="11"/>
      <c r="N18" s="11"/>
      <c r="O18" s="11"/>
    </row>
    <row r="19" customFormat="false" ht="12.75" hidden="false" customHeight="false" outlineLevel="0" collapsed="false">
      <c r="A19" s="0" t="s">
        <v>71</v>
      </c>
      <c r="B19" s="11" t="n">
        <f aca="false">25982</f>
        <v>25982</v>
      </c>
      <c r="C19" s="22" t="n">
        <f aca="false">+B19/B$40</f>
        <v>0.00145880919014979</v>
      </c>
      <c r="D19" s="63" t="n">
        <f aca="false">+C19*D$6</f>
        <v>0.201315668240671</v>
      </c>
      <c r="E19" s="11"/>
      <c r="F19" s="11"/>
      <c r="G19" s="0" t="s">
        <v>71</v>
      </c>
      <c r="H19" s="11" t="n">
        <v>0</v>
      </c>
      <c r="I19" s="22" t="n">
        <f aca="false">+H19/H$40</f>
        <v>0</v>
      </c>
      <c r="J19" s="63" t="n">
        <f aca="false">+I19*J$6</f>
        <v>0</v>
      </c>
      <c r="K19" s="11"/>
      <c r="M19" s="11"/>
      <c r="N19" s="11"/>
      <c r="O19" s="11"/>
    </row>
    <row r="20" customFormat="false" ht="12.75" hidden="false" customHeight="false" outlineLevel="0" collapsed="false">
      <c r="A20" s="0" t="s">
        <v>72</v>
      </c>
      <c r="B20" s="11" t="n">
        <f aca="false">10370</f>
        <v>10370</v>
      </c>
      <c r="C20" s="22" t="n">
        <f aca="false">+B20/B$40</f>
        <v>0.00058224352635876</v>
      </c>
      <c r="D20" s="63" t="n">
        <f aca="false">+C20*D$6</f>
        <v>0.0803496066375088</v>
      </c>
      <c r="E20" s="11"/>
      <c r="F20" s="11"/>
      <c r="G20" s="0" t="s">
        <v>72</v>
      </c>
      <c r="H20" s="11" t="n">
        <f aca="false">15273+1934</f>
        <v>17207</v>
      </c>
      <c r="I20" s="22" t="n">
        <f aca="false">+H20/H$40</f>
        <v>0.000842872078156534</v>
      </c>
      <c r="J20" s="63" t="n">
        <f aca="false">+I20*J$6</f>
        <v>0.138231020817672</v>
      </c>
      <c r="K20" s="11"/>
      <c r="M20" s="11"/>
      <c r="N20" s="11"/>
      <c r="O20" s="11"/>
    </row>
    <row r="21" customFormat="false" ht="12.75" hidden="false" customHeight="false" outlineLevel="0" collapsed="false">
      <c r="A21" s="0" t="s">
        <v>73</v>
      </c>
      <c r="B21" s="11" t="n">
        <f aca="false">5004</f>
        <v>5004</v>
      </c>
      <c r="C21" s="22" t="n">
        <f aca="false">+B21/B$40</f>
        <v>0.000280959171253542</v>
      </c>
      <c r="D21" s="63" t="n">
        <f aca="false">+C21*D$6</f>
        <v>0.0387723656329888</v>
      </c>
      <c r="E21" s="11"/>
      <c r="F21" s="11"/>
      <c r="G21" s="0" t="s">
        <v>73</v>
      </c>
      <c r="H21" s="11" t="n">
        <v>0</v>
      </c>
      <c r="I21" s="22" t="n">
        <f aca="false">+H21/H$40</f>
        <v>0</v>
      </c>
      <c r="J21" s="63" t="n">
        <f aca="false">+I21*J$6</f>
        <v>0</v>
      </c>
      <c r="K21" s="11"/>
      <c r="M21" s="11"/>
      <c r="N21" s="11"/>
      <c r="O21" s="11"/>
    </row>
    <row r="22" customFormat="false" ht="12.75" hidden="false" customHeight="false" outlineLevel="0" collapsed="false">
      <c r="A22" s="0" t="s">
        <v>74</v>
      </c>
      <c r="B22" s="11" t="n">
        <f aca="false">3000+129816</f>
        <v>132816</v>
      </c>
      <c r="C22" s="22" t="n">
        <f aca="false">+B22/B$40</f>
        <v>0.00745720889072951</v>
      </c>
      <c r="D22" s="63" t="n">
        <f aca="false">+C22*D$6</f>
        <v>1.02909482692067</v>
      </c>
      <c r="E22" s="11"/>
      <c r="F22" s="11"/>
      <c r="G22" s="0" t="s">
        <v>74</v>
      </c>
      <c r="H22" s="11" t="n">
        <v>0</v>
      </c>
      <c r="I22" s="22" t="n">
        <f aca="false">+H22/H$40</f>
        <v>0</v>
      </c>
      <c r="J22" s="63" t="n">
        <f aca="false">+I22*J$6</f>
        <v>0</v>
      </c>
      <c r="K22" s="11"/>
      <c r="M22" s="11"/>
      <c r="N22" s="11"/>
      <c r="O22" s="11"/>
    </row>
    <row r="23" customFormat="false" ht="12.75" hidden="false" customHeight="false" outlineLevel="0" collapsed="false">
      <c r="A23" s="0" t="s">
        <v>75</v>
      </c>
      <c r="B23" s="11" t="n">
        <f aca="false">18996+891107+112635</f>
        <v>1022738</v>
      </c>
      <c r="C23" s="22" t="n">
        <f aca="false">+B23/B$40</f>
        <v>0.0574235853096533</v>
      </c>
      <c r="D23" s="63" t="n">
        <f aca="false">+C23*D$6</f>
        <v>7.92445477273216</v>
      </c>
      <c r="E23" s="11"/>
      <c r="F23" s="11"/>
      <c r="G23" s="0" t="s">
        <v>75</v>
      </c>
      <c r="H23" s="11" t="n">
        <f aca="false">37464+1069899+379224</f>
        <v>1486587</v>
      </c>
      <c r="I23" s="22" t="n">
        <f aca="false">+H23/H$40</f>
        <v>0.0728193568925721</v>
      </c>
      <c r="J23" s="63" t="n">
        <f aca="false">+I23*J$6</f>
        <v>11.9423745303818</v>
      </c>
      <c r="K23" s="11"/>
      <c r="M23" s="11"/>
      <c r="N23" s="11"/>
      <c r="O23" s="11"/>
    </row>
    <row r="24" customFormat="false" ht="12.75" hidden="false" customHeight="false" outlineLevel="0" collapsed="false">
      <c r="A24" s="0" t="s">
        <v>76</v>
      </c>
      <c r="B24" s="11" t="n">
        <f aca="false">5004+810548+70578</f>
        <v>886130</v>
      </c>
      <c r="C24" s="22" t="n">
        <f aca="false">+B24/B$40</f>
        <v>0.0497534673107317</v>
      </c>
      <c r="D24" s="63" t="n">
        <f aca="false">+C24*D$6</f>
        <v>6.86597848888097</v>
      </c>
      <c r="E24" s="11"/>
      <c r="F24" s="11"/>
      <c r="G24" s="0" t="s">
        <v>76</v>
      </c>
      <c r="H24" s="11" t="n">
        <f aca="false">24616+669968+227119</f>
        <v>921703</v>
      </c>
      <c r="I24" s="22" t="n">
        <f aca="false">+H24/H$40-0.001</f>
        <v>0.0441489349132976</v>
      </c>
      <c r="J24" s="63" t="n">
        <f aca="false">+I24*J$6</f>
        <v>7.24042532578081</v>
      </c>
      <c r="K24" s="11"/>
      <c r="M24" s="11"/>
      <c r="N24" s="11"/>
      <c r="O24" s="11"/>
    </row>
    <row r="25" customFormat="false" ht="12.75" hidden="false" customHeight="false" outlineLevel="0" collapsed="false">
      <c r="A25" s="0" t="s">
        <v>77</v>
      </c>
      <c r="B25" s="11" t="n">
        <f aca="false">498</f>
        <v>498</v>
      </c>
      <c r="C25" s="22" t="n">
        <f aca="false">+B25/B$40</f>
        <v>2.79611645252326E-005</v>
      </c>
      <c r="D25" s="63" t="n">
        <f aca="false">+C25*D$6</f>
        <v>0.0038586407044821</v>
      </c>
      <c r="E25" s="11"/>
      <c r="F25" s="11"/>
      <c r="G25" s="0" t="s">
        <v>77</v>
      </c>
      <c r="H25" s="11" t="n">
        <v>0</v>
      </c>
      <c r="I25" s="22" t="n">
        <f aca="false">+H25/H$40</f>
        <v>0</v>
      </c>
      <c r="J25" s="63" t="n">
        <f aca="false">+I25*J$6</f>
        <v>0</v>
      </c>
      <c r="K25" s="11"/>
      <c r="M25" s="11"/>
      <c r="N25" s="11"/>
      <c r="O25" s="11"/>
    </row>
    <row r="26" customFormat="false" ht="12.75" hidden="false" customHeight="false" outlineLevel="0" collapsed="false">
      <c r="A26" s="67" t="s">
        <v>78</v>
      </c>
      <c r="B26" s="68" t="n">
        <f aca="false">66996+4552197+208249-2</f>
        <v>4827440</v>
      </c>
      <c r="C26" s="69" t="n">
        <f aca="false">+B26/B$40</f>
        <v>0.27104587163793</v>
      </c>
      <c r="D26" s="70" t="n">
        <f aca="false">+C26*D$6</f>
        <v>37.4043302860343</v>
      </c>
      <c r="E26" s="67"/>
      <c r="F26" s="67"/>
      <c r="G26" s="67" t="s">
        <v>78</v>
      </c>
      <c r="H26" s="68" t="n">
        <f aca="false">100352+2145026+526597</f>
        <v>2771975</v>
      </c>
      <c r="I26" s="71" t="n">
        <f aca="false">+H26/H$40-0.002</f>
        <v>0.133783130635669</v>
      </c>
      <c r="J26" s="72" t="n">
        <f aca="false">+I26*J$6</f>
        <v>21.9404334242497</v>
      </c>
      <c r="K26" s="11"/>
      <c r="M26" s="11"/>
      <c r="N26" s="11"/>
      <c r="O26" s="11"/>
    </row>
    <row r="27" customFormat="false" ht="12.75" hidden="false" customHeight="false" outlineLevel="0" collapsed="false">
      <c r="A27" s="0" t="s">
        <v>79</v>
      </c>
      <c r="B27" s="11" t="n">
        <f aca="false">30000+457717+3779417</f>
        <v>4267134</v>
      </c>
      <c r="C27" s="22" t="n">
        <f aca="false">+B27/B$40</f>
        <v>0.239586417319707</v>
      </c>
      <c r="D27" s="63" t="n">
        <f aca="false">+C27*D$6</f>
        <v>33.0629255901195</v>
      </c>
      <c r="E27" s="11"/>
      <c r="F27" s="11"/>
      <c r="G27" s="0" t="s">
        <v>79</v>
      </c>
      <c r="H27" s="11" t="n">
        <f aca="false">234483+2434299+2973047-1</f>
        <v>5641828</v>
      </c>
      <c r="I27" s="22" t="n">
        <f aca="false">+H27/H$40</f>
        <v>0.276360742195718</v>
      </c>
      <c r="J27" s="63" t="n">
        <f aca="false">+I27*J$6</f>
        <v>45.3231617200978</v>
      </c>
      <c r="K27" s="11"/>
      <c r="M27" s="11"/>
      <c r="N27" s="11"/>
      <c r="O27" s="11"/>
    </row>
    <row r="28" customFormat="false" ht="12.75" hidden="false" customHeight="false" outlineLevel="0" collapsed="false">
      <c r="A28" s="0" t="s">
        <v>80</v>
      </c>
      <c r="B28" s="11" t="n">
        <f aca="false">34286</f>
        <v>34286</v>
      </c>
      <c r="C28" s="22" t="n">
        <f aca="false">+B28/B$40</f>
        <v>0.00192505318657053</v>
      </c>
      <c r="D28" s="63" t="n">
        <f aca="false">+C28*D$6</f>
        <v>0.265657339746734</v>
      </c>
      <c r="E28" s="11"/>
      <c r="F28" s="11"/>
      <c r="G28" s="0" t="s">
        <v>80</v>
      </c>
      <c r="H28" s="11" t="n">
        <f aca="false">164757</f>
        <v>164757</v>
      </c>
      <c r="I28" s="22" t="n">
        <f aca="false">+H28/H$40</f>
        <v>0.00807049892374244</v>
      </c>
      <c r="J28" s="63" t="n">
        <f aca="false">+I28*J$6</f>
        <v>1.32356182349376</v>
      </c>
      <c r="K28" s="11"/>
      <c r="M28" s="11"/>
      <c r="N28" s="11"/>
      <c r="O28" s="11"/>
    </row>
    <row r="29" customFormat="false" ht="12.75" hidden="false" customHeight="false" outlineLevel="0" collapsed="false">
      <c r="A29" s="0" t="s">
        <v>81</v>
      </c>
      <c r="B29" s="11" t="n">
        <f aca="false">32004</f>
        <v>32004</v>
      </c>
      <c r="C29" s="22" t="n">
        <f aca="false">+B29/B$40</f>
        <v>0.00179692592262158</v>
      </c>
      <c r="D29" s="63" t="n">
        <f aca="false">+C29*D$6</f>
        <v>0.247975777321777</v>
      </c>
      <c r="E29" s="11"/>
      <c r="F29" s="11"/>
      <c r="G29" s="0" t="s">
        <v>81</v>
      </c>
      <c r="H29" s="11" t="n">
        <v>0</v>
      </c>
      <c r="I29" s="22" t="n">
        <f aca="false">+H29/H$40</f>
        <v>0</v>
      </c>
      <c r="J29" s="63" t="n">
        <f aca="false">+I29*J$6</f>
        <v>0</v>
      </c>
      <c r="K29" s="11"/>
    </row>
    <row r="30" customFormat="false" ht="12.75" hidden="false" customHeight="false" outlineLevel="0" collapsed="false">
      <c r="A30" s="0" t="s">
        <v>82</v>
      </c>
      <c r="B30" s="11" t="n">
        <f aca="false">9000+134730+16825</f>
        <v>160555</v>
      </c>
      <c r="C30" s="22" t="n">
        <f aca="false">+B30/B$40</f>
        <v>0.00901466821355165</v>
      </c>
      <c r="D30" s="63" t="n">
        <f aca="false">+C30*D$6</f>
        <v>1.24402421347013</v>
      </c>
      <c r="E30" s="11"/>
      <c r="F30" s="11"/>
      <c r="G30" s="0" t="s">
        <v>82</v>
      </c>
      <c r="H30" s="11" t="n">
        <f aca="false">121284+77776</f>
        <v>199060</v>
      </c>
      <c r="I30" s="22" t="n">
        <f aca="false">+H30/H$40</f>
        <v>0.00975080582773521</v>
      </c>
      <c r="J30" s="63" t="n">
        <f aca="false">+I30*J$6</f>
        <v>1.59913215574857</v>
      </c>
      <c r="K30" s="11"/>
    </row>
    <row r="31" customFormat="false" ht="12.75" hidden="false" customHeight="false" outlineLevel="0" collapsed="false">
      <c r="A31" s="0" t="s">
        <v>83</v>
      </c>
      <c r="B31" s="11" t="n">
        <f aca="false">12000</f>
        <v>12000</v>
      </c>
      <c r="C31" s="22" t="n">
        <f aca="false">+B31/B$40</f>
        <v>0.000673763000608015</v>
      </c>
      <c r="D31" s="63" t="n">
        <f aca="false">+C31*D$6</f>
        <v>0.0929792940839061</v>
      </c>
      <c r="E31" s="64"/>
      <c r="F31" s="64"/>
      <c r="G31" s="0" t="s">
        <v>83</v>
      </c>
      <c r="H31" s="11" t="n">
        <v>0</v>
      </c>
      <c r="I31" s="22" t="n">
        <f aca="false">+H31/H$40</f>
        <v>0</v>
      </c>
      <c r="J31" s="63" t="n">
        <f aca="false">+I31*J$6</f>
        <v>0</v>
      </c>
      <c r="K31" s="11"/>
    </row>
    <row r="32" customFormat="false" ht="12.75" hidden="false" customHeight="false" outlineLevel="0" collapsed="false">
      <c r="A32" s="0" t="s">
        <v>84</v>
      </c>
      <c r="B32" s="11" t="n">
        <f aca="false">3996</f>
        <v>3996</v>
      </c>
      <c r="C32" s="22" t="n">
        <f aca="false">+B32/B$40</f>
        <v>0.000224363079202469</v>
      </c>
      <c r="D32" s="63" t="n">
        <f aca="false">+C32*D$6</f>
        <v>0.0309621049299407</v>
      </c>
      <c r="E32" s="11"/>
      <c r="F32" s="11"/>
      <c r="G32" s="0" t="s">
        <v>84</v>
      </c>
      <c r="H32" s="11" t="n">
        <v>0</v>
      </c>
      <c r="I32" s="22" t="n">
        <f aca="false">+H32/H$40</f>
        <v>0</v>
      </c>
      <c r="J32" s="63" t="n">
        <f aca="false">+I32*J$6</f>
        <v>0</v>
      </c>
      <c r="K32" s="11"/>
    </row>
    <row r="33" customFormat="false" ht="12.75" hidden="false" customHeight="false" outlineLevel="0" collapsed="false">
      <c r="A33" s="0" t="s">
        <v>85</v>
      </c>
      <c r="B33" s="11" t="n">
        <f aca="false">14004</f>
        <v>14004</v>
      </c>
      <c r="C33" s="22" t="n">
        <f aca="false">+B33/B$40</f>
        <v>0.000786281421709554</v>
      </c>
      <c r="D33" s="63" t="n">
        <f aca="false">+C33*D$6</f>
        <v>0.108506836195918</v>
      </c>
      <c r="E33" s="11"/>
      <c r="F33" s="11"/>
      <c r="G33" s="0" t="s">
        <v>85</v>
      </c>
      <c r="H33" s="11" t="n">
        <v>0</v>
      </c>
      <c r="I33" s="22" t="n">
        <f aca="false">+H33/H$40</f>
        <v>0</v>
      </c>
      <c r="J33" s="63" t="n">
        <f aca="false">+I33*J$6</f>
        <v>0</v>
      </c>
      <c r="K33" s="11"/>
    </row>
    <row r="34" customFormat="false" ht="12.75" hidden="false" customHeight="false" outlineLevel="0" collapsed="false">
      <c r="A34" s="0" t="s">
        <v>86</v>
      </c>
      <c r="B34" s="11" t="n">
        <f aca="false">14004+59136</f>
        <v>73140</v>
      </c>
      <c r="C34" s="22" t="n">
        <f aca="false">+B34/B$40+0.002</f>
        <v>0.00610658548870585</v>
      </c>
      <c r="D34" s="66" t="n">
        <f aca="false">+C34*D$6</f>
        <v>0.842708797441408</v>
      </c>
      <c r="E34" s="11"/>
      <c r="F34" s="11"/>
      <c r="G34" s="0" t="s">
        <v>86</v>
      </c>
      <c r="H34" s="11" t="n">
        <v>0</v>
      </c>
      <c r="I34" s="22" t="n">
        <f aca="false">+H34/H$40</f>
        <v>0</v>
      </c>
      <c r="J34" s="63" t="n">
        <f aca="false">+I34*J$6</f>
        <v>0</v>
      </c>
      <c r="K34" s="11"/>
    </row>
    <row r="35" customFormat="false" ht="12.75" hidden="false" customHeight="false" outlineLevel="0" collapsed="false">
      <c r="A35" s="0" t="s">
        <v>87</v>
      </c>
      <c r="B35" s="11" t="n">
        <f aca="false">47004</f>
        <v>47004</v>
      </c>
      <c r="C35" s="22" t="n">
        <f aca="false">+B35/B$40</f>
        <v>0.00263912967338159</v>
      </c>
      <c r="D35" s="63" t="n">
        <f aca="false">+C35*D$6+0.2</f>
        <v>0.56419989492666</v>
      </c>
      <c r="E35" s="11"/>
      <c r="F35" s="11"/>
      <c r="G35" s="0" t="s">
        <v>87</v>
      </c>
      <c r="H35" s="11" t="n">
        <v>0</v>
      </c>
      <c r="I35" s="22" t="n">
        <f aca="false">+H35/H$40</f>
        <v>0</v>
      </c>
      <c r="J35" s="63" t="n">
        <f aca="false">+I35*J$6</f>
        <v>0</v>
      </c>
    </row>
    <row r="36" customFormat="false" ht="12.75" hidden="false" customHeight="false" outlineLevel="0" collapsed="false">
      <c r="A36" s="0" t="s">
        <v>88</v>
      </c>
      <c r="B36" s="11" t="n">
        <f aca="false">6996</f>
        <v>6996</v>
      </c>
      <c r="C36" s="22" t="n">
        <f aca="false">+B36/B$40</f>
        <v>0.000392803829354473</v>
      </c>
      <c r="D36" s="63" t="n">
        <f aca="false">+C36*D$6</f>
        <v>0.0542069284509172</v>
      </c>
      <c r="E36" s="11"/>
      <c r="F36" s="11"/>
      <c r="G36" s="0" t="s">
        <v>88</v>
      </c>
      <c r="H36" s="11" t="n">
        <v>0</v>
      </c>
      <c r="I36" s="22" t="n">
        <f aca="false">+H36/H$40</f>
        <v>0</v>
      </c>
      <c r="J36" s="63" t="n">
        <f aca="false">+I36*J$6</f>
        <v>0</v>
      </c>
    </row>
    <row r="37" customFormat="false" ht="12.75" hidden="false" customHeight="false" outlineLevel="0" collapsed="false">
      <c r="A37" s="0" t="s">
        <v>89</v>
      </c>
      <c r="B37" s="11" t="n">
        <f aca="false">9000</f>
        <v>9000</v>
      </c>
      <c r="C37" s="22" t="n">
        <f aca="false">+B37/B$40</f>
        <v>0.000505322250456011</v>
      </c>
      <c r="D37" s="63" t="n">
        <f aca="false">+C37*D$6</f>
        <v>0.0697344705629295</v>
      </c>
      <c r="E37" s="11"/>
      <c r="F37" s="11"/>
      <c r="G37" s="0" t="s">
        <v>89</v>
      </c>
      <c r="H37" s="11" t="n">
        <v>0</v>
      </c>
      <c r="I37" s="22" t="n">
        <f aca="false">+H37/H$40</f>
        <v>0</v>
      </c>
      <c r="J37" s="63" t="n">
        <f aca="false">+I37*J$6</f>
        <v>0</v>
      </c>
    </row>
    <row r="38" customFormat="false" ht="12.75" hidden="false" customHeight="false" outlineLevel="0" collapsed="false">
      <c r="A38" s="0" t="s">
        <v>90</v>
      </c>
      <c r="B38" s="11" t="n">
        <f aca="false">6000</f>
        <v>6000</v>
      </c>
      <c r="C38" s="22" t="n">
        <f aca="false">+B38/B$40</f>
        <v>0.000336881500304008</v>
      </c>
      <c r="D38" s="63" t="n">
        <f aca="false">+C38*D$6</f>
        <v>0.046489647041953</v>
      </c>
      <c r="E38" s="64"/>
      <c r="F38" s="64"/>
      <c r="G38" s="0" t="s">
        <v>90</v>
      </c>
      <c r="H38" s="11" t="n">
        <v>0</v>
      </c>
      <c r="I38" s="22" t="n">
        <f aca="false">+H38/H$40</f>
        <v>0</v>
      </c>
      <c r="J38" s="63" t="n">
        <f aca="false">+I38*J$6</f>
        <v>0</v>
      </c>
    </row>
    <row r="39" customFormat="false" ht="12.75" hidden="false" customHeight="false" outlineLevel="0" collapsed="false">
      <c r="A39" s="0" t="s">
        <v>91</v>
      </c>
      <c r="B39" s="13" t="n">
        <v>0</v>
      </c>
      <c r="C39" s="27" t="n">
        <f aca="false">+B39/B$40</f>
        <v>0</v>
      </c>
      <c r="D39" s="15" t="n">
        <f aca="false">+C39*D$6</f>
        <v>0</v>
      </c>
      <c r="E39" s="11"/>
      <c r="F39" s="11"/>
      <c r="G39" s="0" t="s">
        <v>91</v>
      </c>
      <c r="H39" s="13" t="n">
        <f aca="false">67860</f>
        <v>67860</v>
      </c>
      <c r="I39" s="27" t="n">
        <f aca="false">+H39/H$40</f>
        <v>0.00332407155365272</v>
      </c>
      <c r="J39" s="15" t="n">
        <f aca="false">+I39*J$6</f>
        <v>0.545147734799047</v>
      </c>
    </row>
    <row r="40" customFormat="false" ht="12.75" hidden="false" customHeight="false" outlineLevel="0" collapsed="false">
      <c r="A40" s="0" t="s">
        <v>92</v>
      </c>
      <c r="B40" s="11" t="n">
        <f aca="false">SUM(B7:B39)</f>
        <v>17810417</v>
      </c>
      <c r="C40" s="22" t="n">
        <f aca="false">SUM(C7:C39)</f>
        <v>1.002</v>
      </c>
      <c r="D40" s="10" t="n">
        <f aca="false">SUM(D7:D39)-0.5</f>
        <v>138.006</v>
      </c>
      <c r="E40" s="11"/>
      <c r="F40" s="11"/>
      <c r="G40" s="0" t="s">
        <v>93</v>
      </c>
      <c r="H40" s="11" t="n">
        <f aca="false">SUM(H7:H39)</f>
        <v>20414723</v>
      </c>
      <c r="I40" s="22" t="n">
        <f aca="false">SUM(I7:I39)</f>
        <v>0.997</v>
      </c>
      <c r="J40" s="10" t="n">
        <f aca="false">SUM(J7:J39)</f>
        <v>163.508</v>
      </c>
    </row>
    <row r="41" customFormat="false" ht="12.75" hidden="false" customHeight="false" outlineLevel="0" collapsed="false">
      <c r="B41" s="11"/>
      <c r="C41" s="22"/>
      <c r="D41" s="10"/>
      <c r="E41" s="11"/>
      <c r="F41" s="11"/>
      <c r="H41" s="11"/>
      <c r="I41" s="22"/>
      <c r="J41" s="10"/>
    </row>
    <row r="42" customFormat="false" ht="12.75" hidden="false" customHeight="false" outlineLevel="0" collapsed="false">
      <c r="A42" s="29" t="s">
        <v>94</v>
      </c>
      <c r="B42" s="11"/>
      <c r="D42" s="10" t="n">
        <f aca="false">+D40-D26</f>
        <v>100.601669713966</v>
      </c>
      <c r="G42" s="29" t="s">
        <v>94</v>
      </c>
      <c r="H42" s="11"/>
      <c r="J42" s="10" t="n">
        <f aca="false">J40-J26</f>
        <v>141.56756657575</v>
      </c>
    </row>
    <row r="43" customFormat="false" ht="12.75" hidden="false" customHeight="false" outlineLevel="0" collapsed="false">
      <c r="A43" s="29" t="s">
        <v>95</v>
      </c>
      <c r="D43" s="10" t="n">
        <f aca="false">D26</f>
        <v>37.4043302860343</v>
      </c>
      <c r="G43" s="29" t="s">
        <v>95</v>
      </c>
      <c r="J43" s="10" t="n">
        <f aca="false">J26</f>
        <v>21.9404334242497</v>
      </c>
    </row>
    <row r="46" customFormat="false" ht="12.75" hidden="false" customHeight="false" outlineLevel="0" collapsed="false">
      <c r="A46" s="11" t="s">
        <v>15</v>
      </c>
      <c r="B46" s="11"/>
      <c r="H46" s="11"/>
    </row>
    <row r="47" customFormat="false" ht="12.75" hidden="false" customHeight="false" outlineLevel="0" collapsed="false">
      <c r="A47" s="0" t="s">
        <v>96</v>
      </c>
      <c r="B47" s="7"/>
      <c r="H47" s="7"/>
    </row>
    <row r="49" customFormat="false" ht="12.75" hidden="false" customHeight="false" outlineLevel="0" collapsed="false">
      <c r="A49" s="19"/>
    </row>
    <row r="50" customFormat="false" ht="12.75" hidden="false" customHeight="false" outlineLevel="0" collapsed="false">
      <c r="A50" s="11"/>
    </row>
    <row r="51" customFormat="false" ht="12.75" hidden="false" customHeight="false" outlineLevel="0" collapsed="false">
      <c r="A51" s="73"/>
    </row>
    <row r="52" customFormat="false" ht="12.75" hidden="false" customHeight="false" outlineLevel="0" collapsed="false">
      <c r="A52" s="73"/>
    </row>
    <row r="53" customFormat="false" ht="12.75" hidden="false" customHeight="false" outlineLevel="0" collapsed="false">
      <c r="A53" s="73"/>
    </row>
    <row r="54" customFormat="false" ht="12.75" hidden="false" customHeight="false" outlineLevel="0" collapsed="false">
      <c r="A54" s="73"/>
    </row>
  </sheetData>
  <mergeCells count="4">
    <mergeCell ref="A1:J1"/>
    <mergeCell ref="A2:J2"/>
    <mergeCell ref="A4:D4"/>
    <mergeCell ref="G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74" width="16.7"/>
    <col collapsed="false" customWidth="true" hidden="false" outlineLevel="0" max="2" min="2" style="74" width="13.7"/>
    <col collapsed="false" customWidth="true" hidden="false" outlineLevel="0" max="4" min="3" style="75" width="12.14"/>
    <col collapsed="false" customWidth="true" hidden="false" outlineLevel="0" max="5" min="5" style="75" width="13.99"/>
    <col collapsed="false" customWidth="true" hidden="false" outlineLevel="0" max="7" min="6" style="75" width="13.14"/>
    <col collapsed="false" customWidth="true" hidden="false" outlineLevel="0" max="8" min="8" style="75" width="12.85"/>
    <col collapsed="false" customWidth="true" hidden="false" outlineLevel="0" max="9" min="9" style="75" width="13.14"/>
    <col collapsed="false" customWidth="true" hidden="false" outlineLevel="0" max="10" min="10" style="75" width="11.7"/>
    <col collapsed="false" customWidth="true" hidden="false" outlineLevel="0" max="11" min="11" style="75" width="15.13"/>
    <col collapsed="false" customWidth="true" hidden="false" outlineLevel="0" max="12" min="12" style="75" width="13.41"/>
    <col collapsed="false" customWidth="true" hidden="false" outlineLevel="0" max="13" min="13" style="75" width="10.71"/>
    <col collapsed="false" customWidth="true" hidden="false" outlineLevel="0" max="14" min="14" style="75" width="11.7"/>
    <col collapsed="false" customWidth="true" hidden="false" outlineLevel="0" max="15" min="15" style="75" width="13.41"/>
    <col collapsed="false" customWidth="true" hidden="false" outlineLevel="0" max="16" min="16" style="75" width="11.7"/>
    <col collapsed="false" customWidth="true" hidden="false" outlineLevel="0" max="17" min="17" style="75" width="16.13"/>
    <col collapsed="false" customWidth="false" hidden="false" outlineLevel="0" max="18" min="18" style="76" width="9.14"/>
    <col collapsed="false" customWidth="false" hidden="false" outlineLevel="0" max="19" min="19" style="75" width="9.14"/>
    <col collapsed="false" customWidth="true" hidden="false" outlineLevel="0" max="20" min="20" style="75" width="15.28"/>
    <col collapsed="false" customWidth="false" hidden="false" outlineLevel="0" max="21" min="21" style="76" width="9.14"/>
    <col collapsed="false" customWidth="false" hidden="false" outlineLevel="0" max="22" min="22" style="75" width="9.14"/>
    <col collapsed="false" customWidth="true" hidden="false" outlineLevel="0" max="23" min="23" style="75" width="15.56"/>
    <col collapsed="false" customWidth="false" hidden="false" outlineLevel="0" max="257" min="24" style="75" width="9.14"/>
  </cols>
  <sheetData>
    <row r="1" customFormat="false" ht="45" hidden="false" customHeight="false" outlineLevel="0" collapsed="false">
      <c r="A1" s="77" t="s">
        <v>97</v>
      </c>
      <c r="B1" s="77" t="s">
        <v>98</v>
      </c>
      <c r="C1" s="77" t="s">
        <v>99</v>
      </c>
      <c r="D1" s="77" t="s">
        <v>100</v>
      </c>
      <c r="E1" s="77" t="s">
        <v>101</v>
      </c>
      <c r="F1" s="77" t="s">
        <v>102</v>
      </c>
      <c r="G1" s="77" t="s">
        <v>103</v>
      </c>
      <c r="H1" s="77" t="s">
        <v>104</v>
      </c>
      <c r="I1" s="77" t="s">
        <v>105</v>
      </c>
      <c r="J1" s="78" t="s">
        <v>106</v>
      </c>
      <c r="K1" s="78" t="s">
        <v>107</v>
      </c>
      <c r="L1" s="79" t="s">
        <v>108</v>
      </c>
      <c r="M1" s="78" t="s">
        <v>109</v>
      </c>
      <c r="N1" s="78" t="s">
        <v>110</v>
      </c>
      <c r="O1" s="79" t="s">
        <v>111</v>
      </c>
      <c r="P1" s="80"/>
      <c r="Q1" s="80"/>
      <c r="R1" s="81"/>
      <c r="S1" s="80"/>
      <c r="T1" s="80"/>
      <c r="U1" s="81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</row>
    <row r="2" customFormat="false" ht="15.75" hidden="false" customHeight="true" outlineLevel="0" collapsed="false">
      <c r="A2" s="82" t="s">
        <v>112</v>
      </c>
      <c r="B2" s="83" t="n">
        <v>1117</v>
      </c>
      <c r="C2" s="84" t="n">
        <f aca="false">(+D2/$D$19*$C$19)+43259+0.4</f>
        <v>335373.481555192</v>
      </c>
      <c r="D2" s="84" t="n">
        <f aca="false">814848-60000-96000</f>
        <v>658848</v>
      </c>
      <c r="E2" s="84" t="n">
        <f aca="false">+B2/$B$20*$E$19</f>
        <v>42492.1025943396</v>
      </c>
      <c r="F2" s="84" t="n">
        <f aca="false">+[2]Sheet2!H2*$F$23</f>
        <v>237577.583048694</v>
      </c>
      <c r="G2" s="84" t="n">
        <f aca="false">+[2]Sheet2!E2*$G$23</f>
        <v>383101.596059113</v>
      </c>
      <c r="H2" s="84" t="n">
        <f aca="false">+[2]Sheet2!B2*$H$19</f>
        <v>524454.646958175</v>
      </c>
      <c r="I2" s="84" t="n">
        <f aca="false">55189-0.4</f>
        <v>55188.6</v>
      </c>
      <c r="J2" s="85" t="n">
        <f aca="false">(+B2/($B$17)*$J$21)</f>
        <v>97007.0989022701</v>
      </c>
      <c r="K2" s="85" t="n">
        <f aca="false">+B2/$B$19*$K$19</f>
        <v>113920.0783416</v>
      </c>
      <c r="L2" s="86" t="n">
        <f aca="false">SUM(C2:K2)</f>
        <v>2447963.18745938</v>
      </c>
      <c r="M2" s="85" t="n">
        <v>4329</v>
      </c>
      <c r="N2" s="85" t="n">
        <v>320666</v>
      </c>
      <c r="O2" s="86" t="n">
        <f aca="false">SUM(L2:N2)</f>
        <v>2772958.18745938</v>
      </c>
      <c r="P2" s="11"/>
    </row>
    <row r="3" customFormat="false" ht="15.75" hidden="false" customHeight="true" outlineLevel="0" collapsed="false">
      <c r="A3" s="82" t="s">
        <v>49</v>
      </c>
      <c r="B3" s="83" t="n">
        <v>0</v>
      </c>
      <c r="C3" s="84" t="n">
        <v>0</v>
      </c>
      <c r="D3" s="84" t="n">
        <v>96000</v>
      </c>
      <c r="E3" s="84" t="n">
        <v>0</v>
      </c>
      <c r="F3" s="84" t="n">
        <v>0</v>
      </c>
      <c r="G3" s="84" t="n">
        <v>0</v>
      </c>
      <c r="H3" s="84" t="n">
        <v>0</v>
      </c>
      <c r="I3" s="84" t="n">
        <v>0</v>
      </c>
      <c r="J3" s="85" t="n">
        <f aca="false">(+B3/($B$17)*$J$21)</f>
        <v>0</v>
      </c>
      <c r="K3" s="85" t="n">
        <v>0</v>
      </c>
      <c r="L3" s="86" t="n">
        <f aca="false">SUM(C3:K3)</f>
        <v>96000</v>
      </c>
      <c r="M3" s="85" t="n">
        <v>170</v>
      </c>
      <c r="N3" s="85" t="n">
        <v>12575</v>
      </c>
      <c r="O3" s="86" t="n">
        <f aca="false">SUM(L3:N3)</f>
        <v>108745</v>
      </c>
      <c r="P3" s="11"/>
    </row>
    <row r="4" customFormat="false" ht="15.75" hidden="false" customHeight="true" outlineLevel="0" collapsed="false">
      <c r="A4" s="87" t="s">
        <v>55</v>
      </c>
      <c r="B4" s="83" t="n">
        <v>0</v>
      </c>
      <c r="C4" s="84" t="n">
        <v>0</v>
      </c>
      <c r="D4" s="84" t="n">
        <v>60000</v>
      </c>
      <c r="E4" s="84" t="n">
        <v>0</v>
      </c>
      <c r="F4" s="84" t="n">
        <v>0</v>
      </c>
      <c r="G4" s="84" t="n">
        <v>0</v>
      </c>
      <c r="H4" s="84" t="n">
        <v>0</v>
      </c>
      <c r="I4" s="84" t="n">
        <v>0</v>
      </c>
      <c r="J4" s="85" t="n">
        <f aca="false">(+B4/($B$17)*$J$21)</f>
        <v>0</v>
      </c>
      <c r="K4" s="85" t="n">
        <v>0</v>
      </c>
      <c r="L4" s="86" t="n">
        <f aca="false">SUM(C4:K4)</f>
        <v>60000</v>
      </c>
      <c r="M4" s="85" t="n">
        <v>106</v>
      </c>
      <c r="N4" s="85" t="n">
        <v>7860</v>
      </c>
      <c r="O4" s="86" t="n">
        <f aca="false">SUM(L4:N4)</f>
        <v>67966</v>
      </c>
      <c r="P4" s="11"/>
    </row>
    <row r="5" customFormat="false" ht="15.75" hidden="false" customHeight="true" outlineLevel="0" collapsed="false">
      <c r="A5" s="82" t="s">
        <v>50</v>
      </c>
      <c r="B5" s="83" t="n">
        <v>417</v>
      </c>
      <c r="C5" s="84" t="n">
        <f aca="false">180900+0.4</f>
        <v>180900.4</v>
      </c>
      <c r="D5" s="84" t="n">
        <v>407166</v>
      </c>
      <c r="E5" s="84" t="n">
        <f aca="false">+B5/$B$20*$E$19</f>
        <v>15863.2110849057</v>
      </c>
      <c r="F5" s="84" t="n">
        <f aca="false">+[2]Sheet2!H3*$F$23</f>
        <v>246398.95999743</v>
      </c>
      <c r="G5" s="84" t="n">
        <f aca="false">+[2]Sheet2!E3*$G$23</f>
        <v>133252.729064039</v>
      </c>
      <c r="H5" s="84" t="n">
        <f aca="false">+[2]Sheet2!B3*$H$19</f>
        <v>195790.141254753</v>
      </c>
      <c r="I5" s="84" t="n">
        <f aca="false">55189-0.4</f>
        <v>55188.6</v>
      </c>
      <c r="J5" s="85" t="n">
        <f aca="false">(+B5/($B$17)*$J$21)</f>
        <v>36214.8256421187</v>
      </c>
      <c r="K5" s="85" t="n">
        <f aca="false">+B5/$B$19*$K$19</f>
        <v>42528.8027470431</v>
      </c>
      <c r="L5" s="86" t="n">
        <f aca="false">SUM(C5:K5)</f>
        <v>1313303.66979029</v>
      </c>
      <c r="M5" s="85" t="n">
        <v>2323</v>
      </c>
      <c r="N5" s="85" t="n">
        <v>172034</v>
      </c>
      <c r="O5" s="86" t="n">
        <f aca="false">SUM(L5:N5)</f>
        <v>1487660.66979029</v>
      </c>
      <c r="P5" s="11"/>
    </row>
    <row r="6" customFormat="false" ht="15.75" hidden="false" customHeight="true" outlineLevel="0" collapsed="false">
      <c r="A6" s="82" t="s">
        <v>52</v>
      </c>
      <c r="B6" s="83" t="n">
        <v>274</v>
      </c>
      <c r="C6" s="84" t="n">
        <v>130607</v>
      </c>
      <c r="D6" s="84" t="n">
        <v>293966</v>
      </c>
      <c r="E6" s="84" t="n">
        <f aca="false">+B6/$B$20*$E$19</f>
        <v>10423.3089622642</v>
      </c>
      <c r="F6" s="84" t="n">
        <f aca="false">+[2]Sheet2!H4*$F$23</f>
        <v>119907.275735955</v>
      </c>
      <c r="G6" s="84" t="n">
        <f aca="false">+[2]Sheet2!E4*$G$23</f>
        <v>66626.3645320197</v>
      </c>
      <c r="H6" s="84" t="n">
        <f aca="false">+[2]Sheet2!B4*$H$19</f>
        <v>85765.7852978454</v>
      </c>
      <c r="I6" s="84" t="n">
        <v>55189</v>
      </c>
      <c r="J6" s="85" t="n">
        <f aca="false">(+B6/($B$17)*$J$21)</f>
        <v>23795.8326761164</v>
      </c>
      <c r="K6" s="85" t="n">
        <f aca="false">+B6/$B$19*$K$19</f>
        <v>27944.5850184408</v>
      </c>
      <c r="L6" s="86" t="n">
        <f aca="false">SUM(C6:K6)</f>
        <v>814225.152222642</v>
      </c>
      <c r="M6" s="85" t="n">
        <v>1440</v>
      </c>
      <c r="N6" s="85" t="n">
        <v>106658</v>
      </c>
      <c r="O6" s="86" t="n">
        <f aca="false">SUM(L6:N6)</f>
        <v>922323.152222642</v>
      </c>
      <c r="P6" s="11"/>
    </row>
    <row r="7" customFormat="false" ht="15.75" hidden="false" customHeight="true" outlineLevel="0" collapsed="false">
      <c r="A7" s="82" t="s">
        <v>54</v>
      </c>
      <c r="B7" s="83" t="n">
        <v>270</v>
      </c>
      <c r="C7" s="84" t="n">
        <v>70778</v>
      </c>
      <c r="D7" s="84" t="n">
        <v>159306</v>
      </c>
      <c r="E7" s="84" t="n">
        <f aca="false">+B7/$B$20*$E$19</f>
        <v>10271.1438679245</v>
      </c>
      <c r="F7" s="84" t="n">
        <f aca="false">+[2]Sheet2!H5*$F$23</f>
        <v>218786.23871451</v>
      </c>
      <c r="G7" s="84" t="n">
        <f aca="false">+[2]Sheet2!E5*$G$23</f>
        <v>49969.7733990148</v>
      </c>
      <c r="H7" s="84" t="n">
        <f aca="false">+[2]Sheet2!B5*$H$19</f>
        <v>84513.7300380228</v>
      </c>
      <c r="I7" s="84" t="n">
        <v>55189</v>
      </c>
      <c r="J7" s="85" t="n">
        <f aca="false">(+B7/($B$17)*$J$21)</f>
        <v>23448.4482574869</v>
      </c>
      <c r="K7" s="85" t="n">
        <f aca="false">+B7/$B$19*$K$19</f>
        <v>27536.6348721862</v>
      </c>
      <c r="L7" s="86" t="n">
        <f aca="false">SUM(C7:K7)</f>
        <v>699798.969149145</v>
      </c>
      <c r="M7" s="85" t="n">
        <v>1238</v>
      </c>
      <c r="N7" s="85" t="n">
        <v>91669</v>
      </c>
      <c r="O7" s="86" t="n">
        <f aca="false">SUM(L7:N7)</f>
        <v>792705.969149145</v>
      </c>
      <c r="P7" s="11"/>
    </row>
    <row r="8" customFormat="false" ht="15.75" hidden="false" customHeight="true" outlineLevel="0" collapsed="false">
      <c r="A8" s="82" t="s">
        <v>53</v>
      </c>
      <c r="B8" s="83" t="n">
        <v>2610</v>
      </c>
      <c r="C8" s="84" t="n">
        <v>618209</v>
      </c>
      <c r="D8" s="84" t="n">
        <v>1397692</v>
      </c>
      <c r="E8" s="84" t="n">
        <f aca="false">+B8/$B$20*$E$19</f>
        <v>99287.7240566038</v>
      </c>
      <c r="F8" s="84" t="n">
        <f aca="false">+[2]Sheet2!H6*$F$23</f>
        <v>1189163.00242431</v>
      </c>
      <c r="G8" s="84" t="n">
        <f aca="false">+[2]Sheet2!E6*$G$23</f>
        <v>516354.325123153</v>
      </c>
      <c r="H8" s="84" t="n">
        <f aca="false">+[2]Sheet2!B6*$H$19</f>
        <v>612724.542775665</v>
      </c>
      <c r="I8" s="84" t="n">
        <v>55189</v>
      </c>
      <c r="J8" s="85" t="n">
        <f aca="false">(+B8/($B$17)*$J$21)</f>
        <v>226668.333155707</v>
      </c>
      <c r="K8" s="85" t="n">
        <f aca="false">+B8/$B$19*$K$19</f>
        <v>266187.470431133</v>
      </c>
      <c r="L8" s="86" t="n">
        <f aca="false">SUM(C8:K8)</f>
        <v>4981475.39796657</v>
      </c>
      <c r="M8" s="85" t="n">
        <v>8810</v>
      </c>
      <c r="N8" s="85" t="n">
        <v>652539</v>
      </c>
      <c r="O8" s="86" t="n">
        <f aca="false">SUM(L8:N8)</f>
        <v>5642824.39796657</v>
      </c>
      <c r="P8" s="11"/>
    </row>
    <row r="9" customFormat="false" ht="15.75" hidden="false" customHeight="true" outlineLevel="0" collapsed="false">
      <c r="A9" s="82" t="s">
        <v>47</v>
      </c>
      <c r="B9" s="83" t="n">
        <v>400</v>
      </c>
      <c r="C9" s="84" t="n">
        <v>0</v>
      </c>
      <c r="D9" s="84" t="n">
        <v>765587</v>
      </c>
      <c r="E9" s="84" t="n">
        <f aca="false">+B9/$B$20*$E$19</f>
        <v>15216.5094339623</v>
      </c>
      <c r="F9" s="84" t="n">
        <f aca="false">+[2]Sheet2!H7*$F$23</f>
        <v>116598.120909482</v>
      </c>
      <c r="G9" s="84" t="n">
        <f aca="false">+[2]Sheet2!E7*$G$23</f>
        <v>124924.433497537</v>
      </c>
      <c r="H9" s="84" t="n">
        <f aca="false">+[2]Sheet2!B7*$H$19</f>
        <v>46952.072243346</v>
      </c>
      <c r="I9" s="84" t="n">
        <v>55189</v>
      </c>
      <c r="J9" s="85" t="n">
        <f aca="false">(+B9/($B$17)*$J$21)</f>
        <v>34738.4418629436</v>
      </c>
      <c r="K9" s="85" t="n">
        <f aca="false">+B9/$B$19*$K$19-0.5</f>
        <v>40794.514625461</v>
      </c>
      <c r="L9" s="86" t="n">
        <f aca="false">SUM(C9:K9)</f>
        <v>1200000.09257273</v>
      </c>
      <c r="M9" s="85" t="n">
        <v>0</v>
      </c>
      <c r="N9" s="85" t="n">
        <v>0</v>
      </c>
      <c r="O9" s="86" t="n">
        <f aca="false">SUM(L9:N9)</f>
        <v>1200000.09257273</v>
      </c>
      <c r="P9" s="11"/>
    </row>
    <row r="10" customFormat="false" ht="15.75" hidden="false" customHeight="true" outlineLevel="0" collapsed="false">
      <c r="A10" s="82" t="s">
        <v>113</v>
      </c>
      <c r="B10" s="83" t="n">
        <v>1375</v>
      </c>
      <c r="C10" s="84" t="n">
        <v>0</v>
      </c>
      <c r="D10" s="84" t="n">
        <v>2342961</v>
      </c>
      <c r="E10" s="84" t="n">
        <v>0</v>
      </c>
      <c r="F10" s="84" t="n">
        <f aca="false">+[2]Sheet2!H8*$F$23</f>
        <v>803371.714211926</v>
      </c>
      <c r="G10" s="84" t="n">
        <f aca="false">+[2]Sheet2!E8*$G$23</f>
        <v>416414.778325123</v>
      </c>
      <c r="H10" s="84" t="n">
        <f aca="false">+[2]Sheet2!B8*$H$19</f>
        <v>645590.993346008</v>
      </c>
      <c r="I10" s="84" t="n">
        <v>55189</v>
      </c>
      <c r="J10" s="85" t="n">
        <f aca="false">(+B10/($B$17)*$J$21)</f>
        <v>119413.393903869</v>
      </c>
      <c r="K10" s="85" t="n">
        <f aca="false">+B10/$B$19*$K$19</f>
        <v>140232.862775022</v>
      </c>
      <c r="L10" s="86" t="n">
        <f aca="false">SUM(C10:K10)</f>
        <v>4523173.74256195</v>
      </c>
      <c r="M10" s="85" t="n">
        <v>8000</v>
      </c>
      <c r="N10" s="85" t="n">
        <v>592505</v>
      </c>
      <c r="O10" s="86" t="n">
        <f aca="false">SUM(L10:N10)</f>
        <v>5123678.74256195</v>
      </c>
      <c r="P10" s="11"/>
    </row>
    <row r="11" customFormat="false" ht="15.75" hidden="false" customHeight="true" outlineLevel="0" collapsed="false">
      <c r="A11" s="82" t="s">
        <v>114</v>
      </c>
      <c r="B11" s="83" t="n">
        <v>1400</v>
      </c>
      <c r="C11" s="84" t="n">
        <v>0</v>
      </c>
      <c r="D11" s="84" t="n">
        <f aca="false">688135-145675</f>
        <v>542460</v>
      </c>
      <c r="E11" s="84" t="n">
        <v>0</v>
      </c>
      <c r="F11" s="84" t="n">
        <f aca="false">+[2]Sheet2!H10*$F$23</f>
        <v>383198.104957694</v>
      </c>
      <c r="G11" s="84" t="n">
        <f aca="false">+[2]Sheet2!E9*$G$21</f>
        <v>0</v>
      </c>
      <c r="H11" s="84" t="n">
        <f aca="false">+[2]Sheet2!B10*$H$19</f>
        <v>273887.088086185</v>
      </c>
      <c r="I11" s="84" t="n">
        <v>0</v>
      </c>
      <c r="J11" s="85" t="n">
        <f aca="false">(+B11/($B$17)*$J$21)</f>
        <v>121584.546520303</v>
      </c>
      <c r="K11" s="85" t="n">
        <f aca="false">+B11/$B$19*$K$19</f>
        <v>142782.551189114</v>
      </c>
      <c r="L11" s="86" t="n">
        <f aca="false">SUM(C11:K11)</f>
        <v>1463912.2907533</v>
      </c>
      <c r="M11" s="85" t="n">
        <v>2589</v>
      </c>
      <c r="N11" s="85" t="n">
        <v>191762</v>
      </c>
      <c r="O11" s="86" t="n">
        <f aca="false">SUM(L11:N11)</f>
        <v>1658263.2907533</v>
      </c>
      <c r="P11" s="11"/>
    </row>
    <row r="12" customFormat="false" ht="15.75" hidden="false" customHeight="true" outlineLevel="0" collapsed="false">
      <c r="A12" s="87" t="s">
        <v>115</v>
      </c>
      <c r="B12" s="83" t="n">
        <v>0</v>
      </c>
      <c r="C12" s="84" t="n">
        <v>0</v>
      </c>
      <c r="D12" s="84" t="n">
        <v>145675</v>
      </c>
      <c r="E12" s="84" t="n">
        <v>0</v>
      </c>
      <c r="F12" s="84" t="n">
        <v>0</v>
      </c>
      <c r="G12" s="84" t="n">
        <v>0</v>
      </c>
      <c r="H12" s="84" t="n">
        <v>0</v>
      </c>
      <c r="I12" s="84" t="n">
        <v>0</v>
      </c>
      <c r="J12" s="85" t="n">
        <f aca="false">(+B12/($B$17)*$J$21)</f>
        <v>0</v>
      </c>
      <c r="K12" s="85" t="n">
        <v>0</v>
      </c>
      <c r="L12" s="86" t="n">
        <f aca="false">SUM(C12:K12)</f>
        <v>145675</v>
      </c>
      <c r="M12" s="85" t="n">
        <v>258</v>
      </c>
      <c r="N12" s="85" t="n">
        <v>19082</v>
      </c>
      <c r="O12" s="86" t="n">
        <f aca="false">SUM(L12:N12)</f>
        <v>165015</v>
      </c>
      <c r="P12" s="11"/>
    </row>
    <row r="13" customFormat="false" ht="15.75" hidden="false" customHeight="true" outlineLevel="0" collapsed="false">
      <c r="A13" s="82" t="s">
        <v>116</v>
      </c>
      <c r="B13" s="83" t="n">
        <v>0</v>
      </c>
      <c r="C13" s="84" t="n">
        <v>0</v>
      </c>
      <c r="D13" s="84" t="n">
        <v>0</v>
      </c>
      <c r="E13" s="84" t="n">
        <v>0</v>
      </c>
      <c r="F13" s="84" t="n">
        <v>0</v>
      </c>
      <c r="G13" s="88" t="n">
        <v>140000</v>
      </c>
      <c r="H13" s="84" t="n">
        <v>0</v>
      </c>
      <c r="I13" s="84" t="n">
        <v>0</v>
      </c>
      <c r="J13" s="85" t="n">
        <f aca="false">(+B13/($B$17)*$J$21)</f>
        <v>0</v>
      </c>
      <c r="K13" s="85" t="n">
        <v>0</v>
      </c>
      <c r="L13" s="86" t="n">
        <f aca="false">SUM(C13:K13)</f>
        <v>140000</v>
      </c>
      <c r="M13" s="85" t="n">
        <v>248</v>
      </c>
      <c r="N13" s="85" t="n">
        <v>18339</v>
      </c>
      <c r="O13" s="86" t="n">
        <f aca="false">SUM(L13:N13)</f>
        <v>158587</v>
      </c>
      <c r="P13" s="11"/>
    </row>
    <row r="14" customFormat="false" ht="15.75" hidden="false" customHeight="true" outlineLevel="0" collapsed="false">
      <c r="A14" s="82" t="s">
        <v>117</v>
      </c>
      <c r="B14" s="83" t="n">
        <v>170</v>
      </c>
      <c r="C14" s="84" t="n">
        <v>0</v>
      </c>
      <c r="D14" s="84" t="n">
        <v>0</v>
      </c>
      <c r="E14" s="84" t="n">
        <v>0</v>
      </c>
      <c r="F14" s="84" t="n">
        <f aca="false">+[2]Sheet2!H11*$F$23</f>
        <v>0</v>
      </c>
      <c r="G14" s="84" t="n">
        <v>0</v>
      </c>
      <c r="H14" s="84" t="n">
        <f aca="false">+[2]Sheet2!B11*$H$19</f>
        <v>0</v>
      </c>
      <c r="I14" s="84" t="n">
        <v>0</v>
      </c>
      <c r="J14" s="85" t="n">
        <f aca="false">(+B14/($B$17)*$J$21)</f>
        <v>14763.837791751</v>
      </c>
      <c r="K14" s="84" t="n">
        <v>0</v>
      </c>
      <c r="L14" s="86" t="n">
        <f aca="false">SUM(C14:K14)</f>
        <v>14763.837791751</v>
      </c>
      <c r="M14" s="84" t="n">
        <v>26</v>
      </c>
      <c r="N14" s="85" t="n">
        <v>1934</v>
      </c>
      <c r="O14" s="86" t="n">
        <f aca="false">SUM(L14:N14)</f>
        <v>16723.837791751</v>
      </c>
      <c r="P14" s="11"/>
    </row>
    <row r="15" customFormat="false" ht="15.75" hidden="false" customHeight="true" outlineLevel="0" collapsed="false">
      <c r="A15" s="82" t="s">
        <v>118</v>
      </c>
      <c r="B15" s="83" t="n">
        <v>1350</v>
      </c>
      <c r="C15" s="84" t="n">
        <v>0</v>
      </c>
      <c r="D15" s="84" t="n">
        <v>0</v>
      </c>
      <c r="E15" s="84" t="n">
        <v>0</v>
      </c>
      <c r="F15" s="84" t="n">
        <v>0</v>
      </c>
      <c r="G15" s="84" t="n">
        <v>0</v>
      </c>
      <c r="H15" s="84" t="n">
        <f aca="false">+[2]Sheet2!B12*$H$19</f>
        <v>0</v>
      </c>
      <c r="I15" s="84" t="n">
        <v>55189</v>
      </c>
      <c r="J15" s="85" t="n">
        <f aca="false">(+B15/($B$17)*$J$21)</f>
        <v>117242.241287435</v>
      </c>
      <c r="K15" s="85" t="n">
        <v>0</v>
      </c>
      <c r="L15" s="86" t="n">
        <f aca="false">SUM(C15:K15)</f>
        <v>172431.241287435</v>
      </c>
      <c r="M15" s="85" t="n">
        <v>305</v>
      </c>
      <c r="N15" s="85" t="n">
        <v>22587</v>
      </c>
      <c r="O15" s="86" t="n">
        <f aca="false">SUM(L15:N15)</f>
        <v>195323.241287435</v>
      </c>
      <c r="P15" s="11"/>
    </row>
    <row r="16" customFormat="false" ht="15.75" hidden="false" customHeight="true" outlineLevel="0" collapsed="false">
      <c r="A16" s="89" t="s">
        <v>119</v>
      </c>
      <c r="B16" s="90" t="n">
        <v>0</v>
      </c>
      <c r="C16" s="84" t="n">
        <v>0</v>
      </c>
      <c r="D16" s="84" t="n">
        <v>0</v>
      </c>
      <c r="E16" s="84" t="n">
        <v>0</v>
      </c>
      <c r="F16" s="84" t="n">
        <f aca="false">+[2]Sheet2!H13*$F$23</f>
        <v>0</v>
      </c>
      <c r="G16" s="84" t="n">
        <v>0</v>
      </c>
      <c r="H16" s="84" t="n">
        <f aca="false">+[2]Sheet2!B13*$H$19</f>
        <v>0</v>
      </c>
      <c r="I16" s="91" t="n">
        <v>0</v>
      </c>
      <c r="J16" s="85" t="n">
        <v>90000</v>
      </c>
      <c r="K16" s="84" t="n">
        <v>0</v>
      </c>
      <c r="L16" s="86" t="n">
        <f aca="false">SUM(C16:K16)</f>
        <v>90000</v>
      </c>
      <c r="M16" s="84" t="n">
        <v>158</v>
      </c>
      <c r="N16" s="85" t="n">
        <v>11790</v>
      </c>
      <c r="O16" s="86" t="n">
        <f aca="false">SUM(L16:N16)</f>
        <v>101948</v>
      </c>
      <c r="P16" s="11"/>
    </row>
    <row r="17" customFormat="false" ht="24" hidden="false" customHeight="true" outlineLevel="0" collapsed="false">
      <c r="A17" s="92" t="s">
        <v>120</v>
      </c>
      <c r="B17" s="93" t="n">
        <f aca="false">SUM(B2:B16)</f>
        <v>9383</v>
      </c>
      <c r="C17" s="94" t="n">
        <f aca="false">SUM(C2:C11)</f>
        <v>1335867.88155519</v>
      </c>
      <c r="D17" s="94" t="n">
        <f aca="false">SUM(D2:D16)</f>
        <v>6869661</v>
      </c>
      <c r="E17" s="94" t="n">
        <f aca="false">SUM(E2:E11)</f>
        <v>193554</v>
      </c>
      <c r="F17" s="94" t="n">
        <f aca="false">SUM(F2:F11)</f>
        <v>3315001</v>
      </c>
      <c r="G17" s="94" t="n">
        <f aca="false">SUM(G2:G16)</f>
        <v>1830644</v>
      </c>
      <c r="H17" s="94" t="n">
        <f aca="false">SUM(H2:H16)</f>
        <v>2469679</v>
      </c>
      <c r="I17" s="94" t="n">
        <f aca="false">SUM(I2:I16)</f>
        <v>441511.2</v>
      </c>
      <c r="J17" s="95" t="n">
        <f aca="false">SUM(J2:J16)</f>
        <v>904877</v>
      </c>
      <c r="K17" s="95" t="n">
        <f aca="false">SUM(K2:K11)</f>
        <v>801927.5</v>
      </c>
      <c r="L17" s="96" t="n">
        <f aca="false">SUM(L2:L16)</f>
        <v>18162722.5815552</v>
      </c>
      <c r="M17" s="95" t="n">
        <f aca="false">SUM(M2:M16)</f>
        <v>30000</v>
      </c>
      <c r="N17" s="95" t="n">
        <f aca="false">SUM(N2:N16)</f>
        <v>2222000</v>
      </c>
      <c r="O17" s="96" t="n">
        <f aca="false">SUM(O2:O16)</f>
        <v>20414722.5815552</v>
      </c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  <c r="IW17" s="97"/>
    </row>
    <row r="18" customFormat="false" ht="15.75" hidden="false" customHeight="true" outlineLevel="0" collapsed="false">
      <c r="F18" s="98"/>
      <c r="K18" s="98"/>
      <c r="L18" s="99" t="n">
        <f aca="false">+L26</f>
        <v>2800000</v>
      </c>
      <c r="M18" s="75" t="s">
        <v>121</v>
      </c>
    </row>
    <row r="19" customFormat="false" ht="15.75" hidden="false" customHeight="true" outlineLevel="0" collapsed="false">
      <c r="A19" s="74" t="s">
        <v>122</v>
      </c>
      <c r="B19" s="100" t="n">
        <f aca="false">SUM(B2:B11)</f>
        <v>7863</v>
      </c>
      <c r="C19" s="98" t="n">
        <v>1335867</v>
      </c>
      <c r="D19" s="75" t="n">
        <f aca="false">SUM(D2:D8)-60000</f>
        <v>3012978</v>
      </c>
      <c r="E19" s="98" t="n">
        <v>193554</v>
      </c>
      <c r="F19" s="75" t="n">
        <v>2668213</v>
      </c>
      <c r="G19" s="75" t="n">
        <v>1592794</v>
      </c>
      <c r="H19" s="98" t="n">
        <v>2469679</v>
      </c>
      <c r="I19" s="98" t="n">
        <v>391552</v>
      </c>
      <c r="J19" s="98" t="n">
        <f aca="false">904877</f>
        <v>904877</v>
      </c>
      <c r="K19" s="98" t="n">
        <v>801928</v>
      </c>
      <c r="L19" s="98" t="n">
        <f aca="false">L17+L18</f>
        <v>20962722.5815552</v>
      </c>
    </row>
    <row r="20" customFormat="false" ht="15.75" hidden="false" customHeight="true" outlineLevel="0" collapsed="false">
      <c r="A20" s="74" t="s">
        <v>48</v>
      </c>
      <c r="B20" s="100" t="n">
        <f aca="false">SUM(B2:B9)</f>
        <v>5088</v>
      </c>
      <c r="F20" s="75" t="n">
        <v>31932</v>
      </c>
      <c r="G20" s="101" t="n">
        <v>237850</v>
      </c>
      <c r="J20" s="102" t="n">
        <v>-90000</v>
      </c>
    </row>
    <row r="21" customFormat="false" ht="15.75" hidden="false" customHeight="true" outlineLevel="0" collapsed="false">
      <c r="A21" s="74" t="s">
        <v>123</v>
      </c>
      <c r="F21" s="75" t="n">
        <v>352833</v>
      </c>
      <c r="G21" s="98" t="n">
        <f aca="false">SUM(G19:G20)</f>
        <v>1830644</v>
      </c>
      <c r="J21" s="75" t="n">
        <f aca="false">SUM(J19:J20)</f>
        <v>814877</v>
      </c>
      <c r="L21" s="98"/>
    </row>
    <row r="22" customFormat="false" ht="15.75" hidden="false" customHeight="true" outlineLevel="0" collapsed="false">
      <c r="F22" s="101" t="n">
        <v>262023</v>
      </c>
      <c r="G22" s="101" t="n">
        <f aca="false">-G13</f>
        <v>-140000</v>
      </c>
    </row>
    <row r="23" customFormat="false" ht="15.75" hidden="false" customHeight="true" outlineLevel="0" collapsed="false">
      <c r="F23" s="98" t="n">
        <f aca="false">SUM(F19:F22)</f>
        <v>3315001</v>
      </c>
      <c r="G23" s="75" t="n">
        <f aca="false">SUM(G21:G22)</f>
        <v>1690644</v>
      </c>
    </row>
    <row r="24" customFormat="false" ht="15.75" hidden="false" customHeight="true" outlineLevel="0" collapsed="false"/>
    <row r="25" customFormat="false" ht="15.75" hidden="false" customHeight="true" outlineLevel="0" collapsed="false">
      <c r="A25" s="2"/>
    </row>
    <row r="26" customFormat="false" ht="15.75" hidden="false" customHeight="true" outlineLevel="0" collapsed="false">
      <c r="A26" s="103" t="s">
        <v>124</v>
      </c>
      <c r="B26" s="104" t="n">
        <v>1350</v>
      </c>
      <c r="C26" s="105" t="n">
        <v>343063</v>
      </c>
      <c r="D26" s="106" t="n">
        <v>1671548</v>
      </c>
      <c r="E26" s="106" t="n">
        <v>0</v>
      </c>
      <c r="F26" s="106" t="n">
        <v>0</v>
      </c>
      <c r="G26" s="106" t="n">
        <v>486268</v>
      </c>
      <c r="H26" s="106" t="n">
        <v>299121</v>
      </c>
      <c r="I26" s="106" t="n">
        <v>0</v>
      </c>
      <c r="J26" s="106" t="n">
        <f aca="false">+[2]Sheet2!D23*$H$19</f>
        <v>0</v>
      </c>
      <c r="K26" s="107" t="n">
        <v>0</v>
      </c>
      <c r="L26" s="108" t="n">
        <f aca="false">SUM(C26:K26)</f>
        <v>2800000</v>
      </c>
      <c r="M26" s="0"/>
      <c r="N26" s="0"/>
      <c r="O26" s="0"/>
    </row>
    <row r="27" customFormat="false" ht="15.75" hidden="false" customHeight="true" outlineLevel="0" collapsed="false">
      <c r="A27" s="2"/>
    </row>
    <row r="28" customFormat="false" ht="15.75" hidden="false" customHeight="true" outlineLevel="0" collapsed="false">
      <c r="A28" s="2"/>
    </row>
    <row r="29" customFormat="false" ht="15.75" hidden="false" customHeight="true" outlineLevel="0" collapsed="false">
      <c r="A29" s="2"/>
    </row>
    <row r="30" customFormat="false" ht="15.75" hidden="false" customHeight="true" outlineLevel="0" collapsed="false"/>
    <row r="31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8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K20" activeCellId="0" sqref="K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.56"/>
    <col collapsed="false" customWidth="true" hidden="false" outlineLevel="0" max="3" min="3" style="0" width="12.56"/>
    <col collapsed="false" customWidth="true" hidden="false" outlineLevel="0" max="4" min="4" style="0" width="1.56"/>
    <col collapsed="false" customWidth="true" hidden="false" outlineLevel="0" max="5" min="5" style="0" width="9.28"/>
    <col collapsed="false" customWidth="true" hidden="false" outlineLevel="0" max="6" min="6" style="0" width="1.56"/>
    <col collapsed="false" customWidth="true" hidden="false" outlineLevel="0" max="7" min="7" style="0" width="5.71"/>
    <col collapsed="false" customWidth="true" hidden="false" outlineLevel="0" max="8" min="8" style="0" width="1.56"/>
    <col collapsed="false" customWidth="true" hidden="false" outlineLevel="0" max="9" min="9" style="0" width="11.85"/>
    <col collapsed="false" customWidth="true" hidden="false" outlineLevel="0" max="10" min="10" style="0" width="1.56"/>
    <col collapsed="false" customWidth="true" hidden="false" outlineLevel="0" max="12" min="12" style="0" width="1.56"/>
    <col collapsed="false" customWidth="true" hidden="false" outlineLevel="0" max="13" min="13" style="0" width="6.56"/>
    <col collapsed="false" customWidth="true" hidden="false" outlineLevel="0" max="14" min="14" style="0" width="1.85"/>
  </cols>
  <sheetData>
    <row r="1" customFormat="false" ht="15.75" hidden="false" customHeight="false" outlineLevel="0" collapsed="false">
      <c r="A1" s="1" t="s">
        <v>125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4" customFormat="false" ht="12.75" hidden="false" customHeight="false" outlineLevel="0" collapsed="false">
      <c r="C4" s="4" t="s">
        <v>2</v>
      </c>
      <c r="D4" s="4"/>
      <c r="E4" s="4"/>
      <c r="F4" s="4"/>
      <c r="G4" s="4"/>
      <c r="I4" s="4" t="s">
        <v>3</v>
      </c>
      <c r="J4" s="4"/>
      <c r="K4" s="4"/>
      <c r="L4" s="4"/>
      <c r="M4" s="4"/>
    </row>
    <row r="5" customFormat="false" ht="12.75" hidden="false" customHeight="false" outlineLevel="0" collapsed="false">
      <c r="C5" s="4" t="s">
        <v>4</v>
      </c>
      <c r="D5" s="5"/>
      <c r="E5" s="4" t="s">
        <v>5</v>
      </c>
      <c r="F5" s="6"/>
      <c r="G5" s="6" t="s">
        <v>6</v>
      </c>
      <c r="I5" s="4" t="s">
        <v>4</v>
      </c>
      <c r="J5" s="5"/>
      <c r="K5" s="4" t="s">
        <v>5</v>
      </c>
      <c r="M5" s="5" t="s">
        <v>6</v>
      </c>
    </row>
    <row r="7" customFormat="false" ht="12.75" hidden="false" customHeight="false" outlineLevel="0" collapsed="false">
      <c r="A7" s="0" t="s">
        <v>22</v>
      </c>
      <c r="C7" s="7" t="n">
        <f aca="false">'[1]Legal Revised '!P56</f>
        <v>53359418.4285714</v>
      </c>
      <c r="E7" s="22" t="n">
        <v>1</v>
      </c>
      <c r="F7" s="9"/>
      <c r="G7" s="0" t="n">
        <v>133</v>
      </c>
      <c r="I7" s="7" t="n">
        <f aca="false">'[1]Legal Revised '!R56</f>
        <v>57269780</v>
      </c>
      <c r="K7" s="22" t="n">
        <v>1</v>
      </c>
      <c r="M7" s="0" t="n">
        <v>133</v>
      </c>
    </row>
    <row r="8" customFormat="false" ht="12.75" hidden="false" customHeight="false" outlineLevel="0" collapsed="false">
      <c r="A8" s="0" t="s">
        <v>126</v>
      </c>
      <c r="C8" s="7"/>
      <c r="E8" s="22"/>
      <c r="F8" s="9"/>
      <c r="G8" s="9"/>
      <c r="I8" s="7"/>
      <c r="K8" s="22"/>
    </row>
    <row r="9" customFormat="false" ht="12.75" hidden="false" customHeight="false" outlineLevel="0" collapsed="false">
      <c r="A9" s="0" t="s">
        <v>9</v>
      </c>
      <c r="C9" s="11" t="n">
        <f aca="false">2717692+2906040+216620</f>
        <v>5840352</v>
      </c>
      <c r="E9" s="22" t="n">
        <f aca="false">+C9/$C$7</f>
        <v>0.109453066993563</v>
      </c>
      <c r="F9" s="9"/>
      <c r="G9" s="10" t="n">
        <f aca="false">+G$7*E9</f>
        <v>14.5572579101439</v>
      </c>
      <c r="I9" s="11" t="n">
        <f aca="false">2540772+189392+4747871+477099</f>
        <v>7955134</v>
      </c>
      <c r="K9" s="22" t="n">
        <f aca="false">+I9/$I$7</f>
        <v>0.138906313242342</v>
      </c>
      <c r="M9" s="10" t="n">
        <f aca="false">+M$7*K9</f>
        <v>18.4745396612315</v>
      </c>
    </row>
    <row r="10" customFormat="false" ht="12.75" hidden="false" customHeight="false" outlineLevel="0" collapsed="false">
      <c r="A10" s="0" t="s">
        <v>127</v>
      </c>
      <c r="C10" s="11" t="n">
        <v>1210952</v>
      </c>
      <c r="E10" s="22" t="n">
        <f aca="false">+C10/$C$7</f>
        <v>0.0226942503434706</v>
      </c>
      <c r="F10" s="9"/>
      <c r="G10" s="10" t="n">
        <f aca="false">+G$7*E10</f>
        <v>3.01833529568159</v>
      </c>
      <c r="I10" s="11" t="n">
        <f aca="false">1058744+67743</f>
        <v>1126487</v>
      </c>
      <c r="K10" s="22" t="n">
        <f aca="false">+I10/$I$7</f>
        <v>0.0196698328507635</v>
      </c>
      <c r="M10" s="10" t="n">
        <f aca="false">+M$7*K10</f>
        <v>2.61608776915155</v>
      </c>
    </row>
    <row r="11" customFormat="false" ht="12.75" hidden="false" customHeight="false" outlineLevel="0" collapsed="false">
      <c r="A11" s="0" t="s">
        <v>128</v>
      </c>
      <c r="C11" s="11" t="n">
        <v>284052</v>
      </c>
      <c r="E11" s="22" t="n">
        <f aca="false">+C11/$C$7</f>
        <v>0.00532337136283149</v>
      </c>
      <c r="F11" s="9"/>
      <c r="G11" s="10" t="n">
        <f aca="false">+G$7*E11</f>
        <v>0.708008391256588</v>
      </c>
      <c r="I11" s="11" t="n">
        <f aca="false">248349+15890</f>
        <v>264239</v>
      </c>
      <c r="K11" s="22" t="n">
        <f aca="false">+I11/$I$7</f>
        <v>0.00461393425991858</v>
      </c>
      <c r="M11" s="10" t="n">
        <f aca="false">+M$7*K11</f>
        <v>0.613653256569171</v>
      </c>
    </row>
    <row r="12" customFormat="false" ht="12.75" hidden="false" customHeight="false" outlineLevel="0" collapsed="false">
      <c r="A12" s="0" t="s">
        <v>129</v>
      </c>
      <c r="C12" s="11" t="n">
        <v>8221</v>
      </c>
      <c r="E12" s="22" t="n">
        <f aca="false">+C12/$C$7</f>
        <v>0.000154068395835402</v>
      </c>
      <c r="F12" s="9"/>
      <c r="G12" s="10" t="n">
        <f aca="false">+G$7*E12</f>
        <v>0.0204910966461085</v>
      </c>
      <c r="I12" s="11" t="n">
        <v>0</v>
      </c>
      <c r="K12" s="22" t="n">
        <f aca="false">+I12/$I$7</f>
        <v>0</v>
      </c>
      <c r="M12" s="10" t="n">
        <f aca="false">+M$7*K12</f>
        <v>0</v>
      </c>
    </row>
    <row r="13" customFormat="false" ht="12.75" hidden="false" customHeight="false" outlineLevel="0" collapsed="false">
      <c r="A13" s="0" t="s">
        <v>20</v>
      </c>
      <c r="C13" s="11" t="n">
        <f aca="false">509567+403061</f>
        <v>912628</v>
      </c>
      <c r="E13" s="22" t="n">
        <f aca="false">+C13/$C$7</f>
        <v>0.017103409798622</v>
      </c>
      <c r="F13" s="9"/>
      <c r="G13" s="10" t="n">
        <f aca="false">+G$7*E13</f>
        <v>2.27475350321673</v>
      </c>
      <c r="I13" s="11" t="n">
        <f aca="false">352399+679212+66007</f>
        <v>1097618</v>
      </c>
      <c r="K13" s="22" t="n">
        <f aca="false">+I13/$I$7</f>
        <v>0.0191657450054811</v>
      </c>
      <c r="M13" s="10" t="n">
        <f aca="false">+M$7*K13-0.06</f>
        <v>2.48904408572898</v>
      </c>
    </row>
    <row r="14" customFormat="false" ht="12.75" hidden="true" customHeight="false" outlineLevel="0" collapsed="false">
      <c r="A14" s="0" t="s">
        <v>130</v>
      </c>
      <c r="C14" s="11"/>
      <c r="D14" s="19"/>
      <c r="E14" s="22" t="n">
        <f aca="false">+C14/$C$7</f>
        <v>0</v>
      </c>
      <c r="F14" s="9"/>
      <c r="G14" s="10" t="n">
        <f aca="false">+G$7*E14</f>
        <v>0</v>
      </c>
      <c r="H14" s="19"/>
      <c r="I14" s="11"/>
      <c r="J14" s="19"/>
      <c r="K14" s="22" t="n">
        <f aca="false">+I14/$I$7</f>
        <v>0</v>
      </c>
      <c r="M14" s="10" t="n">
        <f aca="false">+M$7*K14</f>
        <v>0</v>
      </c>
    </row>
    <row r="15" customFormat="false" ht="12.75" hidden="false" customHeight="false" outlineLevel="0" collapsed="false">
      <c r="A15" s="0" t="s">
        <v>131</v>
      </c>
      <c r="C15" s="11" t="n">
        <f aca="false">798322+41464</f>
        <v>839786</v>
      </c>
      <c r="E15" s="22" t="n">
        <f aca="false">+C15/$C$7</f>
        <v>0.0157382899726346</v>
      </c>
      <c r="F15" s="9"/>
      <c r="G15" s="10" t="n">
        <f aca="false">+G$7*E15</f>
        <v>2.0931925663604</v>
      </c>
      <c r="I15" s="11" t="n">
        <f aca="false">36253+759469+52291</f>
        <v>848013</v>
      </c>
      <c r="K15" s="109" t="n">
        <f aca="false">+I15/$I$7+0.0004</f>
        <v>0.0152073381807997</v>
      </c>
      <c r="M15" s="10" t="n">
        <f aca="false">+M$7*K15</f>
        <v>2.02257597804636</v>
      </c>
    </row>
    <row r="16" customFormat="false" ht="12.75" hidden="false" customHeight="false" outlineLevel="0" collapsed="false">
      <c r="A16" s="0" t="s">
        <v>132</v>
      </c>
      <c r="C16" s="11" t="n">
        <f aca="false">237798+870918</f>
        <v>1108716</v>
      </c>
      <c r="E16" s="22" t="n">
        <f aca="false">+C16/$C$7</f>
        <v>0.0207782624445984</v>
      </c>
      <c r="F16" s="9"/>
      <c r="G16" s="10" t="n">
        <f aca="false">+G$7*E16</f>
        <v>2.76350890513159</v>
      </c>
      <c r="I16" s="11" t="n">
        <f aca="false">761450+418943+75527</f>
        <v>1255920</v>
      </c>
      <c r="K16" s="22" t="n">
        <f aca="false">+I16/$I$7</f>
        <v>0.021929890423885</v>
      </c>
      <c r="M16" s="10" t="n">
        <f aca="false">+M$7*K16</f>
        <v>2.9166754263767</v>
      </c>
    </row>
    <row r="17" customFormat="false" ht="12.75" hidden="false" customHeight="false" outlineLevel="0" collapsed="false">
      <c r="A17" s="0" t="s">
        <v>133</v>
      </c>
      <c r="C17" s="11" t="n">
        <f aca="false">101913+7658</f>
        <v>109571</v>
      </c>
      <c r="E17" s="22" t="n">
        <f aca="false">+C17/$C$7</f>
        <v>0.00205345191583516</v>
      </c>
      <c r="F17" s="9"/>
      <c r="G17" s="10" t="n">
        <f aca="false">+G$7*E17</f>
        <v>0.273109104806076</v>
      </c>
      <c r="I17" s="11" t="n">
        <f aca="false">6695+133404+8964</f>
        <v>149063</v>
      </c>
      <c r="K17" s="22" t="n">
        <f aca="false">+I17/$I$7</f>
        <v>0.00260282124359479</v>
      </c>
      <c r="M17" s="10" t="n">
        <f aca="false">+M$7*K17</f>
        <v>0.346175225398107</v>
      </c>
    </row>
    <row r="18" customFormat="false" ht="12.75" hidden="false" customHeight="false" outlineLevel="0" collapsed="false">
      <c r="A18" s="0" t="s">
        <v>10</v>
      </c>
      <c r="C18" s="11" t="n">
        <f aca="false">1814858+50473+6780</f>
        <v>1872111</v>
      </c>
      <c r="E18" s="110" t="n">
        <f aca="false">+C18/$C$7-0.0002</f>
        <v>0.0348849213715863</v>
      </c>
      <c r="F18" s="9"/>
      <c r="G18" s="10" t="n">
        <f aca="false">+G$7*E18</f>
        <v>4.63969454242097</v>
      </c>
      <c r="I18" s="11" t="n">
        <f aca="false">5000000+2628539+488106</f>
        <v>8116645</v>
      </c>
      <c r="K18" s="22" t="n">
        <f aca="false">+I18/$I$7</f>
        <v>0.141726491702954</v>
      </c>
      <c r="M18" s="10" t="n">
        <f aca="false">+M$7*K18</f>
        <v>18.8496233964929</v>
      </c>
    </row>
    <row r="19" customFormat="false" ht="12.75" hidden="false" customHeight="false" outlineLevel="0" collapsed="false">
      <c r="A19" s="0" t="s">
        <v>11</v>
      </c>
      <c r="C19" s="11" t="n">
        <f aca="false">3539036+2750000</f>
        <v>6289036</v>
      </c>
      <c r="E19" s="22" t="n">
        <f aca="false">+C19/$C$7</f>
        <v>0.117861779329898</v>
      </c>
      <c r="F19" s="9"/>
      <c r="G19" s="10" t="n">
        <f aca="false">+G$7*E19</f>
        <v>15.6756166508765</v>
      </c>
      <c r="I19" s="11" t="n">
        <f aca="false">5000000+3000000</f>
        <v>8000000</v>
      </c>
      <c r="K19" s="22" t="n">
        <f aca="false">+I19/$I$7</f>
        <v>0.139689728160297</v>
      </c>
      <c r="M19" s="10" t="n">
        <f aca="false">+M$7*K19</f>
        <v>18.5787338453195</v>
      </c>
    </row>
    <row r="20" customFormat="false" ht="12.75" hidden="false" customHeight="false" outlineLevel="0" collapsed="false">
      <c r="A20" s="0" t="s">
        <v>12</v>
      </c>
      <c r="C20" s="11" t="n">
        <v>57532</v>
      </c>
      <c r="E20" s="22" t="n">
        <f aca="false">+C20/$C$7</f>
        <v>0.00107819765833869</v>
      </c>
      <c r="F20" s="9"/>
      <c r="G20" s="10" t="n">
        <f aca="false">+G$7*E20</f>
        <v>0.143400288559046</v>
      </c>
      <c r="I20" s="11" t="n">
        <f aca="false">50301+3218</f>
        <v>53519</v>
      </c>
      <c r="K20" s="22" t="n">
        <f aca="false">+I20/$I$7</f>
        <v>0.000934506820176365</v>
      </c>
      <c r="M20" s="10" t="n">
        <f aca="false">+M$7*K20</f>
        <v>0.124289407083457</v>
      </c>
    </row>
    <row r="21" customFormat="false" ht="12.75" hidden="false" customHeight="false" outlineLevel="0" collapsed="false">
      <c r="A21" s="0" t="s">
        <v>27</v>
      </c>
      <c r="C21" s="11" t="n">
        <v>0</v>
      </c>
      <c r="E21" s="22" t="n">
        <f aca="false">+C21/$C$7</f>
        <v>0</v>
      </c>
      <c r="F21" s="9"/>
      <c r="G21" s="10" t="n">
        <f aca="false">+G$7*E21</f>
        <v>0</v>
      </c>
      <c r="I21" s="11" t="n">
        <f aca="false">94990+6078</f>
        <v>101068</v>
      </c>
      <c r="K21" s="22" t="n">
        <f aca="false">+I21/$I$7</f>
        <v>0.00176477018071311</v>
      </c>
      <c r="M21" s="111" t="n">
        <f aca="false">+M$7*K21</f>
        <v>0.234714434034844</v>
      </c>
    </row>
    <row r="22" customFormat="false" ht="12.75" hidden="false" customHeight="false" outlineLevel="0" collapsed="false">
      <c r="A22" s="0" t="s">
        <v>23</v>
      </c>
      <c r="C22" s="11" t="n">
        <f aca="false">345000+230279+313522+4350773</f>
        <v>5239574</v>
      </c>
      <c r="E22" s="22" t="n">
        <f aca="false">+C22/$C$7</f>
        <v>0.0981939862596864</v>
      </c>
      <c r="F22" s="9"/>
      <c r="G22" s="111" t="n">
        <f aca="false">+G$7*E22</f>
        <v>13.0598001725383</v>
      </c>
      <c r="I22" s="11" t="n">
        <f aca="false">650000+250000+57586</f>
        <v>957586</v>
      </c>
      <c r="K22" s="22" t="n">
        <f aca="false">+I22/$I$7</f>
        <v>0.0167206160037632</v>
      </c>
      <c r="M22" s="111" t="n">
        <f aca="false">+M$7*K22</f>
        <v>2.22384192850051</v>
      </c>
    </row>
    <row r="23" customFormat="false" ht="12.75" hidden="false" customHeight="false" outlineLevel="0" collapsed="false">
      <c r="A23" s="0" t="s">
        <v>134</v>
      </c>
      <c r="C23" s="112" t="n">
        <f aca="false">+C7-SUM(C9:C22)</f>
        <v>29586887.4285714</v>
      </c>
      <c r="E23" s="27" t="n">
        <f aca="false">+C23/$C$7</f>
        <v>0.554482944153099</v>
      </c>
      <c r="F23" s="9"/>
      <c r="G23" s="113" t="n">
        <f aca="false">+G$7*E23-0.26</f>
        <v>73.4862315723622</v>
      </c>
      <c r="I23" s="13" t="n">
        <f aca="false">+I7-SUM(I9:I22)</f>
        <v>27344488</v>
      </c>
      <c r="K23" s="27" t="n">
        <f aca="false">+I23/$I$7</f>
        <v>0.477468011925312</v>
      </c>
      <c r="M23" s="114" t="n">
        <f aca="false">+M$7*K23</f>
        <v>63.5032455860665</v>
      </c>
    </row>
    <row r="24" customFormat="false" ht="16.5" hidden="false" customHeight="true" outlineLevel="0" collapsed="false">
      <c r="A24" s="29" t="s">
        <v>29</v>
      </c>
      <c r="C24" s="115" t="n">
        <f aca="false">SUM(C9:C23)</f>
        <v>53359418.4285714</v>
      </c>
      <c r="E24" s="22" t="n">
        <f aca="false">SUM(E9:E23)</f>
        <v>0.9998</v>
      </c>
      <c r="F24" s="9"/>
      <c r="G24" s="10" t="n">
        <f aca="false">SUM(G9:G23)</f>
        <v>132.7134</v>
      </c>
      <c r="I24" s="11" t="n">
        <f aca="false">SUM(I9:I23)</f>
        <v>57269780</v>
      </c>
      <c r="K24" s="22" t="n">
        <f aca="false">SUM(K9:K23)</f>
        <v>1.0004</v>
      </c>
      <c r="M24" s="111" t="n">
        <f aca="false">SUM(M9:M23)</f>
        <v>132.9932</v>
      </c>
    </row>
    <row r="25" customFormat="false" ht="12.75" hidden="false" customHeight="false" outlineLevel="0" collapsed="false">
      <c r="C25" s="11"/>
      <c r="E25" s="22"/>
      <c r="F25" s="9"/>
      <c r="G25" s="10"/>
      <c r="I25" s="11"/>
      <c r="K25" s="22"/>
      <c r="M25" s="111"/>
    </row>
    <row r="26" customFormat="false" ht="12.75" hidden="false" customHeight="false" outlineLevel="0" collapsed="false">
      <c r="C26" s="11"/>
      <c r="E26" s="22"/>
      <c r="F26" s="9"/>
      <c r="G26" s="10"/>
      <c r="I26" s="11"/>
      <c r="K26" s="22"/>
      <c r="M26" s="111"/>
    </row>
    <row r="27" customFormat="false" ht="12.75" hidden="false" customHeight="false" outlineLevel="0" collapsed="false">
      <c r="A27" s="29" t="s">
        <v>135</v>
      </c>
      <c r="C27" s="11" t="n">
        <v>17391655</v>
      </c>
      <c r="E27" s="109" t="n">
        <f aca="false">+C27/C24-0.01</f>
        <v>0.315934118327789</v>
      </c>
      <c r="F27" s="9"/>
      <c r="G27" s="10" t="n">
        <f aca="false">+G$7*E27</f>
        <v>42.0192377375959</v>
      </c>
      <c r="I27" s="11" t="n">
        <v>15205647</v>
      </c>
      <c r="K27" s="22" t="n">
        <f aca="false">+I27/I24</f>
        <v>0.265509086991429</v>
      </c>
      <c r="M27" s="111" t="n">
        <f aca="false">+M$7*K27</f>
        <v>35.3127085698601</v>
      </c>
    </row>
    <row r="28" customFormat="false" ht="12.75" hidden="false" customHeight="false" outlineLevel="0" collapsed="false">
      <c r="C28" s="11"/>
      <c r="E28" s="22"/>
      <c r="F28" s="9"/>
      <c r="G28" s="10"/>
      <c r="I28" s="11"/>
      <c r="K28" s="22"/>
      <c r="M28" s="111"/>
    </row>
    <row r="29" customFormat="false" ht="12.75" hidden="false" customHeight="false" outlineLevel="0" collapsed="false">
      <c r="A29" s="29" t="s">
        <v>136</v>
      </c>
      <c r="C29" s="13" t="n">
        <f aca="false">+C23-C27-1</f>
        <v>12195231.4285714</v>
      </c>
      <c r="E29" s="27" t="n">
        <f aca="false">+C29/C24</f>
        <v>0.228548807084477</v>
      </c>
      <c r="F29" s="9"/>
      <c r="G29" s="113" t="n">
        <f aca="false">+G$7*E29+0.11</f>
        <v>30.5069913422354</v>
      </c>
      <c r="I29" s="13" t="n">
        <f aca="false">+I23-I27</f>
        <v>12138841</v>
      </c>
      <c r="K29" s="27" t="n">
        <f aca="false">+I29/I24</f>
        <v>0.211958924933883</v>
      </c>
      <c r="M29" s="113" t="n">
        <f aca="false">+M$7*K29+1</f>
        <v>29.1905370162065</v>
      </c>
    </row>
    <row r="30" customFormat="false" ht="12.75" hidden="false" customHeight="false" outlineLevel="0" collapsed="false">
      <c r="E30" s="116"/>
      <c r="G30" s="10"/>
      <c r="K30" s="116"/>
      <c r="M30" s="111"/>
    </row>
    <row r="31" customFormat="false" ht="12.75" hidden="false" customHeight="false" outlineLevel="0" collapsed="false">
      <c r="A31" s="29" t="s">
        <v>137</v>
      </c>
      <c r="C31" s="7" t="n">
        <f aca="false">SUM(C27:C29)</f>
        <v>29586886.4285714</v>
      </c>
      <c r="E31" s="117" t="n">
        <f aca="false">SUM(E27:E29)+0.01</f>
        <v>0.554482925412265</v>
      </c>
      <c r="F31" s="118"/>
      <c r="G31" s="119" t="n">
        <f aca="false">+G$7*E31-0.26</f>
        <v>73.4862290798313</v>
      </c>
      <c r="I31" s="7" t="n">
        <f aca="false">SUM(I27:I29)</f>
        <v>27344488</v>
      </c>
      <c r="K31" s="116" t="n">
        <f aca="false">SUM(K27:K29)</f>
        <v>0.477468011925312</v>
      </c>
      <c r="M31" s="111" t="n">
        <f aca="false">+M$7*K31</f>
        <v>63.5032455860665</v>
      </c>
    </row>
    <row r="32" customFormat="false" ht="12.75" hidden="false" customHeight="false" outlineLevel="0" collapsed="false">
      <c r="D32" s="30"/>
      <c r="G32" s="10"/>
      <c r="M32" s="120"/>
    </row>
    <row r="33" customFormat="false" ht="12.75" hidden="false" customHeight="false" outlineLevel="0" collapsed="false">
      <c r="D33" s="30"/>
      <c r="G33" s="10"/>
    </row>
    <row r="34" customFormat="false" ht="12.75" hidden="false" customHeight="false" outlineLevel="0" collapsed="false">
      <c r="A34" s="0" t="s">
        <v>15</v>
      </c>
      <c r="D34" s="30"/>
      <c r="G34" s="10"/>
    </row>
    <row r="35" customFormat="false" ht="12.75" hidden="false" customHeight="false" outlineLevel="0" collapsed="false">
      <c r="A35" s="17" t="s">
        <v>16</v>
      </c>
      <c r="C35" s="19"/>
      <c r="D35" s="30"/>
      <c r="G35" s="10"/>
    </row>
    <row r="36" customFormat="false" ht="12.75" hidden="false" customHeight="false" outlineLevel="0" collapsed="false">
      <c r="A36" s="30"/>
      <c r="C36" s="31"/>
      <c r="D36" s="30"/>
      <c r="G36" s="10"/>
    </row>
    <row r="37" customFormat="false" ht="12.75" hidden="false" customHeight="false" outlineLevel="0" collapsed="false">
      <c r="A37" s="30"/>
      <c r="C37" s="19"/>
      <c r="D37" s="30"/>
      <c r="G37" s="10"/>
    </row>
    <row r="38" customFormat="false" ht="12.75" hidden="false" customHeight="false" outlineLevel="0" collapsed="false">
      <c r="A38" s="30"/>
      <c r="C38" s="31"/>
      <c r="D38" s="30"/>
      <c r="G38" s="10"/>
    </row>
    <row r="39" customFormat="false" ht="12.75" hidden="false" customHeight="false" outlineLevel="0" collapsed="false">
      <c r="A39" s="30"/>
      <c r="C39" s="19"/>
      <c r="D39" s="30"/>
    </row>
    <row r="40" customFormat="false" ht="12.75" hidden="false" customHeight="false" outlineLevel="0" collapsed="false">
      <c r="A40" s="30"/>
      <c r="C40" s="19"/>
      <c r="D40" s="30"/>
    </row>
    <row r="41" customFormat="false" ht="12.75" hidden="false" customHeight="false" outlineLevel="0" collapsed="false">
      <c r="A41" s="30"/>
      <c r="C41" s="19"/>
      <c r="D41" s="30"/>
    </row>
    <row r="42" customFormat="false" ht="12.75" hidden="false" customHeight="false" outlineLevel="0" collapsed="false">
      <c r="A42" s="30"/>
      <c r="C42" s="19"/>
      <c r="D42" s="30"/>
    </row>
    <row r="43" customFormat="false" ht="12.75" hidden="false" customHeight="false" outlineLevel="0" collapsed="false">
      <c r="A43" s="30"/>
      <c r="C43" s="19"/>
      <c r="D43" s="30"/>
    </row>
    <row r="44" customFormat="false" ht="12.75" hidden="false" customHeight="false" outlineLevel="0" collapsed="false">
      <c r="A44" s="30"/>
      <c r="C44" s="19"/>
      <c r="D44" s="19"/>
    </row>
    <row r="45" customFormat="false" ht="12.75" hidden="false" customHeight="false" outlineLevel="0" collapsed="false">
      <c r="A45" s="30"/>
    </row>
    <row r="46" customFormat="false" ht="12.75" hidden="false" customHeight="false" outlineLevel="0" collapsed="false">
      <c r="A46" s="30"/>
    </row>
    <row r="47" customFormat="false" ht="12.75" hidden="false" customHeight="false" outlineLevel="0" collapsed="false">
      <c r="A47" s="30"/>
    </row>
    <row r="48" customFormat="false" ht="12.75" hidden="false" customHeight="false" outlineLevel="0" collapsed="false">
      <c r="A48" s="30"/>
    </row>
  </sheetData>
  <mergeCells count="4">
    <mergeCell ref="A1:M1"/>
    <mergeCell ref="A2:M2"/>
    <mergeCell ref="C4:G4"/>
    <mergeCell ref="I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39.85"/>
    <col collapsed="false" customWidth="true" hidden="true" outlineLevel="0" max="3" min="3" style="0" width="9.14"/>
    <col collapsed="false" customWidth="true" hidden="false" outlineLevel="0" max="4" min="4" style="0" width="13.99"/>
    <col collapsed="false" customWidth="true" hidden="true" outlineLevel="0" max="5" min="5" style="0" width="22.28"/>
    <col collapsed="false" customWidth="true" hidden="true" outlineLevel="0" max="6" min="6" style="0" width="18.14"/>
    <col collapsed="false" customWidth="true" hidden="true" outlineLevel="0" max="7" min="7" style="0" width="17.56"/>
    <col collapsed="false" customWidth="true" hidden="true" outlineLevel="0" max="8" min="8" style="0" width="19.41"/>
    <col collapsed="false" customWidth="true" hidden="true" outlineLevel="0" max="9" min="9" style="0" width="14.28"/>
    <col collapsed="false" customWidth="true" hidden="true" outlineLevel="0" max="10" min="10" style="0" width="25.56"/>
    <col collapsed="false" customWidth="true" hidden="true" outlineLevel="0" max="11" min="11" style="0" width="20.13"/>
    <col collapsed="false" customWidth="true" hidden="true" outlineLevel="0" max="12" min="12" style="0" width="13.56"/>
    <col collapsed="false" customWidth="true" hidden="false" outlineLevel="0" max="14" min="14" style="0" width="13.99"/>
    <col collapsed="false" customWidth="true" hidden="false" outlineLevel="0" max="15" min="15" style="73" width="1.99"/>
    <col collapsed="false" customWidth="true" hidden="false" outlineLevel="0" max="16" min="16" style="0" width="13.99"/>
    <col collapsed="false" customWidth="true" hidden="false" outlineLevel="0" max="17" min="17" style="0" width="1.99"/>
    <col collapsed="false" customWidth="true" hidden="false" outlineLevel="0" max="18" min="18" style="0" width="9.28"/>
  </cols>
  <sheetData>
    <row r="1" customFormat="false" ht="12.75" hidden="false" customHeight="false" outlineLevel="0" collapsed="false">
      <c r="A1" s="43" t="s">
        <v>138</v>
      </c>
    </row>
    <row r="2" customFormat="false" ht="12.75" hidden="false" customHeight="false" outlineLevel="0" collapsed="false">
      <c r="A2" s="43" t="s">
        <v>139</v>
      </c>
    </row>
    <row r="3" customFormat="false" ht="12.75" hidden="false" customHeight="false" outlineLevel="0" collapsed="false">
      <c r="A3" s="43"/>
    </row>
    <row r="4" customFormat="false" ht="13.5" hidden="false" customHeight="false" outlineLevel="0" collapsed="false">
      <c r="A4" s="121" t="str">
        <f aca="true">CELL("filename",A1)</f>
        <v>'file:///mnt/12tb/@roms/datasets/enron/EDRM Enron Email Data Set v2 XML/filtered-attachments/xls/EA_Alloc_to_Other_BUs___Support.xls'#$Detail - Outside Legal</v>
      </c>
      <c r="N4" s="122" t="n">
        <f aca="false">+P4-D73</f>
        <v>8715674.59</v>
      </c>
      <c r="O4" s="123"/>
      <c r="P4" s="124" t="n">
        <f aca="false">31100000-SUM(P74:P76)</f>
        <v>20450000</v>
      </c>
    </row>
    <row r="5" customFormat="false" ht="30.75" hidden="false" customHeight="true" outlineLevel="0" collapsed="false">
      <c r="A5" s="125" t="s">
        <v>140</v>
      </c>
      <c r="B5" s="126" t="s">
        <v>141</v>
      </c>
      <c r="C5" s="127" t="s">
        <v>142</v>
      </c>
      <c r="D5" s="128" t="s">
        <v>143</v>
      </c>
      <c r="E5" s="129" t="s">
        <v>144</v>
      </c>
      <c r="F5" s="126" t="s">
        <v>145</v>
      </c>
      <c r="G5" s="127" t="s">
        <v>146</v>
      </c>
      <c r="H5" s="126" t="s">
        <v>147</v>
      </c>
      <c r="I5" s="129" t="s">
        <v>148</v>
      </c>
      <c r="J5" s="126" t="s">
        <v>149</v>
      </c>
      <c r="K5" s="130" t="s">
        <v>150</v>
      </c>
      <c r="L5" s="130" t="s">
        <v>151</v>
      </c>
      <c r="M5" s="131"/>
      <c r="N5" s="128" t="s">
        <v>152</v>
      </c>
      <c r="O5" s="132"/>
      <c r="P5" s="128" t="s">
        <v>3</v>
      </c>
      <c r="Q5" s="131"/>
      <c r="R5" s="131"/>
    </row>
    <row r="6" customFormat="false" ht="11.25" hidden="false" customHeight="false" outlineLevel="0" collapsed="false">
      <c r="A6" s="133" t="n">
        <v>100055</v>
      </c>
      <c r="B6" s="134" t="s">
        <v>153</v>
      </c>
      <c r="C6" s="135"/>
      <c r="D6" s="136" t="n">
        <v>607513.29</v>
      </c>
      <c r="E6" s="137" t="n">
        <f aca="false">+'[3]Jan ext legal'!E5+'[3]Feb ext legal'!E5+'[3]Mar ext legal'!E5+'[3]Apr ext legal'!E5+'[3]May ext legal'!E5+'[3]Jun ext legal'!E5+'[3]Jul ext legal'!E5</f>
        <v>607513.29</v>
      </c>
      <c r="F6" s="138" t="n">
        <f aca="false">+'[3]Jan ext legal'!F5+'[3]Feb ext legal'!F5+'[3]Mar ext legal'!F5+'[3]Apr ext legal'!F5+'[3]May ext legal'!F5+'[3]Jun ext legal'!F5+'[3]Jul ext legal'!F5</f>
        <v>0</v>
      </c>
      <c r="G6" s="137" t="n">
        <f aca="false">+'[3]Jan ext legal'!G5+'[3]Feb ext legal'!G5+'[3]Mar ext legal'!G5+'[3]Apr ext legal'!G5+'[3]May ext legal'!G5+'[3]Jun ext legal'!G5+'[3]Jul ext legal'!G5</f>
        <v>0</v>
      </c>
      <c r="H6" s="138" t="n">
        <f aca="false">+'[3]Jan ext legal'!H5+'[3]Feb ext legal'!H5+'[3]Mar ext legal'!H5+'[3]Apr ext legal'!H5+'[3]May ext legal'!H5+'[3]Jun ext legal'!H5+'[3]Jul ext legal'!H5</f>
        <v>0</v>
      </c>
      <c r="I6" s="137" t="n">
        <f aca="false">+'[3]Jan ext legal'!I5+'[3]Feb ext legal'!I5+'[3]Mar ext legal'!I5+'[3]Apr ext legal'!I5+'[3]May ext legal'!I5+'[3]Jun ext legal'!I5+'[3]Jul ext legal'!I5</f>
        <v>0</v>
      </c>
      <c r="J6" s="138" t="n">
        <f aca="false">+'[3]Jan ext legal'!K5+'[3]Feb ext legal'!K5+'[3]Mar ext legal'!K5+'[3]Apr ext legal'!K5+'[3]May ext legal'!K5+'[3]Jun ext legal'!K5+'[3]Jul ext legal'!K5</f>
        <v>0</v>
      </c>
      <c r="K6" s="138" t="n">
        <f aca="false">+'[3]Jan ext legal'!L5+'[3]Feb ext legal'!L5+'[3]Mar ext legal'!L5+'[3]Apr ext legal'!L5+'[3]May ext legal'!L5+'[3]Jun ext legal'!L5+'[3]Jul ext legal'!L5</f>
        <v>0</v>
      </c>
      <c r="L6" s="138" t="n">
        <f aca="false">+'[3]Jan ext legal'!M5+'[3]Feb ext legal'!M5+'[3]Mar ext legal'!M5+'[3]Apr ext legal'!M5+'[3]May ext legal'!M5+'[3]Jun ext legal'!M5+'[3]Jul ext legal'!M5</f>
        <v>0</v>
      </c>
      <c r="M6" s="139" t="n">
        <f aca="false">+D6/D$73</f>
        <v>0.051772323399373</v>
      </c>
      <c r="N6" s="139" t="n">
        <f aca="false">+N$4*M6</f>
        <v>451230.723517178</v>
      </c>
      <c r="O6" s="140"/>
      <c r="P6" s="139" t="n">
        <f aca="false">SUM(D6+N6)</f>
        <v>1058744.01351718</v>
      </c>
      <c r="Q6" s="141"/>
      <c r="R6" s="141"/>
    </row>
    <row r="7" customFormat="false" ht="11.25" hidden="true" customHeight="false" outlineLevel="0" collapsed="false">
      <c r="A7" s="142" t="n">
        <v>100106</v>
      </c>
      <c r="B7" s="141" t="s">
        <v>154</v>
      </c>
      <c r="C7" s="141" t="s">
        <v>155</v>
      </c>
      <c r="D7" s="143" t="n">
        <v>0</v>
      </c>
      <c r="E7" s="144" t="n">
        <f aca="false">+'[3]Jan ext legal'!E6+'[3]Feb ext legal'!E6+'[3]Mar ext legal'!E6+'[3]Apr ext legal'!E6+'[3]May ext legal'!E6+'[3]Jun ext legal'!E6+'[3]Jul ext legal'!E6</f>
        <v>0</v>
      </c>
      <c r="F7" s="145" t="n">
        <f aca="false">+'[3]Jan ext legal'!F6+'[3]Feb ext legal'!F6+'[3]Mar ext legal'!F6+'[3]Apr ext legal'!F6+'[3]May ext legal'!F6+'[3]Jun ext legal'!F6+'[3]Jul ext legal'!F6</f>
        <v>0</v>
      </c>
      <c r="G7" s="144" t="n">
        <f aca="false">+'[3]Jan ext legal'!G6+'[3]Feb ext legal'!G6+'[3]Mar ext legal'!G6+'[3]Apr ext legal'!G6+'[3]May ext legal'!G6+'[3]Jun ext legal'!G6+'[3]Jul ext legal'!G6</f>
        <v>0</v>
      </c>
      <c r="H7" s="145" t="n">
        <f aca="false">+'[3]Jan ext legal'!H6+'[3]Feb ext legal'!H6+'[3]Mar ext legal'!H6+'[3]Apr ext legal'!H6+'[3]May ext legal'!H6+'[3]Jun ext legal'!H6+'[3]Jul ext legal'!H6</f>
        <v>0</v>
      </c>
      <c r="I7" s="144" t="n">
        <f aca="false">+'[3]Jan ext legal'!I6+'[3]Feb ext legal'!I6+'[3]Mar ext legal'!I6+'[3]Apr ext legal'!I6+'[3]May ext legal'!I6+'[3]Jun ext legal'!I6+'[3]Jul ext legal'!I6</f>
        <v>0</v>
      </c>
      <c r="J7" s="145" t="n">
        <f aca="false">+'[3]Jan ext legal'!K6+'[3]Feb ext legal'!K6+'[3]Mar ext legal'!K6+'[3]Apr ext legal'!K6+'[3]May ext legal'!K6+'[3]Jun ext legal'!K6+'[3]Jul ext legal'!K6</f>
        <v>0</v>
      </c>
      <c r="K7" s="145" t="n">
        <f aca="false">+'[3]Jan ext legal'!L6+'[3]Feb ext legal'!L6+'[3]Mar ext legal'!L6+'[3]Apr ext legal'!L6+'[3]May ext legal'!L6+'[3]Jun ext legal'!L6+'[3]Jul ext legal'!L6</f>
        <v>0</v>
      </c>
      <c r="L7" s="145" t="n">
        <f aca="false">+'[3]Jan ext legal'!M6+'[3]Feb ext legal'!M6+'[3]Mar ext legal'!M6+'[3]Apr ext legal'!M6+'[3]May ext legal'!M6+'[3]Jun ext legal'!M6+'[3]Jul ext legal'!M6</f>
        <v>0</v>
      </c>
      <c r="M7" s="146" t="n">
        <f aca="false">+D7/D$73</f>
        <v>0</v>
      </c>
      <c r="N7" s="146" t="n">
        <f aca="false">+N$4*M7</f>
        <v>0</v>
      </c>
      <c r="O7" s="147"/>
      <c r="P7" s="146" t="n">
        <f aca="false">SUM(D7+N7)</f>
        <v>0</v>
      </c>
      <c r="Q7" s="141"/>
      <c r="R7" s="141"/>
    </row>
    <row r="8" customFormat="false" ht="11.25" hidden="false" customHeight="false" outlineLevel="0" collapsed="false">
      <c r="A8" s="133" t="n">
        <v>100663</v>
      </c>
      <c r="B8" s="134" t="s">
        <v>156</v>
      </c>
      <c r="C8" s="134" t="s">
        <v>155</v>
      </c>
      <c r="D8" s="136" t="n">
        <v>436924.23</v>
      </c>
      <c r="E8" s="137" t="n">
        <f aca="false">+'[3]Jan ext legal'!E7+'[3]Feb ext legal'!E7+'[3]Mar ext legal'!E7+'[3]Apr ext legal'!E7+'[3]May ext legal'!E7+'[3]Jun ext legal'!E7+'[3]Jul ext legal'!E7</f>
        <v>0</v>
      </c>
      <c r="F8" s="138" t="n">
        <f aca="false">+'[3]Jan ext legal'!F7+'[3]Feb ext legal'!F7+'[3]Mar ext legal'!F7+'[3]Apr ext legal'!F7+'[3]May ext legal'!F7+'[3]Jun ext legal'!F7+'[3]Jul ext legal'!F7</f>
        <v>0</v>
      </c>
      <c r="G8" s="137" t="n">
        <f aca="false">+'[3]Jan ext legal'!G7+'[3]Feb ext legal'!G7+'[3]Mar ext legal'!G7+'[3]Apr ext legal'!G7+'[3]May ext legal'!G7+'[3]Jun ext legal'!G7+'[3]Jul ext legal'!G7</f>
        <v>240967.85</v>
      </c>
      <c r="H8" s="138" t="n">
        <f aca="false">+'[3]Jan ext legal'!H7+'[3]Feb ext legal'!H7+'[3]Mar ext legal'!H7+'[3]Apr ext legal'!H7+'[3]May ext legal'!H7+'[3]Jun ext legal'!H7+'[3]Jul ext legal'!H7</f>
        <v>10621.78</v>
      </c>
      <c r="I8" s="137" t="n">
        <f aca="false">+'[3]Jan ext legal'!I7+'[3]Feb ext legal'!I7+'[3]Mar ext legal'!I7+'[3]Apr ext legal'!I7+'[3]May ext legal'!I7+'[3]Jun ext legal'!I7+'[3]Jul ext legal'!I7</f>
        <v>177674.08</v>
      </c>
      <c r="J8" s="138" t="n">
        <f aca="false">+'[3]Jan ext legal'!K7+'[3]Feb ext legal'!K7+'[3]Mar ext legal'!K7+'[3]Apr ext legal'!K7+'[3]May ext legal'!K7+'[3]Jun ext legal'!K7+'[3]Jul ext legal'!K7</f>
        <v>7660.52</v>
      </c>
      <c r="K8" s="138" t="n">
        <f aca="false">+'[3]Jan ext legal'!L7+'[3]Feb ext legal'!L7+'[3]Mar ext legal'!L7+'[3]Apr ext legal'!L7+'[3]May ext legal'!L7+'[3]Jun ext legal'!L7+'[3]Jul ext legal'!L7</f>
        <v>0</v>
      </c>
      <c r="L8" s="138" t="n">
        <f aca="false">+'[3]Jan ext legal'!M7+'[3]Feb ext legal'!M7+'[3]Mar ext legal'!M7+'[3]Apr ext legal'!M7+'[3]May ext legal'!M7+'[3]Jun ext legal'!M7+'[3]Jul ext legal'!M7</f>
        <v>0</v>
      </c>
      <c r="M8" s="139" t="n">
        <f aca="false">+D8/D$73</f>
        <v>0.0372347122423972</v>
      </c>
      <c r="N8" s="139" t="n">
        <f aca="false">+N$4*M8</f>
        <v>324525.635357024</v>
      </c>
      <c r="O8" s="140"/>
      <c r="P8" s="139" t="n">
        <f aca="false">SUM(D8+N8)</f>
        <v>761449.865357023</v>
      </c>
      <c r="Q8" s="141"/>
      <c r="R8" s="141"/>
    </row>
    <row r="9" customFormat="false" ht="11.25" hidden="false" customHeight="false" outlineLevel="0" collapsed="false">
      <c r="A9" s="133" t="n">
        <v>102564</v>
      </c>
      <c r="B9" s="134" t="s">
        <v>157</v>
      </c>
      <c r="C9" s="134" t="s">
        <v>155</v>
      </c>
      <c r="D9" s="136" t="n">
        <v>3841.81</v>
      </c>
      <c r="E9" s="137" t="n">
        <f aca="false">+'[3]Jan ext legal'!E8+'[3]Feb ext legal'!E8+'[3]Mar ext legal'!E8+'[3]Apr ext legal'!E8+'[3]May ext legal'!E8+'[3]Jun ext legal'!E8+'[3]Jul ext legal'!E8</f>
        <v>0</v>
      </c>
      <c r="F9" s="138" t="n">
        <f aca="false">+'[3]Jan ext legal'!F8+'[3]Feb ext legal'!F8+'[3]Mar ext legal'!F8+'[3]Apr ext legal'!F8+'[3]May ext legal'!F8+'[3]Jun ext legal'!F8+'[3]Jul ext legal'!F8</f>
        <v>0</v>
      </c>
      <c r="G9" s="137" t="n">
        <f aca="false">+'[3]Jan ext legal'!G8+'[3]Feb ext legal'!G8+'[3]Mar ext legal'!G8+'[3]Apr ext legal'!G8+'[3]May ext legal'!G8+'[3]Jun ext legal'!G8+'[3]Jul ext legal'!G8</f>
        <v>0</v>
      </c>
      <c r="H9" s="138" t="n">
        <f aca="false">+'[3]Jan ext legal'!H8+'[3]Feb ext legal'!H8+'[3]Mar ext legal'!H8+'[3]Apr ext legal'!H8+'[3]May ext legal'!H8+'[3]Jun ext legal'!H8+'[3]Jul ext legal'!H8</f>
        <v>0</v>
      </c>
      <c r="I9" s="137" t="n">
        <f aca="false">+'[3]Jan ext legal'!I8+'[3]Feb ext legal'!I8+'[3]Mar ext legal'!I8+'[3]Apr ext legal'!I8+'[3]May ext legal'!I8+'[3]Jun ext legal'!I8+'[3]Jul ext legal'!I8</f>
        <v>3841.81</v>
      </c>
      <c r="J9" s="138" t="n">
        <f aca="false">+'[3]Jan ext legal'!K8+'[3]Feb ext legal'!K8+'[3]Mar ext legal'!K8+'[3]Apr ext legal'!K8+'[3]May ext legal'!K8+'[3]Jun ext legal'!K8+'[3]Jul ext legal'!K8</f>
        <v>0</v>
      </c>
      <c r="K9" s="138" t="n">
        <f aca="false">+'[3]Jan ext legal'!L8+'[3]Feb ext legal'!L8+'[3]Mar ext legal'!L8+'[3]Apr ext legal'!L8+'[3]May ext legal'!L8+'[3]Jun ext legal'!L8+'[3]Jul ext legal'!L8</f>
        <v>0</v>
      </c>
      <c r="L9" s="138" t="n">
        <f aca="false">+'[3]Jan ext legal'!M8+'[3]Feb ext legal'!M8+'[3]Mar ext legal'!M8+'[3]Apr ext legal'!M8+'[3]May ext legal'!M8+'[3]Jun ext legal'!M8+'[3]Jul ext legal'!M8</f>
        <v>0</v>
      </c>
      <c r="M9" s="139" t="n">
        <f aca="false">+D9/D$73</f>
        <v>0.000327399306373932</v>
      </c>
      <c r="N9" s="139" t="n">
        <f aca="false">+N$4*M9</f>
        <v>2853.5058153469</v>
      </c>
      <c r="O9" s="140"/>
      <c r="P9" s="139" t="n">
        <f aca="false">SUM(D9+N9)</f>
        <v>6695.3158153469</v>
      </c>
      <c r="Q9" s="141"/>
      <c r="R9" s="141"/>
    </row>
    <row r="10" customFormat="false" ht="11.25" hidden="true" customHeight="false" outlineLevel="0" collapsed="false">
      <c r="A10" s="133" t="n">
        <v>103478</v>
      </c>
      <c r="B10" s="134" t="s">
        <v>158</v>
      </c>
      <c r="C10" s="134" t="s">
        <v>155</v>
      </c>
      <c r="D10" s="136" t="n">
        <v>0</v>
      </c>
      <c r="E10" s="137" t="n">
        <v>0</v>
      </c>
      <c r="F10" s="138" t="n">
        <f aca="false">+'[3]Jan ext legal'!F9+'[3]Feb ext legal'!F9+'[3]Mar ext legal'!F9+'[3]Apr ext legal'!F9+'[3]May ext legal'!F9+'[3]Jun ext legal'!F9+'[3]Jul ext legal'!F9</f>
        <v>17528.4</v>
      </c>
      <c r="G10" s="137" t="n">
        <f aca="false">+'[3]Jan ext legal'!G9+'[3]Feb ext legal'!G9+'[3]Mar ext legal'!G9+'[3]Apr ext legal'!G9+'[3]May ext legal'!G9+'[3]Jun ext legal'!G9+'[3]Jul ext legal'!G9</f>
        <v>0</v>
      </c>
      <c r="H10" s="138" t="n">
        <f aca="false">+'[3]Jan ext legal'!H9+'[3]Feb ext legal'!H9+'[3]Mar ext legal'!H9+'[3]Apr ext legal'!H9+'[3]May ext legal'!H9+'[3]Jun ext legal'!H9+'[3]Jul ext legal'!H9</f>
        <v>0</v>
      </c>
      <c r="I10" s="137" t="n">
        <f aca="false">+'[3]Jan ext legal'!I9+'[3]Feb ext legal'!I9+'[3]Mar ext legal'!I9+'[3]Apr ext legal'!I9+'[3]May ext legal'!I9+'[3]Jun ext legal'!I9+'[3]Jul ext legal'!I9</f>
        <v>0</v>
      </c>
      <c r="J10" s="138" t="n">
        <f aca="false">+'[3]Jan ext legal'!K9+'[3]Feb ext legal'!K9+'[3]Mar ext legal'!K9+'[3]Apr ext legal'!K9+'[3]May ext legal'!K9+'[3]Jun ext legal'!K9+'[3]Jul ext legal'!K9</f>
        <v>0</v>
      </c>
      <c r="K10" s="138" t="n">
        <f aca="false">+'[3]Jan ext legal'!L9+'[3]Feb ext legal'!L9+'[3]Mar ext legal'!L9+'[3]Apr ext legal'!L9+'[3]May ext legal'!L9+'[3]Jun ext legal'!L9+'[3]Jul ext legal'!L9</f>
        <v>0</v>
      </c>
      <c r="L10" s="138" t="n">
        <f aca="false">+'[3]Jan ext legal'!M9+'[3]Feb ext legal'!M9+'[3]Mar ext legal'!M9+'[3]Apr ext legal'!M9+'[3]May ext legal'!M9+'[3]Jun ext legal'!M9+'[3]Jul ext legal'!M9</f>
        <v>7792.82</v>
      </c>
      <c r="M10" s="139" t="n">
        <f aca="false">+D10/D$73</f>
        <v>0</v>
      </c>
      <c r="N10" s="139" t="n">
        <f aca="false">+N$4*M10</f>
        <v>0</v>
      </c>
      <c r="O10" s="140"/>
      <c r="P10" s="139" t="n">
        <f aca="false">SUM(D10+N10)</f>
        <v>0</v>
      </c>
      <c r="Q10" s="141"/>
      <c r="R10" s="141"/>
    </row>
    <row r="11" customFormat="false" ht="11.25" hidden="false" customHeight="false" outlineLevel="0" collapsed="false">
      <c r="A11" s="133" t="n">
        <v>105168</v>
      </c>
      <c r="B11" s="134" t="s">
        <v>159</v>
      </c>
      <c r="C11" s="134" t="s">
        <v>155</v>
      </c>
      <c r="D11" s="136" t="n">
        <v>28862.77</v>
      </c>
      <c r="E11" s="137" t="n">
        <f aca="false">+'[3]Jan ext legal'!E11+'[3]Feb ext legal'!E11+'[3]Mar ext legal'!E11+'[3]Apr ext legal'!E11+'[3]May ext legal'!E11+'[3]Jun ext legal'!E11+'[3]Jul ext legal'!E11</f>
        <v>0</v>
      </c>
      <c r="F11" s="138" t="n">
        <f aca="false">+'[3]Jan ext legal'!F11+'[3]Feb ext legal'!F11+'[3]Mar ext legal'!F11+'[3]Apr ext legal'!F11+'[3]May ext legal'!F11+'[3]Jun ext legal'!F11+'[3]Jul ext legal'!F11</f>
        <v>0</v>
      </c>
      <c r="G11" s="137" t="n">
        <f aca="false">+'[3]Jan ext legal'!G11+'[3]Feb ext legal'!G11+'[3]Mar ext legal'!G11+'[3]Apr ext legal'!G11+'[3]May ext legal'!G11+'[3]Jun ext legal'!G11+'[3]Jul ext legal'!G11</f>
        <v>0</v>
      </c>
      <c r="H11" s="138" t="n">
        <f aca="false">+'[3]Jan ext legal'!H11+'[3]Feb ext legal'!H11+'[3]Mar ext legal'!H11+'[3]Apr ext legal'!H11+'[3]May ext legal'!H11+'[3]Jun ext legal'!H11+'[3]Jul ext legal'!H11</f>
        <v>0</v>
      </c>
      <c r="I11" s="137" t="n">
        <f aca="false">+'[3]Jan ext legal'!I11+'[3]Feb ext legal'!I11+'[3]Mar ext legal'!I11+'[3]Apr ext legal'!I11+'[3]May ext legal'!I11+'[3]Jun ext legal'!I11+'[3]Jul ext legal'!I11</f>
        <v>0</v>
      </c>
      <c r="J11" s="138" t="n">
        <f aca="false">+'[3]Jan ext legal'!K11+'[3]Feb ext legal'!K11+'[3]Mar ext legal'!K11+'[3]Apr ext legal'!K11+'[3]May ext legal'!K11+'[3]Jun ext legal'!K11+'[3]Jul ext legal'!K11</f>
        <v>0</v>
      </c>
      <c r="K11" s="138" t="n">
        <f aca="false">+'[3]Jan ext legal'!L11+'[3]Feb ext legal'!L11+'[3]Mar ext legal'!L11+'[3]Apr ext legal'!L11+'[3]May ext legal'!L11+'[3]Jun ext legal'!L11+'[3]Jul ext legal'!L11</f>
        <v>28862.77</v>
      </c>
      <c r="L11" s="138" t="n">
        <f aca="false">+'[3]Jan ext legal'!M11+'[3]Feb ext legal'!M11+'[3]Mar ext legal'!M11+'[3]Apr ext legal'!M11+'[3]May ext legal'!M11+'[3]Jun ext legal'!M11+'[3]Jul ext legal'!M11</f>
        <v>0</v>
      </c>
      <c r="M11" s="139" t="n">
        <f aca="false">+D11/D$73</f>
        <v>0.00245968719901045</v>
      </c>
      <c r="N11" s="139" t="n">
        <f aca="false">+N$4*M11</f>
        <v>21437.8332197636</v>
      </c>
      <c r="O11" s="140"/>
      <c r="P11" s="139" t="n">
        <f aca="false">SUM(D11+N11)</f>
        <v>50300.6032197636</v>
      </c>
      <c r="Q11" s="141"/>
      <c r="R11" s="141"/>
    </row>
    <row r="12" customFormat="false" ht="11.25" hidden="true" customHeight="false" outlineLevel="0" collapsed="false">
      <c r="A12" s="142" t="n">
        <v>105249</v>
      </c>
      <c r="B12" s="141" t="s">
        <v>160</v>
      </c>
      <c r="C12" s="134" t="s">
        <v>155</v>
      </c>
      <c r="D12" s="143" t="n">
        <v>0</v>
      </c>
      <c r="E12" s="144" t="n">
        <f aca="false">+'[3]Jan ext legal'!E12+'[3]Feb ext legal'!E12+'[3]Mar ext legal'!E12+'[3]Apr ext legal'!E12+'[3]May ext legal'!E12+'[3]Jun ext legal'!E12+'[3]Jul ext legal'!E12</f>
        <v>0</v>
      </c>
      <c r="F12" s="145" t="n">
        <f aca="false">+'[3]Jan ext legal'!F12+'[3]Feb ext legal'!F12+'[3]Mar ext legal'!F12+'[3]Apr ext legal'!F12+'[3]May ext legal'!F12+'[3]Jun ext legal'!F12+'[3]Jul ext legal'!F12</f>
        <v>0</v>
      </c>
      <c r="G12" s="144" t="n">
        <f aca="false">+'[3]Jan ext legal'!G12+'[3]Feb ext legal'!G12+'[3]Mar ext legal'!G12+'[3]Apr ext legal'!G12+'[3]May ext legal'!G12+'[3]Jun ext legal'!G12+'[3]Jul ext legal'!G12</f>
        <v>0</v>
      </c>
      <c r="H12" s="145" t="n">
        <f aca="false">+'[3]Jan ext legal'!H12+'[3]Feb ext legal'!H12+'[3]Mar ext legal'!H12+'[3]Apr ext legal'!H12+'[3]May ext legal'!H12+'[3]Jun ext legal'!H12+'[3]Jul ext legal'!H12</f>
        <v>0</v>
      </c>
      <c r="I12" s="144" t="n">
        <f aca="false">+'[3]Jan ext legal'!I12+'[3]Feb ext legal'!I12+'[3]Mar ext legal'!I12+'[3]Apr ext legal'!I12+'[3]May ext legal'!I12+'[3]Jun ext legal'!I12+'[3]Jul ext legal'!I12</f>
        <v>0</v>
      </c>
      <c r="J12" s="145" t="n">
        <f aca="false">+'[3]Jan ext legal'!K12+'[3]Feb ext legal'!K12+'[3]Mar ext legal'!K12+'[3]Apr ext legal'!K12+'[3]May ext legal'!K12+'[3]Jun ext legal'!K12+'[3]Jul ext legal'!K12</f>
        <v>0</v>
      </c>
      <c r="K12" s="145" t="n">
        <f aca="false">+'[3]Jan ext legal'!L12+'[3]Feb ext legal'!L12+'[3]Mar ext legal'!L12+'[3]Apr ext legal'!L12+'[3]May ext legal'!L12+'[3]Jun ext legal'!L12+'[3]Jul ext legal'!L12</f>
        <v>0</v>
      </c>
      <c r="L12" s="145" t="n">
        <f aca="false">+'[3]Jan ext legal'!M12+'[3]Feb ext legal'!M12+'[3]Mar ext legal'!M12+'[3]Apr ext legal'!M12+'[3]May ext legal'!M12+'[3]Jun ext legal'!M12+'[3]Jul ext legal'!M12</f>
        <v>0</v>
      </c>
      <c r="M12" s="146" t="n">
        <f aca="false">+D12/D$73</f>
        <v>0</v>
      </c>
      <c r="N12" s="146" t="n">
        <f aca="false">+N$4*M12</f>
        <v>0</v>
      </c>
      <c r="O12" s="147"/>
      <c r="P12" s="146" t="n">
        <f aca="false">SUM(D12+N12)</f>
        <v>0</v>
      </c>
      <c r="Q12" s="141"/>
      <c r="R12" s="141"/>
    </row>
    <row r="13" customFormat="false" ht="11.25" hidden="false" customHeight="false" outlineLevel="0" collapsed="false">
      <c r="A13" s="142" t="n">
        <v>105713</v>
      </c>
      <c r="B13" s="141" t="s">
        <v>161</v>
      </c>
      <c r="C13" s="141" t="s">
        <v>155</v>
      </c>
      <c r="D13" s="143" t="n">
        <v>11214.54</v>
      </c>
      <c r="E13" s="144" t="n">
        <f aca="false">+'[3]Jan ext legal'!E13+'[3]Feb ext legal'!E13+'[3]Mar ext legal'!E13+'[3]Apr ext legal'!E13+'[3]May ext legal'!E13+'[3]Jun ext legal'!E13+'[3]Jul ext legal'!E13</f>
        <v>0</v>
      </c>
      <c r="F13" s="145" t="n">
        <f aca="false">+'[3]Jan ext legal'!F13+'[3]Feb ext legal'!F13+'[3]Mar ext legal'!F13+'[3]Apr ext legal'!F13+'[3]May ext legal'!F13+'[3]Jun ext legal'!F13+'[3]Jul ext legal'!F13</f>
        <v>0</v>
      </c>
      <c r="G13" s="144" t="n">
        <f aca="false">+'[3]Jan ext legal'!G13+'[3]Feb ext legal'!G13+'[3]Mar ext legal'!G13+'[3]Apr ext legal'!G13+'[3]May ext legal'!G13+'[3]Jun ext legal'!G13+'[3]Jul ext legal'!G13</f>
        <v>0</v>
      </c>
      <c r="H13" s="145" t="n">
        <f aca="false">+'[3]Jan ext legal'!H13+'[3]Feb ext legal'!H13+'[3]Mar ext legal'!H13+'[3]Apr ext legal'!H13+'[3]May ext legal'!H13+'[3]Jun ext legal'!H13+'[3]Jul ext legal'!H13</f>
        <v>0</v>
      </c>
      <c r="I13" s="144" t="n">
        <f aca="false">+'[3]Jan ext legal'!I13+'[3]Feb ext legal'!I13+'[3]Mar ext legal'!I13+'[3]Apr ext legal'!I13+'[3]May ext legal'!I13+'[3]Jun ext legal'!I13+'[3]Jul ext legal'!I13</f>
        <v>0</v>
      </c>
      <c r="J13" s="145" t="n">
        <f aca="false">+'[3]Jan ext legal'!K13+'[3]Feb ext legal'!K13+'[3]Mar ext legal'!K13+'[3]Apr ext legal'!K13+'[3]May ext legal'!K13+'[3]Jun ext legal'!K13+'[3]Jul ext legal'!K13</f>
        <v>11214.54</v>
      </c>
      <c r="K13" s="145" t="n">
        <f aca="false">+'[3]Jan ext legal'!L13+'[3]Feb ext legal'!L13+'[3]Mar ext legal'!L13+'[3]Apr ext legal'!L13+'[3]May ext legal'!L13+'[3]Jun ext legal'!L13+'[3]Jul ext legal'!L13</f>
        <v>0</v>
      </c>
      <c r="L13" s="145" t="n">
        <f aca="false">+'[3]Jan ext legal'!M13+'[3]Feb ext legal'!M13+'[3]Mar ext legal'!M13+'[3]Apr ext legal'!M13+'[3]May ext legal'!M13+'[3]Jun ext legal'!M13+'[3]Jul ext legal'!M13</f>
        <v>0</v>
      </c>
      <c r="M13" s="146" t="n">
        <f aca="false">+D13/D$73</f>
        <v>0.000955703852429639</v>
      </c>
      <c r="N13" s="146" t="n">
        <f aca="false">+N$4*M13</f>
        <v>8329.60378218611</v>
      </c>
      <c r="O13" s="147"/>
      <c r="P13" s="146" t="n">
        <f aca="false">SUM(D13+N13)</f>
        <v>19544.1437821861</v>
      </c>
      <c r="Q13" s="141"/>
      <c r="R13" s="141"/>
    </row>
    <row r="14" customFormat="false" ht="11.25" hidden="false" customHeight="false" outlineLevel="0" collapsed="false">
      <c r="A14" s="142" t="n">
        <v>105751</v>
      </c>
      <c r="B14" s="141" t="s">
        <v>162</v>
      </c>
      <c r="C14" s="141" t="s">
        <v>163</v>
      </c>
      <c r="D14" s="143" t="n">
        <v>102342.67</v>
      </c>
      <c r="E14" s="144" t="n">
        <f aca="false">+'[3]Jan ext legal'!E14+'[3]Feb ext legal'!E14+'[3]Mar ext legal'!E14+'[3]Apr ext legal'!E14+'[3]May ext legal'!E14+'[3]Jun ext legal'!E14+'[3]Jul ext legal'!E14</f>
        <v>95299.11</v>
      </c>
      <c r="F14" s="145" t="n">
        <f aca="false">+'[3]Jan ext legal'!F14+'[3]Feb ext legal'!F14+'[3]Mar ext legal'!F14+'[3]Apr ext legal'!F14+'[3]May ext legal'!F14+'[3]Jun ext legal'!F14+'[3]Jul ext legal'!F14</f>
        <v>0</v>
      </c>
      <c r="G14" s="144" t="n">
        <f aca="false">+'[3]Jan ext legal'!G14+'[3]Feb ext legal'!G14+'[3]Mar ext legal'!G14+'[3]Apr ext legal'!G14+'[3]May ext legal'!G14+'[3]Jun ext legal'!G14+'[3]Jul ext legal'!G14</f>
        <v>0</v>
      </c>
      <c r="H14" s="145" t="n">
        <f aca="false">+'[3]Jan ext legal'!H14+'[3]Feb ext legal'!H14+'[3]Mar ext legal'!H14+'[3]Apr ext legal'!H14+'[3]May ext legal'!H14+'[3]Jun ext legal'!H14+'[3]Jul ext legal'!H14</f>
        <v>7043.56</v>
      </c>
      <c r="I14" s="144" t="n">
        <f aca="false">+'[3]Jan ext legal'!I14+'[3]Feb ext legal'!I14+'[3]Mar ext legal'!I14+'[3]Apr ext legal'!I14+'[3]May ext legal'!I14+'[3]Jun ext legal'!I14+'[3]Jul ext legal'!I14</f>
        <v>0</v>
      </c>
      <c r="J14" s="145" t="n">
        <f aca="false">+'[3]Jan ext legal'!K14+'[3]Feb ext legal'!K14+'[3]Mar ext legal'!K14+'[3]Apr ext legal'!K14+'[3]May ext legal'!K14+'[3]Jun ext legal'!K14+'[3]Jul ext legal'!K14</f>
        <v>0</v>
      </c>
      <c r="K14" s="145" t="n">
        <f aca="false">+'[3]Jan ext legal'!L14+'[3]Feb ext legal'!L14+'[3]Mar ext legal'!L14+'[3]Apr ext legal'!L14+'[3]May ext legal'!L14+'[3]Jun ext legal'!L14+'[3]Jul ext legal'!L14</f>
        <v>0</v>
      </c>
      <c r="L14" s="145" t="n">
        <f aca="false">+'[3]Jan ext legal'!M14+'[3]Feb ext legal'!M14+'[3]Mar ext legal'!M14+'[3]Apr ext legal'!M14+'[3]May ext legal'!M14+'[3]Jun ext legal'!M14+'[3]Jul ext legal'!M14</f>
        <v>0</v>
      </c>
      <c r="M14" s="146" t="n">
        <f aca="false">+D14/D$73</f>
        <v>0.00872164921494196</v>
      </c>
      <c r="N14" s="146" t="n">
        <f aca="false">+N$4*M14</f>
        <v>76015.0564455631</v>
      </c>
      <c r="O14" s="147"/>
      <c r="P14" s="146" t="n">
        <f aca="false">SUM(D14+N14)</f>
        <v>178357.726445563</v>
      </c>
      <c r="Q14" s="141"/>
      <c r="R14" s="141"/>
    </row>
    <row r="15" customFormat="false" ht="11.25" hidden="true" customHeight="false" outlineLevel="0" collapsed="false">
      <c r="A15" s="142" t="n">
        <v>105999</v>
      </c>
      <c r="B15" s="141" t="s">
        <v>164</v>
      </c>
      <c r="C15" s="141"/>
      <c r="D15" s="143" t="n">
        <v>0</v>
      </c>
      <c r="E15" s="144" t="n">
        <f aca="false">+'[3]Jan ext legal'!E15+'[3]Feb ext legal'!E15+'[3]Mar ext legal'!E15+'[3]Apr ext legal'!E15+'[3]May ext legal'!E15+'[3]Jun ext legal'!E15+'[3]Jul ext legal'!E15</f>
        <v>0</v>
      </c>
      <c r="F15" s="145" t="n">
        <f aca="false">+'[3]Jan ext legal'!F15+'[3]Feb ext legal'!F15+'[3]Mar ext legal'!F15+'[3]Apr ext legal'!F15+'[3]May ext legal'!F15+'[3]Jun ext legal'!F15+'[3]Jul ext legal'!F15</f>
        <v>0</v>
      </c>
      <c r="G15" s="144" t="n">
        <f aca="false">+'[3]Jan ext legal'!G15+'[3]Feb ext legal'!G15+'[3]Mar ext legal'!G15+'[3]Apr ext legal'!G15+'[3]May ext legal'!G15+'[3]Jun ext legal'!G15+'[3]Jul ext legal'!G15</f>
        <v>0</v>
      </c>
      <c r="H15" s="145" t="n">
        <f aca="false">+'[3]Jan ext legal'!H15+'[3]Feb ext legal'!H15+'[3]Mar ext legal'!H15+'[3]Apr ext legal'!H15+'[3]May ext legal'!H15+'[3]Jun ext legal'!H15+'[3]Jul ext legal'!H15</f>
        <v>0</v>
      </c>
      <c r="I15" s="144" t="n">
        <f aca="false">+'[3]Jan ext legal'!I15+'[3]Feb ext legal'!I15+'[3]Mar ext legal'!I15+'[3]Apr ext legal'!I15+'[3]May ext legal'!I15+'[3]Jun ext legal'!I15+'[3]Jul ext legal'!I15</f>
        <v>0</v>
      </c>
      <c r="J15" s="145" t="n">
        <f aca="false">+'[3]Jan ext legal'!K15+'[3]Feb ext legal'!K15+'[3]Mar ext legal'!K15+'[3]Apr ext legal'!K15+'[3]May ext legal'!K15+'[3]Jun ext legal'!K15+'[3]Jul ext legal'!K15</f>
        <v>0</v>
      </c>
      <c r="K15" s="145" t="n">
        <f aca="false">+'[3]Jan ext legal'!L15+'[3]Feb ext legal'!L15+'[3]Mar ext legal'!L15+'[3]Apr ext legal'!L15+'[3]May ext legal'!L15+'[3]Jun ext legal'!L15+'[3]Jul ext legal'!L15</f>
        <v>0</v>
      </c>
      <c r="L15" s="145" t="n">
        <f aca="false">+'[3]Jan ext legal'!M15+'[3]Feb ext legal'!M15+'[3]Mar ext legal'!M15+'[3]Apr ext legal'!M15+'[3]May ext legal'!M15+'[3]Jun ext legal'!M15+'[3]Jul ext legal'!M15</f>
        <v>0</v>
      </c>
      <c r="M15" s="146" t="n">
        <f aca="false">+D15/D$73</f>
        <v>0</v>
      </c>
      <c r="N15" s="146" t="n">
        <f aca="false">+N$4*M15</f>
        <v>0</v>
      </c>
      <c r="O15" s="147"/>
      <c r="P15" s="146" t="n">
        <f aca="false">SUM(D15+N15)</f>
        <v>0</v>
      </c>
      <c r="Q15" s="141"/>
      <c r="R15" s="141"/>
    </row>
    <row r="16" customFormat="false" ht="11.25" hidden="true" customHeight="false" outlineLevel="0" collapsed="false">
      <c r="A16" s="142" t="n">
        <v>106005</v>
      </c>
      <c r="B16" s="141" t="s">
        <v>165</v>
      </c>
      <c r="C16" s="141"/>
      <c r="D16" s="143" t="n">
        <v>0</v>
      </c>
      <c r="E16" s="144" t="n">
        <f aca="false">+'[3]Jan ext legal'!E16+'[3]Feb ext legal'!E16+'[3]Mar ext legal'!E16+'[3]Apr ext legal'!E16+'[3]May ext legal'!E16+'[3]Jun ext legal'!E16+'[3]Jul ext legal'!E16</f>
        <v>0</v>
      </c>
      <c r="F16" s="145" t="n">
        <f aca="false">+'[3]Jan ext legal'!F16+'[3]Feb ext legal'!F16+'[3]Mar ext legal'!F16+'[3]Apr ext legal'!F16+'[3]May ext legal'!F16+'[3]Jun ext legal'!F16+'[3]Jul ext legal'!F16</f>
        <v>0</v>
      </c>
      <c r="G16" s="144" t="n">
        <f aca="false">+'[3]Jan ext legal'!G16+'[3]Feb ext legal'!G16+'[3]Mar ext legal'!G16+'[3]Apr ext legal'!G16+'[3]May ext legal'!G16+'[3]Jun ext legal'!G16+'[3]Jul ext legal'!G16</f>
        <v>0</v>
      </c>
      <c r="H16" s="145" t="n">
        <f aca="false">+'[3]Jan ext legal'!H16+'[3]Feb ext legal'!H16+'[3]Mar ext legal'!H16+'[3]Apr ext legal'!H16+'[3]May ext legal'!H16+'[3]Jun ext legal'!H16+'[3]Jul ext legal'!H16</f>
        <v>0</v>
      </c>
      <c r="I16" s="144" t="n">
        <f aca="false">+'[3]Jan ext legal'!I16+'[3]Feb ext legal'!I16+'[3]Mar ext legal'!I16+'[3]Apr ext legal'!I16+'[3]May ext legal'!I16+'[3]Jun ext legal'!I16+'[3]Jul ext legal'!I16</f>
        <v>0</v>
      </c>
      <c r="J16" s="145" t="n">
        <f aca="false">+'[3]Jan ext legal'!K16+'[3]Feb ext legal'!K16+'[3]Mar ext legal'!K16+'[3]Apr ext legal'!K16+'[3]May ext legal'!K16+'[3]Jun ext legal'!K16+'[3]Jul ext legal'!K16</f>
        <v>0</v>
      </c>
      <c r="K16" s="145" t="n">
        <f aca="false">+'[3]Jan ext legal'!L16+'[3]Feb ext legal'!L16+'[3]Mar ext legal'!L16+'[3]Apr ext legal'!L16+'[3]May ext legal'!L16+'[3]Jun ext legal'!L16+'[3]Jul ext legal'!L16</f>
        <v>0</v>
      </c>
      <c r="L16" s="145" t="n">
        <f aca="false">+'[3]Jan ext legal'!M16+'[3]Feb ext legal'!M16+'[3]Mar ext legal'!M16+'[3]Apr ext legal'!M16+'[3]May ext legal'!M16+'[3]Jun ext legal'!M16+'[3]Jul ext legal'!M16</f>
        <v>0</v>
      </c>
      <c r="M16" s="146" t="n">
        <f aca="false">+D16/D$73</f>
        <v>0</v>
      </c>
      <c r="N16" s="146" t="n">
        <f aca="false">+N$4*M16</f>
        <v>0</v>
      </c>
      <c r="O16" s="147"/>
      <c r="P16" s="146" t="n">
        <f aca="false">SUM(D16+N16)</f>
        <v>0</v>
      </c>
      <c r="Q16" s="141"/>
      <c r="R16" s="141"/>
    </row>
    <row r="17" customFormat="false" ht="11.25" hidden="true" customHeight="false" outlineLevel="0" collapsed="false">
      <c r="A17" s="133" t="n">
        <v>106042</v>
      </c>
      <c r="B17" s="134" t="s">
        <v>166</v>
      </c>
      <c r="C17" s="134" t="s">
        <v>155</v>
      </c>
      <c r="D17" s="136" t="n">
        <v>0</v>
      </c>
      <c r="E17" s="137" t="n">
        <f aca="false">+'[3]Jan ext legal'!E17+'[3]Feb ext legal'!E17+'[3]Mar ext legal'!E17+'[3]Apr ext legal'!E17+'[3]May ext legal'!E17+'[3]Jun ext legal'!E17+'[3]Jul ext legal'!E17</f>
        <v>102546.5</v>
      </c>
      <c r="F17" s="138" t="n">
        <f aca="false">+'[3]Jan ext legal'!F17+'[3]Feb ext legal'!F17+'[3]Mar ext legal'!F17+'[3]Apr ext legal'!F17+'[3]May ext legal'!F17+'[3]Jun ext legal'!F17+'[3]Jul ext legal'!F17</f>
        <v>0</v>
      </c>
      <c r="G17" s="137" t="n">
        <f aca="false">+'[3]Jan ext legal'!G17+'[3]Feb ext legal'!G17+'[3]Mar ext legal'!G17+'[3]Apr ext legal'!G17+'[3]May ext legal'!G17+'[3]Jun ext legal'!G17+'[3]Jul ext legal'!G17</f>
        <v>0</v>
      </c>
      <c r="H17" s="138" t="n">
        <f aca="false">+'[3]Jan ext legal'!H17+'[3]Feb ext legal'!H17+'[3]Mar ext legal'!H17+'[3]Apr ext legal'!H17+'[3]May ext legal'!H17+'[3]Jun ext legal'!H17+'[3]Jul ext legal'!H17</f>
        <v>0</v>
      </c>
      <c r="I17" s="137" t="n">
        <f aca="false">+'[3]Jan ext legal'!I17+'[3]Feb ext legal'!I17+'[3]Mar ext legal'!I17+'[3]Apr ext legal'!I17+'[3]May ext legal'!I17+'[3]Jun ext legal'!I17+'[3]Jul ext legal'!I17</f>
        <v>0</v>
      </c>
      <c r="J17" s="138" t="n">
        <f aca="false">+'[3]Jan ext legal'!K17+'[3]Feb ext legal'!K17+'[3]Mar ext legal'!K17+'[3]Apr ext legal'!K17+'[3]May ext legal'!K17+'[3]Jun ext legal'!K17+'[3]Jul ext legal'!K17</f>
        <v>12980.6</v>
      </c>
      <c r="K17" s="138" t="n">
        <f aca="false">+'[3]Jan ext legal'!L17+'[3]Feb ext legal'!L17+'[3]Mar ext legal'!L17+'[3]Apr ext legal'!L17+'[3]May ext legal'!L17+'[3]Jun ext legal'!L17+'[3]Jul ext legal'!L17</f>
        <v>0</v>
      </c>
      <c r="L17" s="138" t="n">
        <f aca="false">+'[3]Jan ext legal'!M17+'[3]Feb ext legal'!M17+'[3]Mar ext legal'!M17+'[3]Apr ext legal'!M17+'[3]May ext legal'!M17+'[3]Jun ext legal'!M17+'[3]Jul ext legal'!M17</f>
        <v>0</v>
      </c>
      <c r="M17" s="139" t="n">
        <f aca="false">+D17/D$73</f>
        <v>0</v>
      </c>
      <c r="N17" s="139" t="n">
        <f aca="false">+N$4*M17</f>
        <v>0</v>
      </c>
      <c r="O17" s="140"/>
      <c r="P17" s="139" t="n">
        <f aca="false">SUM(D17+N17)</f>
        <v>0</v>
      </c>
      <c r="Q17" s="141"/>
      <c r="R17" s="141"/>
    </row>
    <row r="18" customFormat="false" ht="11.25" hidden="false" customHeight="false" outlineLevel="0" collapsed="false">
      <c r="A18" s="133" t="n">
        <v>106196</v>
      </c>
      <c r="B18" s="134" t="s">
        <v>167</v>
      </c>
      <c r="C18" s="134" t="s">
        <v>155</v>
      </c>
      <c r="D18" s="136" t="n">
        <v>20801.94</v>
      </c>
      <c r="E18" s="137" t="n">
        <f aca="false">+'[3]Jan ext legal'!E18+'[3]Feb ext legal'!E18+'[3]Mar ext legal'!E18+'[3]Apr ext legal'!E18+'[3]May ext legal'!E18+'[3]Jun ext legal'!E18+'[3]Jul ext legal'!E18</f>
        <v>20801.94</v>
      </c>
      <c r="F18" s="138" t="n">
        <f aca="false">+'[3]Jan ext legal'!F18+'[3]Feb ext legal'!F18+'[3]Mar ext legal'!F18+'[3]Apr ext legal'!F18+'[3]May ext legal'!F18+'[3]Jun ext legal'!F18+'[3]Jul ext legal'!F18</f>
        <v>0</v>
      </c>
      <c r="G18" s="137" t="n">
        <f aca="false">+'[3]Jan ext legal'!G18+'[3]Feb ext legal'!G18+'[3]Mar ext legal'!G18+'[3]Apr ext legal'!G18+'[3]May ext legal'!G18+'[3]Jun ext legal'!G18+'[3]Jul ext legal'!G18</f>
        <v>0</v>
      </c>
      <c r="H18" s="138" t="n">
        <f aca="false">+'[3]Jan ext legal'!H18+'[3]Feb ext legal'!H18+'[3]Mar ext legal'!H18+'[3]Apr ext legal'!H18+'[3]May ext legal'!H18+'[3]Jun ext legal'!H18+'[3]Jul ext legal'!H18</f>
        <v>0</v>
      </c>
      <c r="I18" s="137" t="n">
        <f aca="false">+'[3]Jan ext legal'!I18+'[3]Feb ext legal'!I18+'[3]Mar ext legal'!I18+'[3]Apr ext legal'!I18+'[3]May ext legal'!I18+'[3]Jun ext legal'!I18+'[3]Jul ext legal'!I18</f>
        <v>0</v>
      </c>
      <c r="J18" s="138" t="n">
        <f aca="false">+'[3]Jan ext legal'!K18+'[3]Feb ext legal'!K18+'[3]Mar ext legal'!K18+'[3]Apr ext legal'!K18+'[3]May ext legal'!K18+'[3]Jun ext legal'!K18+'[3]Jul ext legal'!K18</f>
        <v>0</v>
      </c>
      <c r="K18" s="138" t="n">
        <f aca="false">+'[3]Jan ext legal'!L18+'[3]Feb ext legal'!L18+'[3]Mar ext legal'!L18+'[3]Apr ext legal'!L18+'[3]May ext legal'!L18+'[3]Jun ext legal'!L18+'[3]Jul ext legal'!L18</f>
        <v>0</v>
      </c>
      <c r="L18" s="138" t="n">
        <f aca="false">+'[3]Jan ext legal'!M18+'[3]Feb ext legal'!M18+'[3]Mar ext legal'!M18+'[3]Apr ext legal'!M18+'[3]May ext legal'!M18+'[3]Jun ext legal'!M18+'[3]Jul ext legal'!M18</f>
        <v>0</v>
      </c>
      <c r="M18" s="139" t="n">
        <f aca="false">+D18/D$73</f>
        <v>0.00177274272471365</v>
      </c>
      <c r="N18" s="139" t="n">
        <f aca="false">+N$4*M18</f>
        <v>15450.6487203941</v>
      </c>
      <c r="O18" s="140"/>
      <c r="P18" s="139" t="n">
        <f aca="false">SUM(D18+N18)</f>
        <v>36252.5887203941</v>
      </c>
      <c r="Q18" s="141"/>
      <c r="R18" s="141"/>
    </row>
    <row r="19" customFormat="false" ht="11.25" hidden="false" customHeight="false" outlineLevel="0" collapsed="false">
      <c r="A19" s="142" t="n">
        <v>106230</v>
      </c>
      <c r="B19" s="141" t="s">
        <v>168</v>
      </c>
      <c r="C19" s="141"/>
      <c r="D19" s="143" t="n">
        <v>1063397.86</v>
      </c>
      <c r="E19" s="144" t="n">
        <f aca="false">+'[3]Jan ext legal'!E19+'[3]Feb ext legal'!E19+'[3]Mar ext legal'!E19+'[3]Apr ext legal'!E19+'[3]May ext legal'!E19+'[3]Jun ext legal'!E19+'[3]Jul ext legal'!E19</f>
        <v>1063397.86</v>
      </c>
      <c r="F19" s="145" t="n">
        <f aca="false">+'[3]Jan ext legal'!F19+'[3]Feb ext legal'!F19+'[3]Mar ext legal'!F19+'[3]Apr ext legal'!F19+'[3]May ext legal'!F19+'[3]Jun ext legal'!F19+'[3]Jul ext legal'!F19</f>
        <v>0</v>
      </c>
      <c r="G19" s="144" t="n">
        <f aca="false">+'[3]Jan ext legal'!G19+'[3]Feb ext legal'!G19+'[3]Mar ext legal'!G19+'[3]Apr ext legal'!G19+'[3]May ext legal'!G19+'[3]Jun ext legal'!G19+'[3]Jul ext legal'!G19</f>
        <v>0</v>
      </c>
      <c r="H19" s="145" t="n">
        <f aca="false">+'[3]Jan ext legal'!H19+'[3]Feb ext legal'!H19+'[3]Mar ext legal'!H19+'[3]Apr ext legal'!H19+'[3]May ext legal'!H19+'[3]Jun ext legal'!H19+'[3]Jul ext legal'!H19</f>
        <v>0</v>
      </c>
      <c r="I19" s="144" t="n">
        <f aca="false">+'[3]Jan ext legal'!I19+'[3]Feb ext legal'!I19+'[3]Mar ext legal'!I19+'[3]Apr ext legal'!I19+'[3]May ext legal'!I19+'[3]Jun ext legal'!I19+'[3]Jul ext legal'!I19</f>
        <v>0</v>
      </c>
      <c r="J19" s="145" t="n">
        <f aca="false">+'[3]Jan ext legal'!K19+'[3]Feb ext legal'!K19+'[3]Mar ext legal'!K19+'[3]Apr ext legal'!K19+'[3]May ext legal'!K19+'[3]Jun ext legal'!K19+'[3]Jul ext legal'!K19</f>
        <v>0</v>
      </c>
      <c r="K19" s="145" t="n">
        <f aca="false">+'[3]Jan ext legal'!L19+'[3]Feb ext legal'!L19+'[3]Mar ext legal'!L19+'[3]Apr ext legal'!L19+'[3]May ext legal'!L19+'[3]Jun ext legal'!L19+'[3]Jul ext legal'!L19</f>
        <v>0</v>
      </c>
      <c r="L19" s="145" t="n">
        <f aca="false">+'[3]Jan ext legal'!M19+'[3]Feb ext legal'!M19+'[3]Mar ext legal'!M19+'[3]Apr ext legal'!M19+'[3]May ext legal'!M19+'[3]Jun ext legal'!M19+'[3]Jul ext legal'!M19</f>
        <v>0</v>
      </c>
      <c r="M19" s="146" t="n">
        <f aca="false">+D19/D$73</f>
        <v>0.0906228370907263</v>
      </c>
      <c r="N19" s="146" t="n">
        <f aca="false">+N$4*M19</f>
        <v>789839.158505353</v>
      </c>
      <c r="O19" s="147"/>
      <c r="P19" s="146" t="n">
        <f aca="false">SUM(D19+N19)</f>
        <v>1853237.01850535</v>
      </c>
      <c r="Q19" s="141"/>
      <c r="R19" s="141"/>
    </row>
    <row r="20" customFormat="false" ht="11.25" hidden="false" customHeight="false" outlineLevel="0" collapsed="false">
      <c r="A20" s="142" t="n">
        <v>106298</v>
      </c>
      <c r="B20" s="141" t="s">
        <v>169</v>
      </c>
      <c r="C20" s="141" t="s">
        <v>170</v>
      </c>
      <c r="D20" s="143" t="n">
        <v>124315.45</v>
      </c>
      <c r="E20" s="144" t="n">
        <f aca="false">+'[3]Jan ext legal'!E20+'[3]Feb ext legal'!E20+'[3]Mar ext legal'!E20+'[3]Apr ext legal'!E20+'[3]May ext legal'!E20+'[3]Jun ext legal'!E20+'[3]Jul ext legal'!E20</f>
        <v>148.63</v>
      </c>
      <c r="F20" s="145" t="n">
        <f aca="false">+'[3]Jan ext legal'!F20+'[3]Feb ext legal'!F20+'[3]Mar ext legal'!F20+'[3]Apr ext legal'!F20+'[3]May ext legal'!F20+'[3]Jun ext legal'!F20+'[3]Jul ext legal'!F20</f>
        <v>0</v>
      </c>
      <c r="G20" s="144" t="n">
        <f aca="false">+'[3]Jan ext legal'!G20+'[3]Feb ext legal'!G20+'[3]Mar ext legal'!G20+'[3]Apr ext legal'!G20+'[3]May ext legal'!G20+'[3]Jun ext legal'!G20+'[3]Jul ext legal'!G20</f>
        <v>108426.73</v>
      </c>
      <c r="H20" s="145" t="n">
        <f aca="false">+'[3]Jan ext legal'!H20+'[3]Feb ext legal'!H20+'[3]Mar ext legal'!H20+'[3]Apr ext legal'!H20+'[3]May ext legal'!H20+'[3]Jun ext legal'!H20+'[3]Jul ext legal'!H20</f>
        <v>0</v>
      </c>
      <c r="I20" s="144" t="n">
        <f aca="false">+'[3]Jan ext legal'!I20+'[3]Feb ext legal'!I20+'[3]Mar ext legal'!I20+'[3]Apr ext legal'!I20+'[3]May ext legal'!I20+'[3]Jun ext legal'!I20+'[3]Jul ext legal'!I20</f>
        <v>0</v>
      </c>
      <c r="J20" s="145" t="n">
        <f aca="false">+'[3]Jan ext legal'!K20+'[3]Feb ext legal'!K20+'[3]Mar ext legal'!K20+'[3]Apr ext legal'!K20+'[3]May ext legal'!K20+'[3]Jun ext legal'!K20+'[3]Jul ext legal'!K20</f>
        <v>15740.09</v>
      </c>
      <c r="K20" s="145" t="n">
        <f aca="false">+'[3]Jan ext legal'!L20+'[3]Feb ext legal'!L20+'[3]Mar ext legal'!L20+'[3]Apr ext legal'!L20+'[3]May ext legal'!L20+'[3]Jun ext legal'!L20+'[3]Jul ext legal'!L20</f>
        <v>0</v>
      </c>
      <c r="L20" s="145" t="n">
        <f aca="false">+'[3]Jan ext legal'!M20+'[3]Feb ext legal'!M20+'[3]Mar ext legal'!M20+'[3]Apr ext legal'!M20+'[3]May ext legal'!M20+'[3]Jun ext legal'!M20+'[3]Jul ext legal'!M20</f>
        <v>0</v>
      </c>
      <c r="M20" s="146" t="n">
        <f aca="false">+D20/D$73</f>
        <v>0.0105941710031374</v>
      </c>
      <c r="N20" s="146" t="n">
        <f aca="false">+N$4*M20</f>
        <v>92335.3470141592</v>
      </c>
      <c r="O20" s="147"/>
      <c r="P20" s="146" t="n">
        <f aca="false">SUM(D20+N20)</f>
        <v>216650.797014159</v>
      </c>
      <c r="Q20" s="141"/>
      <c r="R20" s="141"/>
    </row>
    <row r="21" customFormat="false" ht="11.25" hidden="false" customHeight="false" outlineLevel="0" collapsed="false">
      <c r="A21" s="142" t="n">
        <v>106303</v>
      </c>
      <c r="B21" s="141" t="s">
        <v>171</v>
      </c>
      <c r="C21" s="141" t="s">
        <v>172</v>
      </c>
      <c r="D21" s="143" t="n">
        <v>51352.16</v>
      </c>
      <c r="E21" s="144" t="n">
        <f aca="false">+'[3]Jan ext legal'!E21+'[3]Feb ext legal'!E21+'[3]Mar ext legal'!E21+'[3]Apr ext legal'!E21+'[3]May ext legal'!E21+'[3]Jun ext legal'!E21+'[3]Jul ext legal'!E21</f>
        <v>0</v>
      </c>
      <c r="F21" s="145" t="n">
        <f aca="false">+'[3]Jan ext legal'!F21+'[3]Feb ext legal'!F21+'[3]Mar ext legal'!F21+'[3]Apr ext legal'!F21+'[3]May ext legal'!F21+'[3]Jun ext legal'!F21+'[3]Jul ext legal'!F21</f>
        <v>0</v>
      </c>
      <c r="G21" s="144" t="n">
        <f aca="false">+'[3]Jan ext legal'!G21+'[3]Feb ext legal'!G21+'[3]Mar ext legal'!G21+'[3]Apr ext legal'!G21+'[3]May ext legal'!G21+'[3]Jun ext legal'!G21+'[3]Jul ext legal'!G21</f>
        <v>36468.51</v>
      </c>
      <c r="H21" s="145" t="n">
        <f aca="false">+'[3]Jan ext legal'!H21+'[3]Feb ext legal'!H21+'[3]Mar ext legal'!H21+'[3]Apr ext legal'!H21+'[3]May ext legal'!H21+'[3]Jun ext legal'!H21+'[3]Jul ext legal'!H21</f>
        <v>14883.65</v>
      </c>
      <c r="I21" s="144" t="n">
        <f aca="false">+'[3]Jan ext legal'!I21+'[3]Feb ext legal'!I21+'[3]Mar ext legal'!I21+'[3]Apr ext legal'!I21+'[3]May ext legal'!I21+'[3]Jun ext legal'!I21+'[3]Jul ext legal'!I21</f>
        <v>0</v>
      </c>
      <c r="J21" s="145" t="n">
        <f aca="false">+'[3]Jan ext legal'!K21+'[3]Feb ext legal'!K21+'[3]Mar ext legal'!K21+'[3]Apr ext legal'!K21+'[3]May ext legal'!K21+'[3]Jun ext legal'!K21+'[3]Jul ext legal'!K21</f>
        <v>0</v>
      </c>
      <c r="K21" s="145" t="n">
        <f aca="false">+'[3]Jan ext legal'!L21+'[3]Feb ext legal'!L21+'[3]Mar ext legal'!L21+'[3]Apr ext legal'!L21+'[3]May ext legal'!L21+'[3]Jun ext legal'!L21+'[3]Jul ext legal'!L21</f>
        <v>0</v>
      </c>
      <c r="L21" s="145" t="n">
        <f aca="false">+'[3]Jan ext legal'!M21+'[3]Feb ext legal'!M21+'[3]Mar ext legal'!M21+'[3]Apr ext legal'!M21+'[3]May ext legal'!M21+'[3]Jun ext legal'!M21+'[3]Jul ext legal'!M21</f>
        <v>0</v>
      </c>
      <c r="M21" s="146" t="n">
        <f aca="false">+D21/D$73</f>
        <v>0.00437623452612262</v>
      </c>
      <c r="N21" s="146" t="n">
        <f aca="false">+N$4*M21</f>
        <v>38141.8360592076</v>
      </c>
      <c r="O21" s="147"/>
      <c r="P21" s="146" t="n">
        <f aca="false">SUM(D21+N21)</f>
        <v>89493.9960592076</v>
      </c>
      <c r="Q21" s="141"/>
      <c r="R21" s="141"/>
    </row>
    <row r="22" customFormat="false" ht="11.25" hidden="false" customHeight="false" outlineLevel="0" collapsed="false">
      <c r="A22" s="142" t="n">
        <v>106331</v>
      </c>
      <c r="B22" s="141" t="s">
        <v>173</v>
      </c>
      <c r="C22" s="141"/>
      <c r="D22" s="143" t="n">
        <v>494716.81</v>
      </c>
      <c r="E22" s="144" t="n">
        <f aca="false">+'[3]Jan ext legal'!E22+'[3]Feb ext legal'!E22+'[3]Mar ext legal'!E22+'[3]Apr ext legal'!E22+'[3]May ext legal'!E22+'[3]Jun ext legal'!E22+'[3]Jul ext legal'!E22</f>
        <v>0</v>
      </c>
      <c r="F22" s="145" t="n">
        <f aca="false">+'[3]Jan ext legal'!F22+'[3]Feb ext legal'!F22+'[3]Mar ext legal'!F22+'[3]Apr ext legal'!F22+'[3]May ext legal'!F22+'[3]Jun ext legal'!F22+'[3]Jul ext legal'!F22</f>
        <v>0</v>
      </c>
      <c r="G22" s="144" t="n">
        <f aca="false">+'[3]Jan ext legal'!G22+'[3]Feb ext legal'!G22+'[3]Mar ext legal'!G22+'[3]Apr ext legal'!G22+'[3]May ext legal'!G22+'[3]Jun ext legal'!G22+'[3]Jul ext legal'!G22</f>
        <v>493843.73</v>
      </c>
      <c r="H22" s="145" t="n">
        <f aca="false">+'[3]Jan ext legal'!H22+'[3]Feb ext legal'!H22+'[3]Mar ext legal'!H22+'[3]Apr ext legal'!H22+'[3]May ext legal'!H22+'[3]Jun ext legal'!H22+'[3]Jul ext legal'!H22</f>
        <v>873.08</v>
      </c>
      <c r="I22" s="144" t="n">
        <f aca="false">+'[3]Jan ext legal'!I22+'[3]Feb ext legal'!I22+'[3]Mar ext legal'!I22+'[3]Apr ext legal'!I22+'[3]May ext legal'!I22+'[3]Jun ext legal'!I22+'[3]Jul ext legal'!I22</f>
        <v>0</v>
      </c>
      <c r="J22" s="145" t="n">
        <f aca="false">+'[3]Jan ext legal'!K22+'[3]Feb ext legal'!K22+'[3]Mar ext legal'!K22+'[3]Apr ext legal'!K22+'[3]May ext legal'!K22+'[3]Jun ext legal'!K22+'[3]Jul ext legal'!K22</f>
        <v>0</v>
      </c>
      <c r="K22" s="145" t="n">
        <f aca="false">+'[3]Jan ext legal'!L22+'[3]Feb ext legal'!L22+'[3]Mar ext legal'!L22+'[3]Apr ext legal'!L22+'[3]May ext legal'!L22+'[3]Jun ext legal'!L22+'[3]Jul ext legal'!L22</f>
        <v>0</v>
      </c>
      <c r="L22" s="145" t="n">
        <f aca="false">+'[3]Jan ext legal'!M22+'[3]Feb ext legal'!M22+'[3]Mar ext legal'!M22+'[3]Apr ext legal'!M22+'[3]May ext legal'!M22+'[3]Jun ext legal'!M22+'[3]Jul ext legal'!M22</f>
        <v>0</v>
      </c>
      <c r="M22" s="146" t="n">
        <f aca="false">+D22/D$73</f>
        <v>0.0421597997937233</v>
      </c>
      <c r="N22" s="146" t="n">
        <f aca="false">+N$4*M22</f>
        <v>367451.095781641</v>
      </c>
      <c r="O22" s="147"/>
      <c r="P22" s="146" t="n">
        <f aca="false">SUM(D22+N22)</f>
        <v>862167.905781641</v>
      </c>
      <c r="Q22" s="141"/>
      <c r="R22" s="141"/>
    </row>
    <row r="23" customFormat="false" ht="11.25" hidden="true" customHeight="false" outlineLevel="0" collapsed="false">
      <c r="A23" s="142" t="n">
        <v>106580</v>
      </c>
      <c r="B23" s="141" t="s">
        <v>174</v>
      </c>
      <c r="C23" s="141"/>
      <c r="D23" s="143" t="n">
        <v>0</v>
      </c>
      <c r="E23" s="144" t="n">
        <f aca="false">+'[3]Jan ext legal'!E23+'[3]Feb ext legal'!E23+'[3]Mar ext legal'!E23+'[3]Apr ext legal'!E23+'[3]May ext legal'!E23+'[3]Jun ext legal'!E23+'[3]Jul ext legal'!E23</f>
        <v>0</v>
      </c>
      <c r="F23" s="145" t="n">
        <f aca="false">+'[3]Jan ext legal'!F23+'[3]Feb ext legal'!F23+'[3]Mar ext legal'!F23+'[3]Apr ext legal'!F23+'[3]May ext legal'!F23+'[3]Jun ext legal'!F23+'[3]Jul ext legal'!F23</f>
        <v>0</v>
      </c>
      <c r="G23" s="144" t="n">
        <f aca="false">+'[3]Jan ext legal'!G23+'[3]Feb ext legal'!G23+'[3]Mar ext legal'!G23+'[3]Apr ext legal'!G23+'[3]May ext legal'!G23+'[3]Jun ext legal'!G23+'[3]Jul ext legal'!G23</f>
        <v>0</v>
      </c>
      <c r="H23" s="145" t="n">
        <f aca="false">+'[3]Jan ext legal'!H23+'[3]Feb ext legal'!H23+'[3]Mar ext legal'!H23+'[3]Apr ext legal'!H23+'[3]May ext legal'!H23+'[3]Jun ext legal'!H23+'[3]Jul ext legal'!H23</f>
        <v>0</v>
      </c>
      <c r="I23" s="144" t="n">
        <f aca="false">+'[3]Jan ext legal'!I23+'[3]Feb ext legal'!I23+'[3]Mar ext legal'!I23+'[3]Apr ext legal'!I23+'[3]May ext legal'!I23+'[3]Jun ext legal'!I23+'[3]Jul ext legal'!I23</f>
        <v>0</v>
      </c>
      <c r="J23" s="145" t="n">
        <f aca="false">+'[3]Jan ext legal'!K23+'[3]Feb ext legal'!K23+'[3]Mar ext legal'!K23+'[3]Apr ext legal'!K23+'[3]May ext legal'!K23+'[3]Jun ext legal'!K23+'[3]Jul ext legal'!K23</f>
        <v>0</v>
      </c>
      <c r="K23" s="145" t="n">
        <f aca="false">+'[3]Jan ext legal'!L23+'[3]Feb ext legal'!L23+'[3]Mar ext legal'!L23+'[3]Apr ext legal'!L23+'[3]May ext legal'!L23+'[3]Jun ext legal'!L23+'[3]Jul ext legal'!L23</f>
        <v>0</v>
      </c>
      <c r="L23" s="145" t="n">
        <f aca="false">+'[3]Jan ext legal'!M23+'[3]Feb ext legal'!M23+'[3]Mar ext legal'!M23+'[3]Apr ext legal'!M23+'[3]May ext legal'!M23+'[3]Jun ext legal'!M23+'[3]Jul ext legal'!M23</f>
        <v>0</v>
      </c>
      <c r="M23" s="146" t="n">
        <f aca="false">+D23/D$73</f>
        <v>0</v>
      </c>
      <c r="N23" s="146" t="n">
        <f aca="false">+N$4*M23</f>
        <v>0</v>
      </c>
      <c r="O23" s="147"/>
      <c r="P23" s="146" t="n">
        <f aca="false">SUM(D23+N23)</f>
        <v>0</v>
      </c>
      <c r="Q23" s="141"/>
      <c r="R23" s="141"/>
    </row>
    <row r="24" customFormat="false" ht="11.25" hidden="true" customHeight="false" outlineLevel="0" collapsed="false">
      <c r="A24" s="142" t="n">
        <v>106582</v>
      </c>
      <c r="B24" s="141" t="s">
        <v>175</v>
      </c>
      <c r="C24" s="141" t="s">
        <v>176</v>
      </c>
      <c r="D24" s="143" t="n">
        <v>0</v>
      </c>
      <c r="E24" s="144" t="n">
        <f aca="false">+'[3]Jan ext legal'!E24+'[3]Feb ext legal'!E24+'[3]Mar ext legal'!E24+'[3]Apr ext legal'!E24+'[3]May ext legal'!E24+'[3]Jun ext legal'!E24+'[3]Jul ext legal'!E24</f>
        <v>0</v>
      </c>
      <c r="F24" s="145" t="n">
        <f aca="false">+'[3]Jan ext legal'!F24+'[3]Feb ext legal'!F24+'[3]Mar ext legal'!F24+'[3]Apr ext legal'!F24+'[3]May ext legal'!F24+'[3]Jun ext legal'!F24+'[3]Jul ext legal'!F24</f>
        <v>0</v>
      </c>
      <c r="G24" s="144" t="n">
        <f aca="false">+'[3]Jan ext legal'!G24+'[3]Feb ext legal'!G24+'[3]Mar ext legal'!G24+'[3]Apr ext legal'!G24+'[3]May ext legal'!G24+'[3]Jun ext legal'!G24+'[3]Jul ext legal'!G24</f>
        <v>0</v>
      </c>
      <c r="H24" s="145" t="n">
        <f aca="false">+'[3]Jan ext legal'!H24+'[3]Feb ext legal'!H24+'[3]Mar ext legal'!H24+'[3]Apr ext legal'!H24+'[3]May ext legal'!H24+'[3]Jun ext legal'!H24+'[3]Jul ext legal'!H24</f>
        <v>0</v>
      </c>
      <c r="I24" s="144" t="n">
        <f aca="false">+'[3]Jan ext legal'!I24+'[3]Feb ext legal'!I24+'[3]Mar ext legal'!I24+'[3]Apr ext legal'!I24+'[3]May ext legal'!I24+'[3]Jun ext legal'!I24+'[3]Jul ext legal'!I24</f>
        <v>0</v>
      </c>
      <c r="J24" s="145" t="n">
        <f aca="false">+'[3]Jan ext legal'!K24+'[3]Feb ext legal'!K24+'[3]Mar ext legal'!K24+'[3]Apr ext legal'!K24+'[3]May ext legal'!K24+'[3]Jun ext legal'!K24+'[3]Jul ext legal'!K24</f>
        <v>0</v>
      </c>
      <c r="K24" s="145" t="n">
        <f aca="false">+'[3]Jan ext legal'!L24+'[3]Feb ext legal'!L24+'[3]Mar ext legal'!L24+'[3]Apr ext legal'!L24+'[3]May ext legal'!L24+'[3]Jun ext legal'!L24+'[3]Jul ext legal'!L24</f>
        <v>0</v>
      </c>
      <c r="L24" s="145" t="n">
        <f aca="false">+'[3]Jan ext legal'!M24+'[3]Feb ext legal'!M24+'[3]Mar ext legal'!M24+'[3]Apr ext legal'!M24+'[3]May ext legal'!M24+'[3]Jun ext legal'!M24+'[3]Jul ext legal'!M24</f>
        <v>0</v>
      </c>
      <c r="M24" s="146" t="n">
        <f aca="false">+D24/D$73</f>
        <v>0</v>
      </c>
      <c r="N24" s="146" t="n">
        <f aca="false">+N$4*M24</f>
        <v>0</v>
      </c>
      <c r="O24" s="147"/>
      <c r="P24" s="146" t="n">
        <f aca="false">SUM(D24+N24)</f>
        <v>0</v>
      </c>
      <c r="Q24" s="141"/>
      <c r="R24" s="141"/>
    </row>
    <row r="25" customFormat="false" ht="11.25" hidden="true" customHeight="false" outlineLevel="0" collapsed="false">
      <c r="A25" s="142" t="n">
        <v>106587</v>
      </c>
      <c r="B25" s="141" t="s">
        <v>177</v>
      </c>
      <c r="C25" s="141" t="s">
        <v>178</v>
      </c>
      <c r="D25" s="143" t="n">
        <v>0</v>
      </c>
      <c r="E25" s="144" t="n">
        <f aca="false">+'[3]Jan ext legal'!E25+'[3]Feb ext legal'!E25+'[3]Mar ext legal'!E25+'[3]Apr ext legal'!E25+'[3]May ext legal'!E25+'[3]Jun ext legal'!E25+'[3]Jul ext legal'!E25</f>
        <v>0</v>
      </c>
      <c r="F25" s="145" t="n">
        <f aca="false">+'[3]Jan ext legal'!F25+'[3]Feb ext legal'!F25+'[3]Mar ext legal'!F25+'[3]Apr ext legal'!F25+'[3]May ext legal'!F25+'[3]Jun ext legal'!F25+'[3]Jul ext legal'!F25</f>
        <v>0</v>
      </c>
      <c r="G25" s="144" t="n">
        <f aca="false">+'[3]Jan ext legal'!G25+'[3]Feb ext legal'!G25+'[3]Mar ext legal'!G25+'[3]Apr ext legal'!G25+'[3]May ext legal'!G25+'[3]Jun ext legal'!G25+'[3]Jul ext legal'!G25</f>
        <v>0</v>
      </c>
      <c r="H25" s="145" t="n">
        <f aca="false">+'[3]Jan ext legal'!H25+'[3]Feb ext legal'!H25+'[3]Mar ext legal'!H25+'[3]Apr ext legal'!H25+'[3]May ext legal'!H25+'[3]Jun ext legal'!H25+'[3]Jul ext legal'!H25</f>
        <v>0</v>
      </c>
      <c r="I25" s="144" t="n">
        <f aca="false">+'[3]Jan ext legal'!I25+'[3]Feb ext legal'!I25+'[3]Mar ext legal'!I25+'[3]Apr ext legal'!I25+'[3]May ext legal'!I25+'[3]Jun ext legal'!I25+'[3]Jul ext legal'!I25</f>
        <v>0</v>
      </c>
      <c r="J25" s="145" t="n">
        <f aca="false">+'[3]Jan ext legal'!K25+'[3]Feb ext legal'!K25+'[3]Mar ext legal'!K25+'[3]Apr ext legal'!K25+'[3]May ext legal'!K25+'[3]Jun ext legal'!K25+'[3]Jul ext legal'!K25</f>
        <v>0</v>
      </c>
      <c r="K25" s="145" t="n">
        <f aca="false">+'[3]Jan ext legal'!L25+'[3]Feb ext legal'!L25+'[3]Mar ext legal'!L25+'[3]Apr ext legal'!L25+'[3]May ext legal'!L25+'[3]Jun ext legal'!L25+'[3]Jul ext legal'!L25</f>
        <v>0</v>
      </c>
      <c r="L25" s="145" t="n">
        <f aca="false">+'[3]Jan ext legal'!M25+'[3]Feb ext legal'!M25+'[3]Mar ext legal'!M25+'[3]Apr ext legal'!M25+'[3]May ext legal'!M25+'[3]Jun ext legal'!M25+'[3]Jul ext legal'!M25</f>
        <v>0</v>
      </c>
      <c r="M25" s="146" t="n">
        <f aca="false">+D25/D$73</f>
        <v>0</v>
      </c>
      <c r="N25" s="146" t="n">
        <f aca="false">+N$4*M25</f>
        <v>0</v>
      </c>
      <c r="O25" s="147"/>
      <c r="P25" s="146" t="n">
        <f aca="false">SUM(D25+N25)</f>
        <v>0</v>
      </c>
      <c r="Q25" s="141"/>
      <c r="R25" s="141"/>
    </row>
    <row r="26" customFormat="false" ht="11.25" hidden="true" customHeight="false" outlineLevel="0" collapsed="false">
      <c r="A26" s="142" t="n">
        <v>106588</v>
      </c>
      <c r="B26" s="141" t="s">
        <v>179</v>
      </c>
      <c r="C26" s="141" t="s">
        <v>180</v>
      </c>
      <c r="D26" s="143" t="n">
        <v>0</v>
      </c>
      <c r="E26" s="144" t="n">
        <f aca="false">+'[3]Jan ext legal'!E26+'[3]Feb ext legal'!E26+'[3]Mar ext legal'!E26+'[3]Apr ext legal'!E26+'[3]May ext legal'!E26+'[3]Jun ext legal'!E26+'[3]Jul ext legal'!E26</f>
        <v>0</v>
      </c>
      <c r="F26" s="145" t="n">
        <f aca="false">+'[3]Jan ext legal'!F26+'[3]Feb ext legal'!F26+'[3]Mar ext legal'!F26+'[3]Apr ext legal'!F26+'[3]May ext legal'!F26+'[3]Jun ext legal'!F26+'[3]Jul ext legal'!F26</f>
        <v>0</v>
      </c>
      <c r="G26" s="144" t="n">
        <f aca="false">+'[3]Jan ext legal'!G26+'[3]Feb ext legal'!G26+'[3]Mar ext legal'!G26+'[3]Apr ext legal'!G26+'[3]May ext legal'!G26+'[3]Jun ext legal'!G26+'[3]Jul ext legal'!G26</f>
        <v>0</v>
      </c>
      <c r="H26" s="145" t="n">
        <f aca="false">+'[3]Jan ext legal'!H26+'[3]Feb ext legal'!H26+'[3]Mar ext legal'!H26+'[3]Apr ext legal'!H26+'[3]May ext legal'!H26+'[3]Jun ext legal'!H26+'[3]Jul ext legal'!H26</f>
        <v>0</v>
      </c>
      <c r="I26" s="144" t="n">
        <f aca="false">+'[3]Jan ext legal'!I26+'[3]Feb ext legal'!I26+'[3]Mar ext legal'!I26+'[3]Apr ext legal'!I26+'[3]May ext legal'!I26+'[3]Jun ext legal'!I26+'[3]Jul ext legal'!I26</f>
        <v>0</v>
      </c>
      <c r="J26" s="145" t="n">
        <f aca="false">+'[3]Jan ext legal'!K26+'[3]Feb ext legal'!K26+'[3]Mar ext legal'!K26+'[3]Apr ext legal'!K26+'[3]May ext legal'!K26+'[3]Jun ext legal'!K26+'[3]Jul ext legal'!K26</f>
        <v>0</v>
      </c>
      <c r="K26" s="145" t="n">
        <f aca="false">+'[3]Jan ext legal'!L26+'[3]Feb ext legal'!L26+'[3]Mar ext legal'!L26+'[3]Apr ext legal'!L26+'[3]May ext legal'!L26+'[3]Jun ext legal'!L26+'[3]Jul ext legal'!L26</f>
        <v>0</v>
      </c>
      <c r="L26" s="145" t="n">
        <f aca="false">+'[3]Jan ext legal'!M26+'[3]Feb ext legal'!M26+'[3]Mar ext legal'!M26+'[3]Apr ext legal'!M26+'[3]May ext legal'!M26+'[3]Jun ext legal'!M26+'[3]Jul ext legal'!M26</f>
        <v>0</v>
      </c>
      <c r="M26" s="146" t="n">
        <f aca="false">+D26/D$73</f>
        <v>0</v>
      </c>
      <c r="N26" s="146" t="n">
        <f aca="false">+N$4*M26</f>
        <v>0</v>
      </c>
      <c r="O26" s="147"/>
      <c r="P26" s="146" t="n">
        <f aca="false">SUM(D26+N26)</f>
        <v>0</v>
      </c>
      <c r="Q26" s="141"/>
      <c r="R26" s="141"/>
    </row>
    <row r="27" customFormat="false" ht="11.25" hidden="true" customHeight="false" outlineLevel="0" collapsed="false">
      <c r="A27" s="142" t="n">
        <v>106589</v>
      </c>
      <c r="B27" s="141" t="s">
        <v>181</v>
      </c>
      <c r="C27" s="141"/>
      <c r="D27" s="143" t="n">
        <v>0</v>
      </c>
      <c r="E27" s="144" t="n">
        <f aca="false">+'[3]Jan ext legal'!E27+'[3]Feb ext legal'!E27+'[3]Mar ext legal'!E27+'[3]Apr ext legal'!E27+'[3]May ext legal'!E27+'[3]Jun ext legal'!E27+'[3]Jul ext legal'!E27</f>
        <v>0</v>
      </c>
      <c r="F27" s="145" t="n">
        <f aca="false">+'[3]Jan ext legal'!F27+'[3]Feb ext legal'!F27+'[3]Mar ext legal'!F27+'[3]Apr ext legal'!F27+'[3]May ext legal'!F27+'[3]Jun ext legal'!F27+'[3]Jul ext legal'!F27</f>
        <v>0</v>
      </c>
      <c r="G27" s="144" t="n">
        <f aca="false">+'[3]Jan ext legal'!G27+'[3]Feb ext legal'!G27+'[3]Mar ext legal'!G27+'[3]Apr ext legal'!G27+'[3]May ext legal'!G27+'[3]Jun ext legal'!G27+'[3]Jul ext legal'!G27</f>
        <v>0</v>
      </c>
      <c r="H27" s="145" t="n">
        <f aca="false">+'[3]Jan ext legal'!H27+'[3]Feb ext legal'!H27+'[3]Mar ext legal'!H27+'[3]Apr ext legal'!H27+'[3]May ext legal'!H27+'[3]Jun ext legal'!H27+'[3]Jul ext legal'!H27</f>
        <v>0</v>
      </c>
      <c r="I27" s="144" t="n">
        <f aca="false">+'[3]Jan ext legal'!I27+'[3]Feb ext legal'!I27+'[3]Mar ext legal'!I27+'[3]Apr ext legal'!I27+'[3]May ext legal'!I27+'[3]Jun ext legal'!I27+'[3]Jul ext legal'!I27</f>
        <v>0</v>
      </c>
      <c r="J27" s="145" t="n">
        <f aca="false">+'[3]Jan ext legal'!K27+'[3]Feb ext legal'!K27+'[3]Mar ext legal'!K27+'[3]Apr ext legal'!K27+'[3]May ext legal'!K27+'[3]Jun ext legal'!K27+'[3]Jul ext legal'!K27</f>
        <v>0</v>
      </c>
      <c r="K27" s="145" t="n">
        <f aca="false">+'[3]Jan ext legal'!L27+'[3]Feb ext legal'!L27+'[3]Mar ext legal'!L27+'[3]Apr ext legal'!L27+'[3]May ext legal'!L27+'[3]Jun ext legal'!L27+'[3]Jul ext legal'!L27</f>
        <v>0</v>
      </c>
      <c r="L27" s="145" t="n">
        <f aca="false">+'[3]Jan ext legal'!M27+'[3]Feb ext legal'!M27+'[3]Mar ext legal'!M27+'[3]Apr ext legal'!M27+'[3]May ext legal'!M27+'[3]Jun ext legal'!M27+'[3]Jul ext legal'!M27</f>
        <v>0</v>
      </c>
      <c r="M27" s="146" t="n">
        <f aca="false">+D27/D$73</f>
        <v>0</v>
      </c>
      <c r="N27" s="146" t="n">
        <f aca="false">+N$4*M27</f>
        <v>0</v>
      </c>
      <c r="O27" s="147"/>
      <c r="P27" s="146" t="n">
        <f aca="false">SUM(D27+N27)</f>
        <v>0</v>
      </c>
      <c r="Q27" s="141"/>
      <c r="R27" s="141"/>
    </row>
    <row r="28" customFormat="false" ht="11.25" hidden="true" customHeight="false" outlineLevel="0" collapsed="false">
      <c r="A28" s="142" t="n">
        <v>106590</v>
      </c>
      <c r="B28" s="141" t="s">
        <v>182</v>
      </c>
      <c r="C28" s="141" t="s">
        <v>180</v>
      </c>
      <c r="D28" s="143" t="n">
        <v>0</v>
      </c>
      <c r="E28" s="144" t="n">
        <f aca="false">+'[3]Jan ext legal'!E28+'[3]Feb ext legal'!E28+'[3]Mar ext legal'!E28+'[3]Apr ext legal'!E28+'[3]May ext legal'!E28+'[3]Jun ext legal'!E28+'[3]Jul ext legal'!E28</f>
        <v>0</v>
      </c>
      <c r="F28" s="145" t="n">
        <f aca="false">+'[3]Jan ext legal'!F28+'[3]Feb ext legal'!F28+'[3]Mar ext legal'!F28+'[3]Apr ext legal'!F28+'[3]May ext legal'!F28+'[3]Jun ext legal'!F28+'[3]Jul ext legal'!F28</f>
        <v>0</v>
      </c>
      <c r="G28" s="144" t="n">
        <f aca="false">+'[3]Jan ext legal'!G28+'[3]Feb ext legal'!G28+'[3]Mar ext legal'!G28+'[3]Apr ext legal'!G28+'[3]May ext legal'!G28+'[3]Jun ext legal'!G28+'[3]Jul ext legal'!G28</f>
        <v>0</v>
      </c>
      <c r="H28" s="145" t="n">
        <f aca="false">+'[3]Jan ext legal'!H28+'[3]Feb ext legal'!H28+'[3]Mar ext legal'!H28+'[3]Apr ext legal'!H28+'[3]May ext legal'!H28+'[3]Jun ext legal'!H28+'[3]Jul ext legal'!H28</f>
        <v>0</v>
      </c>
      <c r="I28" s="144" t="n">
        <f aca="false">+'[3]Jan ext legal'!I28+'[3]Feb ext legal'!I28+'[3]Mar ext legal'!I28+'[3]Apr ext legal'!I28+'[3]May ext legal'!I28+'[3]Jun ext legal'!I28+'[3]Jul ext legal'!I28</f>
        <v>0</v>
      </c>
      <c r="J28" s="145" t="n">
        <f aca="false">+'[3]Jan ext legal'!K28+'[3]Feb ext legal'!K28+'[3]Mar ext legal'!K28+'[3]Apr ext legal'!K28+'[3]May ext legal'!K28+'[3]Jun ext legal'!K28+'[3]Jul ext legal'!K28</f>
        <v>0</v>
      </c>
      <c r="K28" s="145" t="n">
        <f aca="false">+'[3]Jan ext legal'!L28+'[3]Feb ext legal'!L28+'[3]Mar ext legal'!L28+'[3]Apr ext legal'!L28+'[3]May ext legal'!L28+'[3]Jun ext legal'!L28+'[3]Jul ext legal'!L28</f>
        <v>0</v>
      </c>
      <c r="L28" s="145" t="n">
        <f aca="false">+'[3]Jan ext legal'!M28+'[3]Feb ext legal'!M28+'[3]Mar ext legal'!M28+'[3]Apr ext legal'!M28+'[3]May ext legal'!M28+'[3]Jun ext legal'!M28+'[3]Jul ext legal'!M28</f>
        <v>0</v>
      </c>
      <c r="M28" s="146" t="n">
        <f aca="false">+D28/D$73</f>
        <v>0</v>
      </c>
      <c r="N28" s="146" t="n">
        <f aca="false">+N$4*M28</f>
        <v>0</v>
      </c>
      <c r="O28" s="147"/>
      <c r="P28" s="146" t="n">
        <f aca="false">SUM(D28+N28)</f>
        <v>0</v>
      </c>
      <c r="Q28" s="141"/>
      <c r="R28" s="141"/>
    </row>
    <row r="29" customFormat="false" ht="11.25" hidden="true" customHeight="false" outlineLevel="0" collapsed="false">
      <c r="A29" s="142" t="n">
        <v>106591</v>
      </c>
      <c r="B29" s="141" t="s">
        <v>183</v>
      </c>
      <c r="C29" s="141" t="s">
        <v>180</v>
      </c>
      <c r="D29" s="143" t="n">
        <v>0</v>
      </c>
      <c r="E29" s="144" t="n">
        <f aca="false">+'[3]Jan ext legal'!E29+'[3]Feb ext legal'!E29+'[3]Mar ext legal'!E29+'[3]Apr ext legal'!E29+'[3]May ext legal'!E29+'[3]Jun ext legal'!E29+'[3]Jul ext legal'!E29</f>
        <v>0</v>
      </c>
      <c r="F29" s="145" t="n">
        <f aca="false">+'[3]Jan ext legal'!F29+'[3]Feb ext legal'!F29+'[3]Mar ext legal'!F29+'[3]Apr ext legal'!F29+'[3]May ext legal'!F29+'[3]Jun ext legal'!F29+'[3]Jul ext legal'!F29</f>
        <v>0</v>
      </c>
      <c r="G29" s="144" t="n">
        <f aca="false">+'[3]Jan ext legal'!G29+'[3]Feb ext legal'!G29+'[3]Mar ext legal'!G29+'[3]Apr ext legal'!G29+'[3]May ext legal'!G29+'[3]Jun ext legal'!G29+'[3]Jul ext legal'!G29</f>
        <v>0</v>
      </c>
      <c r="H29" s="145" t="n">
        <f aca="false">+'[3]Jan ext legal'!H29+'[3]Feb ext legal'!H29+'[3]Mar ext legal'!H29+'[3]Apr ext legal'!H29+'[3]May ext legal'!H29+'[3]Jun ext legal'!H29+'[3]Jul ext legal'!H29</f>
        <v>0</v>
      </c>
      <c r="I29" s="144" t="n">
        <f aca="false">+'[3]Jan ext legal'!I29+'[3]Feb ext legal'!I29+'[3]Mar ext legal'!I29+'[3]Apr ext legal'!I29+'[3]May ext legal'!I29+'[3]Jun ext legal'!I29+'[3]Jul ext legal'!I29</f>
        <v>0</v>
      </c>
      <c r="J29" s="145" t="n">
        <f aca="false">+'[3]Jan ext legal'!K29+'[3]Feb ext legal'!K29+'[3]Mar ext legal'!K29+'[3]Apr ext legal'!K29+'[3]May ext legal'!K29+'[3]Jun ext legal'!K29+'[3]Jul ext legal'!K29</f>
        <v>0</v>
      </c>
      <c r="K29" s="145" t="n">
        <f aca="false">+'[3]Jan ext legal'!L29+'[3]Feb ext legal'!L29+'[3]Mar ext legal'!L29+'[3]Apr ext legal'!L29+'[3]May ext legal'!L29+'[3]Jun ext legal'!L29+'[3]Jul ext legal'!L29</f>
        <v>0</v>
      </c>
      <c r="L29" s="145" t="n">
        <f aca="false">+'[3]Jan ext legal'!M29+'[3]Feb ext legal'!M29+'[3]Mar ext legal'!M29+'[3]Apr ext legal'!M29+'[3]May ext legal'!M29+'[3]Jun ext legal'!M29+'[3]Jul ext legal'!M29</f>
        <v>0</v>
      </c>
      <c r="M29" s="146" t="n">
        <f aca="false">+D29/D$73</f>
        <v>0</v>
      </c>
      <c r="N29" s="146" t="n">
        <f aca="false">+N$4*M29</f>
        <v>0</v>
      </c>
      <c r="O29" s="147"/>
      <c r="P29" s="146" t="n">
        <f aca="false">SUM(D29+N29)</f>
        <v>0</v>
      </c>
      <c r="Q29" s="141"/>
      <c r="R29" s="141"/>
    </row>
    <row r="30" customFormat="false" ht="11.25" hidden="true" customHeight="false" outlineLevel="0" collapsed="false">
      <c r="A30" s="142" t="n">
        <v>106592</v>
      </c>
      <c r="B30" s="141" t="s">
        <v>184</v>
      </c>
      <c r="C30" s="141" t="s">
        <v>180</v>
      </c>
      <c r="D30" s="143" t="n">
        <v>0</v>
      </c>
      <c r="E30" s="144" t="n">
        <f aca="false">+'[3]Jan ext legal'!E30+'[3]Feb ext legal'!E30+'[3]Mar ext legal'!E30+'[3]Apr ext legal'!E30+'[3]May ext legal'!E30+'[3]Jun ext legal'!E30+'[3]Jul ext legal'!E30</f>
        <v>0</v>
      </c>
      <c r="F30" s="145" t="n">
        <f aca="false">+'[3]Jan ext legal'!F30+'[3]Feb ext legal'!F30+'[3]Mar ext legal'!F30+'[3]Apr ext legal'!F30+'[3]May ext legal'!F30+'[3]Jun ext legal'!F30+'[3]Jul ext legal'!F30</f>
        <v>0</v>
      </c>
      <c r="G30" s="144" t="n">
        <f aca="false">+'[3]Jan ext legal'!G30+'[3]Feb ext legal'!G30+'[3]Mar ext legal'!G30+'[3]Apr ext legal'!G30+'[3]May ext legal'!G30+'[3]Jun ext legal'!G30+'[3]Jul ext legal'!G30</f>
        <v>0</v>
      </c>
      <c r="H30" s="145" t="n">
        <f aca="false">+'[3]Jan ext legal'!H30+'[3]Feb ext legal'!H30+'[3]Mar ext legal'!H30+'[3]Apr ext legal'!H30+'[3]May ext legal'!H30+'[3]Jun ext legal'!H30+'[3]Jul ext legal'!H30</f>
        <v>0</v>
      </c>
      <c r="I30" s="144" t="n">
        <f aca="false">+'[3]Jan ext legal'!I30+'[3]Feb ext legal'!I30+'[3]Mar ext legal'!I30+'[3]Apr ext legal'!I30+'[3]May ext legal'!I30+'[3]Jun ext legal'!I30+'[3]Jul ext legal'!I30</f>
        <v>0</v>
      </c>
      <c r="J30" s="145" t="n">
        <f aca="false">+'[3]Jan ext legal'!K30+'[3]Feb ext legal'!K30+'[3]Mar ext legal'!K30+'[3]Apr ext legal'!K30+'[3]May ext legal'!K30+'[3]Jun ext legal'!K30+'[3]Jul ext legal'!K30</f>
        <v>0</v>
      </c>
      <c r="K30" s="145" t="n">
        <f aca="false">+'[3]Jan ext legal'!L30+'[3]Feb ext legal'!L30+'[3]Mar ext legal'!L30+'[3]Apr ext legal'!L30+'[3]May ext legal'!L30+'[3]Jun ext legal'!L30+'[3]Jul ext legal'!L30</f>
        <v>0</v>
      </c>
      <c r="L30" s="145" t="n">
        <f aca="false">+'[3]Jan ext legal'!M30+'[3]Feb ext legal'!M30+'[3]Mar ext legal'!M30+'[3]Apr ext legal'!M30+'[3]May ext legal'!M30+'[3]Jun ext legal'!M30+'[3]Jul ext legal'!M30</f>
        <v>0</v>
      </c>
      <c r="M30" s="146" t="n">
        <f aca="false">+D30/D$73</f>
        <v>0</v>
      </c>
      <c r="N30" s="146" t="n">
        <f aca="false">+N$4*M30</f>
        <v>0</v>
      </c>
      <c r="O30" s="147"/>
      <c r="P30" s="146" t="n">
        <f aca="false">SUM(D30+N30)</f>
        <v>0</v>
      </c>
      <c r="Q30" s="141"/>
      <c r="R30" s="141"/>
    </row>
    <row r="31" customFormat="false" ht="11.25" hidden="true" customHeight="false" outlineLevel="0" collapsed="false">
      <c r="A31" s="142" t="n">
        <v>106593</v>
      </c>
      <c r="B31" s="141" t="s">
        <v>185</v>
      </c>
      <c r="C31" s="141" t="s">
        <v>180</v>
      </c>
      <c r="D31" s="143" t="n">
        <v>0</v>
      </c>
      <c r="E31" s="144" t="n">
        <f aca="false">+'[3]Jan ext legal'!E31+'[3]Feb ext legal'!E31+'[3]Mar ext legal'!E31+'[3]Apr ext legal'!E31+'[3]May ext legal'!E31+'[3]Jun ext legal'!E31+'[3]Jul ext legal'!E31</f>
        <v>0</v>
      </c>
      <c r="F31" s="145" t="n">
        <f aca="false">+'[3]Jan ext legal'!F31+'[3]Feb ext legal'!F31+'[3]Mar ext legal'!F31+'[3]Apr ext legal'!F31+'[3]May ext legal'!F31+'[3]Jun ext legal'!F31+'[3]Jul ext legal'!F31</f>
        <v>0</v>
      </c>
      <c r="G31" s="144" t="n">
        <f aca="false">+'[3]Jan ext legal'!G31+'[3]Feb ext legal'!G31+'[3]Mar ext legal'!G31+'[3]Apr ext legal'!G31+'[3]May ext legal'!G31+'[3]Jun ext legal'!G31+'[3]Jul ext legal'!G31</f>
        <v>0</v>
      </c>
      <c r="H31" s="145" t="n">
        <f aca="false">+'[3]Jan ext legal'!H31+'[3]Feb ext legal'!H31+'[3]Mar ext legal'!H31+'[3]Apr ext legal'!H31+'[3]May ext legal'!H31+'[3]Jun ext legal'!H31+'[3]Jul ext legal'!H31</f>
        <v>0</v>
      </c>
      <c r="I31" s="144" t="n">
        <f aca="false">+'[3]Jan ext legal'!I31+'[3]Feb ext legal'!I31+'[3]Mar ext legal'!I31+'[3]Apr ext legal'!I31+'[3]May ext legal'!I31+'[3]Jun ext legal'!I31+'[3]Jul ext legal'!I31</f>
        <v>0</v>
      </c>
      <c r="J31" s="145" t="n">
        <f aca="false">+'[3]Jan ext legal'!K31+'[3]Feb ext legal'!K31+'[3]Mar ext legal'!K31+'[3]Apr ext legal'!K31+'[3]May ext legal'!K31+'[3]Jun ext legal'!K31+'[3]Jul ext legal'!K31</f>
        <v>0</v>
      </c>
      <c r="K31" s="145" t="n">
        <f aca="false">+'[3]Jan ext legal'!L31+'[3]Feb ext legal'!L31+'[3]Mar ext legal'!L31+'[3]Apr ext legal'!L31+'[3]May ext legal'!L31+'[3]Jun ext legal'!L31+'[3]Jul ext legal'!L31</f>
        <v>0</v>
      </c>
      <c r="L31" s="145" t="n">
        <f aca="false">+'[3]Jan ext legal'!M31+'[3]Feb ext legal'!M31+'[3]Mar ext legal'!M31+'[3]Apr ext legal'!M31+'[3]May ext legal'!M31+'[3]Jun ext legal'!M31+'[3]Jul ext legal'!M31</f>
        <v>0</v>
      </c>
      <c r="M31" s="146" t="n">
        <f aca="false">+D31/D$73</f>
        <v>0</v>
      </c>
      <c r="N31" s="146" t="n">
        <f aca="false">+N$4*M31</f>
        <v>0</v>
      </c>
      <c r="O31" s="147"/>
      <c r="P31" s="146" t="n">
        <f aca="false">SUM(D31+N31)</f>
        <v>0</v>
      </c>
      <c r="Q31" s="141"/>
      <c r="R31" s="141"/>
    </row>
    <row r="32" customFormat="false" ht="11.25" hidden="true" customHeight="false" outlineLevel="0" collapsed="false">
      <c r="A32" s="142" t="n">
        <v>106594</v>
      </c>
      <c r="B32" s="141" t="s">
        <v>186</v>
      </c>
      <c r="C32" s="141" t="s">
        <v>180</v>
      </c>
      <c r="D32" s="143" t="n">
        <v>0</v>
      </c>
      <c r="E32" s="144" t="n">
        <f aca="false">+'[3]Jan ext legal'!E32+'[3]Feb ext legal'!E32+'[3]Mar ext legal'!E32+'[3]Apr ext legal'!E32+'[3]May ext legal'!E32+'[3]Jun ext legal'!E32+'[3]Jul ext legal'!E32</f>
        <v>0</v>
      </c>
      <c r="F32" s="145" t="n">
        <f aca="false">+'[3]Jan ext legal'!F32+'[3]Feb ext legal'!F32+'[3]Mar ext legal'!F32+'[3]Apr ext legal'!F32+'[3]May ext legal'!F32+'[3]Jun ext legal'!F32+'[3]Jul ext legal'!F32</f>
        <v>0</v>
      </c>
      <c r="G32" s="144" t="n">
        <f aca="false">+'[3]Jan ext legal'!G32+'[3]Feb ext legal'!G32+'[3]Mar ext legal'!G32+'[3]Apr ext legal'!G32+'[3]May ext legal'!G32+'[3]Jun ext legal'!G32+'[3]Jul ext legal'!G32</f>
        <v>0</v>
      </c>
      <c r="H32" s="145" t="n">
        <f aca="false">+'[3]Jan ext legal'!H32+'[3]Feb ext legal'!H32+'[3]Mar ext legal'!H32+'[3]Apr ext legal'!H32+'[3]May ext legal'!H32+'[3]Jun ext legal'!H32+'[3]Jul ext legal'!H32</f>
        <v>0</v>
      </c>
      <c r="I32" s="144" t="n">
        <f aca="false">+'[3]Jan ext legal'!I32+'[3]Feb ext legal'!I32+'[3]Mar ext legal'!I32+'[3]Apr ext legal'!I32+'[3]May ext legal'!I32+'[3]Jun ext legal'!I32+'[3]Jul ext legal'!I32</f>
        <v>0</v>
      </c>
      <c r="J32" s="145" t="n">
        <f aca="false">+'[3]Jan ext legal'!K32+'[3]Feb ext legal'!K32+'[3]Mar ext legal'!K32+'[3]Apr ext legal'!K32+'[3]May ext legal'!K32+'[3]Jun ext legal'!K32+'[3]Jul ext legal'!K32</f>
        <v>0</v>
      </c>
      <c r="K32" s="145" t="n">
        <f aca="false">+'[3]Jan ext legal'!L32+'[3]Feb ext legal'!L32+'[3]Mar ext legal'!L32+'[3]Apr ext legal'!L32+'[3]May ext legal'!L32+'[3]Jun ext legal'!L32+'[3]Jul ext legal'!L32</f>
        <v>0</v>
      </c>
      <c r="L32" s="145" t="n">
        <f aca="false">+'[3]Jan ext legal'!M32+'[3]Feb ext legal'!M32+'[3]Mar ext legal'!M32+'[3]Apr ext legal'!M32+'[3]May ext legal'!M32+'[3]Jun ext legal'!M32+'[3]Jul ext legal'!M32</f>
        <v>0</v>
      </c>
      <c r="M32" s="146" t="n">
        <f aca="false">+D32/D$73</f>
        <v>0</v>
      </c>
      <c r="N32" s="146" t="n">
        <f aca="false">+N$4*M32</f>
        <v>0</v>
      </c>
      <c r="O32" s="147"/>
      <c r="P32" s="146" t="n">
        <f aca="false">SUM(D32+N32)</f>
        <v>0</v>
      </c>
      <c r="Q32" s="141"/>
      <c r="R32" s="141"/>
    </row>
    <row r="33" customFormat="false" ht="11.25" hidden="true" customHeight="false" outlineLevel="0" collapsed="false">
      <c r="A33" s="142" t="n">
        <v>106595</v>
      </c>
      <c r="B33" s="141" t="s">
        <v>187</v>
      </c>
      <c r="C33" s="141" t="s">
        <v>180</v>
      </c>
      <c r="D33" s="143" t="n">
        <v>0</v>
      </c>
      <c r="E33" s="144" t="n">
        <f aca="false">+'[3]Jan ext legal'!E33+'[3]Feb ext legal'!E33+'[3]Mar ext legal'!E33+'[3]Apr ext legal'!E33+'[3]May ext legal'!E33+'[3]Jun ext legal'!E33+'[3]Jul ext legal'!E33</f>
        <v>0</v>
      </c>
      <c r="F33" s="145" t="n">
        <f aca="false">+'[3]Jan ext legal'!F33+'[3]Feb ext legal'!F33+'[3]Mar ext legal'!F33+'[3]Apr ext legal'!F33+'[3]May ext legal'!F33+'[3]Jun ext legal'!F33+'[3]Jul ext legal'!F33</f>
        <v>0</v>
      </c>
      <c r="G33" s="144" t="n">
        <f aca="false">+'[3]Jan ext legal'!G33+'[3]Feb ext legal'!G33+'[3]Mar ext legal'!G33+'[3]Apr ext legal'!G33+'[3]May ext legal'!G33+'[3]Jun ext legal'!G33+'[3]Jul ext legal'!G33</f>
        <v>0</v>
      </c>
      <c r="H33" s="145" t="n">
        <f aca="false">+'[3]Jan ext legal'!H33+'[3]Feb ext legal'!H33+'[3]Mar ext legal'!H33+'[3]Apr ext legal'!H33+'[3]May ext legal'!H33+'[3]Jun ext legal'!H33+'[3]Jul ext legal'!H33</f>
        <v>0</v>
      </c>
      <c r="I33" s="144" t="n">
        <f aca="false">+'[3]Jan ext legal'!I33+'[3]Feb ext legal'!I33+'[3]Mar ext legal'!I33+'[3]Apr ext legal'!I33+'[3]May ext legal'!I33+'[3]Jun ext legal'!I33+'[3]Jul ext legal'!I33</f>
        <v>0</v>
      </c>
      <c r="J33" s="145" t="n">
        <f aca="false">+'[3]Jan ext legal'!K33+'[3]Feb ext legal'!K33+'[3]Mar ext legal'!K33+'[3]Apr ext legal'!K33+'[3]May ext legal'!K33+'[3]Jun ext legal'!K33+'[3]Jul ext legal'!K33</f>
        <v>0</v>
      </c>
      <c r="K33" s="145" t="n">
        <f aca="false">+'[3]Jan ext legal'!L33+'[3]Feb ext legal'!L33+'[3]Mar ext legal'!L33+'[3]Apr ext legal'!L33+'[3]May ext legal'!L33+'[3]Jun ext legal'!L33+'[3]Jul ext legal'!L33</f>
        <v>0</v>
      </c>
      <c r="L33" s="145" t="n">
        <f aca="false">+'[3]Jan ext legal'!M33+'[3]Feb ext legal'!M33+'[3]Mar ext legal'!M33+'[3]Apr ext legal'!M33+'[3]May ext legal'!M33+'[3]Jun ext legal'!M33+'[3]Jul ext legal'!M33</f>
        <v>0</v>
      </c>
      <c r="M33" s="146" t="n">
        <f aca="false">+D33/D$73</f>
        <v>0</v>
      </c>
      <c r="N33" s="146" t="n">
        <f aca="false">+N$4*M33</f>
        <v>0</v>
      </c>
      <c r="O33" s="147"/>
      <c r="P33" s="146" t="n">
        <f aca="false">SUM(D33+N33)</f>
        <v>0</v>
      </c>
      <c r="Q33" s="141"/>
      <c r="R33" s="141"/>
    </row>
    <row r="34" customFormat="false" ht="11.25" hidden="true" customHeight="false" outlineLevel="0" collapsed="false">
      <c r="A34" s="142" t="n">
        <v>106597</v>
      </c>
      <c r="B34" s="141" t="s">
        <v>188</v>
      </c>
      <c r="C34" s="141" t="s">
        <v>189</v>
      </c>
      <c r="D34" s="143" t="n">
        <v>0</v>
      </c>
      <c r="E34" s="144" t="n">
        <f aca="false">+'[3]Jan ext legal'!E34+'[3]Feb ext legal'!E34+'[3]Mar ext legal'!E34+'[3]Apr ext legal'!E34+'[3]May ext legal'!E34+'[3]Jun ext legal'!E34+'[3]Jul ext legal'!E34</f>
        <v>0</v>
      </c>
      <c r="F34" s="145" t="n">
        <f aca="false">+'[3]Jan ext legal'!F34+'[3]Feb ext legal'!F34+'[3]Mar ext legal'!F34+'[3]Apr ext legal'!F34+'[3]May ext legal'!F34+'[3]Jun ext legal'!F34+'[3]Jul ext legal'!F34</f>
        <v>0</v>
      </c>
      <c r="G34" s="144" t="n">
        <f aca="false">+'[3]Jan ext legal'!G34+'[3]Feb ext legal'!G34+'[3]Mar ext legal'!G34+'[3]Apr ext legal'!G34+'[3]May ext legal'!G34+'[3]Jun ext legal'!G34+'[3]Jul ext legal'!G34</f>
        <v>0</v>
      </c>
      <c r="H34" s="145" t="n">
        <f aca="false">+'[3]Jan ext legal'!H34+'[3]Feb ext legal'!H34+'[3]Mar ext legal'!H34+'[3]Apr ext legal'!H34+'[3]May ext legal'!H34+'[3]Jun ext legal'!H34+'[3]Jul ext legal'!H34</f>
        <v>0</v>
      </c>
      <c r="I34" s="144" t="n">
        <f aca="false">+'[3]Jan ext legal'!I34+'[3]Feb ext legal'!I34+'[3]Mar ext legal'!I34+'[3]Apr ext legal'!I34+'[3]May ext legal'!I34+'[3]Jun ext legal'!I34+'[3]Jul ext legal'!I34</f>
        <v>0</v>
      </c>
      <c r="J34" s="145" t="n">
        <f aca="false">+'[3]Jan ext legal'!K34+'[3]Feb ext legal'!K34+'[3]Mar ext legal'!K34+'[3]Apr ext legal'!K34+'[3]May ext legal'!K34+'[3]Jun ext legal'!K34+'[3]Jul ext legal'!K34</f>
        <v>0</v>
      </c>
      <c r="K34" s="145" t="n">
        <f aca="false">+'[3]Jan ext legal'!L34+'[3]Feb ext legal'!L34+'[3]Mar ext legal'!L34+'[3]Apr ext legal'!L34+'[3]May ext legal'!L34+'[3]Jun ext legal'!L34+'[3]Jul ext legal'!L34</f>
        <v>0</v>
      </c>
      <c r="L34" s="145" t="n">
        <f aca="false">+'[3]Jan ext legal'!M34+'[3]Feb ext legal'!M34+'[3]Mar ext legal'!M34+'[3]Apr ext legal'!M34+'[3]May ext legal'!M34+'[3]Jun ext legal'!M34+'[3]Jul ext legal'!M34</f>
        <v>0</v>
      </c>
      <c r="M34" s="146" t="n">
        <f aca="false">+D34/D$73</f>
        <v>0</v>
      </c>
      <c r="N34" s="146" t="n">
        <f aca="false">+N$4*M34</f>
        <v>0</v>
      </c>
      <c r="O34" s="147"/>
      <c r="P34" s="146" t="n">
        <f aca="false">SUM(D34+N34)</f>
        <v>0</v>
      </c>
      <c r="Q34" s="141"/>
      <c r="R34" s="141"/>
    </row>
    <row r="35" customFormat="false" ht="11.25" hidden="true" customHeight="false" outlineLevel="0" collapsed="false">
      <c r="A35" s="142" t="n">
        <v>106598</v>
      </c>
      <c r="B35" s="141" t="s">
        <v>190</v>
      </c>
      <c r="C35" s="141" t="s">
        <v>191</v>
      </c>
      <c r="D35" s="143" t="n">
        <v>0</v>
      </c>
      <c r="E35" s="144" t="n">
        <f aca="false">+'[3]Jan ext legal'!E35+'[3]Feb ext legal'!E35+'[3]Mar ext legal'!E35+'[3]Apr ext legal'!E35+'[3]May ext legal'!E35+'[3]Jun ext legal'!E35+'[3]Jul ext legal'!E35</f>
        <v>0</v>
      </c>
      <c r="F35" s="145" t="n">
        <f aca="false">+'[3]Jan ext legal'!F35+'[3]Feb ext legal'!F35+'[3]Mar ext legal'!F35+'[3]Apr ext legal'!F35+'[3]May ext legal'!F35+'[3]Jun ext legal'!F35+'[3]Jul ext legal'!F35</f>
        <v>0</v>
      </c>
      <c r="G35" s="144" t="n">
        <f aca="false">+'[3]Jan ext legal'!G35+'[3]Feb ext legal'!G35+'[3]Mar ext legal'!G35+'[3]Apr ext legal'!G35+'[3]May ext legal'!G35+'[3]Jun ext legal'!G35+'[3]Jul ext legal'!G35</f>
        <v>0</v>
      </c>
      <c r="H35" s="145" t="n">
        <f aca="false">+'[3]Jan ext legal'!H35+'[3]Feb ext legal'!H35+'[3]Mar ext legal'!H35+'[3]Apr ext legal'!H35+'[3]May ext legal'!H35+'[3]Jun ext legal'!H35+'[3]Jul ext legal'!H35</f>
        <v>0</v>
      </c>
      <c r="I35" s="144" t="n">
        <f aca="false">+'[3]Jan ext legal'!I35+'[3]Feb ext legal'!I35+'[3]Mar ext legal'!I35+'[3]Apr ext legal'!I35+'[3]May ext legal'!I35+'[3]Jun ext legal'!I35+'[3]Jul ext legal'!I35</f>
        <v>0</v>
      </c>
      <c r="J35" s="145" t="n">
        <f aca="false">+'[3]Jan ext legal'!K35+'[3]Feb ext legal'!K35+'[3]Mar ext legal'!K35+'[3]Apr ext legal'!K35+'[3]May ext legal'!K35+'[3]Jun ext legal'!K35+'[3]Jul ext legal'!K35</f>
        <v>0</v>
      </c>
      <c r="K35" s="145" t="n">
        <f aca="false">+'[3]Jan ext legal'!L35+'[3]Feb ext legal'!L35+'[3]Mar ext legal'!L35+'[3]Apr ext legal'!L35+'[3]May ext legal'!L35+'[3]Jun ext legal'!L35+'[3]Jul ext legal'!L35</f>
        <v>0</v>
      </c>
      <c r="L35" s="145" t="n">
        <f aca="false">+'[3]Jan ext legal'!M35+'[3]Feb ext legal'!M35+'[3]Mar ext legal'!M35+'[3]Apr ext legal'!M35+'[3]May ext legal'!M35+'[3]Jun ext legal'!M35+'[3]Jul ext legal'!M35</f>
        <v>0</v>
      </c>
      <c r="M35" s="146" t="n">
        <f aca="false">+D35/D$73</f>
        <v>0</v>
      </c>
      <c r="N35" s="146" t="n">
        <f aca="false">+N$4*M35</f>
        <v>0</v>
      </c>
      <c r="O35" s="147"/>
      <c r="P35" s="146" t="n">
        <f aca="false">SUM(D35+N35)</f>
        <v>0</v>
      </c>
      <c r="Q35" s="141"/>
      <c r="R35" s="141"/>
    </row>
    <row r="36" customFormat="false" ht="11.25" hidden="true" customHeight="false" outlineLevel="0" collapsed="false">
      <c r="A36" s="142" t="n">
        <v>106607</v>
      </c>
      <c r="B36" s="141" t="s">
        <v>192</v>
      </c>
      <c r="C36" s="141" t="s">
        <v>180</v>
      </c>
      <c r="D36" s="143" t="n">
        <v>0</v>
      </c>
      <c r="E36" s="144" t="n">
        <f aca="false">+'[3]Jan ext legal'!E36+'[3]Feb ext legal'!E36+'[3]Mar ext legal'!E36+'[3]Apr ext legal'!E36+'[3]May ext legal'!E36+'[3]Jun ext legal'!E36+'[3]Jul ext legal'!E36</f>
        <v>0</v>
      </c>
      <c r="F36" s="145" t="n">
        <f aca="false">+'[3]Jan ext legal'!F36+'[3]Feb ext legal'!F36+'[3]Mar ext legal'!F36+'[3]Apr ext legal'!F36+'[3]May ext legal'!F36+'[3]Jun ext legal'!F36+'[3]Jul ext legal'!F36</f>
        <v>0</v>
      </c>
      <c r="G36" s="144" t="n">
        <f aca="false">+'[3]Jan ext legal'!G36+'[3]Feb ext legal'!G36+'[3]Mar ext legal'!G36+'[3]Apr ext legal'!G36+'[3]May ext legal'!G36+'[3]Jun ext legal'!G36+'[3]Jul ext legal'!G36</f>
        <v>0</v>
      </c>
      <c r="H36" s="145" t="n">
        <f aca="false">+'[3]Jan ext legal'!H36+'[3]Feb ext legal'!H36+'[3]Mar ext legal'!H36+'[3]Apr ext legal'!H36+'[3]May ext legal'!H36+'[3]Jun ext legal'!H36+'[3]Jul ext legal'!H36</f>
        <v>0</v>
      </c>
      <c r="I36" s="144" t="n">
        <f aca="false">+'[3]Jan ext legal'!I36+'[3]Feb ext legal'!I36+'[3]Mar ext legal'!I36+'[3]Apr ext legal'!I36+'[3]May ext legal'!I36+'[3]Jun ext legal'!I36+'[3]Jul ext legal'!I36</f>
        <v>0</v>
      </c>
      <c r="J36" s="145" t="n">
        <f aca="false">+'[3]Jan ext legal'!K36+'[3]Feb ext legal'!K36+'[3]Mar ext legal'!K36+'[3]Apr ext legal'!K36+'[3]May ext legal'!K36+'[3]Jun ext legal'!K36+'[3]Jul ext legal'!K36</f>
        <v>0</v>
      </c>
      <c r="K36" s="145" t="n">
        <f aca="false">+'[3]Jan ext legal'!L36+'[3]Feb ext legal'!L36+'[3]Mar ext legal'!L36+'[3]Apr ext legal'!L36+'[3]May ext legal'!L36+'[3]Jun ext legal'!L36+'[3]Jul ext legal'!L36</f>
        <v>0</v>
      </c>
      <c r="L36" s="145" t="n">
        <f aca="false">+'[3]Jan ext legal'!M36+'[3]Feb ext legal'!M36+'[3]Mar ext legal'!M36+'[3]Apr ext legal'!M36+'[3]May ext legal'!M36+'[3]Jun ext legal'!M36+'[3]Jul ext legal'!M36</f>
        <v>0</v>
      </c>
      <c r="M36" s="146" t="n">
        <f aca="false">+D36/D$73</f>
        <v>0</v>
      </c>
      <c r="N36" s="146" t="n">
        <f aca="false">+N$4*M36</f>
        <v>0</v>
      </c>
      <c r="O36" s="147"/>
      <c r="P36" s="146" t="n">
        <f aca="false">SUM(D36+N36)</f>
        <v>0</v>
      </c>
      <c r="Q36" s="141"/>
      <c r="R36" s="141"/>
    </row>
    <row r="37" customFormat="false" ht="11.25" hidden="true" customHeight="false" outlineLevel="0" collapsed="false">
      <c r="A37" s="142" t="n">
        <v>106608</v>
      </c>
      <c r="B37" s="141" t="s">
        <v>193</v>
      </c>
      <c r="C37" s="141" t="s">
        <v>194</v>
      </c>
      <c r="D37" s="143" t="n">
        <v>0</v>
      </c>
      <c r="E37" s="144" t="n">
        <f aca="false">+'[3]Jan ext legal'!E37+'[3]Feb ext legal'!E37+'[3]Mar ext legal'!E37+'[3]Apr ext legal'!E37+'[3]May ext legal'!E37+'[3]Jun ext legal'!E37+'[3]Jul ext legal'!E37</f>
        <v>0</v>
      </c>
      <c r="F37" s="145" t="n">
        <f aca="false">+'[3]Jan ext legal'!F37+'[3]Feb ext legal'!F37+'[3]Mar ext legal'!F37+'[3]Apr ext legal'!F37+'[3]May ext legal'!F37+'[3]Jun ext legal'!F37+'[3]Jul ext legal'!F37</f>
        <v>0</v>
      </c>
      <c r="G37" s="144" t="n">
        <f aca="false">+'[3]Jan ext legal'!G37+'[3]Feb ext legal'!G37+'[3]Mar ext legal'!G37+'[3]Apr ext legal'!G37+'[3]May ext legal'!G37+'[3]Jun ext legal'!G37+'[3]Jul ext legal'!G37</f>
        <v>0</v>
      </c>
      <c r="H37" s="145" t="n">
        <f aca="false">+'[3]Jan ext legal'!H37+'[3]Feb ext legal'!H37+'[3]Mar ext legal'!H37+'[3]Apr ext legal'!H37+'[3]May ext legal'!H37+'[3]Jun ext legal'!H37+'[3]Jul ext legal'!H37</f>
        <v>0</v>
      </c>
      <c r="I37" s="144" t="n">
        <f aca="false">+'[3]Jan ext legal'!I37+'[3]Feb ext legal'!I37+'[3]Mar ext legal'!I37+'[3]Apr ext legal'!I37+'[3]May ext legal'!I37+'[3]Jun ext legal'!I37+'[3]Jul ext legal'!I37</f>
        <v>0</v>
      </c>
      <c r="J37" s="145" t="n">
        <f aca="false">+'[3]Jan ext legal'!K37+'[3]Feb ext legal'!K37+'[3]Mar ext legal'!K37+'[3]Apr ext legal'!K37+'[3]May ext legal'!K37+'[3]Jun ext legal'!K37+'[3]Jul ext legal'!K37</f>
        <v>0</v>
      </c>
      <c r="K37" s="145" t="n">
        <f aca="false">+'[3]Jan ext legal'!L37+'[3]Feb ext legal'!L37+'[3]Mar ext legal'!L37+'[3]Apr ext legal'!L37+'[3]May ext legal'!L37+'[3]Jun ext legal'!L37+'[3]Jul ext legal'!L37</f>
        <v>0</v>
      </c>
      <c r="L37" s="145" t="n">
        <f aca="false">+'[3]Jan ext legal'!M37+'[3]Feb ext legal'!M37+'[3]Mar ext legal'!M37+'[3]Apr ext legal'!M37+'[3]May ext legal'!M37+'[3]Jun ext legal'!M37+'[3]Jul ext legal'!M37</f>
        <v>0</v>
      </c>
      <c r="M37" s="146" t="n">
        <f aca="false">+D37/D$73</f>
        <v>0</v>
      </c>
      <c r="N37" s="146" t="n">
        <f aca="false">+N$4*M37</f>
        <v>0</v>
      </c>
      <c r="O37" s="147"/>
      <c r="P37" s="146" t="n">
        <f aca="false">SUM(D37+N37)</f>
        <v>0</v>
      </c>
      <c r="Q37" s="141"/>
      <c r="R37" s="141"/>
    </row>
    <row r="38" customFormat="false" ht="11.25" hidden="true" customHeight="false" outlineLevel="0" collapsed="false">
      <c r="A38" s="142" t="n">
        <v>106609</v>
      </c>
      <c r="B38" s="141" t="s">
        <v>195</v>
      </c>
      <c r="C38" s="141" t="s">
        <v>196</v>
      </c>
      <c r="D38" s="143" t="n">
        <v>0</v>
      </c>
      <c r="E38" s="144" t="n">
        <f aca="false">+'[3]Jan ext legal'!E38+'[3]Feb ext legal'!E38+'[3]Mar ext legal'!E38+'[3]Apr ext legal'!E38+'[3]May ext legal'!E38+'[3]Jun ext legal'!E38+'[3]Jul ext legal'!E38</f>
        <v>0</v>
      </c>
      <c r="F38" s="145" t="n">
        <f aca="false">+'[3]Jan ext legal'!F38+'[3]Feb ext legal'!F38+'[3]Mar ext legal'!F38+'[3]Apr ext legal'!F38+'[3]May ext legal'!F38+'[3]Jun ext legal'!F38+'[3]Jul ext legal'!F38</f>
        <v>0</v>
      </c>
      <c r="G38" s="144" t="n">
        <f aca="false">+'[3]Jan ext legal'!G38+'[3]Feb ext legal'!G38+'[3]Mar ext legal'!G38+'[3]Apr ext legal'!G38+'[3]May ext legal'!G38+'[3]Jun ext legal'!G38+'[3]Jul ext legal'!G38</f>
        <v>0</v>
      </c>
      <c r="H38" s="145" t="n">
        <f aca="false">+'[3]Jan ext legal'!H38+'[3]Feb ext legal'!H38+'[3]Mar ext legal'!H38+'[3]Apr ext legal'!H38+'[3]May ext legal'!H38+'[3]Jun ext legal'!H38+'[3]Jul ext legal'!H38</f>
        <v>0</v>
      </c>
      <c r="I38" s="144" t="n">
        <f aca="false">+'[3]Jan ext legal'!I38+'[3]Feb ext legal'!I38+'[3]Mar ext legal'!I38+'[3]Apr ext legal'!I38+'[3]May ext legal'!I38+'[3]Jun ext legal'!I38+'[3]Jul ext legal'!I38</f>
        <v>0</v>
      </c>
      <c r="J38" s="145" t="n">
        <f aca="false">+'[3]Jan ext legal'!K38+'[3]Feb ext legal'!K38+'[3]Mar ext legal'!K38+'[3]Apr ext legal'!K38+'[3]May ext legal'!K38+'[3]Jun ext legal'!K38+'[3]Jul ext legal'!K38</f>
        <v>0</v>
      </c>
      <c r="K38" s="145" t="n">
        <f aca="false">+'[3]Jan ext legal'!L38+'[3]Feb ext legal'!L38+'[3]Mar ext legal'!L38+'[3]Apr ext legal'!L38+'[3]May ext legal'!L38+'[3]Jun ext legal'!L38+'[3]Jul ext legal'!L38</f>
        <v>0</v>
      </c>
      <c r="L38" s="145" t="n">
        <f aca="false">+'[3]Jan ext legal'!M38+'[3]Feb ext legal'!M38+'[3]Mar ext legal'!M38+'[3]Apr ext legal'!M38+'[3]May ext legal'!M38+'[3]Jun ext legal'!M38+'[3]Jul ext legal'!M38</f>
        <v>0</v>
      </c>
      <c r="M38" s="146" t="n">
        <f aca="false">+D38/D$73</f>
        <v>0</v>
      </c>
      <c r="N38" s="146" t="n">
        <f aca="false">+N$4*M38</f>
        <v>0</v>
      </c>
      <c r="O38" s="147"/>
      <c r="P38" s="146" t="n">
        <f aca="false">SUM(D38+N38)</f>
        <v>0</v>
      </c>
      <c r="Q38" s="141"/>
      <c r="R38" s="141"/>
    </row>
    <row r="39" customFormat="false" ht="11.25" hidden="true" customHeight="false" outlineLevel="0" collapsed="false">
      <c r="A39" s="142" t="n">
        <v>106610</v>
      </c>
      <c r="B39" s="141" t="s">
        <v>197</v>
      </c>
      <c r="C39" s="141" t="s">
        <v>198</v>
      </c>
      <c r="D39" s="143" t="n">
        <v>0</v>
      </c>
      <c r="E39" s="144" t="n">
        <f aca="false">+'[3]Jan ext legal'!E39+'[3]Feb ext legal'!E39+'[3]Mar ext legal'!E39+'[3]Apr ext legal'!E39+'[3]May ext legal'!E39+'[3]Jun ext legal'!E39+'[3]Jul ext legal'!E39</f>
        <v>0</v>
      </c>
      <c r="F39" s="145" t="n">
        <f aca="false">+'[3]Jan ext legal'!F39+'[3]Feb ext legal'!F39+'[3]Mar ext legal'!F39+'[3]Apr ext legal'!F39+'[3]May ext legal'!F39+'[3]Jun ext legal'!F39+'[3]Jul ext legal'!F39</f>
        <v>0</v>
      </c>
      <c r="G39" s="144" t="n">
        <f aca="false">+'[3]Jan ext legal'!G39+'[3]Feb ext legal'!G39+'[3]Mar ext legal'!G39+'[3]Apr ext legal'!G39+'[3]May ext legal'!G39+'[3]Jun ext legal'!G39+'[3]Jul ext legal'!G39</f>
        <v>0</v>
      </c>
      <c r="H39" s="145" t="n">
        <f aca="false">+'[3]Jan ext legal'!H39+'[3]Feb ext legal'!H39+'[3]Mar ext legal'!H39+'[3]Apr ext legal'!H39+'[3]May ext legal'!H39+'[3]Jun ext legal'!H39+'[3]Jul ext legal'!H39</f>
        <v>0</v>
      </c>
      <c r="I39" s="144" t="n">
        <f aca="false">+'[3]Jan ext legal'!I39+'[3]Feb ext legal'!I39+'[3]Mar ext legal'!I39+'[3]Apr ext legal'!I39+'[3]May ext legal'!I39+'[3]Jun ext legal'!I39+'[3]Jul ext legal'!I39</f>
        <v>0</v>
      </c>
      <c r="J39" s="145" t="n">
        <f aca="false">+'[3]Jan ext legal'!K39+'[3]Feb ext legal'!K39+'[3]Mar ext legal'!K39+'[3]Apr ext legal'!K39+'[3]May ext legal'!K39+'[3]Jun ext legal'!K39+'[3]Jul ext legal'!K39</f>
        <v>0</v>
      </c>
      <c r="K39" s="145" t="n">
        <f aca="false">+'[3]Jan ext legal'!L39+'[3]Feb ext legal'!L39+'[3]Mar ext legal'!L39+'[3]Apr ext legal'!L39+'[3]May ext legal'!L39+'[3]Jun ext legal'!L39+'[3]Jul ext legal'!L39</f>
        <v>0</v>
      </c>
      <c r="L39" s="145" t="n">
        <f aca="false">+'[3]Jan ext legal'!M39+'[3]Feb ext legal'!M39+'[3]Mar ext legal'!M39+'[3]Apr ext legal'!M39+'[3]May ext legal'!M39+'[3]Jun ext legal'!M39+'[3]Jul ext legal'!M39</f>
        <v>0</v>
      </c>
      <c r="M39" s="146" t="n">
        <f aca="false">+D39/D$73</f>
        <v>0</v>
      </c>
      <c r="N39" s="146" t="n">
        <f aca="false">+N$4*M39</f>
        <v>0</v>
      </c>
      <c r="O39" s="147"/>
      <c r="P39" s="146" t="n">
        <f aca="false">SUM(D39+N39)</f>
        <v>0</v>
      </c>
      <c r="Q39" s="141"/>
      <c r="R39" s="141"/>
    </row>
    <row r="40" customFormat="false" ht="11.25" hidden="true" customHeight="false" outlineLevel="0" collapsed="false">
      <c r="A40" s="142" t="n">
        <v>106611</v>
      </c>
      <c r="B40" s="141" t="s">
        <v>199</v>
      </c>
      <c r="C40" s="141" t="s">
        <v>200</v>
      </c>
      <c r="D40" s="143" t="n">
        <v>0</v>
      </c>
      <c r="E40" s="144" t="n">
        <f aca="false">+'[3]Jan ext legal'!E40+'[3]Feb ext legal'!E40+'[3]Mar ext legal'!E40+'[3]Apr ext legal'!E40+'[3]May ext legal'!E40+'[3]Jun ext legal'!E40+'[3]Jul ext legal'!E40</f>
        <v>0</v>
      </c>
      <c r="F40" s="145" t="n">
        <f aca="false">+'[3]Jan ext legal'!F40+'[3]Feb ext legal'!F40+'[3]Mar ext legal'!F40+'[3]Apr ext legal'!F40+'[3]May ext legal'!F40+'[3]Jun ext legal'!F40+'[3]Jul ext legal'!F40</f>
        <v>0</v>
      </c>
      <c r="G40" s="144" t="n">
        <f aca="false">+'[3]Jan ext legal'!G40+'[3]Feb ext legal'!G40+'[3]Mar ext legal'!G40+'[3]Apr ext legal'!G40+'[3]May ext legal'!G40+'[3]Jun ext legal'!G40+'[3]Jul ext legal'!G40</f>
        <v>0</v>
      </c>
      <c r="H40" s="145" t="n">
        <f aca="false">+'[3]Jan ext legal'!H40+'[3]Feb ext legal'!H40+'[3]Mar ext legal'!H40+'[3]Apr ext legal'!H40+'[3]May ext legal'!H40+'[3]Jun ext legal'!H40+'[3]Jul ext legal'!H40</f>
        <v>0</v>
      </c>
      <c r="I40" s="144" t="n">
        <f aca="false">+'[3]Jan ext legal'!I40+'[3]Feb ext legal'!I40+'[3]Mar ext legal'!I40+'[3]Apr ext legal'!I40+'[3]May ext legal'!I40+'[3]Jun ext legal'!I40+'[3]Jul ext legal'!I40</f>
        <v>0</v>
      </c>
      <c r="J40" s="145" t="n">
        <f aca="false">+'[3]Jan ext legal'!K40+'[3]Feb ext legal'!K40+'[3]Mar ext legal'!K40+'[3]Apr ext legal'!K40+'[3]May ext legal'!K40+'[3]Jun ext legal'!K40+'[3]Jul ext legal'!K40</f>
        <v>0</v>
      </c>
      <c r="K40" s="145" t="n">
        <f aca="false">+'[3]Jan ext legal'!L40+'[3]Feb ext legal'!L40+'[3]Mar ext legal'!L40+'[3]Apr ext legal'!L40+'[3]May ext legal'!L40+'[3]Jun ext legal'!L40+'[3]Jul ext legal'!L40</f>
        <v>0</v>
      </c>
      <c r="L40" s="145" t="n">
        <f aca="false">+'[3]Jan ext legal'!M40+'[3]Feb ext legal'!M40+'[3]Mar ext legal'!M40+'[3]Apr ext legal'!M40+'[3]May ext legal'!M40+'[3]Jun ext legal'!M40+'[3]Jul ext legal'!M40</f>
        <v>0</v>
      </c>
      <c r="M40" s="146" t="n">
        <f aca="false">+D40/D$73</f>
        <v>0</v>
      </c>
      <c r="N40" s="146" t="n">
        <f aca="false">+N$4*M40</f>
        <v>0</v>
      </c>
      <c r="O40" s="147"/>
      <c r="P40" s="146" t="n">
        <f aca="false">SUM(D40+N40)</f>
        <v>0</v>
      </c>
      <c r="Q40" s="141"/>
      <c r="R40" s="141"/>
    </row>
    <row r="41" customFormat="false" ht="11.25" hidden="true" customHeight="false" outlineLevel="0" collapsed="false">
      <c r="A41" s="142" t="n">
        <v>106616</v>
      </c>
      <c r="B41" s="141" t="s">
        <v>201</v>
      </c>
      <c r="C41" s="141" t="s">
        <v>202</v>
      </c>
      <c r="D41" s="143" t="n">
        <v>0</v>
      </c>
      <c r="E41" s="144" t="n">
        <f aca="false">+'[3]Jan ext legal'!E41+'[3]Feb ext legal'!E41+'[3]Mar ext legal'!E41+'[3]Apr ext legal'!E41+'[3]May ext legal'!E41+'[3]Jun ext legal'!E41+'[3]Jul ext legal'!E41</f>
        <v>0</v>
      </c>
      <c r="F41" s="145" t="n">
        <f aca="false">+'[3]Jan ext legal'!F41+'[3]Feb ext legal'!F41+'[3]Mar ext legal'!F41+'[3]Apr ext legal'!F41+'[3]May ext legal'!F41+'[3]Jun ext legal'!F41+'[3]Jul ext legal'!F41</f>
        <v>0</v>
      </c>
      <c r="G41" s="144" t="n">
        <f aca="false">+'[3]Jan ext legal'!G41+'[3]Feb ext legal'!G41+'[3]Mar ext legal'!G41+'[3]Apr ext legal'!G41+'[3]May ext legal'!G41+'[3]Jun ext legal'!G41+'[3]Jul ext legal'!G41</f>
        <v>0</v>
      </c>
      <c r="H41" s="145" t="n">
        <f aca="false">+'[3]Jan ext legal'!H41+'[3]Feb ext legal'!H41+'[3]Mar ext legal'!H41+'[3]Apr ext legal'!H41+'[3]May ext legal'!H41+'[3]Jun ext legal'!H41+'[3]Jul ext legal'!H41</f>
        <v>0</v>
      </c>
      <c r="I41" s="144" t="n">
        <f aca="false">+'[3]Jan ext legal'!I41+'[3]Feb ext legal'!I41+'[3]Mar ext legal'!I41+'[3]Apr ext legal'!I41+'[3]May ext legal'!I41+'[3]Jun ext legal'!I41+'[3]Jul ext legal'!I41</f>
        <v>0</v>
      </c>
      <c r="J41" s="145" t="n">
        <f aca="false">+'[3]Jan ext legal'!K41+'[3]Feb ext legal'!K41+'[3]Mar ext legal'!K41+'[3]Apr ext legal'!K41+'[3]May ext legal'!K41+'[3]Jun ext legal'!K41+'[3]Jul ext legal'!K41</f>
        <v>0</v>
      </c>
      <c r="K41" s="145" t="n">
        <f aca="false">+'[3]Jan ext legal'!L41+'[3]Feb ext legal'!L41+'[3]Mar ext legal'!L41+'[3]Apr ext legal'!L41+'[3]May ext legal'!L41+'[3]Jun ext legal'!L41+'[3]Jul ext legal'!L41</f>
        <v>0</v>
      </c>
      <c r="L41" s="145" t="n">
        <f aca="false">+'[3]Jan ext legal'!M41+'[3]Feb ext legal'!M41+'[3]Mar ext legal'!M41+'[3]Apr ext legal'!M41+'[3]May ext legal'!M41+'[3]Jun ext legal'!M41+'[3]Jul ext legal'!M41</f>
        <v>0</v>
      </c>
      <c r="M41" s="146" t="n">
        <f aca="false">+D41/D$73</f>
        <v>0</v>
      </c>
      <c r="N41" s="146" t="n">
        <f aca="false">+N$4*M41</f>
        <v>0</v>
      </c>
      <c r="O41" s="147"/>
      <c r="P41" s="146" t="n">
        <f aca="false">SUM(D41+N41)</f>
        <v>0</v>
      </c>
      <c r="Q41" s="141"/>
      <c r="R41" s="141"/>
    </row>
    <row r="42" customFormat="false" ht="11.25" hidden="true" customHeight="false" outlineLevel="0" collapsed="false">
      <c r="A42" s="142" t="n">
        <v>106617</v>
      </c>
      <c r="B42" s="141" t="s">
        <v>203</v>
      </c>
      <c r="C42" s="141" t="s">
        <v>204</v>
      </c>
      <c r="D42" s="143" t="n">
        <v>0</v>
      </c>
      <c r="E42" s="144" t="n">
        <f aca="false">+'[3]Jan ext legal'!E42+'[3]Feb ext legal'!E42+'[3]Mar ext legal'!E42+'[3]Apr ext legal'!E42+'[3]May ext legal'!E42+'[3]Jun ext legal'!E42+'[3]Jul ext legal'!E42</f>
        <v>0</v>
      </c>
      <c r="F42" s="145" t="n">
        <f aca="false">+'[3]Jan ext legal'!F42+'[3]Feb ext legal'!F42+'[3]Mar ext legal'!F42+'[3]Apr ext legal'!F42+'[3]May ext legal'!F42+'[3]Jun ext legal'!F42+'[3]Jul ext legal'!F42</f>
        <v>0</v>
      </c>
      <c r="G42" s="144" t="n">
        <f aca="false">+'[3]Jan ext legal'!G42+'[3]Feb ext legal'!G42+'[3]Mar ext legal'!G42+'[3]Apr ext legal'!G42+'[3]May ext legal'!G42+'[3]Jun ext legal'!G42+'[3]Jul ext legal'!G42</f>
        <v>0</v>
      </c>
      <c r="H42" s="145" t="n">
        <f aca="false">+'[3]Jan ext legal'!H42+'[3]Feb ext legal'!H42+'[3]Mar ext legal'!H42+'[3]Apr ext legal'!H42+'[3]May ext legal'!H42+'[3]Jun ext legal'!H42+'[3]Jul ext legal'!H42</f>
        <v>0</v>
      </c>
      <c r="I42" s="144" t="n">
        <f aca="false">+'[3]Jan ext legal'!I42+'[3]Feb ext legal'!I42+'[3]Mar ext legal'!I42+'[3]Apr ext legal'!I42+'[3]May ext legal'!I42+'[3]Jun ext legal'!I42+'[3]Jul ext legal'!I42</f>
        <v>0</v>
      </c>
      <c r="J42" s="145" t="n">
        <f aca="false">+'[3]Jan ext legal'!K42+'[3]Feb ext legal'!K42+'[3]Mar ext legal'!K42+'[3]Apr ext legal'!K42+'[3]May ext legal'!K42+'[3]Jun ext legal'!K42+'[3]Jul ext legal'!K42</f>
        <v>0</v>
      </c>
      <c r="K42" s="145" t="n">
        <f aca="false">+'[3]Jan ext legal'!L42+'[3]Feb ext legal'!L42+'[3]Mar ext legal'!L42+'[3]Apr ext legal'!L42+'[3]May ext legal'!L42+'[3]Jun ext legal'!L42+'[3]Jul ext legal'!L42</f>
        <v>0</v>
      </c>
      <c r="L42" s="145" t="n">
        <f aca="false">+'[3]Jan ext legal'!M42+'[3]Feb ext legal'!M42+'[3]Mar ext legal'!M42+'[3]Apr ext legal'!M42+'[3]May ext legal'!M42+'[3]Jun ext legal'!M42+'[3]Jul ext legal'!M42</f>
        <v>0</v>
      </c>
      <c r="M42" s="146" t="n">
        <f aca="false">+D42/D$73</f>
        <v>0</v>
      </c>
      <c r="N42" s="146" t="n">
        <f aca="false">+N$4*M42</f>
        <v>0</v>
      </c>
      <c r="O42" s="147"/>
      <c r="P42" s="146" t="n">
        <f aca="false">SUM(D42+N42)</f>
        <v>0</v>
      </c>
      <c r="Q42" s="141"/>
      <c r="R42" s="141"/>
    </row>
    <row r="43" customFormat="false" ht="11.25" hidden="false" customHeight="false" outlineLevel="0" collapsed="false">
      <c r="A43" s="148" t="n">
        <v>106790</v>
      </c>
      <c r="B43" s="149" t="s">
        <v>205</v>
      </c>
      <c r="C43" s="141" t="s">
        <v>206</v>
      </c>
      <c r="D43" s="143" t="n">
        <v>380150.15</v>
      </c>
      <c r="E43" s="144" t="n">
        <f aca="false">+'[3]Jan ext legal'!E43+'[3]Feb ext legal'!E43+'[3]Mar ext legal'!E43+'[3]Apr ext legal'!E43+'[3]May ext legal'!E43+'[3]Jun ext legal'!E43+'[3]Jul ext legal'!E43</f>
        <v>380030.15</v>
      </c>
      <c r="F43" s="145" t="n">
        <f aca="false">+'[3]Jan ext legal'!F43+'[3]Feb ext legal'!F43+'[3]Mar ext legal'!F43+'[3]Apr ext legal'!F43+'[3]May ext legal'!F43+'[3]Jun ext legal'!F43+'[3]Jul ext legal'!F43</f>
        <v>0</v>
      </c>
      <c r="G43" s="144" t="n">
        <f aca="false">+'[3]Jan ext legal'!G43+'[3]Feb ext legal'!G43+'[3]Mar ext legal'!G43+'[3]Apr ext legal'!G43+'[3]May ext legal'!G43+'[3]Jun ext legal'!G43+'[3]Jul ext legal'!G43</f>
        <v>120</v>
      </c>
      <c r="H43" s="145" t="n">
        <f aca="false">+'[3]Jan ext legal'!H43+'[3]Feb ext legal'!H43+'[3]Mar ext legal'!H43+'[3]Apr ext legal'!H43+'[3]May ext legal'!H43+'[3]Jun ext legal'!H43+'[3]Jul ext legal'!H43</f>
        <v>0</v>
      </c>
      <c r="I43" s="144" t="n">
        <f aca="false">+'[3]Jan ext legal'!I43+'[3]Feb ext legal'!I43+'[3]Mar ext legal'!I43+'[3]Apr ext legal'!I43+'[3]May ext legal'!I43+'[3]Jun ext legal'!I43+'[3]Jul ext legal'!I43</f>
        <v>0</v>
      </c>
      <c r="J43" s="145" t="n">
        <f aca="false">+'[3]Jan ext legal'!K43+'[3]Feb ext legal'!K43+'[3]Mar ext legal'!K43+'[3]Apr ext legal'!K43+'[3]May ext legal'!K43+'[3]Jun ext legal'!K43+'[3]Jul ext legal'!K43</f>
        <v>0</v>
      </c>
      <c r="K43" s="145" t="n">
        <f aca="false">+'[3]Jan ext legal'!L43+'[3]Feb ext legal'!L43+'[3]Mar ext legal'!L43+'[3]Apr ext legal'!L43+'[3]May ext legal'!L43+'[3]Jun ext legal'!L43+'[3]Jul ext legal'!L43</f>
        <v>0</v>
      </c>
      <c r="L43" s="145" t="n">
        <f aca="false">+'[3]Jan ext legal'!M43+'[3]Feb ext legal'!M43+'[3]Mar ext legal'!M43+'[3]Apr ext legal'!M43+'[3]May ext legal'!M43+'[3]Jun ext legal'!M43+'[3]Jul ext legal'!M43</f>
        <v>0</v>
      </c>
      <c r="M43" s="146" t="n">
        <f aca="false">+D43/D$73</f>
        <v>0.0323964213295155</v>
      </c>
      <c r="N43" s="146" t="n">
        <f aca="false">+N$4*M43</f>
        <v>282356.666188593</v>
      </c>
      <c r="O43" s="147"/>
      <c r="P43" s="146" t="n">
        <f aca="false">SUM(D43+N43)</f>
        <v>662506.816188593</v>
      </c>
      <c r="Q43" s="141"/>
      <c r="R43" s="141"/>
    </row>
    <row r="44" customFormat="false" ht="11.25" hidden="true" customHeight="false" outlineLevel="0" collapsed="false">
      <c r="A44" s="142" t="n">
        <v>106798</v>
      </c>
      <c r="B44" s="141" t="s">
        <v>207</v>
      </c>
      <c r="C44" s="141" t="s">
        <v>208</v>
      </c>
      <c r="D44" s="143" t="n">
        <v>0</v>
      </c>
      <c r="E44" s="144" t="n">
        <f aca="false">+'[3]Jan ext legal'!E44+'[3]Feb ext legal'!E44+'[3]Mar ext legal'!E44+'[3]Apr ext legal'!E44+'[3]May ext legal'!E44+'[3]Jun ext legal'!E44+'[3]Jul ext legal'!E44</f>
        <v>0</v>
      </c>
      <c r="F44" s="145" t="n">
        <f aca="false">+'[3]Jan ext legal'!F44+'[3]Feb ext legal'!F44+'[3]Mar ext legal'!F44+'[3]Apr ext legal'!F44+'[3]May ext legal'!F44+'[3]Jun ext legal'!F44+'[3]Jul ext legal'!F44</f>
        <v>0</v>
      </c>
      <c r="G44" s="144" t="n">
        <f aca="false">+'[3]Jan ext legal'!G44+'[3]Feb ext legal'!G44+'[3]Mar ext legal'!G44+'[3]Apr ext legal'!G44+'[3]May ext legal'!G44+'[3]Jun ext legal'!G44+'[3]Jul ext legal'!G44</f>
        <v>0</v>
      </c>
      <c r="H44" s="145" t="n">
        <f aca="false">+'[3]Jan ext legal'!H44+'[3]Feb ext legal'!H44+'[3]Mar ext legal'!H44+'[3]Apr ext legal'!H44+'[3]May ext legal'!H44+'[3]Jun ext legal'!H44+'[3]Jul ext legal'!H44</f>
        <v>0</v>
      </c>
      <c r="I44" s="144" t="n">
        <f aca="false">+'[3]Jan ext legal'!I44+'[3]Feb ext legal'!I44+'[3]Mar ext legal'!I44+'[3]Apr ext legal'!I44+'[3]May ext legal'!I44+'[3]Jun ext legal'!I44+'[3]Jul ext legal'!I44</f>
        <v>0</v>
      </c>
      <c r="J44" s="145" t="n">
        <f aca="false">+'[3]Jan ext legal'!K44+'[3]Feb ext legal'!K44+'[3]Mar ext legal'!K44+'[3]Apr ext legal'!K44+'[3]May ext legal'!K44+'[3]Jun ext legal'!K44+'[3]Jul ext legal'!K44</f>
        <v>0</v>
      </c>
      <c r="K44" s="145" t="n">
        <f aca="false">+'[3]Jan ext legal'!L44+'[3]Feb ext legal'!L44+'[3]Mar ext legal'!L44+'[3]Apr ext legal'!L44+'[3]May ext legal'!L44+'[3]Jun ext legal'!L44+'[3]Jul ext legal'!L44</f>
        <v>0</v>
      </c>
      <c r="L44" s="145" t="n">
        <f aca="false">+'[3]Jan ext legal'!M44+'[3]Feb ext legal'!M44+'[3]Mar ext legal'!M44+'[3]Apr ext legal'!M44+'[3]May ext legal'!M44+'[3]Jun ext legal'!M44+'[3]Jul ext legal'!M44</f>
        <v>0</v>
      </c>
      <c r="M44" s="146" t="n">
        <f aca="false">+D44/D$73</f>
        <v>0</v>
      </c>
      <c r="N44" s="146" t="n">
        <f aca="false">+N$4*M44</f>
        <v>0</v>
      </c>
      <c r="O44" s="147"/>
      <c r="P44" s="146" t="n">
        <f aca="false">SUM(D44+N44)</f>
        <v>0</v>
      </c>
      <c r="Q44" s="141"/>
      <c r="R44" s="141"/>
    </row>
    <row r="45" customFormat="false" ht="11.25" hidden="false" customHeight="false" outlineLevel="0" collapsed="false">
      <c r="A45" s="142" t="n">
        <v>106802</v>
      </c>
      <c r="B45" s="141" t="s">
        <v>209</v>
      </c>
      <c r="C45" s="141" t="s">
        <v>210</v>
      </c>
      <c r="D45" s="143" t="n">
        <v>1029.82</v>
      </c>
      <c r="E45" s="144" t="n">
        <f aca="false">+'[3]Jan ext legal'!E45+'[3]Feb ext legal'!E45+'[3]Mar ext legal'!E45+'[3]Apr ext legal'!E45+'[3]May ext legal'!E45+'[3]Jun ext legal'!E45+'[3]Jul ext legal'!E45</f>
        <v>1029.82</v>
      </c>
      <c r="F45" s="145" t="n">
        <f aca="false">+'[3]Jan ext legal'!F45+'[3]Feb ext legal'!F45+'[3]Mar ext legal'!F45+'[3]Apr ext legal'!F45+'[3]May ext legal'!F45+'[3]Jun ext legal'!F45+'[3]Jul ext legal'!F45</f>
        <v>0</v>
      </c>
      <c r="G45" s="144" t="n">
        <f aca="false">+'[3]Jan ext legal'!G45+'[3]Feb ext legal'!G45+'[3]Mar ext legal'!G45+'[3]Apr ext legal'!G45+'[3]May ext legal'!G45+'[3]Jun ext legal'!G45+'[3]Jul ext legal'!G45</f>
        <v>0</v>
      </c>
      <c r="H45" s="145" t="n">
        <f aca="false">+'[3]Jan ext legal'!H45+'[3]Feb ext legal'!H45+'[3]Mar ext legal'!H45+'[3]Apr ext legal'!H45+'[3]May ext legal'!H45+'[3]Jun ext legal'!H45+'[3]Jul ext legal'!H45</f>
        <v>0</v>
      </c>
      <c r="I45" s="144" t="n">
        <f aca="false">+'[3]Jan ext legal'!I45+'[3]Feb ext legal'!I45+'[3]Mar ext legal'!I45+'[3]Apr ext legal'!I45+'[3]May ext legal'!I45+'[3]Jun ext legal'!I45+'[3]Jul ext legal'!I45</f>
        <v>0</v>
      </c>
      <c r="J45" s="145" t="n">
        <f aca="false">+'[3]Jan ext legal'!K45+'[3]Feb ext legal'!K45+'[3]Mar ext legal'!K45+'[3]Apr ext legal'!K45+'[3]May ext legal'!K45+'[3]Jun ext legal'!K45+'[3]Jul ext legal'!K45</f>
        <v>0</v>
      </c>
      <c r="K45" s="145" t="n">
        <f aca="false">+'[3]Jan ext legal'!L45+'[3]Feb ext legal'!L45+'[3]Mar ext legal'!L45+'[3]Apr ext legal'!L45+'[3]May ext legal'!L45+'[3]Jun ext legal'!L45+'[3]Jul ext legal'!L45</f>
        <v>0</v>
      </c>
      <c r="L45" s="145" t="n">
        <f aca="false">+'[3]Jan ext legal'!M45+'[3]Feb ext legal'!M45+'[3]Mar ext legal'!M45+'[3]Apr ext legal'!M45+'[3]May ext legal'!M45+'[3]Jun ext legal'!M45+'[3]Jul ext legal'!M45</f>
        <v>0</v>
      </c>
      <c r="M45" s="146" t="n">
        <f aca="false">+D45/D$73</f>
        <v>8.77613296050565E-005</v>
      </c>
      <c r="N45" s="146" t="n">
        <f aca="false">+N$4*M45</f>
        <v>764.899190423406</v>
      </c>
      <c r="O45" s="147"/>
      <c r="P45" s="146" t="n">
        <f aca="false">SUM(D45+N45)</f>
        <v>1794.71919042341</v>
      </c>
      <c r="Q45" s="141"/>
      <c r="R45" s="141"/>
    </row>
    <row r="46" customFormat="false" ht="11.25" hidden="false" customHeight="false" outlineLevel="0" collapsed="false">
      <c r="A46" s="142" t="n">
        <v>106860</v>
      </c>
      <c r="B46" s="141" t="s">
        <v>211</v>
      </c>
      <c r="C46" s="149" t="s">
        <v>212</v>
      </c>
      <c r="D46" s="143" t="n">
        <v>47123.2</v>
      </c>
      <c r="E46" s="144" t="n">
        <f aca="false">+'[3]Jan ext legal'!E46+'[3]Feb ext legal'!E46+'[3]Mar ext legal'!E46+'[3]Apr ext legal'!E46+'[3]May ext legal'!E46+'[3]Jun ext legal'!E46+'[3]Jul ext legal'!E46</f>
        <v>0</v>
      </c>
      <c r="F46" s="145" t="n">
        <f aca="false">+'[3]Jan ext legal'!F46+'[3]Feb ext legal'!F46+'[3]Mar ext legal'!F46+'[3]Apr ext legal'!F46+'[3]May ext legal'!F46+'[3]Jun ext legal'!F46+'[3]Jul ext legal'!F46</f>
        <v>0</v>
      </c>
      <c r="G46" s="144" t="n">
        <f aca="false">+'[3]Jan ext legal'!G46+'[3]Feb ext legal'!G46+'[3]Mar ext legal'!G46+'[3]Apr ext legal'!G46+'[3]May ext legal'!G46+'[3]Jun ext legal'!G46+'[3]Jul ext legal'!G46</f>
        <v>0</v>
      </c>
      <c r="H46" s="145" t="n">
        <f aca="false">+'[3]Jan ext legal'!H46+'[3]Feb ext legal'!H46+'[3]Mar ext legal'!H46+'[3]Apr ext legal'!H46+'[3]May ext legal'!H46+'[3]Jun ext legal'!H46+'[3]Jul ext legal'!H46</f>
        <v>0</v>
      </c>
      <c r="I46" s="144" t="n">
        <f aca="false">+'[3]Jan ext legal'!I46+'[3]Feb ext legal'!I46+'[3]Mar ext legal'!I46+'[3]Apr ext legal'!I46+'[3]May ext legal'!I46+'[3]Jun ext legal'!I46+'[3]Jul ext legal'!I46</f>
        <v>47123.2</v>
      </c>
      <c r="J46" s="145" t="n">
        <f aca="false">+'[3]Jan ext legal'!K46+'[3]Feb ext legal'!K46+'[3]Mar ext legal'!K46+'[3]Apr ext legal'!K46+'[3]May ext legal'!K46+'[3]Jun ext legal'!K46+'[3]Jul ext legal'!K46</f>
        <v>0</v>
      </c>
      <c r="K46" s="145" t="n">
        <f aca="false">+'[3]Jan ext legal'!L46+'[3]Feb ext legal'!L46+'[3]Mar ext legal'!L46+'[3]Apr ext legal'!L46+'[3]May ext legal'!L46+'[3]Jun ext legal'!L46+'[3]Jul ext legal'!L46</f>
        <v>0</v>
      </c>
      <c r="L46" s="145" t="n">
        <f aca="false">+'[3]Jan ext legal'!M46+'[3]Feb ext legal'!M46+'[3]Mar ext legal'!M46+'[3]Apr ext legal'!M46+'[3]May ext legal'!M46+'[3]Jun ext legal'!M46+'[3]Jul ext legal'!M46</f>
        <v>0</v>
      </c>
      <c r="M46" s="146" t="n">
        <f aca="false">+D46/D$73</f>
        <v>0.00401584227073178</v>
      </c>
      <c r="N46" s="146" t="n">
        <f aca="false">+N$4*M46</f>
        <v>35000.7744364649</v>
      </c>
      <c r="O46" s="147"/>
      <c r="P46" s="146" t="n">
        <f aca="false">SUM(D46+N46)</f>
        <v>82123.9744364649</v>
      </c>
      <c r="Q46" s="141"/>
      <c r="R46" s="141"/>
    </row>
    <row r="47" customFormat="false" ht="11.25" hidden="true" customHeight="false" outlineLevel="0" collapsed="false">
      <c r="A47" s="142" t="n">
        <v>107021</v>
      </c>
      <c r="B47" s="141" t="s">
        <v>213</v>
      </c>
      <c r="C47" s="141" t="s">
        <v>214</v>
      </c>
      <c r="D47" s="143" t="n">
        <v>0</v>
      </c>
      <c r="E47" s="144" t="n">
        <f aca="false">+'[3]Jan ext legal'!E47+'[3]Feb ext legal'!E47+'[3]Mar ext legal'!E47+'[3]Apr ext legal'!E47+'[3]May ext legal'!E47+'[3]Jun ext legal'!E47+'[3]Jul ext legal'!E47</f>
        <v>0</v>
      </c>
      <c r="F47" s="145" t="n">
        <f aca="false">+'[3]Jan ext legal'!F47+'[3]Feb ext legal'!F47+'[3]Mar ext legal'!F47+'[3]Apr ext legal'!F47+'[3]May ext legal'!F47+'[3]Jun ext legal'!F47+'[3]Jul ext legal'!F47</f>
        <v>0</v>
      </c>
      <c r="G47" s="144" t="n">
        <f aca="false">+'[3]Jan ext legal'!G47+'[3]Feb ext legal'!G47+'[3]Mar ext legal'!G47+'[3]Apr ext legal'!G47+'[3]May ext legal'!G47+'[3]Jun ext legal'!G47+'[3]Jul ext legal'!G47</f>
        <v>0</v>
      </c>
      <c r="H47" s="145" t="n">
        <f aca="false">+'[3]Jan ext legal'!H47+'[3]Feb ext legal'!H47+'[3]Mar ext legal'!H47+'[3]Apr ext legal'!H47+'[3]May ext legal'!H47+'[3]Jun ext legal'!H47+'[3]Jul ext legal'!H47</f>
        <v>0</v>
      </c>
      <c r="I47" s="144" t="n">
        <f aca="false">+'[3]Jan ext legal'!I47+'[3]Feb ext legal'!I47+'[3]Mar ext legal'!I47+'[3]Apr ext legal'!I47+'[3]May ext legal'!I47+'[3]Jun ext legal'!I47+'[3]Jul ext legal'!I47</f>
        <v>0</v>
      </c>
      <c r="J47" s="145" t="n">
        <f aca="false">+'[3]Jan ext legal'!K47+'[3]Feb ext legal'!K47+'[3]Mar ext legal'!K47+'[3]Apr ext legal'!K47+'[3]May ext legal'!K47+'[3]Jun ext legal'!K47+'[3]Jul ext legal'!K47</f>
        <v>0</v>
      </c>
      <c r="K47" s="145" t="n">
        <f aca="false">+'[3]Jan ext legal'!L47+'[3]Feb ext legal'!L47+'[3]Mar ext legal'!L47+'[3]Apr ext legal'!L47+'[3]May ext legal'!L47+'[3]Jun ext legal'!L47+'[3]Jul ext legal'!L47</f>
        <v>0</v>
      </c>
      <c r="L47" s="145" t="n">
        <f aca="false">+'[3]Jan ext legal'!M47+'[3]Feb ext legal'!M47+'[3]Mar ext legal'!M47+'[3]Apr ext legal'!M47+'[3]May ext legal'!M47+'[3]Jun ext legal'!M47+'[3]Jul ext legal'!M47</f>
        <v>0</v>
      </c>
      <c r="M47" s="146" t="n">
        <f aca="false">+D47/D$73</f>
        <v>0</v>
      </c>
      <c r="N47" s="146" t="n">
        <f aca="false">+N$4*M47</f>
        <v>0</v>
      </c>
      <c r="O47" s="147"/>
      <c r="P47" s="146" t="n">
        <f aca="false">SUM(D47+N47)</f>
        <v>0</v>
      </c>
      <c r="Q47" s="141"/>
      <c r="R47" s="141"/>
    </row>
    <row r="48" customFormat="false" ht="11.25" hidden="true" customHeight="false" outlineLevel="0" collapsed="false">
      <c r="A48" s="142" t="n">
        <v>107022</v>
      </c>
      <c r="B48" s="141" t="s">
        <v>215</v>
      </c>
      <c r="C48" s="141"/>
      <c r="D48" s="143" t="n">
        <v>0</v>
      </c>
      <c r="E48" s="144" t="n">
        <f aca="false">+'[3]Jan ext legal'!E48+'[3]Feb ext legal'!E48+'[3]Mar ext legal'!E48+'[3]Apr ext legal'!E48+'[3]May ext legal'!E48+'[3]Jun ext legal'!E48+'[3]Jul ext legal'!E48</f>
        <v>0</v>
      </c>
      <c r="F48" s="145" t="n">
        <f aca="false">+'[3]Jan ext legal'!F48+'[3]Feb ext legal'!F48+'[3]Mar ext legal'!F48+'[3]Apr ext legal'!F48+'[3]May ext legal'!F48+'[3]Jun ext legal'!F48+'[3]Jul ext legal'!F48</f>
        <v>0</v>
      </c>
      <c r="G48" s="144" t="n">
        <f aca="false">+'[3]Jan ext legal'!G48+'[3]Feb ext legal'!G48+'[3]Mar ext legal'!G48+'[3]Apr ext legal'!G48+'[3]May ext legal'!G48+'[3]Jun ext legal'!G48+'[3]Jul ext legal'!G48</f>
        <v>0</v>
      </c>
      <c r="H48" s="145" t="n">
        <f aca="false">+'[3]Jan ext legal'!H48+'[3]Feb ext legal'!H48+'[3]Mar ext legal'!H48+'[3]Apr ext legal'!H48+'[3]May ext legal'!H48+'[3]Jun ext legal'!H48+'[3]Jul ext legal'!H48</f>
        <v>0</v>
      </c>
      <c r="I48" s="144" t="n">
        <f aca="false">+'[3]Jan ext legal'!I48+'[3]Feb ext legal'!I48+'[3]Mar ext legal'!I48+'[3]Apr ext legal'!I48+'[3]May ext legal'!I48+'[3]Jun ext legal'!I48+'[3]Jul ext legal'!I48</f>
        <v>0</v>
      </c>
      <c r="J48" s="145" t="n">
        <f aca="false">+'[3]Jan ext legal'!K48+'[3]Feb ext legal'!K48+'[3]Mar ext legal'!K48+'[3]Apr ext legal'!K48+'[3]May ext legal'!K48+'[3]Jun ext legal'!K48+'[3]Jul ext legal'!K48</f>
        <v>0</v>
      </c>
      <c r="K48" s="145" t="n">
        <f aca="false">+'[3]Jan ext legal'!L48+'[3]Feb ext legal'!L48+'[3]Mar ext legal'!L48+'[3]Apr ext legal'!L48+'[3]May ext legal'!L48+'[3]Jun ext legal'!L48+'[3]Jul ext legal'!L48</f>
        <v>0</v>
      </c>
      <c r="L48" s="145" t="n">
        <f aca="false">+'[3]Jan ext legal'!M48+'[3]Feb ext legal'!M48+'[3]Mar ext legal'!M48+'[3]Apr ext legal'!M48+'[3]May ext legal'!M48+'[3]Jun ext legal'!M48+'[3]Jul ext legal'!M48</f>
        <v>0</v>
      </c>
      <c r="M48" s="146" t="n">
        <f aca="false">+D48/D$73</f>
        <v>0</v>
      </c>
      <c r="N48" s="146" t="n">
        <f aca="false">+N$4*M48</f>
        <v>0</v>
      </c>
      <c r="O48" s="147"/>
      <c r="P48" s="146" t="n">
        <f aca="false">SUM(D48+N48)</f>
        <v>0</v>
      </c>
      <c r="Q48" s="141"/>
      <c r="R48" s="141"/>
    </row>
    <row r="49" customFormat="false" ht="11.25" hidden="true" customHeight="false" outlineLevel="0" collapsed="false">
      <c r="A49" s="142" t="n">
        <v>107023</v>
      </c>
      <c r="B49" s="141" t="s">
        <v>216</v>
      </c>
      <c r="C49" s="141"/>
      <c r="D49" s="143" t="n">
        <v>0</v>
      </c>
      <c r="E49" s="144" t="n">
        <f aca="false">+'[3]Jan ext legal'!E49+'[3]Feb ext legal'!E49+'[3]Mar ext legal'!E49+'[3]Apr ext legal'!E49+'[3]May ext legal'!E49+'[3]Jun ext legal'!E49+'[3]Jul ext legal'!E49</f>
        <v>0</v>
      </c>
      <c r="F49" s="145" t="n">
        <f aca="false">+'[3]Jan ext legal'!F49+'[3]Feb ext legal'!F49+'[3]Mar ext legal'!F49+'[3]Apr ext legal'!F49+'[3]May ext legal'!F49+'[3]Jun ext legal'!F49+'[3]Jul ext legal'!F49</f>
        <v>0</v>
      </c>
      <c r="G49" s="144" t="n">
        <f aca="false">+'[3]Jan ext legal'!G49+'[3]Feb ext legal'!G49+'[3]Mar ext legal'!G49+'[3]Apr ext legal'!G49+'[3]May ext legal'!G49+'[3]Jun ext legal'!G49+'[3]Jul ext legal'!G49</f>
        <v>0</v>
      </c>
      <c r="H49" s="145" t="n">
        <f aca="false">+'[3]Jan ext legal'!H49+'[3]Feb ext legal'!H49+'[3]Mar ext legal'!H49+'[3]Apr ext legal'!H49+'[3]May ext legal'!H49+'[3]Jun ext legal'!H49+'[3]Jul ext legal'!H49</f>
        <v>0</v>
      </c>
      <c r="I49" s="144" t="n">
        <f aca="false">+'[3]Jan ext legal'!I49+'[3]Feb ext legal'!I49+'[3]Mar ext legal'!I49+'[3]Apr ext legal'!I49+'[3]May ext legal'!I49+'[3]Jun ext legal'!I49+'[3]Jul ext legal'!I49</f>
        <v>0</v>
      </c>
      <c r="J49" s="145" t="n">
        <f aca="false">+'[3]Jan ext legal'!K49+'[3]Feb ext legal'!K49+'[3]Mar ext legal'!K49+'[3]Apr ext legal'!K49+'[3]May ext legal'!K49+'[3]Jun ext legal'!K49+'[3]Jul ext legal'!K49</f>
        <v>0</v>
      </c>
      <c r="K49" s="145" t="n">
        <f aca="false">+'[3]Jan ext legal'!L49+'[3]Feb ext legal'!L49+'[3]Mar ext legal'!L49+'[3]Apr ext legal'!L49+'[3]May ext legal'!L49+'[3]Jun ext legal'!L49+'[3]Jul ext legal'!L49</f>
        <v>0</v>
      </c>
      <c r="L49" s="145" t="n">
        <f aca="false">+'[3]Jan ext legal'!M49+'[3]Feb ext legal'!M49+'[3]Mar ext legal'!M49+'[3]Apr ext legal'!M49+'[3]May ext legal'!M49+'[3]Jun ext legal'!M49+'[3]Jul ext legal'!M49</f>
        <v>0</v>
      </c>
      <c r="M49" s="146" t="n">
        <f aca="false">+D49/D$73</f>
        <v>0</v>
      </c>
      <c r="N49" s="146" t="n">
        <f aca="false">+N$4*M49</f>
        <v>0</v>
      </c>
      <c r="O49" s="147"/>
      <c r="P49" s="146" t="n">
        <f aca="false">SUM(D49+N49)</f>
        <v>0</v>
      </c>
      <c r="Q49" s="141"/>
      <c r="R49" s="141"/>
    </row>
    <row r="50" customFormat="false" ht="11.25" hidden="true" customHeight="false" outlineLevel="0" collapsed="false">
      <c r="A50" s="142" t="n">
        <v>107024</v>
      </c>
      <c r="B50" s="141" t="s">
        <v>217</v>
      </c>
      <c r="C50" s="141" t="s">
        <v>180</v>
      </c>
      <c r="D50" s="143" t="n">
        <v>0</v>
      </c>
      <c r="E50" s="144" t="n">
        <f aca="false">+'[3]Jan ext legal'!E50+'[3]Feb ext legal'!E50+'[3]Mar ext legal'!E50+'[3]Apr ext legal'!E50+'[3]May ext legal'!E50+'[3]Jun ext legal'!E50+'[3]Jul ext legal'!E50</f>
        <v>0</v>
      </c>
      <c r="F50" s="145" t="n">
        <f aca="false">+'[3]Jan ext legal'!F50+'[3]Feb ext legal'!F50+'[3]Mar ext legal'!F50+'[3]Apr ext legal'!F50+'[3]May ext legal'!F50+'[3]Jun ext legal'!F50+'[3]Jul ext legal'!F50</f>
        <v>0</v>
      </c>
      <c r="G50" s="144" t="n">
        <f aca="false">+'[3]Jan ext legal'!G50+'[3]Feb ext legal'!G50+'[3]Mar ext legal'!G50+'[3]Apr ext legal'!G50+'[3]May ext legal'!G50+'[3]Jun ext legal'!G50+'[3]Jul ext legal'!G50</f>
        <v>0</v>
      </c>
      <c r="H50" s="145" t="n">
        <f aca="false">+'[3]Jan ext legal'!H50+'[3]Feb ext legal'!H50+'[3]Mar ext legal'!H50+'[3]Apr ext legal'!H50+'[3]May ext legal'!H50+'[3]Jun ext legal'!H50+'[3]Jul ext legal'!H50</f>
        <v>0</v>
      </c>
      <c r="I50" s="144" t="n">
        <f aca="false">+'[3]Jan ext legal'!I50+'[3]Feb ext legal'!I50+'[3]Mar ext legal'!I50+'[3]Apr ext legal'!I50+'[3]May ext legal'!I50+'[3]Jun ext legal'!I50+'[3]Jul ext legal'!I50</f>
        <v>0</v>
      </c>
      <c r="J50" s="145" t="n">
        <f aca="false">+'[3]Jan ext legal'!K50+'[3]Feb ext legal'!K50+'[3]Mar ext legal'!K50+'[3]Apr ext legal'!K50+'[3]May ext legal'!K50+'[3]Jun ext legal'!K50+'[3]Jul ext legal'!K50</f>
        <v>0</v>
      </c>
      <c r="K50" s="145" t="n">
        <f aca="false">+'[3]Jan ext legal'!L50+'[3]Feb ext legal'!L50+'[3]Mar ext legal'!L50+'[3]Apr ext legal'!L50+'[3]May ext legal'!L50+'[3]Jun ext legal'!L50+'[3]Jul ext legal'!L50</f>
        <v>0</v>
      </c>
      <c r="L50" s="145" t="n">
        <f aca="false">+'[3]Jan ext legal'!M50+'[3]Feb ext legal'!M50+'[3]Mar ext legal'!M50+'[3]Apr ext legal'!M50+'[3]May ext legal'!M50+'[3]Jun ext legal'!M50+'[3]Jul ext legal'!M50</f>
        <v>0</v>
      </c>
      <c r="M50" s="146" t="n">
        <f aca="false">+D50/D$73</f>
        <v>0</v>
      </c>
      <c r="N50" s="146" t="n">
        <f aca="false">+N$4*M50</f>
        <v>0</v>
      </c>
      <c r="O50" s="147"/>
      <c r="P50" s="146" t="n">
        <f aca="false">SUM(D50+N50)</f>
        <v>0</v>
      </c>
      <c r="Q50" s="141"/>
      <c r="R50" s="141"/>
    </row>
    <row r="51" customFormat="false" ht="11.25" hidden="false" customHeight="false" outlineLevel="0" collapsed="false">
      <c r="A51" s="142" t="n">
        <v>107040</v>
      </c>
      <c r="B51" s="141" t="s">
        <v>218</v>
      </c>
      <c r="C51" s="141" t="s">
        <v>180</v>
      </c>
      <c r="D51" s="143" t="n">
        <v>152847.69</v>
      </c>
      <c r="E51" s="144" t="n">
        <f aca="false">+'[3]Jan ext legal'!E51+'[3]Feb ext legal'!E51+'[3]Mar ext legal'!E51+'[3]Apr ext legal'!E51+'[3]May ext legal'!E51+'[3]Jun ext legal'!E51+'[3]Jul ext legal'!E51</f>
        <v>0</v>
      </c>
      <c r="F51" s="145" t="n">
        <f aca="false">+'[3]Jan ext legal'!F51+'[3]Feb ext legal'!F51+'[3]Mar ext legal'!F51+'[3]Apr ext legal'!F51+'[3]May ext legal'!F51+'[3]Jun ext legal'!F51+'[3]Jul ext legal'!F51</f>
        <v>138407.27</v>
      </c>
      <c r="G51" s="144" t="n">
        <f aca="false">+'[3]Jan ext legal'!G51+'[3]Feb ext legal'!G51+'[3]Mar ext legal'!G51+'[3]Apr ext legal'!G51+'[3]May ext legal'!G51+'[3]Jun ext legal'!G51+'[3]Jul ext legal'!G51</f>
        <v>12406.24</v>
      </c>
      <c r="H51" s="145" t="n">
        <f aca="false">+'[3]Jan ext legal'!H51+'[3]Feb ext legal'!H51+'[3]Mar ext legal'!H51+'[3]Apr ext legal'!H51+'[3]May ext legal'!H51+'[3]Jun ext legal'!H51+'[3]Jul ext legal'!H51</f>
        <v>2034.18</v>
      </c>
      <c r="I51" s="144" t="n">
        <f aca="false">+'[3]Jan ext legal'!I51+'[3]Feb ext legal'!I51+'[3]Mar ext legal'!I51+'[3]Apr ext legal'!I51+'[3]May ext legal'!I51+'[3]Jun ext legal'!I51+'[3]Jul ext legal'!I51</f>
        <v>0</v>
      </c>
      <c r="J51" s="145" t="n">
        <f aca="false">+'[3]Jan ext legal'!K51+'[3]Feb ext legal'!K51+'[3]Mar ext legal'!K51+'[3]Apr ext legal'!K51+'[3]May ext legal'!K51+'[3]Jun ext legal'!K51+'[3]Jul ext legal'!K51</f>
        <v>0</v>
      </c>
      <c r="K51" s="145" t="n">
        <f aca="false">+'[3]Jan ext legal'!L51+'[3]Feb ext legal'!L51+'[3]Mar ext legal'!L51+'[3]Apr ext legal'!L51+'[3]May ext legal'!L51+'[3]Jun ext legal'!L51+'[3]Jul ext legal'!L51</f>
        <v>0</v>
      </c>
      <c r="L51" s="145" t="n">
        <f aca="false">+'[3]Jan ext legal'!M51+'[3]Feb ext legal'!M51+'[3]Mar ext legal'!M51+'[3]Apr ext legal'!M51+'[3]May ext legal'!M51+'[3]Jun ext legal'!M51+'[3]Jul ext legal'!M51</f>
        <v>0</v>
      </c>
      <c r="M51" s="146" t="n">
        <f aca="false">+D51/D$73</f>
        <v>0.0130256904133358</v>
      </c>
      <c r="N51" s="146" t="n">
        <f aca="false">+N$4*M51</f>
        <v>113527.678952718</v>
      </c>
      <c r="O51" s="147"/>
      <c r="P51" s="146" t="n">
        <f aca="false">SUM(D51+N51)</f>
        <v>266375.368952718</v>
      </c>
      <c r="Q51" s="141"/>
      <c r="R51" s="141"/>
    </row>
    <row r="52" customFormat="false" ht="11.25" hidden="false" customHeight="false" outlineLevel="0" collapsed="false">
      <c r="A52" s="142" t="n">
        <v>107295</v>
      </c>
      <c r="B52" s="141" t="s">
        <v>219</v>
      </c>
      <c r="C52" s="141" t="s">
        <v>220</v>
      </c>
      <c r="D52" s="143" t="n">
        <v>1530330.51</v>
      </c>
      <c r="E52" s="144" t="n">
        <f aca="false">+'[3]Jan ext legal'!E52+'[3]Feb ext legal'!E52+'[3]Mar ext legal'!E52+'[3]Apr ext legal'!E52+'[3]May ext legal'!E52+'[3]Jun ext legal'!E52+'[3]Jul ext legal'!E52</f>
        <v>0</v>
      </c>
      <c r="F52" s="145" t="n">
        <f aca="false">+'[3]Jan ext legal'!F52+'[3]Feb ext legal'!F52+'[3]Mar ext legal'!F52+'[3]Apr ext legal'!F52+'[3]May ext legal'!F52+'[3]Jun ext legal'!F52+'[3]Jul ext legal'!F52</f>
        <v>1530330.51</v>
      </c>
      <c r="G52" s="144" t="n">
        <f aca="false">+'[3]Jan ext legal'!G52+'[3]Feb ext legal'!G52+'[3]Mar ext legal'!G52+'[3]Apr ext legal'!G52+'[3]May ext legal'!G52+'[3]Jun ext legal'!G52+'[3]Jul ext legal'!G52</f>
        <v>0</v>
      </c>
      <c r="H52" s="145" t="n">
        <f aca="false">+'[3]Jan ext legal'!H52+'[3]Feb ext legal'!H52+'[3]Mar ext legal'!H52+'[3]Apr ext legal'!H52+'[3]May ext legal'!H52+'[3]Jun ext legal'!H52+'[3]Jul ext legal'!H52</f>
        <v>0</v>
      </c>
      <c r="I52" s="144" t="n">
        <f aca="false">+'[3]Jan ext legal'!I52+'[3]Feb ext legal'!I52+'[3]Mar ext legal'!I52+'[3]Apr ext legal'!I52+'[3]May ext legal'!I52+'[3]Jun ext legal'!I52+'[3]Jul ext legal'!I52</f>
        <v>0</v>
      </c>
      <c r="J52" s="145" t="n">
        <f aca="false">+'[3]Jan ext legal'!K52+'[3]Feb ext legal'!K52+'[3]Mar ext legal'!K52+'[3]Apr ext legal'!K52+'[3]May ext legal'!K52+'[3]Jun ext legal'!K52+'[3]Jul ext legal'!K52</f>
        <v>0</v>
      </c>
      <c r="K52" s="145" t="n">
        <f aca="false">+'[3]Jan ext legal'!L52+'[3]Feb ext legal'!L52+'[3]Mar ext legal'!L52+'[3]Apr ext legal'!L52+'[3]May ext legal'!L52+'[3]Jun ext legal'!L52+'[3]Jul ext legal'!L52</f>
        <v>0</v>
      </c>
      <c r="L52" s="145" t="n">
        <f aca="false">+'[3]Jan ext legal'!M52+'[3]Feb ext legal'!M52+'[3]Mar ext legal'!M52+'[3]Apr ext legal'!M52+'[3]May ext legal'!M52+'[3]Jun ext legal'!M52+'[3]Jul ext legal'!M52</f>
        <v>0</v>
      </c>
      <c r="M52" s="146" t="n">
        <f aca="false">+D52/D$73</f>
        <v>0.130414868902123</v>
      </c>
      <c r="N52" s="146" t="n">
        <f aca="false">+N$4*M52</f>
        <v>1136653.55904841</v>
      </c>
      <c r="O52" s="147"/>
      <c r="P52" s="146" t="n">
        <f aca="false">SUM(D52+N52)</f>
        <v>2666984.06904841</v>
      </c>
      <c r="Q52" s="141"/>
      <c r="R52" s="141"/>
    </row>
    <row r="53" customFormat="false" ht="11.25" hidden="false" customHeight="false" outlineLevel="0" collapsed="false">
      <c r="A53" s="142" t="n">
        <v>107297</v>
      </c>
      <c r="B53" s="141" t="s">
        <v>221</v>
      </c>
      <c r="C53" s="141" t="s">
        <v>220</v>
      </c>
      <c r="D53" s="143" t="n">
        <v>155684.71</v>
      </c>
      <c r="E53" s="144" t="n">
        <f aca="false">+'[3]Jan ext legal'!E53+'[3]Feb ext legal'!E53+'[3]Mar ext legal'!E53+'[3]Apr ext legal'!E53+'[3]May ext legal'!E53+'[3]Jun ext legal'!E53+'[3]Jul ext legal'!E53</f>
        <v>0</v>
      </c>
      <c r="F53" s="145" t="n">
        <f aca="false">+'[3]Jan ext legal'!F53+'[3]Feb ext legal'!F53+'[3]Mar ext legal'!F53+'[3]Apr ext legal'!F53+'[3]May ext legal'!F53+'[3]Jun ext legal'!F53+'[3]Jul ext legal'!F53</f>
        <v>0</v>
      </c>
      <c r="G53" s="144" t="n">
        <f aca="false">+'[3]Jan ext legal'!G53+'[3]Feb ext legal'!G53+'[3]Mar ext legal'!G53+'[3]Apr ext legal'!G53+'[3]May ext legal'!G53+'[3]Jun ext legal'!G53+'[3]Jul ext legal'!G53</f>
        <v>155684.71</v>
      </c>
      <c r="H53" s="145" t="n">
        <f aca="false">+'[3]Jan ext legal'!H53+'[3]Feb ext legal'!H53+'[3]Mar ext legal'!H53+'[3]Apr ext legal'!H53+'[3]May ext legal'!H53+'[3]Jun ext legal'!H53+'[3]Jul ext legal'!H53</f>
        <v>0</v>
      </c>
      <c r="I53" s="144" t="n">
        <f aca="false">+'[3]Jan ext legal'!I53+'[3]Feb ext legal'!I53+'[3]Mar ext legal'!I53+'[3]Apr ext legal'!I53+'[3]May ext legal'!I53+'[3]Jun ext legal'!I53+'[3]Jul ext legal'!I53</f>
        <v>0</v>
      </c>
      <c r="J53" s="145" t="n">
        <f aca="false">+'[3]Jan ext legal'!K53+'[3]Feb ext legal'!K53+'[3]Mar ext legal'!K53+'[3]Apr ext legal'!K53+'[3]May ext legal'!K53+'[3]Jun ext legal'!K53+'[3]Jul ext legal'!K53</f>
        <v>0</v>
      </c>
      <c r="K53" s="145" t="n">
        <f aca="false">+'[3]Jan ext legal'!L53+'[3]Feb ext legal'!L53+'[3]Mar ext legal'!L53+'[3]Apr ext legal'!L53+'[3]May ext legal'!L53+'[3]Jun ext legal'!L53+'[3]Jul ext legal'!L53</f>
        <v>0</v>
      </c>
      <c r="L53" s="145" t="n">
        <f aca="false">+'[3]Jan ext legal'!M53+'[3]Feb ext legal'!M53+'[3]Mar ext legal'!M53+'[3]Apr ext legal'!M53+'[3]May ext legal'!M53+'[3]Jun ext legal'!M53+'[3]Jul ext legal'!M53</f>
        <v>0</v>
      </c>
      <c r="M53" s="146" t="n">
        <f aca="false">+D53/D$73</f>
        <v>0.0132674614483867</v>
      </c>
      <c r="N53" s="146" t="n">
        <f aca="false">+N$4*M53</f>
        <v>115634.876619509</v>
      </c>
      <c r="O53" s="147"/>
      <c r="P53" s="146" t="n">
        <f aca="false">SUM(D53+N53)</f>
        <v>271319.586619509</v>
      </c>
      <c r="Q53" s="141"/>
      <c r="R53" s="141"/>
    </row>
    <row r="54" customFormat="false" ht="11.25" hidden="false" customHeight="false" outlineLevel="0" collapsed="false">
      <c r="A54" s="142" t="n">
        <v>107300</v>
      </c>
      <c r="B54" s="141" t="s">
        <v>222</v>
      </c>
      <c r="C54" s="141" t="s">
        <v>223</v>
      </c>
      <c r="D54" s="143" t="n">
        <v>3537639.31</v>
      </c>
      <c r="E54" s="144" t="n">
        <f aca="false">+'[3]Jan ext legal'!E54+'[3]Feb ext legal'!E54+'[3]Mar ext legal'!E54+'[3]Apr ext legal'!E54+'[3]May ext legal'!E54+'[3]Jun ext legal'!E54+'[3]Jul ext legal'!E54</f>
        <v>0</v>
      </c>
      <c r="F54" s="145" t="n">
        <f aca="false">+'[3]Jan ext legal'!F54+'[3]Feb ext legal'!F54+'[3]Mar ext legal'!F54+'[3]Apr ext legal'!F54+'[3]May ext legal'!F54+'[3]Jun ext legal'!F54+'[3]Jul ext legal'!F54</f>
        <v>0</v>
      </c>
      <c r="G54" s="144" t="n">
        <f aca="false">+'[3]Jan ext legal'!G54+'[3]Feb ext legal'!G54+'[3]Mar ext legal'!G54+'[3]Apr ext legal'!G54+'[3]May ext legal'!G54+'[3]Jun ext legal'!G54+'[3]Jul ext legal'!G54</f>
        <v>2512375.51</v>
      </c>
      <c r="H54" s="145" t="n">
        <f aca="false">+'[3]Jan ext legal'!H54+'[3]Feb ext legal'!H54+'[3]Mar ext legal'!H54+'[3]Apr ext legal'!H54+'[3]May ext legal'!H54+'[3]Jun ext legal'!H54+'[3]Jul ext legal'!H54</f>
        <v>52697.09</v>
      </c>
      <c r="I54" s="144" t="n">
        <f aca="false">+'[3]Jan ext legal'!I54+'[3]Feb ext legal'!I54+'[3]Mar ext legal'!I54+'[3]Apr ext legal'!I54+'[3]May ext legal'!I54+'[3]Jun ext legal'!I54+'[3]Jul ext legal'!I54</f>
        <v>0</v>
      </c>
      <c r="J54" s="145" t="n">
        <f aca="false">+'[3]Jan ext legal'!K54+'[3]Feb ext legal'!K54+'[3]Mar ext legal'!K54+'[3]Apr ext legal'!K54+'[3]May ext legal'!K54+'[3]Jun ext legal'!K54+'[3]Jul ext legal'!K54</f>
        <v>0</v>
      </c>
      <c r="K54" s="145" t="n">
        <f aca="false">+'[3]Jan ext legal'!L54+'[3]Feb ext legal'!L54+'[3]Mar ext legal'!L54+'[3]Apr ext legal'!L54+'[3]May ext legal'!L54+'[3]Jun ext legal'!L54+'[3]Jul ext legal'!L54</f>
        <v>972566.71</v>
      </c>
      <c r="L54" s="145" t="n">
        <f aca="false">+'[3]Jan ext legal'!M54+'[3]Feb ext legal'!M54+'[3]Mar ext legal'!M54+'[3]Apr ext legal'!M54+'[3]May ext legal'!M54+'[3]Jun ext legal'!M54+'[3]Jul ext legal'!M54</f>
        <v>0</v>
      </c>
      <c r="M54" s="146" t="n">
        <f aca="false">+D54/D$73</f>
        <v>0.301477859731521</v>
      </c>
      <c r="N54" s="146" t="n">
        <f aca="false">+N$4*M54</f>
        <v>2627582.9215096</v>
      </c>
      <c r="O54" s="147"/>
      <c r="P54" s="146" t="n">
        <f aca="false">SUM(D54+N54)</f>
        <v>6165222.2315096</v>
      </c>
      <c r="Q54" s="141"/>
      <c r="R54" s="141"/>
    </row>
    <row r="55" customFormat="false" ht="11.25" hidden="false" customHeight="false" outlineLevel="0" collapsed="false">
      <c r="A55" s="142" t="n">
        <v>107310</v>
      </c>
      <c r="B55" s="141" t="s">
        <v>224</v>
      </c>
      <c r="C55" s="141"/>
      <c r="D55" s="143" t="n">
        <v>107738.37</v>
      </c>
      <c r="E55" s="144" t="n">
        <f aca="false">+'[3]Jan ext legal'!E55+'[3]Feb ext legal'!E55+'[3]Mar ext legal'!E55+'[3]Apr ext legal'!E55+'[3]May ext legal'!E55+'[3]Jun ext legal'!E55+'[3]Jul ext legal'!E55</f>
        <v>0</v>
      </c>
      <c r="F55" s="145" t="n">
        <f aca="false">+'[3]Jan ext legal'!F55+'[3]Feb ext legal'!F55+'[3]Mar ext legal'!F55+'[3]Apr ext legal'!F55+'[3]May ext legal'!F55+'[3]Jun ext legal'!F55+'[3]Jul ext legal'!F55</f>
        <v>0</v>
      </c>
      <c r="G55" s="144" t="n">
        <f aca="false">+'[3]Jan ext legal'!G55+'[3]Feb ext legal'!G55+'[3]Mar ext legal'!G55+'[3]Apr ext legal'!G55+'[3]May ext legal'!G55+'[3]Jun ext legal'!G55+'[3]Jul ext legal'!G55</f>
        <v>2325</v>
      </c>
      <c r="H55" s="145" t="n">
        <f aca="false">+'[3]Jan ext legal'!H55+'[3]Feb ext legal'!H55+'[3]Mar ext legal'!H55+'[3]Apr ext legal'!H55+'[3]May ext legal'!H55+'[3]Jun ext legal'!H55+'[3]Jul ext legal'!H55</f>
        <v>9752.2</v>
      </c>
      <c r="I55" s="144" t="n">
        <f aca="false">+'[3]Jan ext legal'!I55+'[3]Feb ext legal'!I55+'[3]Mar ext legal'!I55+'[3]Apr ext legal'!I55+'[3]May ext legal'!I55+'[3]Jun ext legal'!I55+'[3]Jul ext legal'!I55</f>
        <v>0</v>
      </c>
      <c r="J55" s="145" t="n">
        <v>0</v>
      </c>
      <c r="K55" s="145" t="n">
        <f aca="false">+'[3]Jan ext legal'!L55+'[3]Feb ext legal'!L55+'[3]Mar ext legal'!L55+'[3]Apr ext legal'!L55+'[3]May ext legal'!L55+'[3]Jun ext legal'!L55+'[3]Jul ext legal'!L55</f>
        <v>95661.17</v>
      </c>
      <c r="L55" s="145" t="n">
        <f aca="false">+'[3]Jan ext legal'!M55+'[3]Feb ext legal'!M55+'[3]Mar ext legal'!M55+'[3]Apr ext legal'!M55+'[3]May ext legal'!M55+'[3]Jun ext legal'!M55+'[3]Jul ext legal'!M55</f>
        <v>0</v>
      </c>
      <c r="M55" s="146" t="n">
        <f aca="false">+D55/D$73</f>
        <v>0.00918147113153904</v>
      </c>
      <c r="N55" s="146" t="n">
        <f aca="false">+N$4*M55</f>
        <v>80022.7146399734</v>
      </c>
      <c r="O55" s="147"/>
      <c r="P55" s="146" t="n">
        <f aca="false">SUM(D55+N55)</f>
        <v>187761.084639973</v>
      </c>
      <c r="Q55" s="141"/>
      <c r="R55" s="141"/>
    </row>
    <row r="56" customFormat="false" ht="11.25" hidden="false" customHeight="false" outlineLevel="0" collapsed="false">
      <c r="A56" s="142" t="n">
        <v>107312</v>
      </c>
      <c r="B56" s="141" t="s">
        <v>225</v>
      </c>
      <c r="C56" s="141" t="s">
        <v>226</v>
      </c>
      <c r="D56" s="143" t="n">
        <v>7952.61</v>
      </c>
      <c r="E56" s="144" t="n">
        <f aca="false">+'[3]Jan ext legal'!E56+'[3]Feb ext legal'!E56+'[3]Mar ext legal'!E56+'[3]Apr ext legal'!E56+'[3]May ext legal'!E56+'[3]Jun ext legal'!E56+'[3]Jul ext legal'!E56</f>
        <v>7952.61</v>
      </c>
      <c r="F56" s="145" t="n">
        <f aca="false">+'[3]Jan ext legal'!F56+'[3]Feb ext legal'!F56+'[3]Mar ext legal'!F56+'[3]Apr ext legal'!F56+'[3]May ext legal'!F56+'[3]Jun ext legal'!F56+'[3]Jul ext legal'!F56</f>
        <v>0</v>
      </c>
      <c r="G56" s="144" t="n">
        <f aca="false">+'[3]Jan ext legal'!G56+'[3]Feb ext legal'!G56+'[3]Mar ext legal'!G56+'[3]Apr ext legal'!G56+'[3]May ext legal'!G56+'[3]Jun ext legal'!G56+'[3]Jul ext legal'!G56</f>
        <v>0</v>
      </c>
      <c r="H56" s="145" t="n">
        <f aca="false">+'[3]Jan ext legal'!H56+'[3]Feb ext legal'!H56+'[3]Mar ext legal'!H56+'[3]Apr ext legal'!H56+'[3]May ext legal'!H56+'[3]Jun ext legal'!H56+'[3]Jul ext legal'!H56</f>
        <v>0</v>
      </c>
      <c r="I56" s="144" t="n">
        <f aca="false">+'[3]Jan ext legal'!I56+'[3]Feb ext legal'!I56+'[3]Mar ext legal'!I56+'[3]Apr ext legal'!I56+'[3]May ext legal'!I56+'[3]Jun ext legal'!I56+'[3]Jul ext legal'!I56</f>
        <v>0</v>
      </c>
      <c r="J56" s="145" t="n">
        <f aca="false">+'[3]Jan ext legal'!K56+'[3]Feb ext legal'!K56+'[3]Mar ext legal'!K56+'[3]Apr ext legal'!K56+'[3]May ext legal'!K56+'[3]Jun ext legal'!K56+'[3]Jul ext legal'!K56</f>
        <v>0</v>
      </c>
      <c r="K56" s="145" t="n">
        <f aca="false">+'[3]Jan ext legal'!L56+'[3]Feb ext legal'!L56+'[3]Mar ext legal'!L56+'[3]Apr ext legal'!L56+'[3]May ext legal'!L56+'[3]Jun ext legal'!L56+'[3]Jul ext legal'!L56</f>
        <v>0</v>
      </c>
      <c r="L56" s="145" t="n">
        <f aca="false">+'[3]Jan ext legal'!M56+'[3]Feb ext legal'!M56+'[3]Mar ext legal'!M56+'[3]Apr ext legal'!M56+'[3]May ext legal'!M56+'[3]Jun ext legal'!M56+'[3]Jul ext legal'!M56</f>
        <v>0</v>
      </c>
      <c r="M56" s="146" t="n">
        <f aca="false">+D56/D$73</f>
        <v>0.000677721958624292</v>
      </c>
      <c r="N56" s="146" t="n">
        <f aca="false">+N$4*M56</f>
        <v>5906.80405386677</v>
      </c>
      <c r="O56" s="147"/>
      <c r="P56" s="146" t="n">
        <f aca="false">SUM(D56+N56)</f>
        <v>13859.4140538668</v>
      </c>
      <c r="Q56" s="141"/>
      <c r="R56" s="141"/>
    </row>
    <row r="57" customFormat="false" ht="11.25" hidden="false" customHeight="false" outlineLevel="0" collapsed="false">
      <c r="A57" s="142" t="n">
        <v>107319</v>
      </c>
      <c r="B57" s="141" t="s">
        <v>227</v>
      </c>
      <c r="C57" s="141"/>
      <c r="D57" s="143" t="n">
        <v>48408.78</v>
      </c>
      <c r="E57" s="144" t="n">
        <f aca="false">+'[3]Jan ext legal'!E57+'[3]Feb ext legal'!E57+'[3]Mar ext legal'!E57+'[3]Apr ext legal'!E57+'[3]May ext legal'!E57+'[3]Jun ext legal'!E57+'[3]Jul ext legal'!E57</f>
        <v>329.94</v>
      </c>
      <c r="F57" s="145" t="n">
        <f aca="false">+'[3]Jan ext legal'!F57+'[3]Feb ext legal'!F57+'[3]Mar ext legal'!F57+'[3]Apr ext legal'!F57+'[3]May ext legal'!F57+'[3]Jun ext legal'!F57+'[3]Jul ext legal'!F57</f>
        <v>48078.84</v>
      </c>
      <c r="G57" s="144" t="n">
        <f aca="false">+'[3]Jan ext legal'!G57+'[3]Feb ext legal'!G57+'[3]Mar ext legal'!G57+'[3]Apr ext legal'!G57+'[3]May ext legal'!G57+'[3]Jun ext legal'!G57+'[3]Jul ext legal'!G57</f>
        <v>0</v>
      </c>
      <c r="H57" s="145" t="n">
        <f aca="false">+'[3]Jan ext legal'!H57+'[3]Feb ext legal'!H57+'[3]Mar ext legal'!H57+'[3]Apr ext legal'!H57+'[3]May ext legal'!H57+'[3]Jun ext legal'!H57+'[3]Jul ext legal'!H57</f>
        <v>0</v>
      </c>
      <c r="I57" s="144" t="n">
        <f aca="false">+'[3]Jan ext legal'!I57+'[3]Feb ext legal'!I57+'[3]Mar ext legal'!I57+'[3]Apr ext legal'!I57+'[3]May ext legal'!I57+'[3]Jun ext legal'!I57+'[3]Jul ext legal'!I57</f>
        <v>0</v>
      </c>
      <c r="J57" s="145" t="n">
        <f aca="false">+'[3]Jan ext legal'!K57+'[3]Feb ext legal'!K57+'[3]Mar ext legal'!K57+'[3]Apr ext legal'!K57+'[3]May ext legal'!K57+'[3]Jun ext legal'!K57+'[3]Jul ext legal'!K57</f>
        <v>0</v>
      </c>
      <c r="K57" s="145" t="n">
        <f aca="false">+'[3]Jan ext legal'!L57+'[3]Feb ext legal'!L57+'[3]Mar ext legal'!L57+'[3]Apr ext legal'!L57+'[3]May ext legal'!L57+'[3]Jun ext legal'!L57+'[3]Jul ext legal'!L57</f>
        <v>0</v>
      </c>
      <c r="L57" s="145" t="n">
        <f aca="false">+'[3]Jan ext legal'!M57+'[3]Feb ext legal'!M57+'[3]Mar ext legal'!M57+'[3]Apr ext legal'!M57+'[3]May ext legal'!M57+'[3]Jun ext legal'!M57+'[3]Jul ext legal'!M57</f>
        <v>0</v>
      </c>
      <c r="M57" s="146" t="n">
        <f aca="false">+D57/D$73</f>
        <v>0.00412539948472419</v>
      </c>
      <c r="N57" s="146" t="n">
        <f aca="false">+N$4*M57</f>
        <v>35955.6394626097</v>
      </c>
      <c r="O57" s="147"/>
      <c r="P57" s="146" t="n">
        <f aca="false">SUM(D57+N57)</f>
        <v>84364.4194626097</v>
      </c>
      <c r="Q57" s="141"/>
      <c r="R57" s="141"/>
    </row>
    <row r="58" customFormat="false" ht="11.25" hidden="true" customHeight="false" outlineLevel="0" collapsed="false">
      <c r="A58" s="142" t="n">
        <v>107322</v>
      </c>
      <c r="B58" s="141" t="s">
        <v>228</v>
      </c>
      <c r="C58" s="141" t="s">
        <v>229</v>
      </c>
      <c r="D58" s="143" t="n">
        <v>0</v>
      </c>
      <c r="E58" s="144" t="n">
        <f aca="false">+'[3]Jan ext legal'!E58+'[3]Feb ext legal'!E58+'[3]Mar ext legal'!E58+'[3]Apr ext legal'!E58+'[3]May ext legal'!E58+'[3]Jun ext legal'!E58+'[3]Jul ext legal'!E58</f>
        <v>0</v>
      </c>
      <c r="F58" s="145" t="n">
        <f aca="false">+'[3]Jan ext legal'!F58+'[3]Feb ext legal'!F58+'[3]Mar ext legal'!F58+'[3]Apr ext legal'!F58+'[3]May ext legal'!F58+'[3]Jun ext legal'!F58+'[3]Jul ext legal'!F58</f>
        <v>0</v>
      </c>
      <c r="G58" s="144" t="n">
        <f aca="false">+'[3]Jan ext legal'!G58+'[3]Feb ext legal'!G58+'[3]Mar ext legal'!G58+'[3]Apr ext legal'!G58+'[3]May ext legal'!G58+'[3]Jun ext legal'!G58+'[3]Jul ext legal'!G58</f>
        <v>0</v>
      </c>
      <c r="H58" s="145" t="n">
        <f aca="false">+'[3]Jan ext legal'!H58+'[3]Feb ext legal'!H58+'[3]Mar ext legal'!H58+'[3]Apr ext legal'!H58+'[3]May ext legal'!H58+'[3]Jun ext legal'!H58+'[3]Jul ext legal'!H58</f>
        <v>0</v>
      </c>
      <c r="I58" s="144" t="n">
        <f aca="false">+'[3]Jan ext legal'!I58+'[3]Feb ext legal'!I58+'[3]Mar ext legal'!I58+'[3]Apr ext legal'!I58+'[3]May ext legal'!I58+'[3]Jun ext legal'!I58+'[3]Jul ext legal'!I58</f>
        <v>0</v>
      </c>
      <c r="J58" s="145" t="n">
        <f aca="false">+'[3]Jan ext legal'!K58+'[3]Feb ext legal'!K58+'[3]Mar ext legal'!K58+'[3]Apr ext legal'!K58+'[3]May ext legal'!K58+'[3]Jun ext legal'!K58+'[3]Jul ext legal'!K58</f>
        <v>0</v>
      </c>
      <c r="K58" s="145" t="n">
        <f aca="false">+'[3]Jan ext legal'!L58+'[3]Feb ext legal'!L58+'[3]Mar ext legal'!L58+'[3]Apr ext legal'!L58+'[3]May ext legal'!L58+'[3]Jun ext legal'!L58+'[3]Jul ext legal'!L58</f>
        <v>0</v>
      </c>
      <c r="L58" s="145" t="n">
        <f aca="false">+'[3]Jan ext legal'!M58+'[3]Feb ext legal'!M58+'[3]Mar ext legal'!M58+'[3]Apr ext legal'!M58+'[3]May ext legal'!M58+'[3]Jun ext legal'!M58+'[3]Jul ext legal'!M58</f>
        <v>0</v>
      </c>
      <c r="M58" s="146" t="n">
        <f aca="false">+D58/D$73</f>
        <v>0</v>
      </c>
      <c r="N58" s="146" t="n">
        <f aca="false">+N$4*M58</f>
        <v>0</v>
      </c>
      <c r="O58" s="147"/>
      <c r="P58" s="146" t="n">
        <f aca="false">SUM(D58+N58)</f>
        <v>0</v>
      </c>
      <c r="Q58" s="141"/>
      <c r="R58" s="141"/>
    </row>
    <row r="59" customFormat="false" ht="11.25" hidden="true" customHeight="false" outlineLevel="0" collapsed="false">
      <c r="A59" s="142" t="n">
        <v>107323</v>
      </c>
      <c r="B59" s="141" t="s">
        <v>230</v>
      </c>
      <c r="C59" s="141"/>
      <c r="D59" s="143" t="n">
        <v>0</v>
      </c>
      <c r="E59" s="144" t="n">
        <f aca="false">+'[3]Jan ext legal'!E59+'[3]Feb ext legal'!E59+'[3]Mar ext legal'!E59+'[3]Apr ext legal'!E59+'[3]May ext legal'!E59+'[3]Jun ext legal'!E59+'[3]Jul ext legal'!E59</f>
        <v>0</v>
      </c>
      <c r="F59" s="145"/>
      <c r="G59" s="144" t="n">
        <f aca="false">+'[3]Jan ext legal'!G59+'[3]Feb ext legal'!G59+'[3]Mar ext legal'!G59+'[3]Apr ext legal'!G59+'[3]May ext legal'!G59+'[3]Jun ext legal'!G59+'[3]Jul ext legal'!G59</f>
        <v>0</v>
      </c>
      <c r="H59" s="145" t="n">
        <f aca="false">+'[3]Jan ext legal'!H59+'[3]Feb ext legal'!H59+'[3]Mar ext legal'!H59+'[3]Apr ext legal'!H59+'[3]May ext legal'!H59+'[3]Jun ext legal'!H59+'[3]Jul ext legal'!H59</f>
        <v>0</v>
      </c>
      <c r="I59" s="144" t="n">
        <f aca="false">+'[3]Jan ext legal'!I59+'[3]Feb ext legal'!I59+'[3]Mar ext legal'!I59+'[3]Apr ext legal'!I59+'[3]May ext legal'!I59+'[3]Jun ext legal'!I59+'[3]Jul ext legal'!I59</f>
        <v>0</v>
      </c>
      <c r="J59" s="145" t="n">
        <f aca="false">+'[3]Jan ext legal'!K59+'[3]Feb ext legal'!K59+'[3]Mar ext legal'!K59+'[3]Apr ext legal'!K59+'[3]May ext legal'!K59+'[3]Jun ext legal'!K59+'[3]Jul ext legal'!K59</f>
        <v>0</v>
      </c>
      <c r="K59" s="145" t="n">
        <f aca="false">+'[3]Jan ext legal'!L59+'[3]Feb ext legal'!L59+'[3]Mar ext legal'!L59+'[3]Apr ext legal'!L59+'[3]May ext legal'!L59+'[3]Jun ext legal'!L59+'[3]Jul ext legal'!L59</f>
        <v>0</v>
      </c>
      <c r="L59" s="145" t="n">
        <f aca="false">+'[3]Jan ext legal'!M59+'[3]Feb ext legal'!M59+'[3]Mar ext legal'!M59+'[3]Apr ext legal'!M59+'[3]May ext legal'!M59+'[3]Jun ext legal'!M59+'[3]Jul ext legal'!M59</f>
        <v>0</v>
      </c>
      <c r="M59" s="146" t="n">
        <f aca="false">+D59/D$73</f>
        <v>0</v>
      </c>
      <c r="N59" s="146" t="n">
        <f aca="false">+N$4*M59</f>
        <v>0</v>
      </c>
      <c r="O59" s="147"/>
      <c r="P59" s="146" t="n">
        <f aca="false">SUM(D59+N59)</f>
        <v>0</v>
      </c>
      <c r="Q59" s="141"/>
      <c r="R59" s="141"/>
    </row>
    <row r="60" customFormat="false" ht="11.25" hidden="false" customHeight="false" outlineLevel="0" collapsed="false">
      <c r="A60" s="142" t="n">
        <v>107443</v>
      </c>
      <c r="B60" s="141" t="s">
        <v>231</v>
      </c>
      <c r="C60" s="141"/>
      <c r="D60" s="143" t="n">
        <v>53125.36</v>
      </c>
      <c r="E60" s="144" t="n">
        <f aca="false">+'[3]Jan ext legal'!E60+'[3]Feb ext legal'!E60+'[3]Mar ext legal'!E60+'[3]Apr ext legal'!E60+'[3]May ext legal'!E60+'[3]Jun ext legal'!E60+'[3]Jul ext legal'!E60</f>
        <v>0</v>
      </c>
      <c r="F60" s="145" t="n">
        <f aca="false">+'[3]Jan ext legal'!F60+'[3]Feb ext legal'!F60+'[3]Mar ext legal'!F60+'[3]Apr ext legal'!F60+'[3]May ext legal'!F60+'[3]Jun ext legal'!F60+'[3]Jul ext legal'!F60</f>
        <v>0</v>
      </c>
      <c r="G60" s="144" t="n">
        <f aca="false">+'[3]Jan ext legal'!G60+'[3]Feb ext legal'!G60+'[3]Mar ext legal'!G60+'[3]Apr ext legal'!G60+'[3]May ext legal'!G60+'[3]Jun ext legal'!G60+'[3]Jul ext legal'!G60</f>
        <v>53125.36</v>
      </c>
      <c r="H60" s="145" t="n">
        <f aca="false">+'[3]Jan ext legal'!H60+'[3]Feb ext legal'!H60+'[3]Mar ext legal'!H60+'[3]Apr ext legal'!H60+'[3]May ext legal'!H60+'[3]Jun ext legal'!H60+'[3]Jul ext legal'!H60</f>
        <v>0</v>
      </c>
      <c r="I60" s="144" t="n">
        <f aca="false">+'[3]Jan ext legal'!I60+'[3]Feb ext legal'!I60+'[3]Mar ext legal'!I60+'[3]Apr ext legal'!I60+'[3]May ext legal'!I60+'[3]Jun ext legal'!I60+'[3]Jul ext legal'!I60</f>
        <v>0</v>
      </c>
      <c r="J60" s="145" t="n">
        <f aca="false">+'[3]Jan ext legal'!K60+'[3]Feb ext legal'!K60+'[3]Mar ext legal'!K60+'[3]Apr ext legal'!K60+'[3]May ext legal'!K60+'[3]Jun ext legal'!K60+'[3]Jul ext legal'!K60</f>
        <v>0</v>
      </c>
      <c r="K60" s="145" t="n">
        <f aca="false">+'[3]Jan ext legal'!L60+'[3]Feb ext legal'!L60+'[3]Mar ext legal'!L60+'[3]Apr ext legal'!L60+'[3]May ext legal'!L60+'[3]Jun ext legal'!L60+'[3]Jul ext legal'!L60</f>
        <v>0</v>
      </c>
      <c r="L60" s="145" t="n">
        <f aca="false">+'[3]Jan ext legal'!M60+'[3]Feb ext legal'!M60+'[3]Mar ext legal'!M60+'[3]Apr ext legal'!M60+'[3]May ext legal'!M60+'[3]Jun ext legal'!M60+'[3]Jul ext legal'!M60</f>
        <v>0</v>
      </c>
      <c r="M60" s="146" t="n">
        <f aca="false">+D60/D$73</f>
        <v>0.00452734674928365</v>
      </c>
      <c r="N60" s="146" t="n">
        <f aca="false">+N$4*M60</f>
        <v>39458.8810228506</v>
      </c>
      <c r="O60" s="147"/>
      <c r="P60" s="146" t="n">
        <f aca="false">SUM(D60+N60)</f>
        <v>92584.2410228506</v>
      </c>
      <c r="Q60" s="141"/>
      <c r="R60" s="141"/>
    </row>
    <row r="61" customFormat="false" ht="11.25" hidden="false" customHeight="false" outlineLevel="0" collapsed="false">
      <c r="A61" s="142" t="n">
        <v>107444</v>
      </c>
      <c r="B61" s="141" t="s">
        <v>232</v>
      </c>
      <c r="C61" s="141"/>
      <c r="D61" s="143" t="n">
        <v>65073.91</v>
      </c>
      <c r="E61" s="144" t="n">
        <f aca="false">+'[3]Jan ext legal'!E61+'[3]Feb ext legal'!E61+'[3]Mar ext legal'!E61+'[3]Apr ext legal'!E61+'[3]May ext legal'!E61+'[3]Jun ext legal'!E61+'[3]Jul ext legal'!E61</f>
        <v>63374.39</v>
      </c>
      <c r="F61" s="145" t="n">
        <f aca="false">+'[3]Jan ext legal'!F61+'[3]Feb ext legal'!F61+'[3]Mar ext legal'!F61+'[3]Apr ext legal'!F61+'[3]May ext legal'!F61+'[3]Jun ext legal'!F61+'[3]Jul ext legal'!F61</f>
        <v>0</v>
      </c>
      <c r="G61" s="144" t="n">
        <f aca="false">+'[3]Jan ext legal'!G61+'[3]Feb ext legal'!G61+'[3]Mar ext legal'!G61+'[3]Apr ext legal'!G61+'[3]May ext legal'!G61+'[3]Jun ext legal'!G61+'[3]Jul ext legal'!G61</f>
        <v>0</v>
      </c>
      <c r="H61" s="145" t="n">
        <f aca="false">+'[3]Jan ext legal'!H61+'[3]Feb ext legal'!H61+'[3]Mar ext legal'!H61+'[3]Apr ext legal'!H61+'[3]May ext legal'!H61+'[3]Jun ext legal'!H61+'[3]Jul ext legal'!H61</f>
        <v>0</v>
      </c>
      <c r="I61" s="144" t="n">
        <f aca="false">+'[3]Jan ext legal'!I61+'[3]Feb ext legal'!I61+'[3]Mar ext legal'!I61+'[3]Apr ext legal'!I61+'[3]May ext legal'!I61+'[3]Jun ext legal'!I61+'[3]Jul ext legal'!I61</f>
        <v>1699.52</v>
      </c>
      <c r="J61" s="145" t="n">
        <f aca="false">+'[3]Jan ext legal'!K61+'[3]Feb ext legal'!K61+'[3]Mar ext legal'!K61+'[3]Apr ext legal'!K61+'[3]May ext legal'!K61+'[3]Jun ext legal'!K61+'[3]Jul ext legal'!K61</f>
        <v>0</v>
      </c>
      <c r="K61" s="145" t="n">
        <f aca="false">+'[3]Jan ext legal'!L61+'[3]Feb ext legal'!L61+'[3]Mar ext legal'!L61+'[3]Apr ext legal'!L61+'[3]May ext legal'!L61+'[3]Jun ext legal'!L61+'[3]Jul ext legal'!L61</f>
        <v>0</v>
      </c>
      <c r="L61" s="145" t="n">
        <f aca="false">+'[3]Jan ext legal'!M61+'[3]Feb ext legal'!M61+'[3]Mar ext legal'!M61+'[3]Apr ext legal'!M61+'[3]May ext legal'!M61+'[3]Jun ext legal'!M61+'[3]Jul ext legal'!M61</f>
        <v>0</v>
      </c>
      <c r="M61" s="146" t="n">
        <f aca="false">+D61/D$73</f>
        <v>0.00554560298323958</v>
      </c>
      <c r="N61" s="146" t="n">
        <f aca="false">+N$4*M61</f>
        <v>48333.6710072494</v>
      </c>
      <c r="O61" s="147"/>
      <c r="P61" s="146" t="n">
        <f aca="false">SUM(D61+N61)</f>
        <v>113407.581007249</v>
      </c>
      <c r="Q61" s="141"/>
      <c r="R61" s="141"/>
    </row>
    <row r="62" customFormat="false" ht="11.25" hidden="false" customHeight="false" outlineLevel="0" collapsed="false">
      <c r="A62" s="142" t="n">
        <v>107446</v>
      </c>
      <c r="B62" s="141" t="s">
        <v>233</v>
      </c>
      <c r="C62" s="141"/>
      <c r="D62" s="143" t="n">
        <v>754729.8</v>
      </c>
      <c r="E62" s="144" t="n">
        <f aca="false">+'[3]Jan ext legal'!E62+'[3]Feb ext legal'!E62+'[3]Mar ext legal'!E62+'[3]Apr ext legal'!E62+'[3]May ext legal'!E62+'[3]Jun ext legal'!E62+'[3]Jul ext legal'!E62</f>
        <v>0</v>
      </c>
      <c r="F62" s="145" t="n">
        <f aca="false">+'[3]Jan ext legal'!F62+'[3]Feb ext legal'!F62+'[3]Mar ext legal'!F62+'[3]Apr ext legal'!F62+'[3]May ext legal'!F62+'[3]Jun ext legal'!F62+'[3]Jul ext legal'!F62</f>
        <v>754729.8</v>
      </c>
      <c r="G62" s="144" t="n">
        <f aca="false">+'[3]Jan ext legal'!G62+'[3]Feb ext legal'!G62+'[3]Mar ext legal'!G62+'[3]Apr ext legal'!G62+'[3]May ext legal'!G62+'[3]Jun ext legal'!G62+'[3]Jul ext legal'!G62</f>
        <v>0</v>
      </c>
      <c r="H62" s="145" t="n">
        <f aca="false">+'[3]Jan ext legal'!H62+'[3]Feb ext legal'!H62+'[3]Mar ext legal'!H62+'[3]Apr ext legal'!H62+'[3]May ext legal'!H62+'[3]Jun ext legal'!H62+'[3]Jul ext legal'!H62</f>
        <v>0</v>
      </c>
      <c r="I62" s="144" t="n">
        <f aca="false">+'[3]Jan ext legal'!I62+'[3]Feb ext legal'!I62+'[3]Mar ext legal'!I62+'[3]Apr ext legal'!I62+'[3]May ext legal'!I62+'[3]Jun ext legal'!I62+'[3]Jul ext legal'!I62</f>
        <v>0</v>
      </c>
      <c r="J62" s="145" t="n">
        <f aca="false">+'[3]Jan ext legal'!K62+'[3]Feb ext legal'!K62+'[3]Mar ext legal'!K62+'[3]Apr ext legal'!K62+'[3]May ext legal'!K62+'[3]Jun ext legal'!K62+'[3]Jul ext legal'!K62</f>
        <v>0</v>
      </c>
      <c r="K62" s="145" t="n">
        <f aca="false">+'[3]Jan ext legal'!L62+'[3]Feb ext legal'!L62+'[3]Mar ext legal'!L62+'[3]Apr ext legal'!L62+'[3]May ext legal'!L62+'[3]Jun ext legal'!L62+'[3]Jul ext legal'!L62</f>
        <v>0</v>
      </c>
      <c r="L62" s="145" t="n">
        <f aca="false">+'[3]Jan ext legal'!M62+'[3]Feb ext legal'!M62+'[3]Mar ext legal'!M62+'[3]Apr ext legal'!M62+'[3]May ext legal'!M62+'[3]Jun ext legal'!M62+'[3]Jul ext legal'!M62</f>
        <v>0</v>
      </c>
      <c r="M62" s="146" t="n">
        <f aca="false">+D62/D$73</f>
        <v>0.0643181242746872</v>
      </c>
      <c r="N62" s="146" t="n">
        <f aca="false">+N$4*M62</f>
        <v>560575.841417354</v>
      </c>
      <c r="O62" s="147"/>
      <c r="P62" s="146" t="n">
        <f aca="false">SUM(D62+N62)</f>
        <v>1315305.64141735</v>
      </c>
      <c r="Q62" s="141"/>
      <c r="R62" s="141"/>
    </row>
    <row r="63" customFormat="false" ht="11.25" hidden="false" customHeight="false" outlineLevel="0" collapsed="false">
      <c r="A63" s="142" t="n">
        <v>107447</v>
      </c>
      <c r="B63" s="141" t="s">
        <v>234</v>
      </c>
      <c r="C63" s="141"/>
      <c r="D63" s="143" t="n">
        <v>31742.32</v>
      </c>
      <c r="E63" s="144" t="n">
        <f aca="false">+'[3]Jan ext legal'!E63+'[3]Feb ext legal'!E63+'[3]Mar ext legal'!E63+'[3]Apr ext legal'!E63+'[3]May ext legal'!E63+'[3]Jun ext legal'!E63+'[3]Jul ext legal'!E63</f>
        <v>0</v>
      </c>
      <c r="F63" s="145" t="n">
        <f aca="false">+'[3]Jan ext legal'!F63+'[3]Feb ext legal'!F63+'[3]Mar ext legal'!F63+'[3]Apr ext legal'!F63+'[3]May ext legal'!F63+'[3]Jun ext legal'!F63+'[3]Jul ext legal'!F63</f>
        <v>0</v>
      </c>
      <c r="G63" s="144" t="n">
        <f aca="false">+'[3]Jan ext legal'!G63+'[3]Feb ext legal'!G63+'[3]Mar ext legal'!G63+'[3]Apr ext legal'!G63+'[3]May ext legal'!G63+'[3]Jun ext legal'!G63+'[3]Jul ext legal'!G63</f>
        <v>0</v>
      </c>
      <c r="H63" s="145" t="n">
        <f aca="false">+'[3]Jan ext legal'!H63+'[3]Feb ext legal'!H63+'[3]Mar ext legal'!H63+'[3]Apr ext legal'!H63+'[3]May ext legal'!H63+'[3]Jun ext legal'!H63+'[3]Jul ext legal'!H63</f>
        <v>0</v>
      </c>
      <c r="I63" s="144" t="n">
        <f aca="false">+'[3]Jan ext legal'!I63+'[3]Feb ext legal'!I63+'[3]Mar ext legal'!I63+'[3]Apr ext legal'!I63+'[3]May ext legal'!I63+'[3]Jun ext legal'!I63+'[3]Jul ext legal'!I63</f>
        <v>0</v>
      </c>
      <c r="J63" s="145" t="n">
        <f aca="false">+'[3]Jan ext legal'!K63+'[3]Feb ext legal'!K63+'[3]Mar ext legal'!K63+'[3]Apr ext legal'!K63+'[3]May ext legal'!K63+'[3]Jun ext legal'!K63+'[3]Jul ext legal'!K63</f>
        <v>0</v>
      </c>
      <c r="K63" s="145" t="n">
        <f aca="false">+'[3]Jan ext legal'!L63+'[3]Feb ext legal'!L63+'[3]Mar ext legal'!L63+'[3]Apr ext legal'!L63+'[3]May ext legal'!L63+'[3]Jun ext legal'!L63+'[3]Jul ext legal'!L63</f>
        <v>31742.32</v>
      </c>
      <c r="L63" s="145" t="n">
        <f aca="false">+'[3]Jan ext legal'!M63+'[3]Feb ext legal'!M63+'[3]Mar ext legal'!M63+'[3]Apr ext legal'!M63+'[3]May ext legal'!M63+'[3]Jun ext legal'!M63+'[3]Jul ext legal'!M63</f>
        <v>0</v>
      </c>
      <c r="M63" s="146" t="n">
        <f aca="false">+D63/D$73</f>
        <v>0.00270508264351943</v>
      </c>
      <c r="N63" s="146" t="n">
        <f aca="false">+N$4*M63</f>
        <v>23576.6200599723</v>
      </c>
      <c r="O63" s="147"/>
      <c r="P63" s="146" t="n">
        <f aca="false">SUM(D63+N63)</f>
        <v>55318.9400599723</v>
      </c>
      <c r="Q63" s="141"/>
      <c r="R63" s="141"/>
    </row>
    <row r="64" customFormat="false" ht="11.25" hidden="false" customHeight="false" outlineLevel="0" collapsed="false">
      <c r="A64" s="142" t="n">
        <v>107449</v>
      </c>
      <c r="B64" s="141" t="s">
        <v>235</v>
      </c>
      <c r="C64" s="141"/>
      <c r="D64" s="143" t="n">
        <v>3834.58</v>
      </c>
      <c r="E64" s="144" t="n">
        <f aca="false">+'[3]Jan ext legal'!E64+'[3]Feb ext legal'!E64+'[3]Mar ext legal'!E64+'[3]Apr ext legal'!E64+'[3]May ext legal'!E64+'[3]Jun ext legal'!E64+'[3]Jul ext legal'!E64</f>
        <v>0</v>
      </c>
      <c r="F64" s="145" t="n">
        <f aca="false">+'[3]Jan ext legal'!F64+'[3]Feb ext legal'!F64+'[3]Mar ext legal'!F64+'[3]Apr ext legal'!F64+'[3]May ext legal'!F64+'[3]Jun ext legal'!F64+'[3]Jul ext legal'!F64</f>
        <v>0</v>
      </c>
      <c r="G64" s="144" t="n">
        <f aca="false">+'[3]Jan ext legal'!G64+'[3]Feb ext legal'!G64+'[3]Mar ext legal'!G64+'[3]Apr ext legal'!G64+'[3]May ext legal'!G64+'[3]Jun ext legal'!G64+'[3]Jul ext legal'!G64</f>
        <v>0</v>
      </c>
      <c r="H64" s="145" t="n">
        <f aca="false">+'[3]Jan ext legal'!H64+'[3]Feb ext legal'!H64+'[3]Mar ext legal'!H64+'[3]Apr ext legal'!H64+'[3]May ext legal'!H64+'[3]Jun ext legal'!H64+'[3]Jul ext legal'!H64</f>
        <v>3834.58</v>
      </c>
      <c r="I64" s="144" t="n">
        <f aca="false">+'[3]Jan ext legal'!I64+'[3]Feb ext legal'!I64+'[3]Mar ext legal'!I64+'[3]Apr ext legal'!I64+'[3]May ext legal'!I64+'[3]Jun ext legal'!I64+'[3]Jul ext legal'!I64</f>
        <v>0</v>
      </c>
      <c r="J64" s="145" t="n">
        <f aca="false">+'[3]Jan ext legal'!K64+'[3]Feb ext legal'!K64+'[3]Mar ext legal'!K64+'[3]Apr ext legal'!K64+'[3]May ext legal'!K64+'[3]Jun ext legal'!K64+'[3]Jul ext legal'!K64</f>
        <v>0</v>
      </c>
      <c r="K64" s="145" t="n">
        <f aca="false">+'[3]Jan ext legal'!L64+'[3]Feb ext legal'!L64+'[3]Mar ext legal'!L64+'[3]Apr ext legal'!L64+'[3]May ext legal'!L64+'[3]Jun ext legal'!L64+'[3]Jul ext legal'!L64</f>
        <v>0</v>
      </c>
      <c r="L64" s="145" t="n">
        <f aca="false">+'[3]Jan ext legal'!M64+'[3]Feb ext legal'!M64+'[3]Mar ext legal'!M64+'[3]Apr ext legal'!M64+'[3]May ext legal'!M64+'[3]Jun ext legal'!M64+'[3]Jul ext legal'!M64</f>
        <v>0</v>
      </c>
      <c r="M64" s="146" t="n">
        <f aca="false">+D64/D$73</f>
        <v>0.000326783165288067</v>
      </c>
      <c r="N64" s="146" t="n">
        <f aca="false">+N$4*M64</f>
        <v>2848.13573014098</v>
      </c>
      <c r="O64" s="147"/>
      <c r="P64" s="146" t="n">
        <f aca="false">SUM(D64+N64)</f>
        <v>6682.71573014098</v>
      </c>
      <c r="Q64" s="141"/>
      <c r="R64" s="141"/>
    </row>
    <row r="65" customFormat="false" ht="11.25" hidden="true" customHeight="false" outlineLevel="0" collapsed="false">
      <c r="A65" s="142" t="n">
        <v>107452</v>
      </c>
      <c r="B65" s="141" t="s">
        <v>236</v>
      </c>
      <c r="C65" s="141" t="s">
        <v>237</v>
      </c>
      <c r="D65" s="143" t="n">
        <v>0</v>
      </c>
      <c r="E65" s="144" t="n">
        <f aca="false">+'[3]Jan ext legal'!E65+'[3]Feb ext legal'!E65+'[3]Mar ext legal'!E65+'[3]Apr ext legal'!E65+'[3]May ext legal'!E65+'[3]Jun ext legal'!E65+'[3]Jul ext legal'!E65</f>
        <v>0</v>
      </c>
      <c r="F65" s="145" t="n">
        <f aca="false">+'[3]Jan ext legal'!F65+'[3]Feb ext legal'!F65+'[3]Mar ext legal'!F65+'[3]Apr ext legal'!F65+'[3]May ext legal'!F65+'[3]Jun ext legal'!F65+'[3]Jul ext legal'!F65</f>
        <v>0</v>
      </c>
      <c r="G65" s="144" t="n">
        <f aca="false">+'[3]Jan ext legal'!G65+'[3]Feb ext legal'!G65+'[3]Mar ext legal'!G65+'[3]Apr ext legal'!G65+'[3]May ext legal'!G65+'[3]Jun ext legal'!G65+'[3]Jul ext legal'!G65</f>
        <v>0</v>
      </c>
      <c r="H65" s="145" t="n">
        <f aca="false">+'[3]Jan ext legal'!H65+'[3]Feb ext legal'!H65+'[3]Mar ext legal'!H65+'[3]Apr ext legal'!H65+'[3]May ext legal'!H65+'[3]Jun ext legal'!H65+'[3]Jul ext legal'!H65</f>
        <v>0</v>
      </c>
      <c r="I65" s="144" t="n">
        <f aca="false">+'[3]Jan ext legal'!I65+'[3]Feb ext legal'!I65+'[3]Mar ext legal'!I65+'[3]Apr ext legal'!I65+'[3]May ext legal'!I65+'[3]Jun ext legal'!I65+'[3]Jul ext legal'!I65</f>
        <v>0</v>
      </c>
      <c r="J65" s="145" t="n">
        <f aca="false">+'[3]Jan ext legal'!K65+'[3]Feb ext legal'!K65+'[3]Mar ext legal'!K65+'[3]Apr ext legal'!K65+'[3]May ext legal'!K65+'[3]Jun ext legal'!K65+'[3]Jul ext legal'!K65</f>
        <v>0</v>
      </c>
      <c r="K65" s="145" t="n">
        <f aca="false">+'[3]Jan ext legal'!L65+'[3]Feb ext legal'!L65+'[3]Mar ext legal'!L65+'[3]Apr ext legal'!L65+'[3]May ext legal'!L65+'[3]Jun ext legal'!L65+'[3]Jul ext legal'!L65</f>
        <v>0</v>
      </c>
      <c r="L65" s="145" t="n">
        <f aca="false">+'[3]Jan ext legal'!M65+'[3]Feb ext legal'!M65+'[3]Mar ext legal'!M65+'[3]Apr ext legal'!M65+'[3]May ext legal'!M65+'[3]Jun ext legal'!M65+'[3]Jul ext legal'!M65</f>
        <v>0</v>
      </c>
      <c r="M65" s="146" t="n">
        <f aca="false">+D65/D$73</f>
        <v>0</v>
      </c>
      <c r="N65" s="146" t="n">
        <f aca="false">+N$4*M65</f>
        <v>0</v>
      </c>
      <c r="O65" s="147"/>
      <c r="P65" s="146" t="n">
        <f aca="false">SUM(D65+N65)</f>
        <v>0</v>
      </c>
      <c r="Q65" s="141"/>
      <c r="R65" s="141"/>
    </row>
    <row r="66" customFormat="false" ht="11.25" hidden="false" customHeight="false" outlineLevel="0" collapsed="false">
      <c r="A66" s="133" t="n">
        <v>120484</v>
      </c>
      <c r="B66" s="134" t="s">
        <v>238</v>
      </c>
      <c r="C66" s="134"/>
      <c r="D66" s="136" t="n">
        <v>1457909.08</v>
      </c>
      <c r="E66" s="137" t="n">
        <f aca="false">+'[3]Jan ext legal'!E66+'[3]Feb ext legal'!E66+'[3]Mar ext legal'!E66+'[3]Apr ext legal'!E66+'[3]May ext legal'!E66+'[3]Jun ext legal'!E66+'[3]Jul ext legal'!E66</f>
        <v>91203.41</v>
      </c>
      <c r="F66" s="138" t="n">
        <f aca="false">+'[3]Jan ext legal'!F66+'[3]Feb ext legal'!F66+'[3]Mar ext legal'!F66+'[3]Apr ext legal'!F66+'[3]May ext legal'!F66+'[3]Jun ext legal'!F66+'[3]Jul ext legal'!F66</f>
        <v>0</v>
      </c>
      <c r="G66" s="137" t="n">
        <f aca="false">+'[3]Jan ext legal'!G66+'[3]Feb ext legal'!G66+'[3]Mar ext legal'!G66+'[3]Apr ext legal'!G66+'[3]May ext legal'!G66+'[3]Jun ext legal'!G66+'[3]Jul ext legal'!G66</f>
        <v>534904.54</v>
      </c>
      <c r="H66" s="138" t="n">
        <f aca="false">+'[3]Jan ext legal'!H66+'[3]Feb ext legal'!H66+'[3]Mar ext legal'!H66+'[3]Apr ext legal'!H66+'[3]May ext legal'!H66+'[3]Jun ext legal'!H66+'[3]Jul ext legal'!H66</f>
        <v>117396.73</v>
      </c>
      <c r="I66" s="137" t="n">
        <f aca="false">+'[3]Jan ext legal'!I66+'[3]Feb ext legal'!I66+'[3]Mar ext legal'!I66+'[3]Apr ext legal'!I66+'[3]May ext legal'!I66+'[3]Jun ext legal'!I66+'[3]Jul ext legal'!I66</f>
        <v>713941.5</v>
      </c>
      <c r="J66" s="138" t="n">
        <f aca="false">+'[3]Jan ext legal'!K66+'[3]Feb ext legal'!K66+'[3]Mar ext legal'!K66+'[3]Apr ext legal'!K66+'[3]May ext legal'!K66+'[3]Jun ext legal'!K66+'[3]Jul ext legal'!K66</f>
        <v>462.9</v>
      </c>
      <c r="K66" s="138" t="n">
        <f aca="false">+'[3]Jan ext legal'!L66+'[3]Feb ext legal'!L66+'[3]Mar ext legal'!L66+'[3]Apr ext legal'!L66+'[3]May ext legal'!L66+'[3]Jun ext legal'!L66+'[3]Jul ext legal'!L66</f>
        <v>0</v>
      </c>
      <c r="L66" s="138" t="n">
        <f aca="false">+'[3]Jan ext legal'!M66+'[3]Feb ext legal'!M66+'[3]Mar ext legal'!M66+'[3]Apr ext legal'!M66+'[3]May ext legal'!M66+'[3]Jun ext legal'!M66+'[3]Jul ext legal'!M66</f>
        <v>0</v>
      </c>
      <c r="M66" s="139" t="n">
        <f aca="false">+D66/D$73</f>
        <v>0.124243109770722</v>
      </c>
      <c r="N66" s="139" t="n">
        <f aca="false">+N$4*M66</f>
        <v>1082862.51481126</v>
      </c>
      <c r="O66" s="140"/>
      <c r="P66" s="139" t="n">
        <f aca="false">SUM(D66+N66)</f>
        <v>2540771.59481126</v>
      </c>
      <c r="Q66" s="141"/>
      <c r="R66" s="141"/>
    </row>
    <row r="67" customFormat="false" ht="11.25" hidden="false" customHeight="false" outlineLevel="0" collapsed="false">
      <c r="A67" s="133" t="n">
        <v>121125</v>
      </c>
      <c r="B67" s="134" t="s">
        <v>239</v>
      </c>
      <c r="C67" s="134"/>
      <c r="D67" s="136" t="n">
        <v>108674.32</v>
      </c>
      <c r="E67" s="137" t="n">
        <f aca="false">+'[3]Jan ext legal'!E67+'[3]Feb ext legal'!E67+'[3]Mar ext legal'!E67+'[3]Apr ext legal'!E67+'[3]May ext legal'!E67+'[3]Jun ext legal'!E67+'[3]Jul ext legal'!E67</f>
        <v>108674.32</v>
      </c>
      <c r="F67" s="138" t="n">
        <f aca="false">+'[3]Jan ext legal'!F67+'[3]Feb ext legal'!F67+'[3]Mar ext legal'!F67+'[3]Apr ext legal'!F67+'[3]May ext legal'!F67+'[3]Jun ext legal'!F67+'[3]Jul ext legal'!F67</f>
        <v>0</v>
      </c>
      <c r="G67" s="137" t="n">
        <f aca="false">+'[3]Jan ext legal'!G67+'[3]Feb ext legal'!G67+'[3]Mar ext legal'!G67+'[3]Apr ext legal'!G67+'[3]May ext legal'!G67+'[3]Jun ext legal'!G67+'[3]Jul ext legal'!G67</f>
        <v>0</v>
      </c>
      <c r="H67" s="138" t="n">
        <f aca="false">+'[3]Jan ext legal'!H67+'[3]Feb ext legal'!H67+'[3]Mar ext legal'!H67+'[3]Apr ext legal'!H67+'[3]May ext legal'!H67+'[3]Jun ext legal'!H67+'[3]Jul ext legal'!H67</f>
        <v>0</v>
      </c>
      <c r="I67" s="137" t="n">
        <f aca="false">+'[3]Jan ext legal'!I67+'[3]Feb ext legal'!I67+'[3]Mar ext legal'!I67+'[3]Apr ext legal'!I67+'[3]May ext legal'!I67+'[3]Jun ext legal'!I67+'[3]Jul ext legal'!I67</f>
        <v>0</v>
      </c>
      <c r="J67" s="138" t="n">
        <f aca="false">+'[3]Jan ext legal'!K67+'[3]Feb ext legal'!K67+'[3]Mar ext legal'!K67+'[3]Apr ext legal'!K67+'[3]May ext legal'!K67+'[3]Jun ext legal'!K67+'[3]Jul ext legal'!K67</f>
        <v>0</v>
      </c>
      <c r="K67" s="138" t="n">
        <f aca="false">+'[3]Jan ext legal'!L67+'[3]Feb ext legal'!L67+'[3]Mar ext legal'!L67+'[3]Apr ext legal'!L67+'[3]May ext legal'!L67+'[3]Jun ext legal'!L67+'[3]Jul ext legal'!L67</f>
        <v>0</v>
      </c>
      <c r="L67" s="138" t="n">
        <f aca="false">+'[3]Jan ext legal'!M67+'[3]Feb ext legal'!M67+'[3]Mar ext legal'!M67+'[3]Apr ext legal'!M67+'[3]May ext legal'!M67+'[3]Jun ext legal'!M67+'[3]Jul ext legal'!M67</f>
        <v>0</v>
      </c>
      <c r="M67" s="139" t="n">
        <f aca="false">+D67/D$73</f>
        <v>0.00926123285343593</v>
      </c>
      <c r="N67" s="139" t="n">
        <f aca="false">+N$4*M67</f>
        <v>80717.8918527647</v>
      </c>
      <c r="O67" s="140"/>
      <c r="P67" s="139" t="n">
        <f aca="false">SUM(D67+N67)</f>
        <v>189392.211852765</v>
      </c>
      <c r="Q67" s="141"/>
      <c r="R67" s="141"/>
    </row>
    <row r="68" customFormat="false" ht="11.25" hidden="false" customHeight="false" outlineLevel="0" collapsed="false">
      <c r="A68" s="133" t="n">
        <v>140167</v>
      </c>
      <c r="B68" s="134" t="s">
        <v>240</v>
      </c>
      <c r="C68" s="134"/>
      <c r="D68" s="136" t="n">
        <v>202208.31</v>
      </c>
      <c r="E68" s="137" t="n">
        <f aca="false">+'[3]Jan ext legal'!E69+'[3]Feb ext legal'!E69+'[3]Mar ext legal'!E69+'[3]Apr ext legal'!E69+'[3]May ext legal'!E69+'[3]Jun ext legal'!E69+'[3]Jul ext legal'!E69</f>
        <v>139054.61</v>
      </c>
      <c r="F68" s="138" t="n">
        <f aca="false">+'[3]Jan ext legal'!F69+'[3]Feb ext legal'!F69+'[3]Mar ext legal'!F69+'[3]Apr ext legal'!F69+'[3]May ext legal'!F69+'[3]Jun ext legal'!F69+'[3]Jul ext legal'!F69</f>
        <v>0</v>
      </c>
      <c r="G68" s="137" t="n">
        <f aca="false">+'[3]Jan ext legal'!G69+'[3]Feb ext legal'!G69+'[3]Mar ext legal'!G69+'[3]Apr ext legal'!G69+'[3]May ext legal'!G69+'[3]Jun ext legal'!G69+'[3]Jul ext legal'!G69</f>
        <v>0</v>
      </c>
      <c r="H68" s="138" t="n">
        <f aca="false">+'[3]Jan ext legal'!H69+'[3]Feb ext legal'!H69+'[3]Mar ext legal'!H69+'[3]Apr ext legal'!H69+'[3]May ext legal'!H69+'[3]Jun ext legal'!H69+'[3]Jul ext legal'!H69</f>
        <v>63153.7</v>
      </c>
      <c r="I68" s="137" t="n">
        <f aca="false">+'[3]Jan ext legal'!I69+'[3]Feb ext legal'!I69+'[3]Mar ext legal'!I69+'[3]Apr ext legal'!I69+'[3]May ext legal'!I69+'[3]Jun ext legal'!I69+'[3]Jul ext legal'!I69</f>
        <v>0</v>
      </c>
      <c r="J68" s="138" t="n">
        <f aca="false">+'[3]Jan ext legal'!K69+'[3]Feb ext legal'!K69+'[3]Mar ext legal'!K69+'[3]Apr ext legal'!K69+'[3]May ext legal'!K69+'[3]Jun ext legal'!K69+'[3]Jul ext legal'!K69</f>
        <v>0</v>
      </c>
      <c r="K68" s="138" t="n">
        <f aca="false">+'[3]Jan ext legal'!L69+'[3]Feb ext legal'!L69+'[3]Mar ext legal'!L69+'[3]Apr ext legal'!L69+'[3]May ext legal'!L69+'[3]Jun ext legal'!L69+'[3]Jul ext legal'!L69</f>
        <v>0</v>
      </c>
      <c r="L68" s="138" t="n">
        <f aca="false">+'[3]Jan ext legal'!M69+'[3]Feb ext legal'!M69+'[3]Mar ext legal'!M69+'[3]Apr ext legal'!M69+'[3]May ext legal'!M69+'[3]Jun ext legal'!M69+'[3]Jul ext legal'!M69</f>
        <v>0</v>
      </c>
      <c r="M68" s="139" t="n">
        <f aca="false">+D68/D$73</f>
        <v>0.0172322057668247</v>
      </c>
      <c r="N68" s="139" t="n">
        <f aca="false">+N$4*M68</f>
        <v>150190.297931566</v>
      </c>
      <c r="O68" s="140"/>
      <c r="P68" s="139" t="n">
        <f aca="false">SUM(D68+N68)</f>
        <v>352398.607931566</v>
      </c>
      <c r="Q68" s="141"/>
      <c r="R68" s="141"/>
    </row>
    <row r="69" customFormat="false" ht="11.25" hidden="true" customHeight="false" outlineLevel="0" collapsed="false">
      <c r="A69" s="133" t="n">
        <v>140399</v>
      </c>
      <c r="B69" s="134" t="s">
        <v>241</v>
      </c>
      <c r="C69" s="134"/>
      <c r="D69" s="136" t="n">
        <v>0</v>
      </c>
      <c r="E69" s="137" t="n">
        <f aca="false">+'[3]Jan ext legal'!E70+'[3]Feb ext legal'!E70+'[3]Mar ext legal'!E70+'[3]Apr ext legal'!E70+'[3]May ext legal'!E70+'[3]Jun ext legal'!E70+'[3]Jul ext legal'!E70</f>
        <v>135528.46</v>
      </c>
      <c r="F69" s="138" t="n">
        <f aca="false">+'[3]Jan ext legal'!F70+'[3]Feb ext legal'!F70+'[3]Mar ext legal'!F70+'[3]Apr ext legal'!F70+'[3]May ext legal'!F70+'[3]Jun ext legal'!F70+'[3]Jul ext legal'!F70</f>
        <v>21759.96</v>
      </c>
      <c r="G69" s="137" t="n">
        <f aca="false">+'[3]Jan ext legal'!G70+'[3]Feb ext legal'!G70+'[3]Mar ext legal'!G70+'[3]Apr ext legal'!G70+'[3]May ext legal'!G70+'[3]Jun ext legal'!G70+'[3]Jul ext legal'!G70</f>
        <v>0</v>
      </c>
      <c r="H69" s="138" t="n">
        <f aca="false">+'[3]Jan ext legal'!H70+'[3]Feb ext legal'!H70+'[3]Mar ext legal'!H70+'[3]Apr ext legal'!H70+'[3]May ext legal'!H70+'[3]Jun ext legal'!H70+'[3]Jul ext legal'!H70</f>
        <v>0</v>
      </c>
      <c r="I69" s="137" t="n">
        <f aca="false">+'[3]Jan ext legal'!I70+'[3]Feb ext legal'!I70+'[3]Mar ext legal'!I70+'[3]Apr ext legal'!I70+'[3]May ext legal'!I70+'[3]Jun ext legal'!I70+'[3]Jul ext legal'!I70</f>
        <v>0</v>
      </c>
      <c r="J69" s="138" t="n">
        <f aca="false">+'[3]Jan ext legal'!K70+'[3]Feb ext legal'!K70+'[3]Mar ext legal'!K70+'[3]Apr ext legal'!K70+'[3]May ext legal'!K70+'[3]Jun ext legal'!K70+'[3]Jul ext legal'!K70</f>
        <v>0</v>
      </c>
      <c r="K69" s="138" t="n">
        <f aca="false">+'[3]Jan ext legal'!L70+'[3]Feb ext legal'!L70+'[3]Mar ext legal'!L70+'[3]Apr ext legal'!L70+'[3]May ext legal'!L70+'[3]Jun ext legal'!L70+'[3]Jul ext legal'!L70</f>
        <v>0</v>
      </c>
      <c r="L69" s="138" t="n">
        <f aca="false">+'[3]Jan ext legal'!M70+'[3]Feb ext legal'!M70+'[3]Mar ext legal'!M70+'[3]Apr ext legal'!M70+'[3]May ext legal'!M70+'[3]Jun ext legal'!M70+'[3]Jul ext legal'!M70</f>
        <v>0</v>
      </c>
      <c r="M69" s="139" t="n">
        <f aca="false">+D69/D$73</f>
        <v>0</v>
      </c>
      <c r="N69" s="139" t="n">
        <f aca="false">+N$4*M69</f>
        <v>0</v>
      </c>
      <c r="O69" s="140"/>
      <c r="P69" s="139" t="n">
        <f aca="false">SUM(D69+N69)</f>
        <v>0</v>
      </c>
      <c r="Q69" s="141"/>
      <c r="R69" s="141"/>
    </row>
    <row r="70" customFormat="false" ht="11.25" hidden="true" customHeight="false" outlineLevel="0" collapsed="false">
      <c r="A70" s="133" t="n">
        <v>140402</v>
      </c>
      <c r="B70" s="134" t="s">
        <v>242</v>
      </c>
      <c r="C70" s="134" t="s">
        <v>243</v>
      </c>
      <c r="D70" s="136" t="n">
        <v>0</v>
      </c>
      <c r="E70" s="137" t="n">
        <f aca="false">+'[3]Jan ext legal'!E71+'[3]Feb ext legal'!E71+'[3]Mar ext legal'!E71+'[3]Apr ext legal'!E71+'[3]May ext legal'!E71+'[3]Jun ext legal'!E71+'[3]Jul ext legal'!E71</f>
        <v>183695.57</v>
      </c>
      <c r="F70" s="138" t="n">
        <f aca="false">+'[3]Jan ext legal'!F71+'[3]Feb ext legal'!F71+'[3]Mar ext legal'!F71+'[3]Apr ext legal'!F71+'[3]May ext legal'!F71+'[3]Jun ext legal'!F71+'[3]Jul ext legal'!F71</f>
        <v>0</v>
      </c>
      <c r="G70" s="137" t="n">
        <f aca="false">+'[3]Jan ext legal'!G71+'[3]Feb ext legal'!G71+'[3]Mar ext legal'!G71+'[3]Apr ext legal'!G71+'[3]May ext legal'!G71+'[3]Jun ext legal'!G71+'[3]Jul ext legal'!G71</f>
        <v>1999010.1</v>
      </c>
      <c r="H70" s="138" t="n">
        <f aca="false">+'[3]Jan ext legal'!H71+'[3]Feb ext legal'!H71+'[3]Mar ext legal'!H71+'[3]Apr ext legal'!H71+'[3]May ext legal'!H71+'[3]Jun ext legal'!H71+'[3]Jul ext legal'!H71</f>
        <v>0</v>
      </c>
      <c r="I70" s="137" t="n">
        <f aca="false">+'[3]Jan ext legal'!I71+'[3]Feb ext legal'!I71+'[3]Mar ext legal'!I71+'[3]Apr ext legal'!I71+'[3]May ext legal'!I71+'[3]Jun ext legal'!I71+'[3]Jul ext legal'!I71</f>
        <v>0</v>
      </c>
      <c r="J70" s="138" t="n">
        <f aca="false">+'[3]Jan ext legal'!K71+'[3]Feb ext legal'!K71+'[3]Mar ext legal'!K71+'[3]Apr ext legal'!K71+'[3]May ext legal'!K71+'[3]Jun ext legal'!K71+'[3]Jul ext legal'!K71</f>
        <v>0</v>
      </c>
      <c r="K70" s="138" t="n">
        <f aca="false">+'[3]Jan ext legal'!L71+'[3]Feb ext legal'!L71+'[3]Mar ext legal'!L71+'[3]Apr ext legal'!L71+'[3]May ext legal'!L71+'[3]Jun ext legal'!L71+'[3]Jul ext legal'!L71</f>
        <v>0</v>
      </c>
      <c r="L70" s="138" t="n">
        <f aca="false">+'[3]Jan ext legal'!M71+'[3]Feb ext legal'!M71+'[3]Mar ext legal'!M71+'[3]Apr ext legal'!M71+'[3]May ext legal'!M71+'[3]Jun ext legal'!M71+'[3]Jul ext legal'!M71</f>
        <v>0</v>
      </c>
      <c r="M70" s="139" t="n">
        <f aca="false">+D70/D$73</f>
        <v>0</v>
      </c>
      <c r="N70" s="139" t="n">
        <f aca="false">+N$4*M70</f>
        <v>0</v>
      </c>
      <c r="O70" s="140"/>
      <c r="P70" s="139" t="n">
        <f aca="false">SUM(D70+N70)</f>
        <v>0</v>
      </c>
      <c r="Q70" s="141"/>
      <c r="R70" s="141"/>
    </row>
    <row r="71" customFormat="false" ht="11.25" hidden="false" customHeight="false" outlineLevel="0" collapsed="false">
      <c r="A71" s="142" t="n">
        <v>150164</v>
      </c>
      <c r="B71" s="141" t="s">
        <v>244</v>
      </c>
      <c r="C71" s="134"/>
      <c r="D71" s="143" t="n">
        <v>335.25</v>
      </c>
      <c r="E71" s="144" t="n">
        <f aca="false">+'[3]Jan ext legal'!E72+'[3]Feb ext legal'!E72+'[3]Mar ext legal'!E72+'[3]Apr ext legal'!E72+'[3]May ext legal'!E72+'[3]Jun ext legal'!E72+'[3]Jul ext legal'!E72</f>
        <v>335.25</v>
      </c>
      <c r="F71" s="145" t="n">
        <f aca="false">+'[3]Jan ext legal'!F72+'[3]Feb ext legal'!F72+'[3]Mar ext legal'!F72+'[3]Apr ext legal'!F72+'[3]May ext legal'!F72+'[3]Jun ext legal'!F72+'[3]Jul ext legal'!F72</f>
        <v>0</v>
      </c>
      <c r="G71" s="144" t="n">
        <f aca="false">+'[3]Jan ext legal'!G72+'[3]Feb ext legal'!G72+'[3]Mar ext legal'!G72+'[3]Apr ext legal'!G72+'[3]May ext legal'!G72+'[3]Jun ext legal'!G72+'[3]Jul ext legal'!G72</f>
        <v>0</v>
      </c>
      <c r="H71" s="145" t="n">
        <f aca="false">+'[3]Jan ext legal'!H72+'[3]Feb ext legal'!H72+'[3]Mar ext legal'!H72+'[3]Apr ext legal'!H72+'[3]May ext legal'!H72+'[3]Jun ext legal'!H72+'[3]Jul ext legal'!H72</f>
        <v>0</v>
      </c>
      <c r="I71" s="144" t="n">
        <f aca="false">+'[3]Jan ext legal'!I72+'[3]Feb ext legal'!I72+'[3]Mar ext legal'!I72+'[3]Apr ext legal'!I72+'[3]May ext legal'!I72+'[3]Jun ext legal'!I72+'[3]Jul ext legal'!I72</f>
        <v>0</v>
      </c>
      <c r="J71" s="145" t="n">
        <f aca="false">+'[3]Jan ext legal'!K72+'[3]Feb ext legal'!K72+'[3]Mar ext legal'!K72+'[3]Apr ext legal'!K72+'[3]May ext legal'!K72+'[3]Jun ext legal'!K72+'[3]Jul ext legal'!K72</f>
        <v>0</v>
      </c>
      <c r="K71" s="145" t="n">
        <f aca="false">+'[3]Jan ext legal'!L72+'[3]Feb ext legal'!L72+'[3]Mar ext legal'!L72+'[3]Apr ext legal'!L72+'[3]May ext legal'!L72+'[3]Jun ext legal'!L72+'[3]Jul ext legal'!L72</f>
        <v>0</v>
      </c>
      <c r="L71" s="145" t="n">
        <f aca="false">+'[3]Jan ext legal'!M72+'[3]Feb ext legal'!M72+'[3]Mar ext legal'!M72+'[3]Apr ext legal'!M72+'[3]May ext legal'!M72+'[3]Jun ext legal'!M72+'[3]Jul ext legal'!M72</f>
        <v>0</v>
      </c>
      <c r="M71" s="146" t="n">
        <f aca="false">+D71/D$73</f>
        <v>2.85700275291752E-005</v>
      </c>
      <c r="N71" s="146" t="n">
        <f aca="false">+N$4*M71</f>
        <v>249.007062971633</v>
      </c>
      <c r="O71" s="147"/>
      <c r="P71" s="146" t="n">
        <f aca="false">SUM(D71+N71)</f>
        <v>584.257062971633</v>
      </c>
      <c r="Q71" s="141"/>
      <c r="R71" s="141"/>
    </row>
    <row r="72" customFormat="false" ht="12" hidden="false" customHeight="false" outlineLevel="0" collapsed="false">
      <c r="A72" s="150" t="n">
        <v>150249</v>
      </c>
      <c r="B72" s="151" t="s">
        <v>245</v>
      </c>
      <c r="C72" s="134" t="s">
        <v>155</v>
      </c>
      <c r="D72" s="136" t="n">
        <v>142503.8</v>
      </c>
      <c r="E72" s="137" t="n">
        <f aca="false">+'[3]Jan ext legal'!E73+'[3]Feb ext legal'!E73+'[3]Mar ext legal'!E73+'[3]Apr ext legal'!E73+'[3]May ext legal'!E73+'[3]Jun ext legal'!E73+'[3]Jul ext legal'!E73</f>
        <v>2990.73</v>
      </c>
      <c r="F72" s="138" t="n">
        <f aca="false">+'[3]Jan ext legal'!F73+'[3]Feb ext legal'!F73+'[3]Mar ext legal'!F73+'[3]Apr ext legal'!F73+'[3]May ext legal'!F73+'[3]Jun ext legal'!F73+'[3]Jul ext legal'!F73</f>
        <v>139513.07</v>
      </c>
      <c r="G72" s="137" t="n">
        <f aca="false">+'[3]Jan ext legal'!G73+'[3]Feb ext legal'!G73+'[3]Mar ext legal'!G73+'[3]Apr ext legal'!G73+'[3]May ext legal'!G73+'[3]Jun ext legal'!G73+'[3]Jul ext legal'!G73</f>
        <v>0</v>
      </c>
      <c r="H72" s="152" t="n">
        <f aca="false">+'[3]Jan ext legal'!H73+'[3]Feb ext legal'!H73+'[3]Mar ext legal'!H73+'[3]Apr ext legal'!H73+'[3]May ext legal'!H73+'[3]Jun ext legal'!H73+'[3]Jul ext legal'!H73</f>
        <v>0</v>
      </c>
      <c r="I72" s="137" t="n">
        <f aca="false">+'[3]Jan ext legal'!I73+'[3]Feb ext legal'!I73+'[3]Mar ext legal'!I73+'[3]Apr ext legal'!I73+'[3]May ext legal'!I73+'[3]Jun ext legal'!I73+'[3]Jul ext legal'!I73</f>
        <v>0</v>
      </c>
      <c r="J72" s="138" t="n">
        <f aca="false">+'[3]Jan ext legal'!K73+'[3]Feb ext legal'!K73+'[3]Mar ext legal'!K73+'[3]Apr ext legal'!K73+'[3]May ext legal'!K73+'[3]Jun ext legal'!K73+'[3]Jul ext legal'!K73</f>
        <v>0</v>
      </c>
      <c r="K72" s="152" t="n">
        <f aca="false">+'[3]Jan ext legal'!L73+'[3]Feb ext legal'!L73+'[3]Mar ext legal'!L73+'[3]Apr ext legal'!L73+'[3]May ext legal'!L73+'[3]Jun ext legal'!L73+'[3]Jul ext legal'!L73</f>
        <v>0</v>
      </c>
      <c r="L72" s="152" t="n">
        <f aca="false">+'[3]Jan ext legal'!M73+'[3]Feb ext legal'!M73+'[3]Mar ext legal'!M73+'[3]Apr ext legal'!M73+'[3]May ext legal'!M73+'[3]Jun ext legal'!M73+'[3]Jul ext legal'!M73</f>
        <v>0</v>
      </c>
      <c r="M72" s="139" t="n">
        <f aca="false">+D72/D$73</f>
        <v>0.0121441834124148</v>
      </c>
      <c r="N72" s="139" t="n">
        <f aca="false">+N$4*M72</f>
        <v>105844.750783884</v>
      </c>
      <c r="O72" s="140"/>
      <c r="P72" s="139" t="n">
        <f aca="false">SUM(D72+N72)</f>
        <v>248348.550783884</v>
      </c>
      <c r="Q72" s="141"/>
      <c r="R72" s="141"/>
    </row>
    <row r="73" customFormat="false" ht="13.5" hidden="false" customHeight="false" outlineLevel="0" collapsed="false">
      <c r="B73" s="120"/>
      <c r="C73" s="120"/>
      <c r="D73" s="153" t="n">
        <f aca="false">SUM(D6:D72)</f>
        <v>11734325.41</v>
      </c>
      <c r="E73" s="154" t="n">
        <f aca="false">SUM(E6:E72)</f>
        <v>3003906.59</v>
      </c>
      <c r="F73" s="155" t="n">
        <f aca="false">SUM(F6:F72)</f>
        <v>2650347.85</v>
      </c>
      <c r="G73" s="156" t="n">
        <f aca="false">SUM(G6:G72)</f>
        <v>6149658.28</v>
      </c>
      <c r="H73" s="155" t="n">
        <f aca="false">SUM(H6:H72)</f>
        <v>282290.55</v>
      </c>
      <c r="I73" s="157" t="n">
        <f aca="false">SUM(I6:I72)</f>
        <v>944280.11</v>
      </c>
      <c r="J73" s="155" t="n">
        <f aca="false">SUM(J6:J72)</f>
        <v>48058.65</v>
      </c>
      <c r="K73" s="155" t="n">
        <f aca="false">SUM(K6:K72)</f>
        <v>1128832.97</v>
      </c>
      <c r="L73" s="155" t="n">
        <f aca="false">SUM(L6:L72)</f>
        <v>7792.82</v>
      </c>
      <c r="M73" s="153" t="n">
        <f aca="false">+D73/D$73</f>
        <v>1</v>
      </c>
      <c r="N73" s="153" t="n">
        <f aca="false">SUM(N6:N72)</f>
        <v>8715674.59</v>
      </c>
      <c r="O73" s="158"/>
      <c r="P73" s="153" t="n">
        <f aca="false">SUM(P6:P72)</f>
        <v>20450000</v>
      </c>
    </row>
    <row r="74" customFormat="false" ht="11.25" hidden="false" customHeight="false" outlineLevel="0" collapsed="false">
      <c r="A74" s="133"/>
      <c r="B74" s="134" t="s">
        <v>246</v>
      </c>
      <c r="C74" s="134" t="s">
        <v>155</v>
      </c>
      <c r="D74" s="159" t="n">
        <f aca="false">5000000/12*7</f>
        <v>2916666.66666667</v>
      </c>
      <c r="E74" s="159" t="n">
        <v>0</v>
      </c>
      <c r="F74" s="160" t="n">
        <f aca="false">+'[3]Jan ext legal'!F76+'[3]Feb ext legal'!F76+'[3]Mar ext legal'!F76+'[3]Apr ext legal'!F76+'[3]May ext legal'!F76+'[3]Jun ext legal'!F76+'[3]Jul ext legal'!F76</f>
        <v>0</v>
      </c>
      <c r="G74" s="159" t="n">
        <f aca="false">+'[3]Jan ext legal'!G76+'[3]Feb ext legal'!G76+'[3]Mar ext legal'!G76+'[3]Apr ext legal'!G76+'[3]May ext legal'!G76+'[3]Jun ext legal'!G76+'[3]Jul ext legal'!G76</f>
        <v>0</v>
      </c>
      <c r="H74" s="160" t="n">
        <f aca="false">+'[3]Jan ext legal'!H76+'[3]Feb ext legal'!H76+'[3]Mar ext legal'!H76+'[3]Apr ext legal'!H76+'[3]May ext legal'!H76+'[3]Jun ext legal'!H76+'[3]Jul ext legal'!H76</f>
        <v>0</v>
      </c>
      <c r="I74" s="159" t="n">
        <f aca="false">+'[3]Jan ext legal'!I76+'[3]Feb ext legal'!I76+'[3]Mar ext legal'!I76+'[3]Apr ext legal'!I76+'[3]May ext legal'!I76+'[3]Jun ext legal'!I76+'[3]Jul ext legal'!I76</f>
        <v>0</v>
      </c>
      <c r="J74" s="160" t="n">
        <f aca="false">+'[3]Jan ext legal'!K76+'[3]Feb ext legal'!K76+'[3]Mar ext legal'!K76+'[3]Apr ext legal'!K76+'[3]May ext legal'!K76+'[3]Jun ext legal'!K76+'[3]Jul ext legal'!K76</f>
        <v>0</v>
      </c>
      <c r="K74" s="160" t="n">
        <f aca="false">+'[3]Jan ext legal'!L76+'[3]Feb ext legal'!L76+'[3]Mar ext legal'!L76+'[3]Apr ext legal'!L76+'[3]May ext legal'!L76+'[3]Jun ext legal'!L76+'[3]Jul ext legal'!L76</f>
        <v>0</v>
      </c>
      <c r="L74" s="160" t="n">
        <f aca="false">+'[3]Jan ext legal'!M76+'[3]Feb ext legal'!M76+'[3]Mar ext legal'!M76+'[3]Apr ext legal'!M76+'[3]May ext legal'!M76+'[3]Jun ext legal'!M76+'[3]Jul ext legal'!M76</f>
        <v>0</v>
      </c>
      <c r="M74" s="161"/>
      <c r="N74" s="159" t="n">
        <f aca="false">5000000/12*5</f>
        <v>2083333.33333333</v>
      </c>
      <c r="O74" s="134"/>
      <c r="P74" s="137" t="n">
        <f aca="false">SUM(D74:N74)</f>
        <v>5000000</v>
      </c>
      <c r="Q74" s="141" t="s">
        <v>247</v>
      </c>
      <c r="R74" s="162" t="s">
        <v>248</v>
      </c>
    </row>
    <row r="75" customFormat="false" ht="11.25" hidden="false" customHeight="false" outlineLevel="0" collapsed="false">
      <c r="A75" s="133" t="n">
        <v>104151</v>
      </c>
      <c r="B75" s="134" t="s">
        <v>249</v>
      </c>
      <c r="C75" s="134" t="s">
        <v>250</v>
      </c>
      <c r="D75" s="159" t="n">
        <f aca="false">5000000/12*7</f>
        <v>2916666.66666667</v>
      </c>
      <c r="E75" s="159" t="n">
        <f aca="false">+'[3]Jan ext legal'!E75+'[3]Feb ext legal'!E75+'[3]Mar ext legal'!E75+'[3]Apr ext legal'!E75+'[3]May ext legal'!E75+'[3]Jun ext legal'!E75+'[3]Jul ext legal'!E75</f>
        <v>0</v>
      </c>
      <c r="F75" s="160" t="n">
        <f aca="false">+'[3]Jan ext legal'!F75+'[3]Feb ext legal'!F75+'[3]Mar ext legal'!F75+'[3]Apr ext legal'!F75+'[3]May ext legal'!F75+'[3]Jun ext legal'!F75+'[3]Jul ext legal'!F75</f>
        <v>0</v>
      </c>
      <c r="G75" s="159" t="n">
        <f aca="false">+'[3]Jan ext legal'!G75+'[3]Feb ext legal'!G75+'[3]Mar ext legal'!G75+'[3]Apr ext legal'!G75+'[3]May ext legal'!G75+'[3]Jun ext legal'!G75+'[3]Jul ext legal'!G75</f>
        <v>0</v>
      </c>
      <c r="H75" s="160" t="n">
        <f aca="false">+'[3]Jan ext legal'!H75+'[3]Feb ext legal'!H75+'[3]Mar ext legal'!H75+'[3]Apr ext legal'!H75+'[3]May ext legal'!H75+'[3]Jun ext legal'!H75+'[3]Jul ext legal'!H75</f>
        <v>0</v>
      </c>
      <c r="I75" s="159" t="n">
        <f aca="false">+'[3]Jan ext legal'!I75+'[3]Feb ext legal'!I75+'[3]Mar ext legal'!I75+'[3]Apr ext legal'!I75+'[3]May ext legal'!I75+'[3]Jun ext legal'!I75+'[3]Jul ext legal'!I75</f>
        <v>0</v>
      </c>
      <c r="J75" s="160" t="n">
        <f aca="false">+'[3]Jan ext legal'!K75+'[3]Feb ext legal'!K75+'[3]Mar ext legal'!K75+'[3]Apr ext legal'!K75+'[3]May ext legal'!K75+'[3]Jun ext legal'!K75+'[3]Jul ext legal'!K75</f>
        <v>0</v>
      </c>
      <c r="K75" s="160" t="n">
        <f aca="false">+'[3]Jan ext legal'!L75+'[3]Feb ext legal'!L75+'[3]Mar ext legal'!L75+'[3]Apr ext legal'!L75+'[3]May ext legal'!L75+'[3]Jun ext legal'!L75+'[3]Jul ext legal'!L75</f>
        <v>0</v>
      </c>
      <c r="L75" s="160" t="n">
        <f aca="false">+'[3]Jan ext legal'!M75+'[3]Feb ext legal'!M75+'[3]Mar ext legal'!M75+'[3]Apr ext legal'!M75+'[3]May ext legal'!M75+'[3]Jun ext legal'!M75+'[3]Jul ext legal'!M75</f>
        <v>0</v>
      </c>
      <c r="M75" s="161"/>
      <c r="N75" s="159" t="n">
        <f aca="false">5000000/12*5</f>
        <v>2083333.33333333</v>
      </c>
      <c r="O75" s="134"/>
      <c r="P75" s="137" t="n">
        <f aca="false">SUM(D75:N75)</f>
        <v>5000000</v>
      </c>
      <c r="Q75" s="141" t="s">
        <v>251</v>
      </c>
      <c r="R75" s="162" t="s">
        <v>248</v>
      </c>
    </row>
    <row r="76" customFormat="false" ht="12" hidden="false" customHeight="false" outlineLevel="0" collapsed="false">
      <c r="A76" s="133" t="s">
        <v>252</v>
      </c>
      <c r="B76" s="134" t="s">
        <v>253</v>
      </c>
      <c r="C76" s="134"/>
      <c r="D76" s="159" t="n">
        <f aca="false">650000/12*7</f>
        <v>379166.666666667</v>
      </c>
      <c r="E76" s="159"/>
      <c r="F76" s="160"/>
      <c r="G76" s="159"/>
      <c r="H76" s="160"/>
      <c r="I76" s="159"/>
      <c r="J76" s="160"/>
      <c r="K76" s="160"/>
      <c r="L76" s="160"/>
      <c r="M76" s="161"/>
      <c r="N76" s="159" t="n">
        <f aca="false">650000/12*5</f>
        <v>270833.333333333</v>
      </c>
      <c r="O76" s="134"/>
      <c r="P76" s="137" t="n">
        <f aca="false">SUM(D76:N76)</f>
        <v>650000</v>
      </c>
      <c r="Q76" s="141" t="s">
        <v>254</v>
      </c>
      <c r="R76" s="162"/>
    </row>
    <row r="77" customFormat="false" ht="12.75" hidden="false" customHeight="false" outlineLevel="0" collapsed="false">
      <c r="B77" s="163" t="s">
        <v>255</v>
      </c>
      <c r="C77" s="164"/>
      <c r="D77" s="165" t="n">
        <f aca="false">+D6+D8+D9+D10+D11+D17+D18+D66+D67+D68+D69+D70+D72+D74+D75+D76</f>
        <v>9221739.55</v>
      </c>
      <c r="E77" s="164"/>
      <c r="F77" s="164"/>
      <c r="G77" s="164"/>
      <c r="H77" s="164"/>
      <c r="I77" s="164"/>
      <c r="J77" s="164"/>
      <c r="K77" s="164"/>
      <c r="L77" s="164"/>
      <c r="M77" s="164"/>
      <c r="N77" s="165" t="n">
        <f aca="false">+N6+N8+N9+N10+N11+N17+N18+N66+N67+N68+N69+N70+N72+N74+N75+N76</f>
        <v>6672613.80200918</v>
      </c>
      <c r="O77" s="164"/>
      <c r="P77" s="166" t="n">
        <f aca="false">+P6+P8+P9+P10+P11+P17+P18+P66+P67+P68+P69+P70+P72+P74+P75+P76</f>
        <v>15894353.3520092</v>
      </c>
    </row>
    <row r="78" customFormat="false" ht="13.5" hidden="false" customHeight="false" outlineLevel="0" collapsed="false">
      <c r="B78" s="167" t="s">
        <v>256</v>
      </c>
      <c r="C78" s="168"/>
      <c r="D78" s="169" t="n">
        <f aca="false">D13+D14+D15+D16+SUM(D19:D65)+D71</f>
        <v>8725085.86</v>
      </c>
      <c r="E78" s="168"/>
      <c r="F78" s="168"/>
      <c r="G78" s="168"/>
      <c r="H78" s="168"/>
      <c r="I78" s="168"/>
      <c r="J78" s="168"/>
      <c r="K78" s="168"/>
      <c r="L78" s="168"/>
      <c r="M78" s="168"/>
      <c r="N78" s="169" t="n">
        <f aca="false">N13+N14+N15+N16+SUM(N19:N65)+N71</f>
        <v>6480560.78799082</v>
      </c>
      <c r="O78" s="170"/>
      <c r="P78" s="59" t="n">
        <f aca="false">+P7+P12+P13+P14+P15+P16+SUM(P19:P65)+P71</f>
        <v>15205646.6479908</v>
      </c>
    </row>
    <row r="79" customFormat="false" ht="12.75" hidden="false" customHeight="false" outlineLevel="0" collapsed="false">
      <c r="B79" s="0" t="s">
        <v>29</v>
      </c>
      <c r="D79" s="171" t="n">
        <f aca="false">SUM(D77:D78)</f>
        <v>17946825.41</v>
      </c>
      <c r="E79" s="19"/>
      <c r="F79" s="19"/>
      <c r="G79" s="19"/>
      <c r="H79" s="19"/>
      <c r="I79" s="19"/>
      <c r="J79" s="19"/>
      <c r="K79" s="19"/>
      <c r="L79" s="19"/>
      <c r="M79" s="19"/>
      <c r="N79" s="171" t="n">
        <f aca="false">SUM(N77:N78)</f>
        <v>13153174.59</v>
      </c>
      <c r="P79" s="171" t="n">
        <f aca="false">SUM(P77:P78)</f>
        <v>31100000</v>
      </c>
    </row>
    <row r="80" customFormat="false" ht="12.75" hidden="false" customHeight="false" outlineLevel="0" collapsed="false">
      <c r="A80" s="172" t="s">
        <v>257</v>
      </c>
      <c r="C80" s="120"/>
      <c r="E80" s="173"/>
      <c r="F80" s="173"/>
      <c r="H80" s="173"/>
      <c r="J80" s="173"/>
      <c r="M80" s="0" t="s">
        <v>29</v>
      </c>
      <c r="P80" s="122" t="n">
        <f aca="false">+P79-P73-P74-P75-P76</f>
        <v>0</v>
      </c>
    </row>
    <row r="81" customFormat="false" ht="12.75" hidden="false" customHeight="false" outlineLevel="0" collapsed="false">
      <c r="A81" s="174" t="n">
        <f aca="false">D73</f>
        <v>11734325.41</v>
      </c>
      <c r="B81" s="175" t="s">
        <v>258</v>
      </c>
      <c r="C81" s="120"/>
      <c r="D81" s="64"/>
      <c r="E81" s="173"/>
      <c r="F81" s="173"/>
      <c r="H81" s="173"/>
      <c r="J81" s="173"/>
      <c r="N81" s="64"/>
      <c r="P81" s="64"/>
    </row>
    <row r="82" customFormat="false" ht="12.75" hidden="false" customHeight="false" outlineLevel="0" collapsed="false">
      <c r="A82" s="141" t="s">
        <v>259</v>
      </c>
      <c r="C82" s="120"/>
      <c r="D82" s="64"/>
      <c r="E82" s="173"/>
      <c r="F82" s="173"/>
      <c r="H82" s="173"/>
      <c r="J82" s="173"/>
      <c r="N82" s="64"/>
      <c r="P82" s="64"/>
    </row>
    <row r="83" customFormat="false" ht="12.75" hidden="false" customHeight="false" outlineLevel="0" collapsed="false">
      <c r="A83" s="141" t="s">
        <v>260</v>
      </c>
      <c r="B83" s="120"/>
      <c r="C83" s="120"/>
    </row>
    <row r="84" customFormat="false" ht="12.75" hidden="false" customHeight="false" outlineLevel="0" collapsed="false">
      <c r="A84" s="141" t="s">
        <v>261</v>
      </c>
    </row>
    <row r="85" customFormat="false" ht="12.75" hidden="false" customHeight="false" outlineLevel="0" collapsed="false">
      <c r="A85" s="141" t="str">
        <f aca="true">CELL("filename",A1)</f>
        <v>'file:///mnt/12tb/@roms/datasets/enron/EDRM Enron Email Data Set v2 XML/filtered-attachments/xls/EA_Alloc_to_Other_BUs___Support.xls'#$Detail - Outside Legal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7"/>
    <col collapsed="false" customWidth="true" hidden="false" outlineLevel="0" max="2" min="2" style="0" width="3.7"/>
    <col collapsed="false" customWidth="true" hidden="false" outlineLevel="0" max="3" min="3" style="0" width="19.99"/>
    <col collapsed="false" customWidth="true" hidden="false" outlineLevel="0" max="4" min="4" style="0" width="26.56"/>
    <col collapsed="false" customWidth="true" hidden="false" outlineLevel="0" max="5" min="5" style="0" width="22.56"/>
    <col collapsed="false" customWidth="true" hidden="false" outlineLevel="0" max="7" min="6" style="0" width="19.56"/>
    <col collapsed="false" customWidth="true" hidden="false" outlineLevel="0" max="8" min="8" style="0" width="22.99"/>
    <col collapsed="false" customWidth="true" hidden="false" outlineLevel="0" max="9" min="9" style="0" width="1.99"/>
    <col collapsed="false" customWidth="true" hidden="false" outlineLevel="0" max="10" min="10" style="0" width="13.85"/>
    <col collapsed="false" customWidth="true" hidden="false" outlineLevel="0" max="11" min="11" style="0" width="1.99"/>
    <col collapsed="false" customWidth="true" hidden="false" outlineLevel="0" max="12" min="12" style="0" width="13.99"/>
    <col collapsed="false" customWidth="true" hidden="false" outlineLevel="0" max="13" min="13" style="0" width="2.84"/>
  </cols>
  <sheetData>
    <row r="1" customFormat="false" ht="12.75" hidden="false" customHeight="false" outlineLevel="0" collapsed="false">
      <c r="A1" s="43" t="s">
        <v>262</v>
      </c>
    </row>
    <row r="2" customFormat="false" ht="12.75" hidden="false" customHeight="false" outlineLevel="0" collapsed="false">
      <c r="A2" s="43"/>
    </row>
    <row r="4" customFormat="false" ht="13.5" hidden="false" customHeight="false" outlineLevel="0" collapsed="false"/>
    <row r="5" customFormat="false" ht="13.5" hidden="false" customHeight="false" outlineLevel="0" collapsed="false">
      <c r="C5" s="176" t="s">
        <v>263</v>
      </c>
      <c r="D5" s="176" t="s">
        <v>264</v>
      </c>
      <c r="E5" s="176" t="s">
        <v>265</v>
      </c>
      <c r="F5" s="177" t="s">
        <v>266</v>
      </c>
      <c r="G5" s="176" t="s">
        <v>267</v>
      </c>
      <c r="H5" s="176" t="s">
        <v>268</v>
      </c>
      <c r="I5" s="177"/>
      <c r="J5" s="176" t="s">
        <v>269</v>
      </c>
      <c r="K5" s="176"/>
      <c r="L5" s="176" t="s">
        <v>270</v>
      </c>
    </row>
    <row r="6" customFormat="false" ht="12.75" hidden="false" customHeight="false" outlineLevel="0" collapsed="false">
      <c r="C6" s="178"/>
      <c r="D6" s="178"/>
      <c r="E6" s="178"/>
      <c r="G6" s="178"/>
      <c r="H6" s="178"/>
      <c r="J6" s="179"/>
      <c r="K6" s="179"/>
      <c r="L6" s="178"/>
    </row>
    <row r="7" customFormat="false" ht="12.75" hidden="false" customHeight="false" outlineLevel="0" collapsed="false">
      <c r="A7" s="19" t="s">
        <v>271</v>
      </c>
      <c r="B7" s="19"/>
      <c r="C7" s="180" t="n">
        <f aca="false">+C28*C35</f>
        <v>26232.3185893913</v>
      </c>
      <c r="D7" s="180"/>
      <c r="E7" s="180"/>
      <c r="F7" s="30" t="n">
        <f aca="false">+F28*F35</f>
        <v>37056.7889368365</v>
      </c>
      <c r="G7" s="180"/>
      <c r="H7" s="180"/>
      <c r="I7" s="19"/>
      <c r="J7" s="179" t="n">
        <f aca="false">SUM(C7:H7)</f>
        <v>63289.1075262278</v>
      </c>
      <c r="K7" s="179"/>
      <c r="L7" s="180" t="n">
        <f aca="false">+J7*12</f>
        <v>759469.290314734</v>
      </c>
    </row>
    <row r="8" customFormat="false" ht="12.75" hidden="false" customHeight="false" outlineLevel="0" collapsed="false">
      <c r="A8" s="19"/>
      <c r="B8" s="19"/>
      <c r="C8" s="180"/>
      <c r="D8" s="180"/>
      <c r="E8" s="180"/>
      <c r="F8" s="30"/>
      <c r="G8" s="180"/>
      <c r="H8" s="180"/>
      <c r="I8" s="19"/>
      <c r="J8" s="179"/>
      <c r="K8" s="179"/>
      <c r="L8" s="180"/>
    </row>
    <row r="9" customFormat="false" ht="12.75" hidden="false" customHeight="false" outlineLevel="0" collapsed="false">
      <c r="A9" s="19" t="s">
        <v>272</v>
      </c>
      <c r="B9" s="19"/>
      <c r="C9" s="180"/>
      <c r="D9" s="180"/>
      <c r="E9" s="180" t="n">
        <f aca="false">+E28*E37</f>
        <v>3028.65295116732</v>
      </c>
      <c r="F9" s="30" t="n">
        <f aca="false">+F28*F37</f>
        <v>74113.5778736731</v>
      </c>
      <c r="G9" s="180"/>
      <c r="H9" s="180" t="n">
        <f aca="false">+H28*H37</f>
        <v>318513.700649463</v>
      </c>
      <c r="I9" s="19"/>
      <c r="J9" s="179" t="n">
        <f aca="false">SUM(C9:H9)</f>
        <v>395655.931474303</v>
      </c>
      <c r="K9" s="179"/>
      <c r="L9" s="180" t="n">
        <f aca="false">+J9*12</f>
        <v>4747871.17769164</v>
      </c>
    </row>
    <row r="10" customFormat="false" ht="12.75" hidden="false" customHeight="false" outlineLevel="0" collapsed="false">
      <c r="A10" s="19"/>
      <c r="B10" s="19"/>
      <c r="C10" s="180"/>
      <c r="D10" s="180"/>
      <c r="E10" s="180"/>
      <c r="F10" s="30"/>
      <c r="G10" s="180"/>
      <c r="H10" s="180"/>
      <c r="I10" s="19"/>
      <c r="J10" s="179"/>
      <c r="K10" s="179"/>
      <c r="L10" s="180"/>
    </row>
    <row r="11" customFormat="false" ht="12.75" hidden="false" customHeight="false" outlineLevel="0" collapsed="false">
      <c r="A11" s="19" t="s">
        <v>273</v>
      </c>
      <c r="B11" s="19"/>
      <c r="C11" s="180"/>
      <c r="D11" s="180"/>
      <c r="E11" s="180" t="n">
        <f aca="false">+E39*E28</f>
        <v>1514.32112636458</v>
      </c>
      <c r="F11" s="30" t="n">
        <f aca="false">+F28*F39</f>
        <v>14822.7208107245</v>
      </c>
      <c r="G11" s="180" t="n">
        <f aca="false">+G28*G39</f>
        <v>127128.333333333</v>
      </c>
      <c r="H11" s="180" t="n">
        <f aca="false">+H28*H39</f>
        <v>75579.5111986067</v>
      </c>
      <c r="I11" s="19"/>
      <c r="J11" s="179" t="n">
        <f aca="false">SUM(C11:H11)</f>
        <v>219044.886469029</v>
      </c>
      <c r="K11" s="179"/>
      <c r="L11" s="180" t="n">
        <f aca="false">+J11*12</f>
        <v>2628538.63762835</v>
      </c>
    </row>
    <row r="12" customFormat="false" ht="12.75" hidden="false" customHeight="false" outlineLevel="0" collapsed="false">
      <c r="A12" s="19"/>
      <c r="B12" s="19"/>
      <c r="C12" s="180"/>
      <c r="D12" s="180"/>
      <c r="E12" s="180"/>
      <c r="F12" s="30"/>
      <c r="G12" s="180"/>
      <c r="H12" s="180"/>
      <c r="I12" s="19"/>
      <c r="J12" s="179"/>
      <c r="K12" s="179"/>
      <c r="L12" s="180"/>
    </row>
    <row r="13" customFormat="false" ht="12.75" hidden="false" customHeight="false" outlineLevel="0" collapsed="false">
      <c r="A13" s="19" t="s">
        <v>274</v>
      </c>
      <c r="B13" s="19"/>
      <c r="C13" s="180"/>
      <c r="D13" s="180"/>
      <c r="E13" s="180"/>
      <c r="F13" s="30" t="n">
        <f aca="false">+F28*F41</f>
        <v>11117.0406080434</v>
      </c>
      <c r="G13" s="180"/>
      <c r="H13" s="180"/>
      <c r="I13" s="19"/>
      <c r="J13" s="179" t="n">
        <f aca="false">SUM(C13:H13)</f>
        <v>11117.0406080434</v>
      </c>
      <c r="K13" s="179"/>
      <c r="L13" s="180" t="n">
        <f aca="false">+J13*12</f>
        <v>133404.48729652</v>
      </c>
    </row>
    <row r="14" customFormat="false" ht="12.75" hidden="false" customHeight="false" outlineLevel="0" collapsed="false">
      <c r="A14" s="19"/>
      <c r="B14" s="19"/>
      <c r="C14" s="180"/>
      <c r="D14" s="180"/>
      <c r="E14" s="180"/>
      <c r="F14" s="30"/>
      <c r="G14" s="180"/>
      <c r="H14" s="180"/>
      <c r="I14" s="19"/>
      <c r="J14" s="179"/>
      <c r="K14" s="179"/>
      <c r="L14" s="180"/>
    </row>
    <row r="15" customFormat="false" ht="12.75" hidden="false" customHeight="false" outlineLevel="0" collapsed="false">
      <c r="A15" s="19" t="s">
        <v>275</v>
      </c>
      <c r="B15" s="19"/>
      <c r="C15" s="180"/>
      <c r="D15" s="180"/>
      <c r="E15" s="180" t="n">
        <f aca="false">+E28*E43</f>
        <v>3028.65295116732</v>
      </c>
      <c r="F15" s="30" t="n">
        <f aca="false">+F28*F43</f>
        <v>48173.8295448799</v>
      </c>
      <c r="G15" s="180"/>
      <c r="H15" s="180" t="n">
        <f aca="false">+H28*H43</f>
        <v>5398.53923844957</v>
      </c>
      <c r="I15" s="19"/>
      <c r="J15" s="179" t="n">
        <f aca="false">SUM(C15:H15)</f>
        <v>56601.0217344968</v>
      </c>
      <c r="K15" s="179"/>
      <c r="L15" s="180" t="n">
        <f aca="false">+J15*12</f>
        <v>679212.260813961</v>
      </c>
    </row>
    <row r="16" customFormat="false" ht="12.75" hidden="false" customHeight="false" outlineLevel="0" collapsed="false">
      <c r="A16" s="19"/>
      <c r="B16" s="19"/>
      <c r="C16" s="180"/>
      <c r="D16" s="180"/>
      <c r="E16" s="180"/>
      <c r="F16" s="30"/>
      <c r="G16" s="180"/>
      <c r="H16" s="180"/>
      <c r="I16" s="19"/>
      <c r="J16" s="179"/>
      <c r="K16" s="179"/>
      <c r="L16" s="180"/>
    </row>
    <row r="17" customFormat="false" ht="12.75" hidden="false" customHeight="false" outlineLevel="0" collapsed="false">
      <c r="A17" s="19" t="s">
        <v>276</v>
      </c>
      <c r="B17" s="19"/>
      <c r="C17" s="180"/>
      <c r="D17" s="180"/>
      <c r="E17" s="180" t="n">
        <f aca="false">+E28*E45</f>
        <v>1514.32112636458</v>
      </c>
      <c r="F17" s="30" t="n">
        <f aca="false">+F28*F45</f>
        <v>3705.68020268112</v>
      </c>
      <c r="G17" s="180"/>
      <c r="H17" s="180" t="n">
        <f aca="false">+H28*H45</f>
        <v>29691.9562765508</v>
      </c>
      <c r="I17" s="19"/>
      <c r="J17" s="179" t="n">
        <f aca="false">SUM(C17:H17)</f>
        <v>34911.9576055965</v>
      </c>
      <c r="K17" s="179"/>
      <c r="L17" s="180" t="n">
        <f aca="false">+J17*12</f>
        <v>418943.491267158</v>
      </c>
    </row>
    <row r="18" customFormat="false" ht="12.75" hidden="false" customHeight="false" outlineLevel="0" collapsed="false">
      <c r="A18" s="19"/>
      <c r="B18" s="19"/>
      <c r="C18" s="180"/>
      <c r="D18" s="180"/>
      <c r="E18" s="180"/>
      <c r="F18" s="30"/>
      <c r="G18" s="180"/>
      <c r="H18" s="180"/>
      <c r="I18" s="19"/>
      <c r="J18" s="179"/>
      <c r="K18" s="179"/>
      <c r="L18" s="180"/>
    </row>
    <row r="19" customFormat="false" ht="12.75" hidden="false" customHeight="false" outlineLevel="0" collapsed="false">
      <c r="A19" s="19" t="s">
        <v>277</v>
      </c>
      <c r="B19" s="19"/>
      <c r="C19" s="180" t="n">
        <f aca="false">250000/12</f>
        <v>20833.3333333333</v>
      </c>
      <c r="D19" s="180"/>
      <c r="E19" s="180"/>
      <c r="F19" s="30"/>
      <c r="G19" s="180"/>
      <c r="H19" s="180"/>
      <c r="I19" s="19"/>
      <c r="J19" s="179" t="n">
        <f aca="false">SUM(C19:H19)</f>
        <v>20833.3333333333</v>
      </c>
      <c r="K19" s="179"/>
      <c r="L19" s="180" t="n">
        <f aca="false">+J19*12</f>
        <v>250000</v>
      </c>
      <c r="M19" s="0" t="s">
        <v>254</v>
      </c>
    </row>
    <row r="20" customFormat="false" ht="12.75" hidden="false" customHeight="false" outlineLevel="0" collapsed="false">
      <c r="A20" s="19"/>
      <c r="B20" s="19"/>
      <c r="C20" s="180"/>
      <c r="D20" s="180"/>
      <c r="E20" s="180"/>
      <c r="F20" s="30"/>
      <c r="G20" s="180"/>
      <c r="H20" s="180"/>
      <c r="I20" s="19"/>
      <c r="J20" s="179"/>
      <c r="K20" s="179"/>
      <c r="L20" s="178"/>
    </row>
    <row r="21" customFormat="false" ht="12.75" hidden="false" customHeight="false" outlineLevel="0" collapsed="false">
      <c r="A21" s="19" t="s">
        <v>278</v>
      </c>
      <c r="B21" s="19"/>
      <c r="C21" s="180"/>
      <c r="D21" s="180" t="n">
        <f aca="false">3000000/12</f>
        <v>250000</v>
      </c>
      <c r="E21" s="180"/>
      <c r="F21" s="30"/>
      <c r="G21" s="180"/>
      <c r="H21" s="180"/>
      <c r="I21" s="19"/>
      <c r="J21" s="179" t="n">
        <f aca="false">SUM(C21:H21)</f>
        <v>250000</v>
      </c>
      <c r="K21" s="179"/>
      <c r="L21" s="180" t="n">
        <v>3000000</v>
      </c>
      <c r="M21" s="0" t="s">
        <v>247</v>
      </c>
    </row>
    <row r="22" customFormat="false" ht="12.75" hidden="false" customHeight="false" outlineLevel="0" collapsed="false">
      <c r="A22" s="19"/>
      <c r="B22" s="19"/>
      <c r="C22" s="180"/>
      <c r="D22" s="180"/>
      <c r="E22" s="180"/>
      <c r="F22" s="30"/>
      <c r="G22" s="180"/>
      <c r="H22" s="180"/>
      <c r="I22" s="19"/>
      <c r="J22" s="179"/>
      <c r="K22" s="179"/>
      <c r="L22" s="178"/>
    </row>
    <row r="23" customFormat="false" ht="12.75" hidden="false" customHeight="false" outlineLevel="0" collapsed="false">
      <c r="A23" s="19" t="s">
        <v>55</v>
      </c>
      <c r="B23" s="19"/>
      <c r="C23" s="180" t="n">
        <f aca="false">+C28*C49</f>
        <v>7915.84166666667</v>
      </c>
      <c r="D23" s="180"/>
      <c r="E23" s="180"/>
      <c r="F23" s="30"/>
      <c r="G23" s="180"/>
      <c r="H23" s="180"/>
      <c r="I23" s="19"/>
      <c r="J23" s="179" t="n">
        <f aca="false">SUM(C23:H23)</f>
        <v>7915.84166666667</v>
      </c>
      <c r="K23" s="179"/>
      <c r="L23" s="180" t="n">
        <f aca="false">+J23*12</f>
        <v>94990.1</v>
      </c>
    </row>
    <row r="24" customFormat="false" ht="13.5" hidden="false" customHeight="false" outlineLevel="0" collapsed="false">
      <c r="A24" s="19"/>
      <c r="B24" s="19"/>
      <c r="C24" s="180"/>
      <c r="D24" s="180"/>
      <c r="E24" s="180"/>
      <c r="F24" s="30"/>
      <c r="G24" s="180"/>
      <c r="H24" s="180"/>
      <c r="I24" s="19"/>
      <c r="J24" s="178"/>
      <c r="K24" s="178"/>
      <c r="L24" s="178"/>
    </row>
    <row r="25" customFormat="false" ht="13.5" hidden="false" customHeight="false" outlineLevel="0" collapsed="false">
      <c r="A25" s="181" t="s">
        <v>29</v>
      </c>
      <c r="C25" s="182" t="n">
        <f aca="false">SUM(C7:C24)</f>
        <v>54981.4935893913</v>
      </c>
      <c r="D25" s="182" t="n">
        <f aca="false">SUM(D7:D24)</f>
        <v>250000</v>
      </c>
      <c r="E25" s="182" t="n">
        <f aca="false">SUM(E9:E17)</f>
        <v>9085.94815506381</v>
      </c>
      <c r="F25" s="183" t="n">
        <f aca="false">SUM(F7:F17)</f>
        <v>188989.637976838</v>
      </c>
      <c r="G25" s="183" t="n">
        <f aca="false">SUM(G7:G17)</f>
        <v>127128.333333333</v>
      </c>
      <c r="H25" s="182" t="n">
        <f aca="false">SUM(H9:H17)</f>
        <v>429183.70736307</v>
      </c>
      <c r="I25" s="184"/>
      <c r="J25" s="185" t="n">
        <f aca="false">SUM(J7:J23)</f>
        <v>1059369.1204177</v>
      </c>
      <c r="K25" s="185"/>
      <c r="L25" s="185" t="n">
        <f aca="false">SUM(L7:L23)</f>
        <v>12712429.4450124</v>
      </c>
    </row>
    <row r="26" customFormat="false" ht="12.75" hidden="false" customHeight="false" outlineLevel="0" collapsed="false">
      <c r="C26" s="30"/>
      <c r="D26" s="30"/>
      <c r="E26" s="30"/>
      <c r="F26" s="30"/>
      <c r="G26" s="30"/>
      <c r="H26" s="30"/>
    </row>
    <row r="27" customFormat="false" ht="12.75" hidden="false" customHeight="false" outlineLevel="0" collapsed="false">
      <c r="C27" s="30"/>
      <c r="D27" s="30"/>
      <c r="E27" s="30"/>
      <c r="F27" s="30"/>
      <c r="G27" s="30"/>
      <c r="H27" s="30"/>
    </row>
    <row r="28" customFormat="false" ht="12.75" hidden="false" customHeight="false" outlineLevel="0" collapsed="false">
      <c r="A28" s="0" t="s">
        <v>279</v>
      </c>
      <c r="C28" s="30" t="n">
        <f aca="false">5899802-4000000</f>
        <v>1899802</v>
      </c>
      <c r="D28" s="30" t="n">
        <f aca="false">(7297279-5000000)</f>
        <v>2297279</v>
      </c>
      <c r="E28" s="30" t="n">
        <f aca="false">(1137398-250000)</f>
        <v>887398</v>
      </c>
      <c r="F28" s="30" t="n">
        <f aca="false">(4131101-1000000)</f>
        <v>3131101</v>
      </c>
      <c r="G28" s="30" t="n">
        <f aca="false">6525540-5000000</f>
        <v>1525540</v>
      </c>
      <c r="H28" s="30" t="n">
        <f aca="false">(5376804-2000000)</f>
        <v>3376804</v>
      </c>
      <c r="L28" s="122"/>
    </row>
    <row r="29" customFormat="false" ht="12.75" hidden="false" customHeight="false" outlineLevel="0" collapsed="false">
      <c r="C29" s="30"/>
      <c r="D29" s="30"/>
      <c r="E29" s="30"/>
      <c r="F29" s="30"/>
      <c r="G29" s="30"/>
      <c r="H29" s="30"/>
    </row>
    <row r="30" customFormat="false" ht="12.75" hidden="false" customHeight="false" outlineLevel="0" collapsed="false">
      <c r="C30" s="30"/>
      <c r="D30" s="30"/>
      <c r="E30" s="30"/>
      <c r="F30" s="30"/>
      <c r="G30" s="30"/>
      <c r="H30" s="30"/>
      <c r="J30" s="30"/>
      <c r="K30" s="30"/>
    </row>
    <row r="31" customFormat="false" ht="12.75" hidden="false" customHeight="false" outlineLevel="0" collapsed="false">
      <c r="C31" s="30"/>
      <c r="D31" s="30"/>
      <c r="E31" s="30"/>
      <c r="F31" s="30"/>
      <c r="G31" s="30"/>
      <c r="H31" s="30"/>
    </row>
    <row r="32" customFormat="false" ht="13.5" hidden="false" customHeight="false" outlineLevel="0" collapsed="false">
      <c r="C32" s="30"/>
      <c r="D32" s="30"/>
      <c r="E32" s="30"/>
      <c r="F32" s="30"/>
      <c r="G32" s="30"/>
      <c r="H32" s="30"/>
    </row>
    <row r="33" customFormat="false" ht="13.5" hidden="false" customHeight="false" outlineLevel="0" collapsed="false">
      <c r="C33" s="176" t="s">
        <v>263</v>
      </c>
      <c r="D33" s="176" t="s">
        <v>264</v>
      </c>
      <c r="E33" s="176" t="s">
        <v>265</v>
      </c>
      <c r="F33" s="177" t="s">
        <v>266</v>
      </c>
      <c r="G33" s="176" t="str">
        <f aca="false">G5</f>
        <v>J. Murray - 107062</v>
      </c>
      <c r="H33" s="176" t="s">
        <v>268</v>
      </c>
      <c r="I33" s="177"/>
      <c r="J33" s="176" t="s">
        <v>29</v>
      </c>
      <c r="K33" s="186"/>
      <c r="L33" s="176" t="s">
        <v>29</v>
      </c>
    </row>
    <row r="34" customFormat="false" ht="12.75" hidden="false" customHeight="false" outlineLevel="0" collapsed="false">
      <c r="C34" s="178"/>
      <c r="D34" s="178"/>
      <c r="E34" s="178"/>
      <c r="G34" s="178"/>
      <c r="H34" s="178"/>
      <c r="J34" s="179"/>
      <c r="K34" s="187"/>
      <c r="L34" s="179"/>
    </row>
    <row r="35" customFormat="false" ht="12.75" hidden="false" customHeight="false" outlineLevel="0" collapsed="false">
      <c r="A35" s="19" t="s">
        <v>271</v>
      </c>
      <c r="B35" s="19"/>
      <c r="C35" s="188" t="n">
        <f aca="false">'[3]2001 Int Legal billout'!C7</f>
        <v>0.0138079223989612</v>
      </c>
      <c r="D35" s="188"/>
      <c r="E35" s="189" t="n">
        <f aca="false">'[3]2001 Int Legal billout'!D7</f>
        <v>0</v>
      </c>
      <c r="F35" s="190" t="n">
        <f aca="false">'[3]2001 Int Legal billout'!E7</f>
        <v>0.0118350666225192</v>
      </c>
      <c r="G35" s="188"/>
      <c r="H35" s="188" t="n">
        <f aca="false">'[3]2001 Int Legal billout'!G7</f>
        <v>0</v>
      </c>
      <c r="I35" s="19"/>
      <c r="J35" s="188" t="n">
        <f aca="false">SUM(C35:H35)</f>
        <v>0.0256429890214804</v>
      </c>
      <c r="K35" s="76"/>
      <c r="L35" s="188" t="n">
        <f aca="false">+J35*12</f>
        <v>0.307715868257765</v>
      </c>
    </row>
    <row r="36" customFormat="false" ht="12.75" hidden="false" customHeight="false" outlineLevel="0" collapsed="false">
      <c r="A36" s="19"/>
      <c r="B36" s="19"/>
      <c r="C36" s="188"/>
      <c r="D36" s="180"/>
      <c r="E36" s="188"/>
      <c r="F36" s="190"/>
      <c r="G36" s="188"/>
      <c r="H36" s="188"/>
      <c r="I36" s="19"/>
      <c r="J36" s="188"/>
      <c r="K36" s="76"/>
      <c r="L36" s="188"/>
    </row>
    <row r="37" customFormat="false" ht="12.75" hidden="false" customHeight="false" outlineLevel="0" collapsed="false">
      <c r="A37" s="19" t="s">
        <v>272</v>
      </c>
      <c r="B37" s="19"/>
      <c r="C37" s="188" t="n">
        <f aca="false">'[3]2001 Int Legal billout'!C9</f>
        <v>0</v>
      </c>
      <c r="D37" s="180"/>
      <c r="E37" s="188" t="n">
        <f aca="false">'[3]2001 Int Legal billout'!D9</f>
        <v>0.0034129589554713</v>
      </c>
      <c r="F37" s="190" t="n">
        <f aca="false">'[3]2001 Int Legal billout'!E9</f>
        <v>0.0236701332450384</v>
      </c>
      <c r="G37" s="188"/>
      <c r="H37" s="188" t="n">
        <f aca="false">'[3]2001 Int Legal billout'!G9</f>
        <v>0.0943240118909663</v>
      </c>
      <c r="I37" s="19"/>
      <c r="J37" s="188" t="n">
        <f aca="false">SUM(C37:H37)</f>
        <v>0.121407104091476</v>
      </c>
      <c r="K37" s="76"/>
      <c r="L37" s="188" t="n">
        <f aca="false">+J37*12</f>
        <v>1.45688524909771</v>
      </c>
    </row>
    <row r="38" customFormat="false" ht="12.75" hidden="false" customHeight="false" outlineLevel="0" collapsed="false">
      <c r="A38" s="19"/>
      <c r="B38" s="19"/>
      <c r="C38" s="188"/>
      <c r="D38" s="180"/>
      <c r="E38" s="188"/>
      <c r="F38" s="190"/>
      <c r="G38" s="188"/>
      <c r="H38" s="188"/>
      <c r="I38" s="19"/>
      <c r="J38" s="188"/>
      <c r="K38" s="76"/>
      <c r="L38" s="188"/>
    </row>
    <row r="39" customFormat="false" ht="12.75" hidden="false" customHeight="false" outlineLevel="0" collapsed="false">
      <c r="A39" s="19" t="s">
        <v>273</v>
      </c>
      <c r="B39" s="19"/>
      <c r="C39" s="188" t="n">
        <f aca="false">'[3]2001 Int Legal billout'!C11</f>
        <v>0</v>
      </c>
      <c r="D39" s="180"/>
      <c r="E39" s="188" t="n">
        <f aca="false">'[3]2001 Int Legal billout'!D11</f>
        <v>0.00170647344975376</v>
      </c>
      <c r="F39" s="190" t="n">
        <f aca="false">'[3]2001 Int Legal billout'!E11</f>
        <v>0.00473402832125967</v>
      </c>
      <c r="G39" s="188" t="n">
        <f aca="false">100%/12</f>
        <v>0.0833333333333333</v>
      </c>
      <c r="H39" s="188" t="n">
        <f aca="false">'[3]2001 Int Legal billout'!G11</f>
        <v>0.0223819656689007</v>
      </c>
      <c r="I39" s="19"/>
      <c r="J39" s="188" t="n">
        <f aca="false">SUM(C39:H39)</f>
        <v>0.112155800773248</v>
      </c>
      <c r="K39" s="76"/>
      <c r="L39" s="188" t="n">
        <f aca="false">+J39*12</f>
        <v>1.34586960927897</v>
      </c>
    </row>
    <row r="40" customFormat="false" ht="12.75" hidden="false" customHeight="false" outlineLevel="0" collapsed="false">
      <c r="A40" s="19"/>
      <c r="B40" s="19"/>
      <c r="C40" s="188"/>
      <c r="D40" s="180"/>
      <c r="E40" s="188"/>
      <c r="F40" s="190"/>
      <c r="G40" s="188"/>
      <c r="H40" s="188"/>
      <c r="I40" s="19"/>
      <c r="J40" s="188"/>
      <c r="K40" s="76"/>
      <c r="L40" s="188"/>
    </row>
    <row r="41" customFormat="false" ht="12.75" hidden="false" customHeight="false" outlineLevel="0" collapsed="false">
      <c r="A41" s="19" t="s">
        <v>274</v>
      </c>
      <c r="B41" s="19"/>
      <c r="C41" s="188" t="n">
        <f aca="false">'[3]2001 Int Legal billout'!C13</f>
        <v>0</v>
      </c>
      <c r="D41" s="180"/>
      <c r="E41" s="189" t="n">
        <f aca="false">'[3]2001 Int Legal billout'!D13</f>
        <v>0</v>
      </c>
      <c r="F41" s="190" t="n">
        <f aca="false">'[3]2001 Int Legal billout'!E13</f>
        <v>0.00355052124094476</v>
      </c>
      <c r="G41" s="188"/>
      <c r="H41" s="188" t="n">
        <f aca="false">'[3]2001 Int Legal billout'!G13</f>
        <v>0</v>
      </c>
      <c r="I41" s="19"/>
      <c r="J41" s="188" t="n">
        <f aca="false">SUM(C41:H41)</f>
        <v>0.00355052124094476</v>
      </c>
      <c r="K41" s="76"/>
      <c r="L41" s="188" t="n">
        <f aca="false">+J41*12</f>
        <v>0.0426062548913371</v>
      </c>
    </row>
    <row r="42" customFormat="false" ht="12.75" hidden="false" customHeight="false" outlineLevel="0" collapsed="false">
      <c r="A42" s="19"/>
      <c r="B42" s="19"/>
      <c r="C42" s="188"/>
      <c r="D42" s="180"/>
      <c r="E42" s="188"/>
      <c r="F42" s="190"/>
      <c r="G42" s="188"/>
      <c r="H42" s="188"/>
      <c r="I42" s="19"/>
      <c r="J42" s="188"/>
      <c r="K42" s="76"/>
      <c r="L42" s="188"/>
    </row>
    <row r="43" customFormat="false" ht="12.75" hidden="false" customHeight="false" outlineLevel="0" collapsed="false">
      <c r="A43" s="19" t="s">
        <v>275</v>
      </c>
      <c r="B43" s="19"/>
      <c r="C43" s="188" t="n">
        <f aca="false">'[3]2001 Int Legal billout'!C15</f>
        <v>0</v>
      </c>
      <c r="D43" s="180"/>
      <c r="E43" s="188" t="n">
        <f aca="false">'[3]2001 Int Legal billout'!D15</f>
        <v>0.0034129589554713</v>
      </c>
      <c r="F43" s="190" t="n">
        <f aca="false">'[3]2001 Int Legal billout'!E15</f>
        <v>0.015385587863464</v>
      </c>
      <c r="G43" s="188"/>
      <c r="H43" s="188" t="n">
        <f aca="false">'[3]2001 Int Legal billout'!G15</f>
        <v>0.00159871264025083</v>
      </c>
      <c r="I43" s="19"/>
      <c r="J43" s="188" t="n">
        <f aca="false">SUM(C43:H43)</f>
        <v>0.0203972594591861</v>
      </c>
      <c r="K43" s="76"/>
      <c r="L43" s="188" t="n">
        <f aca="false">+J43*12</f>
        <v>0.244767113510233</v>
      </c>
    </row>
    <row r="44" customFormat="false" ht="12.75" hidden="false" customHeight="false" outlineLevel="0" collapsed="false">
      <c r="A44" s="19"/>
      <c r="B44" s="19"/>
      <c r="C44" s="188"/>
      <c r="D44" s="180"/>
      <c r="E44" s="188"/>
      <c r="F44" s="190"/>
      <c r="G44" s="188"/>
      <c r="H44" s="188"/>
      <c r="I44" s="19"/>
      <c r="J44" s="188"/>
      <c r="K44" s="76"/>
      <c r="L44" s="188"/>
    </row>
    <row r="45" customFormat="false" ht="12.75" hidden="false" customHeight="false" outlineLevel="0" collapsed="false">
      <c r="A45" s="19" t="s">
        <v>276</v>
      </c>
      <c r="B45" s="19"/>
      <c r="C45" s="188" t="n">
        <f aca="false">'[3]2001 Int Legal billout'!C17</f>
        <v>0</v>
      </c>
      <c r="D45" s="180"/>
      <c r="E45" s="188" t="n">
        <f aca="false">'[3]2001 Int Legal billout'!D17</f>
        <v>0.00170647344975376</v>
      </c>
      <c r="F45" s="190" t="n">
        <f aca="false">'[3]2001 Int Legal billout'!E17</f>
        <v>0.00118350708031492</v>
      </c>
      <c r="G45" s="188"/>
      <c r="H45" s="188" t="n">
        <f aca="false">'[3]2001 Int Legal billout'!G17</f>
        <v>0.00879291669772685</v>
      </c>
      <c r="I45" s="19"/>
      <c r="J45" s="188" t="n">
        <f aca="false">SUM(C45:H45)</f>
        <v>0.0116828972277955</v>
      </c>
      <c r="K45" s="76"/>
      <c r="L45" s="188" t="n">
        <f aca="false">+J45*12</f>
        <v>0.140194766733546</v>
      </c>
    </row>
    <row r="46" customFormat="false" ht="12.75" hidden="false" customHeight="false" outlineLevel="0" collapsed="false">
      <c r="A46" s="19"/>
      <c r="B46" s="19"/>
      <c r="C46" s="188"/>
      <c r="D46" s="180"/>
      <c r="E46" s="188"/>
      <c r="F46" s="190"/>
      <c r="G46" s="188"/>
      <c r="H46" s="188"/>
      <c r="I46" s="19"/>
      <c r="J46" s="188"/>
      <c r="K46" s="76"/>
      <c r="L46" s="188"/>
    </row>
    <row r="47" customFormat="false" ht="12.75" hidden="false" customHeight="false" outlineLevel="0" collapsed="false">
      <c r="A47" s="19" t="s">
        <v>277</v>
      </c>
      <c r="B47" s="19"/>
      <c r="C47" s="191" t="s">
        <v>280</v>
      </c>
      <c r="D47" s="188"/>
      <c r="E47" s="188" t="n">
        <f aca="false">'[3]2001 Int Legal billout'!D19</f>
        <v>0</v>
      </c>
      <c r="F47" s="190" t="n">
        <f aca="false">'[3]2001 Int Legal billout'!E19</f>
        <v>0</v>
      </c>
      <c r="G47" s="188"/>
      <c r="H47" s="188" t="n">
        <f aca="false">'[3]2001 Int Legal billout'!G19</f>
        <v>0</v>
      </c>
      <c r="I47" s="19"/>
      <c r="J47" s="188" t="n">
        <f aca="false">SUM(C47:H47)</f>
        <v>0</v>
      </c>
      <c r="K47" s="76"/>
      <c r="L47" s="188" t="n">
        <f aca="false">+J47*12</f>
        <v>0</v>
      </c>
    </row>
    <row r="48" customFormat="false" ht="12.75" hidden="false" customHeight="false" outlineLevel="0" collapsed="false">
      <c r="A48" s="19"/>
      <c r="B48" s="19"/>
      <c r="C48" s="188"/>
      <c r="D48" s="188"/>
      <c r="E48" s="188"/>
      <c r="F48" s="190"/>
      <c r="G48" s="188"/>
      <c r="H48" s="188"/>
      <c r="I48" s="19"/>
      <c r="J48" s="188"/>
      <c r="K48" s="76"/>
      <c r="L48" s="188"/>
    </row>
    <row r="49" customFormat="false" ht="12.75" hidden="false" customHeight="false" outlineLevel="0" collapsed="false">
      <c r="A49" s="19" t="s">
        <v>55</v>
      </c>
      <c r="B49" s="19"/>
      <c r="C49" s="188" t="n">
        <f aca="false">0.05/12</f>
        <v>0.00416666666666667</v>
      </c>
      <c r="D49" s="192"/>
      <c r="E49" s="188"/>
      <c r="F49" s="190"/>
      <c r="G49" s="188"/>
      <c r="H49" s="188"/>
      <c r="I49" s="19"/>
      <c r="J49" s="188" t="n">
        <f aca="false">SUM(C49:H49)</f>
        <v>0.00416666666666667</v>
      </c>
      <c r="K49" s="76"/>
      <c r="L49" s="188" t="n">
        <f aca="false">+J49*12</f>
        <v>0.05</v>
      </c>
    </row>
    <row r="50" customFormat="false" ht="12.75" hidden="false" customHeight="false" outlineLevel="0" collapsed="false">
      <c r="A50" s="19"/>
      <c r="B50" s="19"/>
      <c r="C50" s="188"/>
      <c r="D50" s="192"/>
      <c r="E50" s="188"/>
      <c r="F50" s="190"/>
      <c r="G50" s="188"/>
      <c r="H50" s="188"/>
      <c r="I50" s="19"/>
      <c r="J50" s="188"/>
      <c r="K50" s="76"/>
      <c r="L50" s="188"/>
    </row>
    <row r="51" customFormat="false" ht="12.75" hidden="false" customHeight="false" outlineLevel="0" collapsed="false">
      <c r="A51" s="19" t="s">
        <v>278</v>
      </c>
      <c r="B51" s="19"/>
      <c r="C51" s="188"/>
      <c r="D51" s="191" t="s">
        <v>281</v>
      </c>
      <c r="E51" s="188" t="n">
        <v>0</v>
      </c>
      <c r="F51" s="190" t="n">
        <v>0</v>
      </c>
      <c r="G51" s="188"/>
      <c r="H51" s="188" t="n">
        <v>0</v>
      </c>
      <c r="I51" s="19"/>
      <c r="J51" s="188" t="n">
        <f aca="false">SUM(C51:H51)</f>
        <v>0</v>
      </c>
      <c r="K51" s="76"/>
      <c r="L51" s="188" t="n">
        <f aca="false">+J51*12</f>
        <v>0</v>
      </c>
    </row>
    <row r="52" customFormat="false" ht="12.75" hidden="false" customHeight="false" outlineLevel="0" collapsed="false">
      <c r="A52" s="19"/>
      <c r="B52" s="19"/>
      <c r="C52" s="188"/>
      <c r="D52" s="188"/>
      <c r="E52" s="188"/>
      <c r="F52" s="9"/>
      <c r="G52" s="188"/>
      <c r="H52" s="188"/>
      <c r="I52" s="19"/>
      <c r="J52" s="193"/>
      <c r="K52" s="76"/>
      <c r="L52" s="193"/>
    </row>
    <row r="53" customFormat="false" ht="13.5" hidden="false" customHeight="false" outlineLevel="0" collapsed="false">
      <c r="A53" s="19"/>
      <c r="B53" s="19"/>
      <c r="C53" s="180"/>
      <c r="D53" s="180"/>
      <c r="E53" s="188"/>
      <c r="F53" s="9"/>
      <c r="G53" s="188"/>
      <c r="H53" s="188"/>
      <c r="I53" s="19"/>
      <c r="J53" s="193"/>
      <c r="K53" s="76"/>
      <c r="L53" s="193"/>
    </row>
    <row r="54" customFormat="false" ht="13.5" hidden="false" customHeight="false" outlineLevel="0" collapsed="false">
      <c r="A54" s="181" t="s">
        <v>29</v>
      </c>
      <c r="C54" s="194" t="n">
        <f aca="false">SUM(C35:C51)</f>
        <v>0.0179745890656279</v>
      </c>
      <c r="D54" s="195"/>
      <c r="E54" s="195" t="n">
        <f aca="false">SUM(E35:E52)</f>
        <v>0.0102388648104501</v>
      </c>
      <c r="F54" s="196" t="n">
        <f aca="false">SUM(F35:F52)</f>
        <v>0.060358844373541</v>
      </c>
      <c r="G54" s="196" t="n">
        <f aca="false">SUM(G35:G52)</f>
        <v>0.0833333333333333</v>
      </c>
      <c r="H54" s="195" t="n">
        <f aca="false">SUM(H35:H52)</f>
        <v>0.127097606897845</v>
      </c>
      <c r="I54" s="184"/>
      <c r="J54" s="195" t="n">
        <f aca="false">SUM(J35:J52)</f>
        <v>0.299003238480797</v>
      </c>
      <c r="K54" s="76"/>
      <c r="L54" s="195" t="n">
        <f aca="false">SUM(L35:L52)</f>
        <v>3.58803886176956</v>
      </c>
    </row>
    <row r="55" customFormat="false" ht="12.75" hidden="false" customHeight="false" outlineLevel="0" collapsed="false">
      <c r="C55" s="30"/>
      <c r="D55" s="30"/>
      <c r="E55" s="30"/>
      <c r="F55" s="30"/>
      <c r="G55" s="197" t="s">
        <v>251</v>
      </c>
      <c r="H55" s="30"/>
    </row>
    <row r="56" customFormat="false" ht="12.75" hidden="false" customHeight="false" outlineLevel="0" collapsed="false">
      <c r="C56" s="30"/>
      <c r="D56" s="30"/>
      <c r="E56" s="30"/>
      <c r="F56" s="30"/>
      <c r="G56" s="30"/>
      <c r="H56" s="30"/>
    </row>
    <row r="57" customFormat="false" ht="12.75" hidden="false" customHeight="false" outlineLevel="0" collapsed="false">
      <c r="A57" s="0" t="s">
        <v>282</v>
      </c>
      <c r="C57" s="30"/>
      <c r="D57" s="30"/>
      <c r="E57" s="30"/>
      <c r="F57" s="30"/>
      <c r="G57" s="30"/>
      <c r="H57" s="30"/>
    </row>
    <row r="58" customFormat="false" ht="12.75" hidden="false" customHeight="false" outlineLevel="0" collapsed="false">
      <c r="A58" s="0" t="s">
        <v>283</v>
      </c>
      <c r="C58" s="30"/>
      <c r="D58" s="30"/>
      <c r="E58" s="30"/>
      <c r="F58" s="30"/>
      <c r="G58" s="30"/>
      <c r="H58" s="30"/>
    </row>
    <row r="59" customFormat="false" ht="12.75" hidden="false" customHeight="false" outlineLevel="0" collapsed="false">
      <c r="A59" s="0" t="s">
        <v>284</v>
      </c>
      <c r="C59" s="30"/>
      <c r="D59" s="30"/>
      <c r="E59" s="30"/>
      <c r="F59" s="30"/>
      <c r="G59" s="30"/>
      <c r="H59" s="30"/>
    </row>
    <row r="60" customFormat="false" ht="12.75" hidden="false" customHeight="false" outlineLevel="0" collapsed="false">
      <c r="A60" s="0" t="s">
        <v>285</v>
      </c>
      <c r="C60" s="30"/>
      <c r="D60" s="30"/>
      <c r="E60" s="30"/>
      <c r="F60" s="30"/>
      <c r="G60" s="30"/>
      <c r="H60" s="30"/>
      <c r="M60" s="198" t="str">
        <f aca="true">CELL("filename",A1)</f>
        <v>'file:///mnt/12tb/@roms/datasets/enron/EDRM Enron Email Data Set v2 XML/filtered-attachments/xls/EA_Alloc_to_Other_BUs___Support.xls'#$Detail - Internal Legal</v>
      </c>
    </row>
    <row r="61" customFormat="false" ht="12.75" hidden="false" customHeight="false" outlineLevel="0" collapsed="false">
      <c r="C61" s="30"/>
      <c r="D61" s="30"/>
      <c r="E61" s="30"/>
      <c r="F61" s="30"/>
      <c r="G61" s="30"/>
      <c r="H61" s="30"/>
    </row>
    <row r="62" customFormat="false" ht="12.75" hidden="false" customHeight="false" outlineLevel="0" collapsed="false">
      <c r="A62" s="199"/>
      <c r="B62" s="19"/>
      <c r="C62" s="30"/>
      <c r="D62" s="30"/>
      <c r="E62" s="30"/>
      <c r="F62" s="30"/>
      <c r="G62" s="30"/>
      <c r="H62" s="30"/>
    </row>
    <row r="63" customFormat="false" ht="12.75" hidden="false" customHeight="false" outlineLevel="0" collapsed="false">
      <c r="A63" s="199"/>
      <c r="B63" s="19"/>
      <c r="C63" s="30"/>
      <c r="D63" s="30"/>
      <c r="E63" s="30"/>
      <c r="F63" s="30"/>
      <c r="G63" s="30"/>
      <c r="H63" s="30"/>
    </row>
    <row r="64" customFormat="false" ht="12.75" hidden="false" customHeight="false" outlineLevel="0" collapsed="false">
      <c r="A64" s="199"/>
      <c r="B64" s="19"/>
      <c r="C64" s="30"/>
      <c r="D64" s="30"/>
      <c r="E64" s="30"/>
      <c r="F64" s="30"/>
      <c r="G64" s="30"/>
      <c r="H64" s="30"/>
    </row>
    <row r="65" customFormat="false" ht="12.75" hidden="false" customHeight="false" outlineLevel="0" collapsed="false">
      <c r="A65" s="19"/>
      <c r="B65" s="19"/>
      <c r="C65" s="30"/>
      <c r="D65" s="30"/>
      <c r="E65" s="30"/>
      <c r="F65" s="30"/>
      <c r="G65" s="30"/>
      <c r="H65" s="30"/>
    </row>
    <row r="66" customFormat="false" ht="12.75" hidden="false" customHeight="false" outlineLevel="0" collapsed="false">
      <c r="C66" s="30"/>
      <c r="D66" s="30"/>
      <c r="E66" s="30"/>
      <c r="F66" s="30"/>
      <c r="G66" s="30"/>
      <c r="H66" s="30"/>
    </row>
    <row r="67" customFormat="false" ht="12.75" hidden="false" customHeight="false" outlineLevel="0" collapsed="false">
      <c r="C67" s="30"/>
      <c r="D67" s="30"/>
      <c r="E67" s="30"/>
      <c r="F67" s="30"/>
      <c r="G67" s="30"/>
      <c r="H67" s="30"/>
    </row>
    <row r="68" customFormat="false" ht="12.75" hidden="false" customHeight="false" outlineLevel="0" collapsed="false">
      <c r="C68" s="30"/>
      <c r="D68" s="30"/>
      <c r="E68" s="30"/>
      <c r="F68" s="30"/>
      <c r="G68" s="30"/>
      <c r="H6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2001-09-10T13:27:30Z</dcterms:created>
  <dc:creator>Edie Leschber</dc:creator>
  <dc:description/>
  <dc:language>en-US</dc:language>
  <cp:lastModifiedBy>Edie Leschber</cp:lastModifiedBy>
  <dcterms:modified xsi:type="dcterms:W3CDTF">2001-09-20T13:09:31Z</dcterms:modified>
  <cp:revision>0</cp:revision>
  <dc:subject/>
  <dc:title/>
</cp:coreProperties>
</file>