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6.5% - Swap" sheetId="1" state="hidden" r:id="rId3"/>
    <sheet name="Summary" sheetId="2" state="visible" r:id="rId4"/>
    <sheet name="Calvert City" sheetId="3" state="hidden" r:id="rId5"/>
    <sheet name="Wilton" sheetId="4" state="visible" r:id="rId6"/>
    <sheet name="Gleason" sheetId="5" state="visible" r:id="rId7"/>
    <sheet name="Wheatland" sheetId="6" state="visible" r:id="rId8"/>
  </sheets>
  <externalReferences>
    <externalReference r:id="rId9"/>
  </externalReferences>
  <definedNames>
    <definedName function="false" hidden="false" localSheetId="2" name="_xlnm.Print_Area" vbProcedure="false">'Calvert City'!$A$1:$Y$69</definedName>
    <definedName function="false" hidden="false" localSheetId="4" name="_xlnm.Print_Area" vbProcedure="false">Gleason!$A$1:$AA$72</definedName>
    <definedName function="false" hidden="false" localSheetId="5" name="_xlnm.Print_Area" vbProcedure="false">Wheatland!$A$1:$Z$79</definedName>
    <definedName function="false" hidden="false" localSheetId="3" name="_xlnm.Print_Area" vbProcedure="false">Wilton!$A$1:$Z$78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10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Contract still not final; $136,000,000 is the contract price per draft on 3/16/99
Amy - 05/21 Contract executed, contract price has changed to $140,040,940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51</xdr:colOff>
                <xdr:row>4</xdr:row>
                <xdr:rowOff>1</xdr:rowOff>
              </xdr:from>
              <xdr:to>
                <xdr:col>27</xdr:col>
                <xdr:colOff>95</xdr:colOff>
                <xdr:row>12</xdr:row>
                <xdr:rowOff>17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0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Rounded the Cumulative total down to the nearest thousands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49</xdr:row>
                <xdr:rowOff>7</xdr:rowOff>
              </xdr:from>
              <xdr:to>
                <xdr:col>5</xdr:col>
                <xdr:colOff>68</xdr:colOff>
                <xdr:row>54</xdr:row>
                <xdr:rowOff>16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agreement with ABB today (3/19/99) is to hold payments until Aug, Sep, Oct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23</xdr:colOff>
                <xdr:row>8</xdr:row>
                <xdr:rowOff>14</xdr:rowOff>
              </xdr:from>
              <xdr:to>
                <xdr:col>13</xdr:col>
                <xdr:colOff>75</xdr:colOff>
                <xdr:row>13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<sst xmlns="http://schemas.openxmlformats.org/spreadsheetml/2006/main" count="597" uniqueCount="128">
  <si>
    <t xml:space="preserve">Enron Capital &amp; Trade Services</t>
  </si>
  <si>
    <t xml:space="preserve">Business Analysis &amp; Reporting</t>
  </si>
  <si>
    <t xml:space="preserve">Last updated:  February 23, 1999</t>
  </si>
  <si>
    <t xml:space="preserve">Power Plants - 2000</t>
  </si>
  <si>
    <t xml:space="preserve">1999</t>
  </si>
  <si>
    <t xml:space="preserve">2000</t>
  </si>
  <si>
    <t xml:space="preserve">Total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</si>
  <si>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</si>
  <si>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</si>
  <si>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</si>
  <si>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</si>
  <si>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</si>
  <si>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</si>
  <si>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</si>
  <si>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</si>
  <si>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</si>
  <si>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</si>
  <si>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</si>
  <si>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</si>
  <si>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Person Responsible</t>
  </si>
  <si>
    <t xml:space="preserve"> Wilton Center IL</t>
  </si>
  <si>
    <t xml:space="preserve">( Dev Owner:  Scott Healy)</t>
  </si>
  <si>
    <t xml:space="preserve">GE 7EA's (8ea)</t>
  </si>
  <si>
    <t xml:space="preserve">Mike Miller</t>
  </si>
  <si>
    <t xml:space="preserve">ABB</t>
  </si>
  <si>
    <t xml:space="preserve">EECC</t>
  </si>
  <si>
    <t xml:space="preserve">NEPCO</t>
  </si>
  <si>
    <t xml:space="preserve">EI (Mobilization of O&amp;M)</t>
  </si>
  <si>
    <t xml:space="preserve">Kevin Presto</t>
  </si>
  <si>
    <t xml:space="preserve">PARTS</t>
  </si>
  <si>
    <t xml:space="preserve">LAND</t>
  </si>
  <si>
    <t xml:space="preserve">Scott Healy</t>
  </si>
  <si>
    <t xml:space="preserve">ENVIR PERMITTING</t>
  </si>
  <si>
    <t xml:space="preserve">GAS INTERCONNECT</t>
  </si>
  <si>
    <t xml:space="preserve">Chris Meyer</t>
  </si>
  <si>
    <t xml:space="preserve">ELECT INTERCONNECT</t>
  </si>
  <si>
    <t xml:space="preserve">START UP FUEL</t>
  </si>
  <si>
    <t xml:space="preserve">SALES TAX</t>
  </si>
  <si>
    <t xml:space="preserve">INSURANCE</t>
  </si>
  <si>
    <t xml:space="preserve">SALARIES</t>
  </si>
  <si>
    <t xml:space="preserve">DEVELOPMENT</t>
  </si>
  <si>
    <t xml:space="preserve">LEGAL</t>
  </si>
  <si>
    <t xml:space="preserve">Total Plant</t>
  </si>
  <si>
    <t xml:space="preserve">Cumulative Total Plant</t>
  </si>
  <si>
    <t xml:space="preserve">$$/Kw</t>
  </si>
  <si>
    <t xml:space="preserve">IDC</t>
  </si>
  <si>
    <t xml:space="preserve">FINANCING FEE</t>
  </si>
  <si>
    <t xml:space="preserve">Rodney Malcolm</t>
  </si>
  <si>
    <t xml:space="preserve">CONTINGENCY (5%)</t>
  </si>
  <si>
    <t xml:space="preserve">Subtotal</t>
  </si>
  <si>
    <t xml:space="preserve">Cumulative subtotal</t>
  </si>
  <si>
    <t xml:space="preserve">Total Wilton Center</t>
  </si>
  <si>
    <t xml:space="preserve">Cumulative Total</t>
  </si>
  <si>
    <t xml:space="preserve">IDC 6.5% - Swap</t>
  </si>
  <si>
    <t xml:space="preserve">MW</t>
  </si>
  <si>
    <t xml:space="preserve">DEBT RESERVE</t>
  </si>
  <si>
    <t xml:space="preserve">Total Current month less IDC</t>
  </si>
  <si>
    <t xml:space="preserve">CALVERT CITY, KY</t>
  </si>
  <si>
    <t xml:space="preserve">( Dev Owner:  Ben Jacoby)</t>
  </si>
  <si>
    <t xml:space="preserve">WH501FD (2 ea)</t>
  </si>
  <si>
    <t xml:space="preserve">WH 501F (1 ea)</t>
  </si>
  <si>
    <t xml:space="preserve">Ben Jacoby</t>
  </si>
  <si>
    <t xml:space="preserve">WATER LINE</t>
  </si>
  <si>
    <t xml:space="preserve">RESALE AND HANDLING FEE</t>
  </si>
  <si>
    <t xml:space="preserve">Patrick Maloy</t>
  </si>
  <si>
    <t xml:space="preserve">Total Calvert City</t>
  </si>
  <si>
    <t xml:space="preserve">WHEATLAND, INDIANA</t>
  </si>
  <si>
    <t xml:space="preserve">( Dev Owner:  Steve Dowd)</t>
  </si>
  <si>
    <t xml:space="preserve">WH 501D5A (4)</t>
  </si>
  <si>
    <t xml:space="preserve">Steve Dowd</t>
  </si>
  <si>
    <t xml:space="preserve">RESALE HANDLING FEE</t>
  </si>
  <si>
    <t xml:space="preserve">Cumulative total w/o Debt reserve</t>
  </si>
  <si>
    <t xml:space="preserve">Cumulative total with Debt reserve</t>
  </si>
  <si>
    <t xml:space="preserve">Capital Expenditures</t>
  </si>
  <si>
    <t xml:space="preserve">Capital</t>
  </si>
  <si>
    <t xml:space="preserve">WILTON CENTER, IL</t>
  </si>
  <si>
    <t xml:space="preserve">Gleason</t>
  </si>
  <si>
    <t xml:space="preserve">WHEATLAND, IN</t>
  </si>
  <si>
    <t xml:space="preserve">     TOTAL 2000 PLANTS</t>
  </si>
  <si>
    <t xml:space="preserve">    Cumulative Total</t>
  </si>
  <si>
    <t xml:space="preserve">Expense</t>
  </si>
  <si>
    <t xml:space="preserve">Transfer </t>
  </si>
  <si>
    <t xml:space="preserve">Transfer</t>
  </si>
  <si>
    <t xml:space="preserve">Overheads and Fees -EECC</t>
  </si>
  <si>
    <t xml:space="preserve">Overheads and Fees -NEPCO</t>
  </si>
  <si>
    <t xml:space="preserve">BASE FEE</t>
  </si>
  <si>
    <t xml:space="preserve">NEPCO-Reimbursables</t>
  </si>
  <si>
    <t xml:space="preserve">SWITCHYARD</t>
  </si>
  <si>
    <t xml:space="preserve">Union Adders/Others</t>
  </si>
  <si>
    <t xml:space="preserve">WATER INTERCONNECT</t>
  </si>
  <si>
    <t xml:space="preserve">Power INTERCONNECT</t>
  </si>
  <si>
    <t xml:space="preserve">Interest SWAP</t>
  </si>
  <si>
    <t xml:space="preserve">Commitment Fee</t>
  </si>
  <si>
    <t xml:space="preserve">CONTINGENCY (5% NEPCO; 3% Ttl Plant)</t>
  </si>
  <si>
    <t xml:space="preserve">IDC 6.5% </t>
  </si>
  <si>
    <t xml:space="preserve">+ 35 Bps Com Fee</t>
  </si>
  <si>
    <t xml:space="preserve">Subtotal Calvert City Expense</t>
  </si>
  <si>
    <t xml:space="preserve">Current FIT</t>
  </si>
  <si>
    <t xml:space="preserve">Total Income Statement</t>
  </si>
  <si>
    <t xml:space="preserve">Last updated:  Actuals through December 24, 1999</t>
  </si>
  <si>
    <t xml:space="preserve">SOUND - Braden</t>
  </si>
  <si>
    <t xml:space="preserve">NEPCO- General Provisions</t>
  </si>
  <si>
    <t xml:space="preserve">NEPCO - BOP Procurement</t>
  </si>
  <si>
    <t xml:space="preserve">NEPCO - Construction</t>
  </si>
  <si>
    <t xml:space="preserve">NEPCO - Switchyard</t>
  </si>
  <si>
    <t xml:space="preserve">NEPCO - Reimburse Tax</t>
  </si>
  <si>
    <t xml:space="preserve">NEPCO - MISC</t>
  </si>
  <si>
    <t xml:space="preserve">NEPCO % Complete</t>
  </si>
  <si>
    <t xml:space="preserve">POWER INTERCONNECT</t>
  </si>
  <si>
    <t xml:space="preserve">Franchise Tax</t>
  </si>
  <si>
    <t xml:space="preserve">Total Wilton Center Capital</t>
  </si>
  <si>
    <t xml:space="preserve">total project</t>
  </si>
  <si>
    <t xml:space="preserve">weekly Report</t>
  </si>
  <si>
    <t xml:space="preserve">Subtotal Wilton Center Expense</t>
  </si>
  <si>
    <t xml:space="preserve">Plano, IL</t>
  </si>
  <si>
    <t xml:space="preserve">Subtotal Plano Expense</t>
  </si>
  <si>
    <t xml:space="preserve">Total Project Cost (w/o Debt Reserve)</t>
  </si>
  <si>
    <t xml:space="preserve">Gleason/Weakly County, TN</t>
  </si>
  <si>
    <t xml:space="preserve">ENVIRONMENTAL PERMITTING</t>
  </si>
  <si>
    <t xml:space="preserve">LEGAL EXPENSES</t>
  </si>
  <si>
    <t xml:space="preserve">SYSTEM IMPACT STUDY</t>
  </si>
  <si>
    <t xml:space="preserve">DEVELOPMENT EXPENSES</t>
  </si>
  <si>
    <t xml:space="preserve">Subtotal Gleason Expense</t>
  </si>
  <si>
    <t xml:space="preserve">Total Project Cost </t>
  </si>
  <si>
    <t xml:space="preserve">Total Wheatland</t>
  </si>
  <si>
    <t xml:space="preserve">Subtotal Wheatland Expense</t>
  </si>
  <si>
    <t xml:space="preserve">Petersburg, IN</t>
  </si>
  <si>
    <t xml:space="preserve">Subtotal Petersburg Expense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</si>
</sst>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  <numFmt numFmtId="170" formatCode="0_);\(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u val="single"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2000%20Plants/Weekly%20Report/2000%20Weekly%20Report%20-%201228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A Mquip"/>
      <sheetName val="EECC"/>
      <sheetName val="To Update"/>
      <sheetName val="Summary"/>
      <sheetName val="Wilton"/>
      <sheetName val="Calvert City"/>
      <sheetName val="Gleason"/>
      <sheetName val="Wheatland"/>
      <sheetName val="Wilton - Nepco Scope Changes"/>
      <sheetName val="Gleason-Nepco Scope Changes"/>
      <sheetName val="Wheatland -Nepco Scope Changes"/>
      <sheetName val="Nepco Summary"/>
    </sheetNames>
    <sheetDataSet>
      <sheetData sheetId="0"/>
      <sheetData sheetId="1"/>
      <sheetData sheetId="2"/>
      <sheetData sheetId="3"/>
      <sheetData sheetId="4"/>
      <sheetData sheetId="5">
        <row r="12">
          <cell r="BR12">
            <v>142064940</v>
          </cell>
        </row>
        <row r="31">
          <cell r="BR31">
            <v>5916048</v>
          </cell>
        </row>
        <row r="55">
          <cell r="BR55">
            <v>14778294</v>
          </cell>
        </row>
        <row r="81">
          <cell r="BR81">
            <v>8085446</v>
          </cell>
        </row>
        <row r="114">
          <cell r="BR114">
            <v>34097183</v>
          </cell>
        </row>
        <row r="119">
          <cell r="BR119">
            <v>5336759</v>
          </cell>
        </row>
        <row r="131">
          <cell r="BR131">
            <v>940200</v>
          </cell>
        </row>
        <row r="132">
          <cell r="BR132">
            <v>2824800</v>
          </cell>
        </row>
        <row r="133">
          <cell r="BR133">
            <v>3066700</v>
          </cell>
        </row>
        <row r="147">
          <cell r="BR147">
            <v>9479079</v>
          </cell>
        </row>
        <row r="156">
          <cell r="BR156">
            <v>908786</v>
          </cell>
        </row>
        <row r="160">
          <cell r="BR160">
            <v>216381.67</v>
          </cell>
        </row>
        <row r="162">
          <cell r="BR162">
            <v>500000</v>
          </cell>
        </row>
        <row r="164">
          <cell r="BR164">
            <v>1253881</v>
          </cell>
        </row>
        <row r="171">
          <cell r="BR171">
            <v>2305818.14</v>
          </cell>
        </row>
        <row r="178">
          <cell r="BR178">
            <v>400000</v>
          </cell>
        </row>
        <row r="180">
          <cell r="BR180">
            <v>1000000</v>
          </cell>
        </row>
        <row r="182">
          <cell r="BR182">
            <v>6500000</v>
          </cell>
        </row>
        <row r="188">
          <cell r="BR188">
            <v>1500000</v>
          </cell>
        </row>
        <row r="190">
          <cell r="BR190">
            <v>266248.5</v>
          </cell>
        </row>
        <row r="192">
          <cell r="BR192">
            <v>200000</v>
          </cell>
        </row>
        <row r="201">
          <cell r="BR201">
            <v>847631.42</v>
          </cell>
        </row>
        <row r="207">
          <cell r="BR207">
            <v>256751</v>
          </cell>
        </row>
        <row r="223">
          <cell r="AN223">
            <v>52217</v>
          </cell>
        </row>
        <row r="239">
          <cell r="BR239">
            <v>255548314.976986</v>
          </cell>
        </row>
      </sheetData>
      <sheetData sheetId="6">
        <row r="216">
          <cell r="BT216">
            <v>754115.063333333</v>
          </cell>
        </row>
      </sheetData>
      <sheetData sheetId="7">
        <row r="16">
          <cell r="BT16">
            <v>95323101</v>
          </cell>
        </row>
        <row r="35">
          <cell r="BT35">
            <v>5893811</v>
          </cell>
        </row>
        <row r="59">
          <cell r="BT59">
            <v>14950614</v>
          </cell>
        </row>
        <row r="87">
          <cell r="BT87">
            <v>5163899</v>
          </cell>
        </row>
        <row r="119">
          <cell r="BT119">
            <v>12396887</v>
          </cell>
        </row>
        <row r="124">
          <cell r="BT124">
            <v>12059700</v>
          </cell>
        </row>
        <row r="131">
          <cell r="BT131">
            <v>929800</v>
          </cell>
        </row>
        <row r="132">
          <cell r="BT132">
            <v>2840700</v>
          </cell>
        </row>
        <row r="133">
          <cell r="BT133">
            <v>3066700</v>
          </cell>
        </row>
        <row r="165">
          <cell r="BT165">
            <v>908786</v>
          </cell>
        </row>
        <row r="171">
          <cell r="BT171">
            <v>675000</v>
          </cell>
        </row>
        <row r="173">
          <cell r="BT173">
            <v>1247007</v>
          </cell>
        </row>
        <row r="180">
          <cell r="BT180">
            <v>369041</v>
          </cell>
        </row>
        <row r="190">
          <cell r="BT190">
            <v>540000</v>
          </cell>
        </row>
        <row r="197">
          <cell r="BT197">
            <v>3700000</v>
          </cell>
        </row>
        <row r="199">
          <cell r="BT199">
            <v>1100000</v>
          </cell>
        </row>
        <row r="205">
          <cell r="BT205">
            <v>500000</v>
          </cell>
        </row>
        <row r="207">
          <cell r="BT207">
            <v>200935.25</v>
          </cell>
        </row>
        <row r="209">
          <cell r="BT209">
            <v>200000</v>
          </cell>
        </row>
        <row r="218">
          <cell r="BT218">
            <v>623216.18</v>
          </cell>
        </row>
        <row r="224">
          <cell r="BT224">
            <v>500000</v>
          </cell>
        </row>
        <row r="230">
          <cell r="BT230">
            <v>0</v>
          </cell>
        </row>
        <row r="240">
          <cell r="BT240">
            <v>174369708.96684</v>
          </cell>
        </row>
      </sheetData>
      <sheetData sheetId="8">
        <row r="12">
          <cell r="BR12">
            <v>86219301</v>
          </cell>
        </row>
        <row r="32">
          <cell r="BR32">
            <v>4440534</v>
          </cell>
        </row>
        <row r="56">
          <cell r="BR56">
            <v>12576560</v>
          </cell>
        </row>
        <row r="82">
          <cell r="BR82">
            <v>5240384</v>
          </cell>
        </row>
        <row r="114">
          <cell r="BR114">
            <v>12176761</v>
          </cell>
        </row>
        <row r="119">
          <cell r="BR119">
            <v>9880464</v>
          </cell>
        </row>
        <row r="127">
          <cell r="BR127">
            <v>929800</v>
          </cell>
        </row>
        <row r="128">
          <cell r="BR128">
            <v>2386700</v>
          </cell>
        </row>
        <row r="129">
          <cell r="BR129">
            <v>3066700</v>
          </cell>
        </row>
        <row r="151">
          <cell r="BR151">
            <v>1500000</v>
          </cell>
        </row>
        <row r="153">
          <cell r="BR153">
            <v>50000</v>
          </cell>
        </row>
        <row r="155">
          <cell r="BR155">
            <v>1172731</v>
          </cell>
        </row>
        <row r="162">
          <cell r="BR162">
            <v>1112944</v>
          </cell>
        </row>
        <row r="169">
          <cell r="BR169">
            <v>450000</v>
          </cell>
        </row>
        <row r="171">
          <cell r="BR171">
            <v>5000000</v>
          </cell>
        </row>
        <row r="173">
          <cell r="BR173">
            <v>1500000</v>
          </cell>
        </row>
        <row r="179">
          <cell r="BR179">
            <v>1000000</v>
          </cell>
        </row>
        <row r="181">
          <cell r="BR181">
            <v>200000</v>
          </cell>
        </row>
        <row r="183">
          <cell r="BR183">
            <v>200000</v>
          </cell>
        </row>
        <row r="192">
          <cell r="BR192">
            <v>750246.08</v>
          </cell>
        </row>
        <row r="198">
          <cell r="BR198">
            <v>400000</v>
          </cell>
        </row>
        <row r="204">
          <cell r="BP204">
            <v>0.100000000093132</v>
          </cell>
        </row>
        <row r="214">
          <cell r="AN214">
            <v>36835</v>
          </cell>
        </row>
        <row r="214">
          <cell r="AP214">
            <v>-36835</v>
          </cell>
        </row>
        <row r="231">
          <cell r="BR231">
            <v>160782824.203837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2.56"/>
    <col collapsed="false" customWidth="true" hidden="false" outlineLevel="0" max="2" min="2" style="1" width="1.7"/>
    <col collapsed="false" customWidth="true" hidden="false" outlineLevel="0" max="3" min="3" style="2" width="13.85"/>
    <col collapsed="false" customWidth="true" hidden="false" outlineLevel="0" max="4" min="4" style="1" width="13.99"/>
    <col collapsed="false" customWidth="true" hidden="false" outlineLevel="0" max="5" min="5" style="1" width="13.85"/>
    <col collapsed="false" customWidth="true" hidden="false" outlineLevel="0" max="6" min="6" style="1" width="12.85"/>
    <col collapsed="false" customWidth="true" hidden="false" outlineLevel="0" max="10" min="7" style="1" width="13.56"/>
    <col collapsed="false" customWidth="true" hidden="false" outlineLevel="0" max="11" min="11" style="1" width="14.28"/>
    <col collapsed="false" customWidth="true" hidden="false" outlineLevel="0" max="12" min="12" style="1" width="13.56"/>
    <col collapsed="false" customWidth="true" hidden="false" outlineLevel="0" max="13" min="13" style="1" width="15.41"/>
    <col collapsed="false" customWidth="true" hidden="false" outlineLevel="0" max="14" min="14" style="1" width="14.28"/>
    <col collapsed="false" customWidth="true" hidden="false" outlineLevel="0" max="16" min="15" style="1" width="13.85"/>
    <col collapsed="false" customWidth="true" hidden="false" outlineLevel="0" max="17" min="17" style="1" width="13.56"/>
    <col collapsed="false" customWidth="true" hidden="false" outlineLevel="0" max="18" min="18" style="1" width="14.56"/>
    <col collapsed="false" customWidth="true" hidden="false" outlineLevel="0" max="19" min="19" style="1" width="13.7"/>
    <col collapsed="false" customWidth="true" hidden="false" outlineLevel="0" max="20" min="20" style="1" width="14.28"/>
    <col collapsed="false" customWidth="true" hidden="false" outlineLevel="0" max="21" min="21" style="1" width="14.56"/>
    <col collapsed="false" customWidth="true" hidden="false" outlineLevel="0" max="22" min="22" style="2" width="18.56"/>
    <col collapsed="false" customWidth="true" hidden="false" outlineLevel="0" max="23" min="23" style="1" width="32.7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tr">
        <f aca="true">CELL("filename")</f>
        <v>'file:///mnt/12tb/@roms/datasets/enron/EDRM Enron Email Data Set v2 XML/filtered-attachments/xls/Draw_Sched___122899.xls'#$6.5% - Swap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 t="n">
        <f aca="true">NOW()</f>
        <v>45926.953241026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C4" s="8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3" t="s">
        <v>6</v>
      </c>
      <c r="W6" s="13" t="s">
        <v>19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4"/>
      <c r="W7" s="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4"/>
      <c r="W8" s="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" t="s">
        <v>22</v>
      </c>
      <c r="C9" s="2" t="n">
        <v>6800000</v>
      </c>
      <c r="D9" s="15" t="n">
        <v>0</v>
      </c>
      <c r="E9" s="15" t="n">
        <v>32884800</v>
      </c>
      <c r="F9" s="15" t="n">
        <f aca="false">6825139*2</f>
        <v>13650278</v>
      </c>
      <c r="G9" s="15" t="n">
        <v>6825139</v>
      </c>
      <c r="H9" s="15" t="n">
        <v>6825139</v>
      </c>
      <c r="I9" s="15" t="n">
        <v>6825139</v>
      </c>
      <c r="J9" s="15" t="n">
        <v>6825139</v>
      </c>
      <c r="K9" s="15" t="n">
        <v>6825139</v>
      </c>
      <c r="L9" s="15" t="n">
        <v>6825139</v>
      </c>
      <c r="M9" s="15" t="n">
        <v>8531424</v>
      </c>
      <c r="N9" s="15" t="n">
        <v>12790310</v>
      </c>
      <c r="O9" s="15" t="n">
        <f aca="false">12803961+4066034</f>
        <v>16869995</v>
      </c>
      <c r="P9" s="1" t="n">
        <v>0</v>
      </c>
      <c r="U9" s="1" t="n">
        <v>6825139</v>
      </c>
      <c r="V9" s="16" t="n">
        <f aca="false">SUM(C9:U9)</f>
        <v>139302780</v>
      </c>
      <c r="W9" s="17" t="s">
        <v>23</v>
      </c>
    </row>
    <row r="10" customFormat="false" ht="12.75" hidden="false" customHeight="false" outlineLevel="0" collapsed="false">
      <c r="A10" s="1" t="s">
        <v>24</v>
      </c>
      <c r="C10" s="2" t="n">
        <v>0</v>
      </c>
      <c r="G10" s="1" t="n">
        <v>670000</v>
      </c>
      <c r="I10" s="1" t="n">
        <v>5360000</v>
      </c>
      <c r="J10" s="1" t="n">
        <v>2680000</v>
      </c>
      <c r="K10" s="1" t="n">
        <v>670000</v>
      </c>
      <c r="L10" s="1" t="n">
        <v>670000</v>
      </c>
      <c r="M10" s="1" t="n">
        <v>670000</v>
      </c>
      <c r="N10" s="1" t="n">
        <v>670000</v>
      </c>
      <c r="O10" s="1" t="n">
        <v>670000</v>
      </c>
      <c r="P10" s="1" t="n">
        <v>670000</v>
      </c>
      <c r="Q10" s="1" t="n">
        <v>670000</v>
      </c>
      <c r="V10" s="16" t="n">
        <f aca="false">SUM(C10:U10)</f>
        <v>13400000</v>
      </c>
      <c r="W10" s="17" t="str">
        <f aca="false">W9</f>
        <v>Mike Miller</v>
      </c>
    </row>
    <row r="11" customFormat="false" ht="12.75" hidden="false" customHeight="false" outlineLevel="0" collapsed="false">
      <c r="A11" s="1" t="s">
        <v>25</v>
      </c>
      <c r="C11" s="2" t="n">
        <v>0</v>
      </c>
      <c r="K11" s="1" t="n">
        <v>0</v>
      </c>
      <c r="L11" s="1" t="n">
        <v>0</v>
      </c>
      <c r="M11" s="1" t="n">
        <v>0</v>
      </c>
      <c r="N11" s="1" t="n">
        <v>0</v>
      </c>
      <c r="O11" s="1" t="n">
        <v>0</v>
      </c>
      <c r="P11" s="1" t="n">
        <v>0</v>
      </c>
      <c r="Q11" s="1" t="n">
        <v>0</v>
      </c>
      <c r="R11" s="1" t="n">
        <v>0</v>
      </c>
      <c r="S11" s="1" t="n">
        <v>0</v>
      </c>
      <c r="T11" s="1" t="n">
        <v>0</v>
      </c>
      <c r="U11" s="1" t="n">
        <v>0</v>
      </c>
      <c r="V11" s="16" t="n">
        <f aca="false">SUM(C11:U11)</f>
        <v>0</v>
      </c>
      <c r="W11" s="17" t="str">
        <f aca="false">W10</f>
        <v>Mike Miller</v>
      </c>
    </row>
    <row r="12" customFormat="false" ht="12.75" hidden="false" customHeight="false" outlineLevel="0" collapsed="false">
      <c r="A12" s="1" t="s">
        <v>26</v>
      </c>
      <c r="C12" s="2" t="n">
        <v>0</v>
      </c>
      <c r="K12" s="1" t="n">
        <v>1642664</v>
      </c>
      <c r="L12" s="1" t="n">
        <v>1558726</v>
      </c>
      <c r="M12" s="1" t="n">
        <v>1558726</v>
      </c>
      <c r="N12" s="1" t="n">
        <v>1558996</v>
      </c>
      <c r="O12" s="1" t="n">
        <v>2620773</v>
      </c>
      <c r="P12" s="1" t="n">
        <v>4676732</v>
      </c>
      <c r="Q12" s="1" t="n">
        <v>4676732</v>
      </c>
      <c r="R12" s="1" t="n">
        <v>4676732</v>
      </c>
      <c r="S12" s="1" t="n">
        <v>4676732</v>
      </c>
      <c r="T12" s="1" t="n">
        <v>3176732</v>
      </c>
      <c r="U12" s="1" t="n">
        <v>3176455</v>
      </c>
      <c r="V12" s="16" t="n">
        <f aca="false">SUM(C12:U12)</f>
        <v>34000000</v>
      </c>
      <c r="W12" s="17" t="str">
        <f aca="false">W11</f>
        <v>Mike Miller</v>
      </c>
    </row>
    <row r="13" customFormat="false" ht="12.75" hidden="false" customHeight="false" outlineLevel="0" collapsed="false">
      <c r="A13" s="1" t="s">
        <v>27</v>
      </c>
      <c r="C13" s="2" t="n">
        <v>0</v>
      </c>
      <c r="P13" s="1" t="n">
        <v>125000</v>
      </c>
      <c r="Q13" s="1" t="n">
        <v>125000</v>
      </c>
      <c r="R13" s="1" t="n">
        <v>125000</v>
      </c>
      <c r="S13" s="1" t="n">
        <v>125000</v>
      </c>
      <c r="T13" s="1" t="n">
        <v>125000</v>
      </c>
      <c r="U13" s="1" t="n">
        <v>125000</v>
      </c>
      <c r="V13" s="16" t="n">
        <f aca="false">SUM(C13:U13)</f>
        <v>750000</v>
      </c>
      <c r="W13" s="17" t="s">
        <v>28</v>
      </c>
    </row>
    <row r="14" customFormat="false" ht="12.75" hidden="false" customHeight="false" outlineLevel="0" collapsed="false">
      <c r="A14" s="1" t="s">
        <v>29</v>
      </c>
      <c r="C14" s="2" t="n">
        <v>0</v>
      </c>
      <c r="S14" s="1" t="n">
        <v>500000</v>
      </c>
      <c r="T14" s="1" t="n">
        <v>500000</v>
      </c>
      <c r="U14" s="1" t="n">
        <v>204000</v>
      </c>
      <c r="V14" s="16" t="n">
        <f aca="false">SUM(C14:U14)</f>
        <v>1204000</v>
      </c>
      <c r="W14" s="17" t="str">
        <f aca="false">W12</f>
        <v>Mike Miller</v>
      </c>
    </row>
    <row r="15" customFormat="false" ht="12.75" hidden="false" customHeight="false" outlineLevel="0" collapsed="false">
      <c r="A15" s="1" t="s">
        <v>30</v>
      </c>
      <c r="C15" s="2" t="n">
        <v>0</v>
      </c>
      <c r="G15" s="1" t="n">
        <v>1668400</v>
      </c>
      <c r="H15" s="1" t="n">
        <v>0</v>
      </c>
      <c r="L15" s="1" t="n">
        <v>350000</v>
      </c>
      <c r="V15" s="16" t="n">
        <f aca="false">SUM(C15:U15)</f>
        <v>2018400</v>
      </c>
      <c r="W15" s="17" t="s">
        <v>31</v>
      </c>
    </row>
    <row r="16" customFormat="false" ht="12.75" hidden="false" customHeight="false" outlineLevel="0" collapsed="false">
      <c r="A16" s="1" t="s">
        <v>32</v>
      </c>
      <c r="C16" s="2" t="n">
        <v>0</v>
      </c>
      <c r="F16" s="1" t="n">
        <v>100000</v>
      </c>
      <c r="G16" s="1" t="n">
        <v>100000</v>
      </c>
      <c r="H16" s="1" t="n">
        <v>100000</v>
      </c>
      <c r="I16" s="1" t="n">
        <v>100000</v>
      </c>
      <c r="V16" s="16" t="n">
        <f aca="false">SUM(C16:U16)</f>
        <v>400000</v>
      </c>
      <c r="W16" s="17" t="str">
        <f aca="false">W15</f>
        <v>Scott Healy</v>
      </c>
    </row>
    <row r="17" customFormat="false" ht="12.75" hidden="false" customHeight="false" outlineLevel="0" collapsed="false">
      <c r="A17" s="1" t="s">
        <v>33</v>
      </c>
      <c r="C17" s="2" t="n">
        <v>0</v>
      </c>
      <c r="P17" s="1" t="n">
        <v>1750000</v>
      </c>
      <c r="Q17" s="1" t="n">
        <v>500000</v>
      </c>
      <c r="R17" s="1" t="n">
        <v>500000</v>
      </c>
      <c r="S17" s="1" t="n">
        <v>500000</v>
      </c>
      <c r="T17" s="1" t="n">
        <v>250000</v>
      </c>
      <c r="V17" s="16" t="n">
        <f aca="false">SUM(C17:U17)</f>
        <v>3500000</v>
      </c>
      <c r="W17" s="17" t="s">
        <v>34</v>
      </c>
    </row>
    <row r="18" customFormat="false" ht="12.75" hidden="false" customHeight="false" outlineLevel="0" collapsed="false">
      <c r="A18" s="1" t="s">
        <v>35</v>
      </c>
      <c r="C18" s="2" t="n">
        <v>0</v>
      </c>
      <c r="F18" s="1" t="n">
        <v>100000</v>
      </c>
      <c r="G18" s="1" t="n">
        <v>100000</v>
      </c>
      <c r="O18" s="1" t="n">
        <v>1000000</v>
      </c>
      <c r="P18" s="1" t="n">
        <v>850000</v>
      </c>
      <c r="Q18" s="1" t="n">
        <v>750000</v>
      </c>
      <c r="R18" s="1" t="n">
        <v>600000</v>
      </c>
      <c r="V18" s="16" t="n">
        <f aca="false">SUM(C18:U18)</f>
        <v>3400000</v>
      </c>
      <c r="W18" s="17" t="str">
        <f aca="false">W16</f>
        <v>Scott Healy</v>
      </c>
    </row>
    <row r="19" customFormat="false" ht="12.75" hidden="false" customHeight="false" outlineLevel="0" collapsed="false">
      <c r="A19" s="1" t="s">
        <v>36</v>
      </c>
      <c r="C19" s="2" t="n">
        <v>0</v>
      </c>
      <c r="S19" s="1" t="n">
        <v>500000</v>
      </c>
      <c r="T19" s="1" t="n">
        <v>500000</v>
      </c>
      <c r="U19" s="1" t="n">
        <v>0</v>
      </c>
      <c r="V19" s="16" t="n">
        <f aca="false">SUM(C19:U19)</f>
        <v>1000000</v>
      </c>
      <c r="W19" s="17" t="str">
        <f aca="false">W13</f>
        <v>Kevin Presto</v>
      </c>
    </row>
    <row r="20" customFormat="false" ht="12.75" hidden="false" customHeight="false" outlineLevel="0" collapsed="false">
      <c r="A20" s="1" t="s">
        <v>37</v>
      </c>
      <c r="C20" s="2" t="n">
        <v>0</v>
      </c>
      <c r="P20" s="1" t="n">
        <v>0</v>
      </c>
      <c r="Q20" s="1" t="n">
        <v>0</v>
      </c>
      <c r="R20" s="1" t="n">
        <v>4500000</v>
      </c>
      <c r="S20" s="1" t="n">
        <v>1500000</v>
      </c>
      <c r="T20" s="1" t="n">
        <v>1500000</v>
      </c>
      <c r="U20" s="1" t="n">
        <v>1500000</v>
      </c>
      <c r="V20" s="16" t="n">
        <f aca="false">SUM(C20:U20)</f>
        <v>9000000</v>
      </c>
      <c r="W20" s="17" t="str">
        <f aca="false">W18</f>
        <v>Scott Healy</v>
      </c>
    </row>
    <row r="21" customFormat="false" ht="12.75" hidden="false" customHeight="false" outlineLevel="0" collapsed="false">
      <c r="A21" s="1" t="s">
        <v>38</v>
      </c>
      <c r="C21" s="2" t="n">
        <v>0</v>
      </c>
      <c r="L21" s="1" t="n">
        <v>150000</v>
      </c>
      <c r="V21" s="16" t="n">
        <f aca="false">SUM(C21:U21)</f>
        <v>150000</v>
      </c>
      <c r="W21" s="17" t="str">
        <f aca="false">W20</f>
        <v>Scott Healy</v>
      </c>
    </row>
    <row r="22" customFormat="false" ht="12.75" hidden="false" customHeight="false" outlineLevel="0" collapsed="false">
      <c r="A22" s="1" t="s">
        <v>39</v>
      </c>
      <c r="C22" s="2" t="n">
        <v>0</v>
      </c>
      <c r="D22" s="1" t="n">
        <v>11111.1111111111</v>
      </c>
      <c r="E22" s="1" t="n">
        <v>11111.1111111111</v>
      </c>
      <c r="F22" s="1" t="n">
        <v>11111.1111111111</v>
      </c>
      <c r="G22" s="1" t="n">
        <v>11111.1111111111</v>
      </c>
      <c r="H22" s="1" t="n">
        <v>11111.1111111111</v>
      </c>
      <c r="I22" s="1" t="n">
        <v>11111.1111111111</v>
      </c>
      <c r="J22" s="1" t="n">
        <v>11111.1111111111</v>
      </c>
      <c r="K22" s="1" t="n">
        <v>11111.1111111111</v>
      </c>
      <c r="L22" s="1" t="n">
        <v>11111.1111111111</v>
      </c>
      <c r="M22" s="1" t="n">
        <v>11111.1111111111</v>
      </c>
      <c r="N22" s="1" t="n">
        <v>11111.1111111111</v>
      </c>
      <c r="O22" s="1" t="n">
        <v>11111.1111111111</v>
      </c>
      <c r="P22" s="1" t="n">
        <v>11111.1111111111</v>
      </c>
      <c r="Q22" s="1" t="n">
        <v>11111.1111111111</v>
      </c>
      <c r="R22" s="1" t="n">
        <v>11111.1111111111</v>
      </c>
      <c r="S22" s="1" t="n">
        <v>11111.1111111111</v>
      </c>
      <c r="T22" s="1" t="n">
        <v>11111.1111111111</v>
      </c>
      <c r="U22" s="1" t="n">
        <v>11111.1111111111</v>
      </c>
      <c r="V22" s="16" t="n">
        <f aca="false">SUM(C22:U22)</f>
        <v>200000</v>
      </c>
      <c r="W22" s="17" t="str">
        <f aca="false">W21</f>
        <v>Scott Healy</v>
      </c>
    </row>
    <row r="23" customFormat="false" ht="12.75" hidden="false" customHeight="false" outlineLevel="0" collapsed="false">
      <c r="A23" s="1" t="s">
        <v>40</v>
      </c>
      <c r="C23" s="2" t="n">
        <v>0</v>
      </c>
      <c r="D23" s="1" t="n">
        <v>15000</v>
      </c>
      <c r="E23" s="1" t="n">
        <v>15000</v>
      </c>
      <c r="F23" s="1" t="n">
        <v>15000</v>
      </c>
      <c r="G23" s="1" t="n">
        <v>15000</v>
      </c>
      <c r="H23" s="1" t="n">
        <v>15000</v>
      </c>
      <c r="I23" s="1" t="n">
        <v>15000</v>
      </c>
      <c r="J23" s="1" t="n">
        <v>15000</v>
      </c>
      <c r="K23" s="1" t="n">
        <v>15000</v>
      </c>
      <c r="L23" s="1" t="n">
        <v>15000</v>
      </c>
      <c r="M23" s="1" t="n">
        <v>15000</v>
      </c>
      <c r="N23" s="1" t="n">
        <v>15000</v>
      </c>
      <c r="O23" s="1" t="n">
        <v>15000</v>
      </c>
      <c r="P23" s="1" t="n">
        <v>15000</v>
      </c>
      <c r="Q23" s="1" t="n">
        <v>15000</v>
      </c>
      <c r="R23" s="1" t="n">
        <v>15000</v>
      </c>
      <c r="S23" s="1" t="n">
        <v>15000</v>
      </c>
      <c r="T23" s="1" t="n">
        <v>15000</v>
      </c>
      <c r="U23" s="1" t="n">
        <v>45000</v>
      </c>
      <c r="V23" s="16" t="n">
        <f aca="false">SUM(C23:U23)</f>
        <v>300000</v>
      </c>
      <c r="W23" s="17" t="str">
        <f aca="false">W22</f>
        <v>Scott Healy</v>
      </c>
    </row>
    <row r="24" customFormat="false" ht="12.75" hidden="false" customHeight="false" outlineLevel="0" collapsed="false">
      <c r="A24" s="1" t="s">
        <v>41</v>
      </c>
      <c r="C24" s="2" t="n">
        <v>0</v>
      </c>
      <c r="I24" s="1" t="n">
        <v>12500</v>
      </c>
      <c r="J24" s="1" t="n">
        <v>5000</v>
      </c>
      <c r="K24" s="1" t="n">
        <v>5000</v>
      </c>
      <c r="L24" s="1" t="n">
        <v>5000</v>
      </c>
      <c r="M24" s="1" t="n">
        <v>5000</v>
      </c>
      <c r="N24" s="1" t="n">
        <v>5000</v>
      </c>
      <c r="O24" s="1" t="n">
        <v>162500</v>
      </c>
      <c r="P24" s="1" t="n">
        <v>5000</v>
      </c>
      <c r="Q24" s="1" t="n">
        <v>5000</v>
      </c>
      <c r="R24" s="1" t="n">
        <v>5000</v>
      </c>
      <c r="S24" s="1" t="n">
        <v>5000</v>
      </c>
      <c r="T24" s="1" t="n">
        <v>5000</v>
      </c>
      <c r="U24" s="1" t="n">
        <v>175000</v>
      </c>
      <c r="V24" s="16" t="n">
        <f aca="false">SUM(C24:U24)</f>
        <v>400000</v>
      </c>
      <c r="W24" s="17" t="str">
        <f aca="false">W23</f>
        <v>Scott Healy</v>
      </c>
    </row>
    <row r="25" customFormat="false" ht="12.75" hidden="false" customHeight="false" outlineLevel="0" collapsed="false">
      <c r="A25" s="1" t="s">
        <v>42</v>
      </c>
      <c r="C25" s="18" t="n">
        <f aca="false">SUM(C9:C24)</f>
        <v>6800000</v>
      </c>
      <c r="D25" s="18" t="n">
        <f aca="false">SUM(D9:D24)</f>
        <v>26111.1111111111</v>
      </c>
      <c r="E25" s="18" t="n">
        <f aca="false">SUM(E9:E24)</f>
        <v>32910911.1111111</v>
      </c>
      <c r="F25" s="18" t="n">
        <f aca="false">SUM(F9:F24)</f>
        <v>13876389.1111111</v>
      </c>
      <c r="G25" s="18" t="n">
        <f aca="false">SUM(G9:G24)</f>
        <v>9389650.11111111</v>
      </c>
      <c r="H25" s="18" t="n">
        <f aca="false">SUM(H9:H24)</f>
        <v>6951250.11111111</v>
      </c>
      <c r="I25" s="18" t="n">
        <f aca="false">SUM(I9:I24)</f>
        <v>12323750.1111111</v>
      </c>
      <c r="J25" s="18" t="n">
        <f aca="false">SUM(J9:J24)</f>
        <v>9536250.11111111</v>
      </c>
      <c r="K25" s="18" t="n">
        <f aca="false">SUM(K9:K24)</f>
        <v>9168914.11111111</v>
      </c>
      <c r="L25" s="18" t="n">
        <f aca="false">SUM(L9:L24)</f>
        <v>9584976.11111111</v>
      </c>
      <c r="M25" s="18" t="n">
        <f aca="false">SUM(M9:M24)</f>
        <v>10791261.1111111</v>
      </c>
      <c r="N25" s="18" t="n">
        <f aca="false">SUM(N9:N24)</f>
        <v>15050417.1111111</v>
      </c>
      <c r="O25" s="18" t="n">
        <f aca="false">SUM(O9:O24)</f>
        <v>21349379.1111111</v>
      </c>
      <c r="P25" s="18" t="n">
        <f aca="false">SUM(P9:P24)</f>
        <v>8102843.11111111</v>
      </c>
      <c r="Q25" s="18" t="n">
        <f aca="false">SUM(Q9:Q24)</f>
        <v>6752843.11111111</v>
      </c>
      <c r="R25" s="18" t="n">
        <f aca="false">SUM(R9:R24)</f>
        <v>10432843.1111111</v>
      </c>
      <c r="S25" s="18" t="n">
        <f aca="false">SUM(S9:S24)</f>
        <v>7832843.11111111</v>
      </c>
      <c r="T25" s="18" t="n">
        <f aca="false">SUM(T9:T24)</f>
        <v>6082843.11111111</v>
      </c>
      <c r="U25" s="18" t="n">
        <f aca="false">SUM(U9:U24)</f>
        <v>12061705.1111111</v>
      </c>
      <c r="V25" s="19" t="n">
        <f aca="false">SUM(C25:U25)</f>
        <v>209025180</v>
      </c>
    </row>
    <row r="26" customFormat="false" ht="12.75" hidden="false" customHeight="false" outlineLevel="0" collapsed="false">
      <c r="A26" s="1" t="s">
        <v>43</v>
      </c>
      <c r="C26" s="18" t="n">
        <f aca="false">+C25</f>
        <v>6800000</v>
      </c>
      <c r="D26" s="18" t="n">
        <f aca="false">+C26+D25</f>
        <v>6826111.11111111</v>
      </c>
      <c r="E26" s="18" t="n">
        <f aca="false">+D26+E25</f>
        <v>39737022.2222222</v>
      </c>
      <c r="F26" s="18" t="n">
        <f aca="false">+E26+F25</f>
        <v>53613411.3333333</v>
      </c>
      <c r="G26" s="18" t="n">
        <f aca="false">+F26+G25</f>
        <v>63003061.4444445</v>
      </c>
      <c r="H26" s="18" t="n">
        <f aca="false">+G26+H25</f>
        <v>69954311.5555556</v>
      </c>
      <c r="I26" s="18" t="n">
        <f aca="false">+H26+I25</f>
        <v>82278061.6666667</v>
      </c>
      <c r="J26" s="18" t="n">
        <f aca="false">+I26+J25</f>
        <v>91814311.7777778</v>
      </c>
      <c r="K26" s="18" t="n">
        <f aca="false">+J26+K25</f>
        <v>100983225.888889</v>
      </c>
      <c r="L26" s="18" t="n">
        <f aca="false">+K26+L25</f>
        <v>110568202</v>
      </c>
      <c r="M26" s="18" t="n">
        <f aca="false">+L26+M25</f>
        <v>121359463.111111</v>
      </c>
      <c r="N26" s="18" t="n">
        <f aca="false">+M26+N25</f>
        <v>136409880.222222</v>
      </c>
      <c r="O26" s="18" t="n">
        <f aca="false">+N26+O25</f>
        <v>157759259.333333</v>
      </c>
      <c r="P26" s="18" t="n">
        <f aca="false">+O26+P25</f>
        <v>165862102.444444</v>
      </c>
      <c r="Q26" s="18" t="n">
        <f aca="false">+P26+Q25</f>
        <v>172614945.555556</v>
      </c>
      <c r="R26" s="18" t="n">
        <f aca="false">+Q26+R25</f>
        <v>183047788.666667</v>
      </c>
      <c r="S26" s="18" t="n">
        <f aca="false">+R26+S25</f>
        <v>190880631.777778</v>
      </c>
      <c r="T26" s="18" t="n">
        <f aca="false">+S26+T25</f>
        <v>196963474.888889</v>
      </c>
      <c r="U26" s="18" t="n">
        <f aca="false">+T26+U25</f>
        <v>209025180</v>
      </c>
      <c r="V26" s="20"/>
    </row>
    <row r="27" customFormat="false" ht="12.75" hidden="false" customHeight="false" outlineLevel="0" collapsed="false">
      <c r="A27" s="1" t="s">
        <v>44</v>
      </c>
      <c r="V27" s="21" t="n">
        <f aca="false">+V25/C39/1000</f>
        <v>348.3753</v>
      </c>
    </row>
    <row r="28" customFormat="false" ht="12.75" hidden="false" customHeight="false" outlineLevel="0" collapsed="false">
      <c r="V28" s="16"/>
    </row>
    <row r="29" customFormat="false" ht="12.75" hidden="false" customHeight="false" outlineLevel="0" collapsed="false">
      <c r="A29" s="1" t="s">
        <v>45</v>
      </c>
      <c r="C29" s="2" t="n">
        <v>187366</v>
      </c>
      <c r="D29" s="1" t="n">
        <v>42500</v>
      </c>
      <c r="E29" s="1" t="n">
        <f aca="false">(+D26+D33)*$C38/12</f>
        <v>38219.8760185185</v>
      </c>
      <c r="F29" s="1" t="n">
        <f aca="false">(+E26+E33)*$C38/12</f>
        <v>216694.335532137</v>
      </c>
      <c r="G29" s="1" t="n">
        <f aca="false">(+F26+F33)*$C38/12</f>
        <v>293031.870868122</v>
      </c>
      <c r="H29" s="1" t="n">
        <f aca="false">(+G26+G33)*$C38/12</f>
        <v>345479.731603842</v>
      </c>
      <c r="I29" s="1" t="n">
        <f aca="false">(+H26+H33)*$C38/12</f>
        <v>385003.684918548</v>
      </c>
      <c r="J29" s="1" t="n">
        <f aca="false">(+I26+I33)*$C38/12</f>
        <v>453842.767980376</v>
      </c>
      <c r="K29" s="1" t="n">
        <f aca="false">(+J26+J33)*$C38/12</f>
        <v>507955.771075455</v>
      </c>
      <c r="L29" s="1" t="n">
        <f aca="false">(+K26+K33)*$C38/12</f>
        <v>560372.149603965</v>
      </c>
      <c r="M29" s="1" t="n">
        <f aca="false">(+L26+L33)*$C38/12</f>
        <v>623451.119349505</v>
      </c>
      <c r="N29" s="1" t="n">
        <f aca="false">(+M26+M33)*$C38/12</f>
        <v>685280.810597833</v>
      </c>
      <c r="O29" s="1" t="n">
        <f aca="false">(+N26+N33)*$C38/12</f>
        <v>770515.84100709</v>
      </c>
      <c r="P29" s="1" t="n">
        <f aca="false">(+O26+O33)*$C38/12</f>
        <v>890331.938664397</v>
      </c>
      <c r="Q29" s="1" t="n">
        <f aca="false">(+P26+P33)*$C38/12</f>
        <v>939044.970184014</v>
      </c>
      <c r="R29" s="1" t="n">
        <f aca="false">(+Q26+Q33)*$C38/12</f>
        <v>980709.363957696</v>
      </c>
      <c r="S29" s="1" t="n">
        <f aca="false">(+R26+R33)*$C38/12</f>
        <v>1042532.77319765</v>
      </c>
      <c r="T29" s="1" t="n">
        <f aca="false">(+S26+S33)*$C38/12</f>
        <v>1090607.72590432</v>
      </c>
      <c r="U29" s="1" t="n">
        <f aca="false">(+T26+T33)*$C38/12</f>
        <v>1129463.91793816</v>
      </c>
      <c r="V29" s="16" t="n">
        <f aca="false">SUM(C29:U29)</f>
        <v>11182404.6484016</v>
      </c>
      <c r="W29" s="17" t="str">
        <f aca="false">W40</f>
        <v>Rodney Malcolm</v>
      </c>
    </row>
    <row r="30" customFormat="false" ht="12.75" hidden="false" customHeight="false" outlineLevel="0" collapsed="false">
      <c r="A30" s="1" t="s">
        <v>46</v>
      </c>
      <c r="C30" s="2" t="n">
        <v>0</v>
      </c>
      <c r="L30" s="1" t="n">
        <v>1500000</v>
      </c>
      <c r="V30" s="16" t="n">
        <f aca="false">SUM(C30:U30)</f>
        <v>1500000</v>
      </c>
      <c r="W30" s="17" t="s">
        <v>47</v>
      </c>
    </row>
    <row r="31" customFormat="false" ht="12.75" hidden="false" customHeight="false" outlineLevel="0" collapsed="false">
      <c r="A31" s="1" t="s">
        <v>48</v>
      </c>
      <c r="C31" s="2" t="n">
        <v>0</v>
      </c>
      <c r="U31" s="1" t="n">
        <f aca="false">+V12*0.05+V25*0.03</f>
        <v>7970755.4</v>
      </c>
      <c r="V31" s="16" t="n">
        <f aca="false">SUM(C31:U31)</f>
        <v>7970755.4</v>
      </c>
      <c r="W31" s="17" t="str">
        <f aca="false">W14</f>
        <v>Mike Miller</v>
      </c>
    </row>
    <row r="32" customFormat="false" ht="12.75" hidden="false" customHeight="false" outlineLevel="0" collapsed="false">
      <c r="A32" s="1" t="s">
        <v>49</v>
      </c>
      <c r="C32" s="18" t="n">
        <f aca="false">SUM(C29:C31)</f>
        <v>187366</v>
      </c>
      <c r="D32" s="18" t="n">
        <f aca="false">SUM(D29:D31)</f>
        <v>42500</v>
      </c>
      <c r="E32" s="18" t="n">
        <f aca="false">SUM(E29:E31)</f>
        <v>38219.8760185185</v>
      </c>
      <c r="F32" s="18" t="n">
        <f aca="false">SUM(F29:F31)</f>
        <v>216694.335532137</v>
      </c>
      <c r="G32" s="18" t="n">
        <f aca="false">SUM(G29:G31)</f>
        <v>293031.870868122</v>
      </c>
      <c r="H32" s="18" t="n">
        <f aca="false">SUM(H29:H31)</f>
        <v>345479.731603842</v>
      </c>
      <c r="I32" s="18" t="n">
        <f aca="false">SUM(I29:I31)</f>
        <v>385003.684918548</v>
      </c>
      <c r="J32" s="18" t="n">
        <f aca="false">SUM(J29:J31)</f>
        <v>453842.767980376</v>
      </c>
      <c r="K32" s="18" t="n">
        <f aca="false">SUM(K29:K31)</f>
        <v>507955.771075455</v>
      </c>
      <c r="L32" s="18" t="n">
        <f aca="false">SUM(L29:L31)</f>
        <v>2060372.14960397</v>
      </c>
      <c r="M32" s="18" t="n">
        <f aca="false">SUM(M29:M31)</f>
        <v>623451.119349505</v>
      </c>
      <c r="N32" s="18" t="n">
        <f aca="false">SUM(N29:N31)</f>
        <v>685280.810597833</v>
      </c>
      <c r="O32" s="18" t="n">
        <f aca="false">SUM(O29:O31)</f>
        <v>770515.84100709</v>
      </c>
      <c r="P32" s="18" t="n">
        <f aca="false">SUM(P29:P31)</f>
        <v>890331.938664397</v>
      </c>
      <c r="Q32" s="18" t="n">
        <f aca="false">SUM(Q29:Q31)</f>
        <v>939044.970184014</v>
      </c>
      <c r="R32" s="18" t="n">
        <f aca="false">SUM(R29:R31)</f>
        <v>980709.363957696</v>
      </c>
      <c r="S32" s="18" t="n">
        <f aca="false">SUM(S29:S31)</f>
        <v>1042532.77319765</v>
      </c>
      <c r="T32" s="18" t="n">
        <f aca="false">SUM(T29:T31)</f>
        <v>1090607.72590432</v>
      </c>
      <c r="U32" s="18" t="n">
        <f aca="false">SUM(U29:U31)</f>
        <v>9100219.31793816</v>
      </c>
      <c r="V32" s="19" t="n">
        <f aca="false">SUM(C32:U32)</f>
        <v>20653160.0484016</v>
      </c>
    </row>
    <row r="33" customFormat="false" ht="12.75" hidden="false" customHeight="false" outlineLevel="0" collapsed="false">
      <c r="A33" s="1" t="s">
        <v>50</v>
      </c>
      <c r="C33" s="18" t="n">
        <f aca="false">+C32</f>
        <v>187366</v>
      </c>
      <c r="D33" s="18" t="n">
        <f aca="false">+D32+C33</f>
        <v>229866</v>
      </c>
      <c r="E33" s="18" t="n">
        <f aca="false">+E32+D33</f>
        <v>268085.876018519</v>
      </c>
      <c r="F33" s="18" t="n">
        <f aca="false">+F32+E33</f>
        <v>484780.211550656</v>
      </c>
      <c r="G33" s="18" t="n">
        <f aca="false">+G32+F33</f>
        <v>777812.082418778</v>
      </c>
      <c r="H33" s="18" t="n">
        <f aca="false">+H32+G33</f>
        <v>1123291.81402262</v>
      </c>
      <c r="I33" s="18" t="n">
        <f aca="false">+I32+H33</f>
        <v>1508295.49894117</v>
      </c>
      <c r="J33" s="18" t="n">
        <f aca="false">+J32+I33</f>
        <v>1962138.26692154</v>
      </c>
      <c r="K33" s="18" t="n">
        <f aca="false">+K32+J33</f>
        <v>2470094.037997</v>
      </c>
      <c r="L33" s="18" t="n">
        <f aca="false">+L32+K33</f>
        <v>4530466.18760097</v>
      </c>
      <c r="M33" s="18" t="n">
        <f aca="false">+M32+L33</f>
        <v>5153917.30695047</v>
      </c>
      <c r="N33" s="18" t="n">
        <f aca="false">+N32+M33</f>
        <v>5839198.1175483</v>
      </c>
      <c r="O33" s="18" t="n">
        <f aca="false">+O32+N33</f>
        <v>6609713.95855539</v>
      </c>
      <c r="P33" s="18" t="n">
        <f aca="false">+P32+O33</f>
        <v>7500045.89721979</v>
      </c>
      <c r="Q33" s="18" t="n">
        <f aca="false">+Q32+P33</f>
        <v>8439090.86740381</v>
      </c>
      <c r="R33" s="18" t="n">
        <f aca="false">+R32+Q33</f>
        <v>9419800.2313615</v>
      </c>
      <c r="S33" s="18" t="n">
        <f aca="false">+S32+R33</f>
        <v>10462333.0045592</v>
      </c>
      <c r="T33" s="18" t="n">
        <f aca="false">+T32+S33</f>
        <v>11552940.7304635</v>
      </c>
      <c r="U33" s="18" t="n">
        <f aca="false">+U32+T33</f>
        <v>20653160.0484016</v>
      </c>
      <c r="V33" s="16"/>
    </row>
    <row r="34" customFormat="false" ht="12.75" hidden="false" customHeight="false" outlineLevel="0" collapsed="false">
      <c r="V34" s="16"/>
    </row>
    <row r="35" customFormat="false" ht="12.75" hidden="false" customHeight="false" outlineLevel="0" collapsed="false">
      <c r="A35" s="2" t="s">
        <v>51</v>
      </c>
      <c r="B35" s="2"/>
      <c r="C35" s="2" t="n">
        <f aca="false">+C25+C32</f>
        <v>6987366</v>
      </c>
      <c r="D35" s="2" t="n">
        <f aca="false">+D25+D32</f>
        <v>68611.1111111111</v>
      </c>
      <c r="E35" s="2" t="n">
        <f aca="false">+E25+E32</f>
        <v>32949130.9871296</v>
      </c>
      <c r="F35" s="2" t="n">
        <f aca="false">+F25+F32</f>
        <v>14093083.4466433</v>
      </c>
      <c r="G35" s="2" t="n">
        <f aca="false">+G25+G32</f>
        <v>9682681.98197923</v>
      </c>
      <c r="H35" s="2" t="n">
        <f aca="false">+H25+H32</f>
        <v>7296729.84271495</v>
      </c>
      <c r="I35" s="2" t="n">
        <f aca="false">+I25+I32</f>
        <v>12708753.7960297</v>
      </c>
      <c r="J35" s="2" t="n">
        <f aca="false">+J25+J32</f>
        <v>9990092.87909149</v>
      </c>
      <c r="K35" s="2" t="n">
        <f aca="false">+K25+K32</f>
        <v>9676869.88218657</v>
      </c>
      <c r="L35" s="2" t="n">
        <f aca="false">+L25+L32</f>
        <v>11645348.2607151</v>
      </c>
      <c r="M35" s="2" t="n">
        <f aca="false">+M25+M32</f>
        <v>11414712.2304606</v>
      </c>
      <c r="N35" s="2" t="n">
        <f aca="false">+N25+N32</f>
        <v>15735697.9217089</v>
      </c>
      <c r="O35" s="2" t="n">
        <f aca="false">+O25+O32</f>
        <v>22119894.9521182</v>
      </c>
      <c r="P35" s="2" t="n">
        <f aca="false">+P25+P32</f>
        <v>8993175.04977551</v>
      </c>
      <c r="Q35" s="2" t="n">
        <f aca="false">+Q25+Q32</f>
        <v>7691888.08129513</v>
      </c>
      <c r="R35" s="2" t="n">
        <f aca="false">+R25+R32</f>
        <v>11413552.4750688</v>
      </c>
      <c r="S35" s="2" t="n">
        <f aca="false">+S25+S32</f>
        <v>8875375.88430876</v>
      </c>
      <c r="T35" s="2" t="n">
        <f aca="false">+T25+T32</f>
        <v>7173450.83701544</v>
      </c>
      <c r="U35" s="2" t="n">
        <f aca="false">+U25+U32</f>
        <v>21161924.4290493</v>
      </c>
      <c r="V35" s="16" t="n">
        <f aca="false">SUM(C35:U35)</f>
        <v>229678340.048402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" t="s">
        <v>52</v>
      </c>
      <c r="B36" s="2"/>
      <c r="C36" s="2" t="n">
        <f aca="false">C35</f>
        <v>6987366</v>
      </c>
      <c r="D36" s="2" t="n">
        <f aca="false">C36+D35</f>
        <v>7055977.11111111</v>
      </c>
      <c r="E36" s="2" t="n">
        <f aca="false">D36+E35</f>
        <v>40005108.0982407</v>
      </c>
      <c r="F36" s="2" t="n">
        <f aca="false">E36+F35</f>
        <v>54098191.544884</v>
      </c>
      <c r="G36" s="2" t="n">
        <f aca="false">F36+G35</f>
        <v>63780873.5268632</v>
      </c>
      <c r="H36" s="2" t="n">
        <f aca="false">G36+H35</f>
        <v>71077603.3695782</v>
      </c>
      <c r="I36" s="2" t="n">
        <f aca="false">H36+I35</f>
        <v>83786357.1656078</v>
      </c>
      <c r="J36" s="2" t="n">
        <f aca="false">I36+J35</f>
        <v>93776450.0446993</v>
      </c>
      <c r="K36" s="2" t="n">
        <f aca="false">J36+K35</f>
        <v>103453319.926886</v>
      </c>
      <c r="L36" s="2" t="n">
        <f aca="false">K36+L35</f>
        <v>115098668.187601</v>
      </c>
      <c r="M36" s="2" t="n">
        <f aca="false">L36+M35</f>
        <v>126513380.418062</v>
      </c>
      <c r="N36" s="2" t="n">
        <f aca="false">M36+N35</f>
        <v>142249078.339771</v>
      </c>
      <c r="O36" s="2" t="n">
        <f aca="false">N36+O35</f>
        <v>164368973.291889</v>
      </c>
      <c r="P36" s="2" t="n">
        <f aca="false">O36+P35</f>
        <v>173362148.341664</v>
      </c>
      <c r="Q36" s="2" t="n">
        <f aca="false">P36+Q35</f>
        <v>181054036.422959</v>
      </c>
      <c r="R36" s="2" t="n">
        <f aca="false">Q36+R35</f>
        <v>192467588.898028</v>
      </c>
      <c r="S36" s="2" t="n">
        <f aca="false">R36+S35</f>
        <v>201342964.782337</v>
      </c>
      <c r="T36" s="2" t="n">
        <f aca="false">S36+T35</f>
        <v>208516415.619352</v>
      </c>
      <c r="U36" s="2" t="n">
        <f aca="false">T36+U35</f>
        <v>229678340.048402</v>
      </c>
      <c r="V36" s="16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" t="s">
        <v>44</v>
      </c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1" t="n">
        <f aca="false">+V35/C39/1000</f>
        <v>382.797233414003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15" t="s">
        <v>53</v>
      </c>
      <c r="B38" s="2"/>
      <c r="C38" s="8" t="n">
        <v>0.065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1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/>
      <c r="B39" s="2"/>
      <c r="C39" s="2" t="n">
        <v>600</v>
      </c>
      <c r="D39" s="2" t="s">
        <v>54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" t="s">
        <v>55</v>
      </c>
      <c r="C40" s="2" t="n">
        <v>0</v>
      </c>
      <c r="U40" s="1" t="n">
        <v>7340000</v>
      </c>
      <c r="V40" s="22" t="n">
        <f aca="false">SUM(C40:U40)</f>
        <v>7340000</v>
      </c>
      <c r="W40" s="17" t="str">
        <f aca="false">W30</f>
        <v>Rodney Malcolm</v>
      </c>
    </row>
    <row r="41" customFormat="false" ht="12.75" hidden="false" customHeight="false" outlineLevel="0" collapsed="false">
      <c r="A41" s="15"/>
      <c r="B41" s="2"/>
      <c r="C41" s="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1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" t="s">
        <v>56</v>
      </c>
      <c r="C42" s="2" t="n">
        <f aca="false">+C35-C29</f>
        <v>6800000</v>
      </c>
      <c r="D42" s="2" t="n">
        <f aca="false">+D35-D29</f>
        <v>26111.1111111111</v>
      </c>
      <c r="E42" s="2" t="n">
        <f aca="false">+E35-E29</f>
        <v>32910911.1111111</v>
      </c>
      <c r="F42" s="2" t="n">
        <f aca="false">+F35-F29</f>
        <v>13876389.1111111</v>
      </c>
      <c r="G42" s="2" t="n">
        <f aca="false">+G35-G29</f>
        <v>9389650.11111111</v>
      </c>
      <c r="H42" s="2" t="n">
        <f aca="false">+H35-H29</f>
        <v>6951250.11111111</v>
      </c>
      <c r="I42" s="2" t="n">
        <f aca="false">+I35-I29</f>
        <v>12323750.1111111</v>
      </c>
      <c r="J42" s="2" t="n">
        <f aca="false">+J35-J29</f>
        <v>9536250.11111111</v>
      </c>
      <c r="K42" s="2" t="n">
        <f aca="false">+K35-K29</f>
        <v>9168914.11111111</v>
      </c>
      <c r="L42" s="2" t="n">
        <f aca="false">+L35-L29</f>
        <v>11084976.1111111</v>
      </c>
      <c r="M42" s="2" t="n">
        <f aca="false">+M35-M29</f>
        <v>10791261.1111111</v>
      </c>
      <c r="N42" s="2" t="n">
        <f aca="false">+N35-N29</f>
        <v>15050417.1111111</v>
      </c>
      <c r="O42" s="2" t="n">
        <f aca="false">+O35-O29</f>
        <v>21349379.1111111</v>
      </c>
      <c r="P42" s="2" t="n">
        <f aca="false">+P35-P29</f>
        <v>8102843.11111111</v>
      </c>
      <c r="Q42" s="2" t="n">
        <f aca="false">+Q35-Q29</f>
        <v>6752843.11111111</v>
      </c>
      <c r="R42" s="2" t="n">
        <f aca="false">+R35-R29</f>
        <v>10432843.1111111</v>
      </c>
      <c r="S42" s="2" t="n">
        <f aca="false">+S35-S29</f>
        <v>7832843.11111111</v>
      </c>
      <c r="T42" s="2" t="n">
        <f aca="false">+T35-T29</f>
        <v>6082843.11111111</v>
      </c>
      <c r="U42" s="2" t="n">
        <f aca="false">+U35-U29</f>
        <v>20032460.5111111</v>
      </c>
      <c r="V42" s="16" t="n">
        <f aca="false">SUM(C42:U42)</f>
        <v>218495935.4</v>
      </c>
    </row>
    <row r="43" customFormat="false" ht="12.75" hidden="false" customHeight="false" outlineLevel="0" collapsed="false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16"/>
    </row>
    <row r="44" customFormat="false" ht="12.75" hidden="false" customHeight="false" outlineLevel="0" collapsed="false">
      <c r="A44" s="9" t="s">
        <v>57</v>
      </c>
      <c r="V44" s="16"/>
    </row>
    <row r="45" customFormat="false" ht="12.75" hidden="false" customHeight="false" outlineLevel="0" collapsed="false">
      <c r="A45" s="9" t="s">
        <v>58</v>
      </c>
      <c r="V45" s="16"/>
    </row>
    <row r="46" customFormat="false" ht="12.75" hidden="false" customHeight="false" outlineLevel="0" collapsed="false">
      <c r="A46" s="1" t="s">
        <v>59</v>
      </c>
      <c r="C46" s="2" t="n">
        <v>11990800</v>
      </c>
      <c r="D46" s="1" t="n">
        <v>29977000</v>
      </c>
      <c r="E46" s="1" t="n">
        <v>2997700</v>
      </c>
      <c r="F46" s="1" t="n">
        <v>2997700</v>
      </c>
      <c r="G46" s="1" t="n">
        <v>2997700</v>
      </c>
      <c r="H46" s="1" t="n">
        <v>2997700</v>
      </c>
      <c r="Q46" s="1" t="n">
        <v>2997700</v>
      </c>
      <c r="U46" s="1" t="n">
        <v>4531100</v>
      </c>
      <c r="V46" s="16" t="n">
        <f aca="false">SUM(C46:U46)</f>
        <v>61487400</v>
      </c>
      <c r="W46" s="23" t="s">
        <v>23</v>
      </c>
    </row>
    <row r="47" customFormat="false" ht="12.75" hidden="false" customHeight="false" outlineLevel="0" collapsed="false">
      <c r="A47" s="1" t="s">
        <v>60</v>
      </c>
      <c r="C47" s="2" t="n">
        <v>17151750</v>
      </c>
      <c r="D47" s="1" t="n">
        <v>0</v>
      </c>
      <c r="E47" s="1" t="n">
        <v>12474000</v>
      </c>
      <c r="U47" s="1" t="n">
        <v>1559250</v>
      </c>
      <c r="V47" s="16" t="n">
        <f aca="false">SUM(C47:U47)</f>
        <v>31185000</v>
      </c>
      <c r="W47" s="23" t="s">
        <v>23</v>
      </c>
    </row>
    <row r="48" customFormat="false" ht="12.75" hidden="false" customHeight="false" outlineLevel="0" collapsed="false">
      <c r="A48" s="1" t="s">
        <v>24</v>
      </c>
      <c r="C48" s="2" t="n">
        <v>0</v>
      </c>
      <c r="G48" s="1" t="n">
        <v>440000</v>
      </c>
      <c r="I48" s="1" t="n">
        <v>3520000</v>
      </c>
      <c r="J48" s="1" t="n">
        <v>1760000</v>
      </c>
      <c r="K48" s="1" t="n">
        <v>440000</v>
      </c>
      <c r="L48" s="1" t="n">
        <v>440000</v>
      </c>
      <c r="M48" s="1" t="n">
        <v>440000</v>
      </c>
      <c r="N48" s="1" t="n">
        <v>440000</v>
      </c>
      <c r="O48" s="1" t="n">
        <v>440000</v>
      </c>
      <c r="P48" s="1" t="n">
        <v>440000</v>
      </c>
      <c r="Q48" s="1" t="n">
        <v>440000</v>
      </c>
      <c r="V48" s="16" t="n">
        <f aca="false">SUM(C48:U48)</f>
        <v>8800000</v>
      </c>
      <c r="W48" s="23" t="s">
        <v>23</v>
      </c>
    </row>
    <row r="49" customFormat="false" ht="12.75" hidden="false" customHeight="false" outlineLevel="0" collapsed="false">
      <c r="A49" s="1" t="s">
        <v>26</v>
      </c>
      <c r="C49" s="2" t="n">
        <v>0</v>
      </c>
      <c r="K49" s="1" t="n">
        <v>600000</v>
      </c>
      <c r="L49" s="1" t="n">
        <v>1000000</v>
      </c>
      <c r="M49" s="1" t="n">
        <v>1000000</v>
      </c>
      <c r="N49" s="1" t="n">
        <v>1000000</v>
      </c>
      <c r="O49" s="1" t="n">
        <v>1500000</v>
      </c>
      <c r="P49" s="1" t="n">
        <f aca="false">1986667+880000+1340000</f>
        <v>4206667</v>
      </c>
      <c r="Q49" s="1" t="n">
        <f aca="false">2986666.66666667+880000</f>
        <v>3866666.66666667</v>
      </c>
      <c r="R49" s="1" t="n">
        <f aca="false">2986666.66666667+880000</f>
        <v>3866666.66666667</v>
      </c>
      <c r="S49" s="1" t="n">
        <v>2986666.66666667</v>
      </c>
      <c r="T49" s="1" t="n">
        <v>2986666.66666667</v>
      </c>
      <c r="U49" s="1" t="n">
        <v>2986666.66666667</v>
      </c>
      <c r="V49" s="16" t="n">
        <f aca="false">SUM(C49:U49)</f>
        <v>26000000.3333333</v>
      </c>
      <c r="W49" s="23" t="s">
        <v>23</v>
      </c>
    </row>
    <row r="50" customFormat="false" ht="12.75" hidden="false" customHeight="false" outlineLevel="0" collapsed="false">
      <c r="A50" s="1" t="s">
        <v>27</v>
      </c>
      <c r="C50" s="2" t="n">
        <v>0</v>
      </c>
      <c r="P50" s="1" t="n">
        <v>150000</v>
      </c>
      <c r="Q50" s="1" t="n">
        <v>150000</v>
      </c>
      <c r="R50" s="1" t="n">
        <v>150000</v>
      </c>
      <c r="S50" s="1" t="n">
        <v>150000</v>
      </c>
      <c r="T50" s="1" t="n">
        <v>150000</v>
      </c>
      <c r="V50" s="16" t="n">
        <f aca="false">SUM(C50:U50)</f>
        <v>750000</v>
      </c>
      <c r="W50" s="23" t="s">
        <v>28</v>
      </c>
    </row>
    <row r="51" customFormat="false" ht="12.75" hidden="false" customHeight="false" outlineLevel="0" collapsed="false">
      <c r="A51" s="1" t="s">
        <v>29</v>
      </c>
      <c r="C51" s="2" t="n">
        <v>0</v>
      </c>
      <c r="S51" s="1" t="n">
        <v>500000</v>
      </c>
      <c r="T51" s="1" t="n">
        <v>500000</v>
      </c>
      <c r="V51" s="16" t="n">
        <f aca="false">SUM(C51:U51)</f>
        <v>1000000</v>
      </c>
      <c r="W51" s="23" t="s">
        <v>23</v>
      </c>
    </row>
    <row r="52" customFormat="false" ht="12.75" hidden="false" customHeight="false" outlineLevel="0" collapsed="false">
      <c r="A52" s="1" t="s">
        <v>30</v>
      </c>
      <c r="C52" s="2" t="n">
        <v>0</v>
      </c>
      <c r="K52" s="1" t="n">
        <v>250000</v>
      </c>
      <c r="V52" s="16" t="n">
        <f aca="false">SUM(C52:U52)</f>
        <v>250000</v>
      </c>
      <c r="W52" s="23" t="s">
        <v>61</v>
      </c>
    </row>
    <row r="53" customFormat="false" ht="12.75" hidden="false" customHeight="false" outlineLevel="0" collapsed="false">
      <c r="A53" s="1" t="s">
        <v>32</v>
      </c>
      <c r="C53" s="2" t="n">
        <v>0</v>
      </c>
      <c r="F53" s="1" t="n">
        <v>100000</v>
      </c>
      <c r="G53" s="1" t="n">
        <v>100000</v>
      </c>
      <c r="H53" s="1" t="n">
        <v>150000</v>
      </c>
      <c r="I53" s="1" t="n">
        <v>150000</v>
      </c>
      <c r="V53" s="16" t="n">
        <f aca="false">SUM(C53:U53)</f>
        <v>500000</v>
      </c>
      <c r="W53" s="23" t="str">
        <f aca="false">W52</f>
        <v>Ben Jacoby</v>
      </c>
    </row>
    <row r="54" customFormat="false" ht="12.75" hidden="false" customHeight="false" outlineLevel="0" collapsed="false">
      <c r="A54" s="1" t="s">
        <v>62</v>
      </c>
      <c r="C54" s="2" t="n">
        <v>0</v>
      </c>
      <c r="H54" s="1" t="n">
        <v>200000</v>
      </c>
      <c r="I54" s="1" t="n">
        <v>200000</v>
      </c>
      <c r="V54" s="16" t="n">
        <f aca="false">SUM(C54:U54)</f>
        <v>400000</v>
      </c>
      <c r="W54" s="23" t="str">
        <f aca="false">W53</f>
        <v>Ben Jacoby</v>
      </c>
    </row>
    <row r="55" customFormat="false" ht="12.75" hidden="false" customHeight="false" outlineLevel="0" collapsed="false">
      <c r="A55" s="1" t="s">
        <v>33</v>
      </c>
      <c r="C55" s="2" t="n">
        <v>0</v>
      </c>
      <c r="O55" s="1" t="n">
        <v>375000</v>
      </c>
      <c r="P55" s="1" t="n">
        <v>125000</v>
      </c>
      <c r="Q55" s="1" t="n">
        <v>125000</v>
      </c>
      <c r="R55" s="1" t="n">
        <v>125000</v>
      </c>
      <c r="S55" s="1" t="n">
        <v>250000</v>
      </c>
      <c r="V55" s="16" t="n">
        <f aca="false">SUM(C55:U55)</f>
        <v>1000000</v>
      </c>
      <c r="W55" s="23" t="s">
        <v>34</v>
      </c>
    </row>
    <row r="56" customFormat="false" ht="12.75" hidden="false" customHeight="false" outlineLevel="0" collapsed="false">
      <c r="A56" s="1" t="s">
        <v>35</v>
      </c>
      <c r="C56" s="2" t="n">
        <v>0</v>
      </c>
      <c r="O56" s="1" t="n">
        <v>200000</v>
      </c>
      <c r="P56" s="1" t="n">
        <v>600000</v>
      </c>
      <c r="Q56" s="1" t="n">
        <v>600000</v>
      </c>
      <c r="R56" s="1" t="n">
        <v>600000</v>
      </c>
      <c r="V56" s="16" t="n">
        <f aca="false">SUM(C56:U56)</f>
        <v>2000000</v>
      </c>
      <c r="W56" s="23" t="str">
        <f aca="false">W52</f>
        <v>Ben Jacoby</v>
      </c>
    </row>
    <row r="57" customFormat="false" ht="12.75" hidden="false" customHeight="false" outlineLevel="0" collapsed="false">
      <c r="A57" s="1" t="s">
        <v>36</v>
      </c>
      <c r="S57" s="1" t="n">
        <v>500000</v>
      </c>
      <c r="T57" s="1" t="n">
        <v>500000</v>
      </c>
      <c r="V57" s="16" t="n">
        <f aca="false">SUM(C57:U57)</f>
        <v>1000000</v>
      </c>
      <c r="W57" s="23" t="str">
        <f aca="false">W50</f>
        <v>Kevin Presto</v>
      </c>
    </row>
    <row r="58" customFormat="false" ht="12.75" hidden="false" customHeight="false" outlineLevel="0" collapsed="false">
      <c r="A58" s="1" t="s">
        <v>63</v>
      </c>
      <c r="U58" s="1" t="n">
        <v>256000</v>
      </c>
      <c r="V58" s="16" t="n">
        <f aca="false">SUM(C58:U58)</f>
        <v>256000</v>
      </c>
      <c r="W58" s="23" t="s">
        <v>64</v>
      </c>
    </row>
    <row r="59" customFormat="false" ht="12.75" hidden="false" customHeight="false" outlineLevel="0" collapsed="false">
      <c r="A59" s="1" t="s">
        <v>37</v>
      </c>
      <c r="C59" s="2" t="n">
        <v>0</v>
      </c>
      <c r="O59" s="1" t="n">
        <v>20000</v>
      </c>
      <c r="R59" s="1" t="n">
        <v>30000</v>
      </c>
      <c r="V59" s="16" t="n">
        <f aca="false">SUM(C59:U59)</f>
        <v>50000</v>
      </c>
      <c r="W59" s="23" t="str">
        <f aca="false">W56</f>
        <v>Ben Jacoby</v>
      </c>
    </row>
    <row r="60" customFormat="false" ht="12.75" hidden="false" customHeight="false" outlineLevel="0" collapsed="false">
      <c r="A60" s="1" t="s">
        <v>38</v>
      </c>
      <c r="C60" s="2" t="n">
        <v>0</v>
      </c>
      <c r="L60" s="1" t="n">
        <v>200000</v>
      </c>
      <c r="V60" s="16" t="n">
        <f aca="false">SUM(C60:U60)</f>
        <v>200000</v>
      </c>
      <c r="W60" s="23" t="str">
        <f aca="false">W59</f>
        <v>Ben Jacoby</v>
      </c>
    </row>
    <row r="61" customFormat="false" ht="12.75" hidden="false" customHeight="false" outlineLevel="0" collapsed="false">
      <c r="A61" s="1" t="s">
        <v>39</v>
      </c>
      <c r="C61" s="2" t="n">
        <v>0</v>
      </c>
      <c r="D61" s="1" t="n">
        <v>11111.1111111111</v>
      </c>
      <c r="E61" s="1" t="n">
        <v>11111.1111111111</v>
      </c>
      <c r="F61" s="1" t="n">
        <v>11111.1111111111</v>
      </c>
      <c r="G61" s="1" t="n">
        <v>11111.1111111111</v>
      </c>
      <c r="H61" s="1" t="n">
        <v>11111.1111111111</v>
      </c>
      <c r="I61" s="1" t="n">
        <v>11111.1111111111</v>
      </c>
      <c r="J61" s="1" t="n">
        <v>11111.1111111111</v>
      </c>
      <c r="K61" s="1" t="n">
        <v>11111.1111111111</v>
      </c>
      <c r="L61" s="1" t="n">
        <v>11111.1111111111</v>
      </c>
      <c r="M61" s="1" t="n">
        <v>11111.1111111111</v>
      </c>
      <c r="N61" s="1" t="n">
        <v>11111.1111111111</v>
      </c>
      <c r="O61" s="1" t="n">
        <v>11111.1111111111</v>
      </c>
      <c r="P61" s="1" t="n">
        <v>11111.1111111111</v>
      </c>
      <c r="Q61" s="1" t="n">
        <v>11111.1111111111</v>
      </c>
      <c r="R61" s="1" t="n">
        <v>11111.1111111111</v>
      </c>
      <c r="S61" s="1" t="n">
        <v>11111.1111111111</v>
      </c>
      <c r="T61" s="1" t="n">
        <v>11111.1111111111</v>
      </c>
      <c r="U61" s="1" t="n">
        <v>11111.1111111111</v>
      </c>
      <c r="V61" s="16" t="n">
        <f aca="false">SUM(C61:U61)</f>
        <v>200000</v>
      </c>
      <c r="W61" s="23" t="str">
        <f aca="false">W60</f>
        <v>Ben Jacoby</v>
      </c>
    </row>
    <row r="62" customFormat="false" ht="12.75" hidden="false" customHeight="false" outlineLevel="0" collapsed="false">
      <c r="A62" s="1" t="s">
        <v>40</v>
      </c>
      <c r="C62" s="2" t="n">
        <v>0</v>
      </c>
      <c r="E62" s="1" t="n">
        <v>28571.4285714286</v>
      </c>
      <c r="F62" s="1" t="n">
        <v>28571.4285714286</v>
      </c>
      <c r="G62" s="1" t="n">
        <v>28571.4285714286</v>
      </c>
      <c r="H62" s="1" t="n">
        <v>28571.4285714286</v>
      </c>
      <c r="I62" s="1" t="n">
        <v>28571.4285714286</v>
      </c>
      <c r="J62" s="1" t="n">
        <v>28571.4285714286</v>
      </c>
      <c r="K62" s="1" t="n">
        <v>28571.4285714286</v>
      </c>
      <c r="L62" s="1" t="n">
        <v>28571.4285714286</v>
      </c>
      <c r="M62" s="1" t="n">
        <v>28571.4285714286</v>
      </c>
      <c r="N62" s="1" t="n">
        <v>28571.4285714286</v>
      </c>
      <c r="O62" s="1" t="n">
        <v>28571.4285714286</v>
      </c>
      <c r="P62" s="1" t="n">
        <v>28571.4285714286</v>
      </c>
      <c r="Q62" s="1" t="n">
        <v>28571.4285714286</v>
      </c>
      <c r="R62" s="1" t="n">
        <v>28571.4285714286</v>
      </c>
      <c r="V62" s="16" t="n">
        <f aca="false">SUM(C62:U62)</f>
        <v>400000</v>
      </c>
      <c r="W62" s="23" t="str">
        <f aca="false">W60</f>
        <v>Ben Jacoby</v>
      </c>
    </row>
    <row r="63" customFormat="false" ht="12.75" hidden="false" customHeight="false" outlineLevel="0" collapsed="false">
      <c r="A63" s="1" t="s">
        <v>41</v>
      </c>
      <c r="C63" s="2" t="n">
        <v>0</v>
      </c>
      <c r="I63" s="1" t="n">
        <v>25000</v>
      </c>
      <c r="J63" s="1" t="n">
        <v>10000</v>
      </c>
      <c r="K63" s="1" t="n">
        <v>10000</v>
      </c>
      <c r="L63" s="1" t="n">
        <v>10000</v>
      </c>
      <c r="M63" s="1" t="n">
        <v>10000</v>
      </c>
      <c r="N63" s="1" t="n">
        <v>10000</v>
      </c>
      <c r="O63" s="1" t="n">
        <v>325000</v>
      </c>
      <c r="P63" s="1" t="n">
        <v>10000</v>
      </c>
      <c r="Q63" s="1" t="n">
        <v>10000</v>
      </c>
      <c r="R63" s="1" t="n">
        <v>10000</v>
      </c>
      <c r="S63" s="1" t="n">
        <v>10000</v>
      </c>
      <c r="T63" s="1" t="n">
        <v>10000</v>
      </c>
      <c r="U63" s="1" t="n">
        <v>50000</v>
      </c>
      <c r="V63" s="16" t="n">
        <f aca="false">SUM(C63:U63)</f>
        <v>500000</v>
      </c>
      <c r="W63" s="23" t="str">
        <f aca="false">W62</f>
        <v>Ben Jacoby</v>
      </c>
    </row>
    <row r="64" customFormat="false" ht="12.75" hidden="false" customHeight="false" outlineLevel="0" collapsed="false">
      <c r="A64" s="1" t="s">
        <v>42</v>
      </c>
      <c r="C64" s="18" t="n">
        <f aca="false">SUM(C46:C63)</f>
        <v>29142550</v>
      </c>
      <c r="D64" s="18" t="n">
        <f aca="false">SUM(D46:D63)</f>
        <v>29988111.1111111</v>
      </c>
      <c r="E64" s="18" t="n">
        <f aca="false">SUM(E46:E63)</f>
        <v>15511382.5396825</v>
      </c>
      <c r="F64" s="18" t="n">
        <f aca="false">SUM(F46:F63)</f>
        <v>3137382.53968254</v>
      </c>
      <c r="G64" s="18" t="n">
        <f aca="false">SUM(G46:G63)</f>
        <v>3577382.53968254</v>
      </c>
      <c r="H64" s="18" t="n">
        <f aca="false">SUM(H46:H63)</f>
        <v>3387382.53968254</v>
      </c>
      <c r="I64" s="18" t="n">
        <f aca="false">SUM(I46:I63)</f>
        <v>3934682.53968254</v>
      </c>
      <c r="J64" s="18" t="n">
        <f aca="false">SUM(J46:J63)</f>
        <v>1809682.53968254</v>
      </c>
      <c r="K64" s="18" t="n">
        <f aca="false">SUM(K46:K63)</f>
        <v>1339682.53968254</v>
      </c>
      <c r="L64" s="18" t="n">
        <f aca="false">SUM(L46:L63)</f>
        <v>1689682.53968254</v>
      </c>
      <c r="M64" s="18" t="n">
        <f aca="false">SUM(M46:M63)</f>
        <v>1489682.53968254</v>
      </c>
      <c r="N64" s="18" t="n">
        <f aca="false">SUM(N46:N63)</f>
        <v>1489682.53968254</v>
      </c>
      <c r="O64" s="18" t="n">
        <f aca="false">SUM(O46:O63)</f>
        <v>2899682.53968254</v>
      </c>
      <c r="P64" s="18" t="n">
        <f aca="false">SUM(P46:P63)</f>
        <v>5571349.53968254</v>
      </c>
      <c r="Q64" s="18" t="n">
        <f aca="false">SUM(Q46:Q63)</f>
        <v>8229049.20634921</v>
      </c>
      <c r="R64" s="18" t="n">
        <f aca="false">SUM(R46:R63)</f>
        <v>4821349.20634921</v>
      </c>
      <c r="S64" s="18" t="n">
        <f aca="false">SUM(S46:S63)</f>
        <v>4407777.77777778</v>
      </c>
      <c r="T64" s="18" t="n">
        <f aca="false">SUM(T46:T63)</f>
        <v>4157777.77777778</v>
      </c>
      <c r="U64" s="18" t="n">
        <f aca="false">SUM(U46:U63)</f>
        <v>9394127.77777778</v>
      </c>
      <c r="V64" s="19" t="n">
        <f aca="false">SUM(C64:U64)</f>
        <v>135978400.333333</v>
      </c>
    </row>
    <row r="65" customFormat="false" ht="12.75" hidden="false" customHeight="false" outlineLevel="0" collapsed="false">
      <c r="A65" s="1" t="s">
        <v>43</v>
      </c>
      <c r="C65" s="18" t="n">
        <f aca="false">+C64</f>
        <v>29142550</v>
      </c>
      <c r="D65" s="18" t="n">
        <f aca="false">+C65+D64</f>
        <v>59130661.1111111</v>
      </c>
      <c r="E65" s="18" t="n">
        <f aca="false">+D65+E64</f>
        <v>74642043.6507937</v>
      </c>
      <c r="F65" s="18" t="n">
        <f aca="false">+E65+F64</f>
        <v>77779426.1904762</v>
      </c>
      <c r="G65" s="18" t="n">
        <f aca="false">+F65+G64</f>
        <v>81356808.7301587</v>
      </c>
      <c r="H65" s="18" t="n">
        <f aca="false">+G65+H64</f>
        <v>84744191.2698413</v>
      </c>
      <c r="I65" s="18" t="n">
        <f aca="false">+H65+I64</f>
        <v>88678873.8095238</v>
      </c>
      <c r="J65" s="18" t="n">
        <f aca="false">+I65+J64</f>
        <v>90488556.3492063</v>
      </c>
      <c r="K65" s="18" t="n">
        <f aca="false">+J65+K64</f>
        <v>91828238.8888889</v>
      </c>
      <c r="L65" s="18" t="n">
        <f aca="false">+K65+L64</f>
        <v>93517921.4285714</v>
      </c>
      <c r="M65" s="18" t="n">
        <f aca="false">+L65+M64</f>
        <v>95007603.968254</v>
      </c>
      <c r="N65" s="18" t="n">
        <f aca="false">+M65+N64</f>
        <v>96497286.5079365</v>
      </c>
      <c r="O65" s="18" t="n">
        <f aca="false">+N65+O64</f>
        <v>99396969.047619</v>
      </c>
      <c r="P65" s="18" t="n">
        <f aca="false">+O65+P64</f>
        <v>104968318.587302</v>
      </c>
      <c r="Q65" s="18" t="n">
        <f aca="false">+P65+Q64</f>
        <v>113197367.793651</v>
      </c>
      <c r="R65" s="18" t="n">
        <f aca="false">+Q65+R64</f>
        <v>118018717</v>
      </c>
      <c r="S65" s="18" t="n">
        <f aca="false">+R65+S64</f>
        <v>122426494.777778</v>
      </c>
      <c r="T65" s="18" t="n">
        <f aca="false">+S65+T64</f>
        <v>126584272.555556</v>
      </c>
      <c r="U65" s="18" t="n">
        <f aca="false">+T65+U64</f>
        <v>135978400.333333</v>
      </c>
      <c r="V65" s="16"/>
    </row>
    <row r="66" customFormat="false" ht="12.75" hidden="false" customHeight="false" outlineLevel="0" collapsed="false">
      <c r="A66" s="1" t="s">
        <v>44</v>
      </c>
      <c r="V66" s="21" t="n">
        <f aca="false">+V64/C78/1000</f>
        <v>283.288334027778</v>
      </c>
    </row>
    <row r="67" customFormat="false" ht="12.75" hidden="false" customHeight="false" outlineLevel="0" collapsed="false">
      <c r="V67" s="16"/>
    </row>
    <row r="68" customFormat="false" ht="12.75" hidden="false" customHeight="false" outlineLevel="0" collapsed="false">
      <c r="A68" s="1" t="s">
        <v>45</v>
      </c>
      <c r="C68" s="2" t="n">
        <v>184443</v>
      </c>
      <c r="D68" s="1" t="n">
        <v>182141</v>
      </c>
      <c r="E68" s="1" t="n">
        <f aca="false">(+D65+D72)*$C77/12</f>
        <v>322276.744351852</v>
      </c>
      <c r="F68" s="1" t="n">
        <f aca="false">(+E65+E72)*$C77/12</f>
        <v>408042.398807038</v>
      </c>
      <c r="G68" s="1" t="n">
        <f aca="false">(+F65+F72)*$C77/12</f>
        <v>427246.783890523</v>
      </c>
      <c r="H68" s="1" t="n">
        <f aca="false">(+G65+G72)*$C77/12</f>
        <v>448938.526059877</v>
      </c>
      <c r="I68" s="1" t="n">
        <f aca="false">(+H65+H72)*$C77/12</f>
        <v>469718.598499316</v>
      </c>
      <c r="J68" s="1" t="n">
        <f aca="false">(+I65+I72)*$C77/12</f>
        <v>493575.771331134</v>
      </c>
      <c r="K68" s="1" t="n">
        <f aca="false">(+J65+J72)*$C77/12</f>
        <v>506051.753849125</v>
      </c>
      <c r="L68" s="1" t="n">
        <f aca="false">(+K65+K72)*$C77/12</f>
        <v>516049.481272421</v>
      </c>
      <c r="M68" s="1" t="n">
        <f aca="false">(+L65+L72)*$C77/12</f>
        <v>536122.196385927</v>
      </c>
      <c r="N68" s="1" t="n">
        <f aca="false">(+M65+M72)*$C77/12</f>
        <v>547095.305372965</v>
      </c>
      <c r="O68" s="1" t="n">
        <f aca="false">(+N65+N72)*$C77/12</f>
        <v>558127.852033682</v>
      </c>
      <c r="P68" s="1" t="n">
        <f aca="false">(+O65+O72)*$C77/12</f>
        <v>576857.658322145</v>
      </c>
      <c r="Q68" s="1" t="n">
        <f aca="false">(+P65+P72)*$C77/12</f>
        <v>610160.447311337</v>
      </c>
      <c r="R68" s="1" t="n">
        <f aca="false">(+Q65+Q72)*$C77/12</f>
        <v>658039.499601998</v>
      </c>
      <c r="S68" s="1" t="n">
        <f aca="false">(+R65+R72)*$C77/12</f>
        <v>687719.521759234</v>
      </c>
      <c r="T68" s="1" t="n">
        <f aca="false">(+S65+S72)*$C77/12</f>
        <v>715320.132131726</v>
      </c>
      <c r="U68" s="1" t="n">
        <f aca="false">(+T65+T72)*$C77/12</f>
        <v>741716.079143736</v>
      </c>
      <c r="V68" s="16" t="n">
        <f aca="false">SUM(C68:U68)</f>
        <v>9589642.75012404</v>
      </c>
      <c r="W68" s="17" t="str">
        <f aca="false">W79</f>
        <v>Rodney Malcolm</v>
      </c>
    </row>
    <row r="69" customFormat="false" ht="12.75" hidden="false" customHeight="false" outlineLevel="0" collapsed="false">
      <c r="A69" s="1" t="s">
        <v>46</v>
      </c>
      <c r="C69" s="2" t="n">
        <v>0</v>
      </c>
      <c r="L69" s="1" t="n">
        <v>1500000</v>
      </c>
      <c r="V69" s="16" t="n">
        <f aca="false">SUM(C69:U69)</f>
        <v>1500000</v>
      </c>
      <c r="W69" s="17" t="s">
        <v>47</v>
      </c>
    </row>
    <row r="70" customFormat="false" ht="12.75" hidden="false" customHeight="false" outlineLevel="0" collapsed="false">
      <c r="A70" s="1" t="s">
        <v>48</v>
      </c>
      <c r="C70" s="2" t="n">
        <v>0</v>
      </c>
      <c r="U70" s="1" t="n">
        <f aca="false">+V49*0.05+V64*0.03</f>
        <v>5379352.02666667</v>
      </c>
      <c r="V70" s="16" t="n">
        <f aca="false">SUM(C70:U70)</f>
        <v>5379352.02666667</v>
      </c>
      <c r="W70" s="17" t="str">
        <f aca="false">W53</f>
        <v>Ben Jacoby</v>
      </c>
    </row>
    <row r="71" customFormat="false" ht="12.75" hidden="false" customHeight="false" outlineLevel="0" collapsed="false">
      <c r="A71" s="1" t="s">
        <v>49</v>
      </c>
      <c r="C71" s="18" t="n">
        <f aca="false">SUM(C68:C70)</f>
        <v>184443</v>
      </c>
      <c r="D71" s="18" t="n">
        <f aca="false">SUM(D68:D70)</f>
        <v>182141</v>
      </c>
      <c r="E71" s="18" t="n">
        <f aca="false">SUM(E68:E70)</f>
        <v>322276.744351852</v>
      </c>
      <c r="F71" s="18" t="n">
        <f aca="false">SUM(F68:F70)</f>
        <v>408042.398807038</v>
      </c>
      <c r="G71" s="18" t="n">
        <f aca="false">SUM(G68:G70)</f>
        <v>427246.783890523</v>
      </c>
      <c r="H71" s="18" t="n">
        <f aca="false">SUM(H68:H70)</f>
        <v>448938.526059877</v>
      </c>
      <c r="I71" s="18" t="n">
        <f aca="false">SUM(I68:I70)</f>
        <v>469718.598499316</v>
      </c>
      <c r="J71" s="18" t="n">
        <f aca="false">SUM(J68:J70)</f>
        <v>493575.771331134</v>
      </c>
      <c r="K71" s="18" t="n">
        <f aca="false">SUM(K68:K70)</f>
        <v>506051.753849125</v>
      </c>
      <c r="L71" s="18" t="n">
        <f aca="false">SUM(L68:L70)</f>
        <v>2016049.48127242</v>
      </c>
      <c r="M71" s="18" t="n">
        <f aca="false">SUM(M68:M70)</f>
        <v>536122.196385927</v>
      </c>
      <c r="N71" s="18" t="n">
        <f aca="false">SUM(N68:N70)</f>
        <v>547095.305372965</v>
      </c>
      <c r="O71" s="18" t="n">
        <f aca="false">SUM(O68:O70)</f>
        <v>558127.852033682</v>
      </c>
      <c r="P71" s="18" t="n">
        <f aca="false">SUM(P68:P70)</f>
        <v>576857.658322145</v>
      </c>
      <c r="Q71" s="18" t="n">
        <f aca="false">SUM(Q68:Q70)</f>
        <v>610160.447311337</v>
      </c>
      <c r="R71" s="18" t="n">
        <f aca="false">SUM(R68:R70)</f>
        <v>658039.499601998</v>
      </c>
      <c r="S71" s="18" t="n">
        <f aca="false">SUM(S68:S70)</f>
        <v>687719.521759234</v>
      </c>
      <c r="T71" s="18" t="n">
        <f aca="false">SUM(T68:T70)</f>
        <v>715320.132131726</v>
      </c>
      <c r="U71" s="18" t="n">
        <f aca="false">SUM(U68:U70)</f>
        <v>6121068.1058104</v>
      </c>
      <c r="V71" s="19" t="n">
        <f aca="false">SUM(C71:U71)</f>
        <v>16468994.7767907</v>
      </c>
    </row>
    <row r="72" customFormat="false" ht="12.75" hidden="false" customHeight="false" outlineLevel="0" collapsed="false">
      <c r="A72" s="1" t="s">
        <v>50</v>
      </c>
      <c r="C72" s="18" t="n">
        <f aca="false">+C71</f>
        <v>184443</v>
      </c>
      <c r="D72" s="18" t="n">
        <f aca="false">+D71+C72</f>
        <v>366584</v>
      </c>
      <c r="E72" s="18" t="n">
        <f aca="false">+E71+D72</f>
        <v>688860.744351852</v>
      </c>
      <c r="F72" s="18" t="n">
        <f aca="false">+F71+E72</f>
        <v>1096903.14315889</v>
      </c>
      <c r="G72" s="18" t="n">
        <f aca="false">+G71+F72</f>
        <v>1524149.92704941</v>
      </c>
      <c r="H72" s="18" t="n">
        <f aca="false">+H71+G72</f>
        <v>1973088.45310929</v>
      </c>
      <c r="I72" s="18" t="n">
        <f aca="false">+I71+H72</f>
        <v>2442807.05160861</v>
      </c>
      <c r="J72" s="18" t="n">
        <f aca="false">+J71+I72</f>
        <v>2936382.82293974</v>
      </c>
      <c r="K72" s="18" t="n">
        <f aca="false">+K71+J72</f>
        <v>3442434.57678886</v>
      </c>
      <c r="L72" s="18" t="n">
        <f aca="false">+L71+K72</f>
        <v>5458484.05806129</v>
      </c>
      <c r="M72" s="18" t="n">
        <f aca="false">+M71+L72</f>
        <v>5994606.25444721</v>
      </c>
      <c r="N72" s="18" t="n">
        <f aca="false">+N71+M72</f>
        <v>6541701.55982018</v>
      </c>
      <c r="O72" s="18" t="n">
        <f aca="false">+O71+N72</f>
        <v>7099829.41185386</v>
      </c>
      <c r="P72" s="18" t="n">
        <f aca="false">+P71+O72</f>
        <v>7676687.07017601</v>
      </c>
      <c r="Q72" s="18" t="n">
        <f aca="false">+Q71+P72</f>
        <v>8286847.51748734</v>
      </c>
      <c r="R72" s="18" t="n">
        <f aca="false">+R71+Q72</f>
        <v>8944887.01708934</v>
      </c>
      <c r="S72" s="18" t="n">
        <f aca="false">+S71+R72</f>
        <v>9632606.53884858</v>
      </c>
      <c r="T72" s="18" t="n">
        <f aca="false">+T71+S72</f>
        <v>10347926.6709803</v>
      </c>
      <c r="U72" s="18" t="n">
        <f aca="false">+U71+T72</f>
        <v>16468994.7767907</v>
      </c>
      <c r="V72" s="16"/>
    </row>
    <row r="73" customFormat="false" ht="12.75" hidden="false" customHeight="false" outlineLevel="0" collapsed="false">
      <c r="V73" s="16"/>
    </row>
    <row r="74" customFormat="false" ht="12.75" hidden="false" customHeight="false" outlineLevel="0" collapsed="false">
      <c r="A74" s="2" t="s">
        <v>65</v>
      </c>
      <c r="B74" s="2"/>
      <c r="C74" s="2" t="n">
        <f aca="false">+C64+C71</f>
        <v>29326993</v>
      </c>
      <c r="D74" s="2" t="n">
        <f aca="false">+D64+D71</f>
        <v>30170252.1111111</v>
      </c>
      <c r="E74" s="2" t="n">
        <f aca="false">+E64+E71</f>
        <v>15833659.2840344</v>
      </c>
      <c r="F74" s="2" t="n">
        <f aca="false">+F64+F71</f>
        <v>3545424.93848958</v>
      </c>
      <c r="G74" s="2" t="n">
        <f aca="false">+G64+G71</f>
        <v>4004629.32357306</v>
      </c>
      <c r="H74" s="2" t="n">
        <f aca="false">+H64+H71</f>
        <v>3836321.06574242</v>
      </c>
      <c r="I74" s="2" t="n">
        <f aca="false">+I64+I71</f>
        <v>4404401.13818186</v>
      </c>
      <c r="J74" s="2" t="n">
        <f aca="false">+J64+J71</f>
        <v>2303258.31101367</v>
      </c>
      <c r="K74" s="2" t="n">
        <f aca="false">+K64+K71</f>
        <v>1845734.29353166</v>
      </c>
      <c r="L74" s="2" t="n">
        <f aca="false">+L64+L71</f>
        <v>3705732.02095496</v>
      </c>
      <c r="M74" s="2" t="n">
        <f aca="false">+M64+M71</f>
        <v>2025804.73606847</v>
      </c>
      <c r="N74" s="2" t="n">
        <f aca="false">+N64+N71</f>
        <v>2036777.8450555</v>
      </c>
      <c r="O74" s="2" t="n">
        <f aca="false">+O64+O71</f>
        <v>3457810.39171622</v>
      </c>
      <c r="P74" s="2" t="n">
        <f aca="false">+P64+P71</f>
        <v>6148207.19800469</v>
      </c>
      <c r="Q74" s="2" t="n">
        <f aca="false">+Q64+Q71</f>
        <v>8839209.65366055</v>
      </c>
      <c r="R74" s="2" t="n">
        <f aca="false">+R64+R71</f>
        <v>5479388.70595121</v>
      </c>
      <c r="S74" s="2" t="n">
        <f aca="false">+S64+S71</f>
        <v>5095497.29953701</v>
      </c>
      <c r="T74" s="2" t="n">
        <f aca="false">+T64+T71</f>
        <v>4873097.9099095</v>
      </c>
      <c r="U74" s="2" t="n">
        <f aca="false">+U64+U71</f>
        <v>15515195.8835882</v>
      </c>
      <c r="V74" s="16" t="n">
        <f aca="false">SUM(C74:U74)</f>
        <v>152447395.110124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 t="s">
        <v>52</v>
      </c>
      <c r="B75" s="2"/>
      <c r="C75" s="2" t="n">
        <f aca="false">C74</f>
        <v>29326993</v>
      </c>
      <c r="D75" s="2" t="n">
        <f aca="false">C75+D74</f>
        <v>59497245.1111111</v>
      </c>
      <c r="E75" s="2" t="n">
        <f aca="false">D75+E74</f>
        <v>75330904.3951455</v>
      </c>
      <c r="F75" s="2" t="n">
        <f aca="false">E75+F74</f>
        <v>78876329.3336351</v>
      </c>
      <c r="G75" s="2" t="n">
        <f aca="false">F75+G74</f>
        <v>82880958.6572081</v>
      </c>
      <c r="H75" s="2" t="n">
        <f aca="false">G75+H74</f>
        <v>86717279.7229506</v>
      </c>
      <c r="I75" s="2" t="n">
        <f aca="false">H75+I74</f>
        <v>91121680.8611324</v>
      </c>
      <c r="J75" s="2" t="n">
        <f aca="false">I75+J74</f>
        <v>93424939.1721461</v>
      </c>
      <c r="K75" s="2" t="n">
        <f aca="false">J75+K74</f>
        <v>95270673.4656778</v>
      </c>
      <c r="L75" s="2" t="n">
        <f aca="false">K75+L74</f>
        <v>98976405.4866327</v>
      </c>
      <c r="M75" s="2" t="n">
        <f aca="false">L75+M74</f>
        <v>101002210.222701</v>
      </c>
      <c r="N75" s="2" t="n">
        <f aca="false">M75+N74</f>
        <v>103038988.067757</v>
      </c>
      <c r="O75" s="2" t="n">
        <f aca="false">N75+O74</f>
        <v>106496798.459473</v>
      </c>
      <c r="P75" s="2" t="n">
        <f aca="false">O75+P74</f>
        <v>112645005.657478</v>
      </c>
      <c r="Q75" s="2" t="n">
        <f aca="false">P75+Q74</f>
        <v>121484215.311138</v>
      </c>
      <c r="R75" s="2" t="n">
        <f aca="false">Q75+R74</f>
        <v>126963604.017089</v>
      </c>
      <c r="S75" s="2" t="n">
        <f aca="false">R75+S74</f>
        <v>132059101.316626</v>
      </c>
      <c r="T75" s="2" t="n">
        <f aca="false">S75+T74</f>
        <v>136932199.226536</v>
      </c>
      <c r="U75" s="2" t="n">
        <f aca="false">T75+U74</f>
        <v>152447395.110124</v>
      </c>
      <c r="V75" s="16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1" t="n">
        <f aca="false">+V74/C78/1000</f>
        <v>317.598739812759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15" t="s">
        <v>53</v>
      </c>
      <c r="B77" s="2"/>
      <c r="C77" s="8" t="n">
        <v>0.065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16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1" t="s">
        <v>44</v>
      </c>
      <c r="B78" s="2"/>
      <c r="C78" s="2" t="n">
        <v>480</v>
      </c>
      <c r="D78" s="2" t="s">
        <v>54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6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" t="s">
        <v>55</v>
      </c>
      <c r="C79" s="2" t="n">
        <v>0</v>
      </c>
      <c r="U79" s="1" t="n">
        <v>6338000</v>
      </c>
      <c r="V79" s="22" t="n">
        <f aca="false">SUM(C79:U79)</f>
        <v>6338000</v>
      </c>
      <c r="W79" s="17" t="str">
        <f aca="false">W69</f>
        <v>Rodney Malcolm</v>
      </c>
    </row>
    <row r="80" customFormat="false" ht="12.75" hidden="false" customHeight="false" outlineLevel="0" collapsed="false">
      <c r="A80" s="15"/>
      <c r="B80" s="2"/>
      <c r="C80" s="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16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" t="s">
        <v>56</v>
      </c>
      <c r="C81" s="2" t="n">
        <f aca="false">+C74-C68</f>
        <v>29142550</v>
      </c>
      <c r="D81" s="2" t="n">
        <f aca="false">+D74-D68</f>
        <v>29988111.1111111</v>
      </c>
      <c r="E81" s="2" t="n">
        <f aca="false">+E74-E68</f>
        <v>15511382.5396825</v>
      </c>
      <c r="F81" s="2" t="n">
        <f aca="false">+F74-F68</f>
        <v>3137382.53968254</v>
      </c>
      <c r="G81" s="2" t="n">
        <f aca="false">+G74-G68</f>
        <v>3577382.53968254</v>
      </c>
      <c r="H81" s="2" t="n">
        <f aca="false">+H74-H68</f>
        <v>3387382.53968254</v>
      </c>
      <c r="I81" s="2" t="n">
        <f aca="false">+I74-I68</f>
        <v>3934682.53968254</v>
      </c>
      <c r="J81" s="2" t="n">
        <f aca="false">+J74-J68</f>
        <v>1809682.53968254</v>
      </c>
      <c r="K81" s="2" t="n">
        <f aca="false">+K74-K68</f>
        <v>1339682.53968254</v>
      </c>
      <c r="L81" s="2" t="n">
        <f aca="false">+L74-L68</f>
        <v>3189682.53968254</v>
      </c>
      <c r="M81" s="2" t="n">
        <f aca="false">+M74-M68</f>
        <v>1489682.53968254</v>
      </c>
      <c r="N81" s="2" t="n">
        <f aca="false">+N74-N68</f>
        <v>1489682.53968254</v>
      </c>
      <c r="O81" s="2" t="n">
        <f aca="false">+O74-O68</f>
        <v>2899682.53968254</v>
      </c>
      <c r="P81" s="2" t="n">
        <f aca="false">+P74-P68</f>
        <v>5571349.53968254</v>
      </c>
      <c r="Q81" s="2" t="n">
        <f aca="false">+Q74-Q68</f>
        <v>8229049.20634921</v>
      </c>
      <c r="R81" s="2" t="n">
        <f aca="false">+R74-R68</f>
        <v>4821349.20634921</v>
      </c>
      <c r="S81" s="2" t="n">
        <f aca="false">+S74-S68</f>
        <v>4407777.77777778</v>
      </c>
      <c r="T81" s="2" t="n">
        <f aca="false">+T74-T68</f>
        <v>4157777.77777778</v>
      </c>
      <c r="U81" s="2" t="n">
        <f aca="false">+U74-U68</f>
        <v>14773479.8044444</v>
      </c>
      <c r="V81" s="16" t="n">
        <f aca="false">SUM(C81:U81)</f>
        <v>142857752.36</v>
      </c>
    </row>
    <row r="82" customFormat="false" ht="12.75" hidden="false" customHeight="false" outlineLevel="0" collapsed="false">
      <c r="V82" s="16"/>
    </row>
    <row r="83" customFormat="false" ht="12.75" hidden="false" customHeight="false" outlineLevel="0" collapsed="false">
      <c r="A83" s="2" t="s">
        <v>66</v>
      </c>
      <c r="V83" s="16"/>
    </row>
    <row r="84" customFormat="false" ht="12.75" hidden="false" customHeight="false" outlineLevel="0" collapsed="false">
      <c r="A84" s="9" t="s">
        <v>67</v>
      </c>
      <c r="V84" s="16"/>
    </row>
    <row r="85" customFormat="false" ht="12.75" hidden="false" customHeight="false" outlineLevel="0" collapsed="false">
      <c r="A85" s="1" t="s">
        <v>68</v>
      </c>
      <c r="C85" s="2" t="n">
        <v>16673404</v>
      </c>
      <c r="D85" s="1" t="n">
        <v>40778500</v>
      </c>
      <c r="E85" s="1" t="n">
        <v>4077852</v>
      </c>
      <c r="F85" s="1" t="n">
        <v>4077852</v>
      </c>
      <c r="G85" s="1" t="n">
        <v>4077852</v>
      </c>
      <c r="H85" s="1" t="n">
        <v>4077852</v>
      </c>
      <c r="I85" s="1" t="n">
        <v>4077852</v>
      </c>
      <c r="U85" s="1" t="n">
        <v>4077852</v>
      </c>
      <c r="V85" s="16" t="n">
        <f aca="false">SUM(C85:U85)</f>
        <v>81919016</v>
      </c>
      <c r="W85" s="23" t="s">
        <v>23</v>
      </c>
    </row>
    <row r="86" customFormat="false" ht="12.75" hidden="false" customHeight="false" outlineLevel="0" collapsed="false">
      <c r="A86" s="1" t="s">
        <v>24</v>
      </c>
      <c r="C86" s="2" t="n">
        <v>0</v>
      </c>
      <c r="H86" s="1" t="n">
        <v>440000</v>
      </c>
      <c r="I86" s="1" t="n">
        <v>3520000</v>
      </c>
      <c r="J86" s="1" t="n">
        <v>1760000</v>
      </c>
      <c r="K86" s="1" t="n">
        <v>440000</v>
      </c>
      <c r="L86" s="1" t="n">
        <v>440000</v>
      </c>
      <c r="M86" s="1" t="n">
        <v>440000</v>
      </c>
      <c r="N86" s="1" t="n">
        <v>440000</v>
      </c>
      <c r="O86" s="1" t="n">
        <v>440000</v>
      </c>
      <c r="P86" s="1" t="n">
        <v>440000</v>
      </c>
      <c r="Q86" s="1" t="n">
        <v>440000</v>
      </c>
      <c r="V86" s="16" t="n">
        <f aca="false">SUM(C86:U86)</f>
        <v>8800000</v>
      </c>
      <c r="W86" s="23" t="s">
        <v>23</v>
      </c>
    </row>
    <row r="87" customFormat="false" ht="12.75" hidden="false" customHeight="false" outlineLevel="0" collapsed="false">
      <c r="A87" s="1" t="s">
        <v>26</v>
      </c>
      <c r="C87" s="2" t="n">
        <v>0</v>
      </c>
      <c r="K87" s="1" t="n">
        <v>1600000</v>
      </c>
      <c r="L87" s="1" t="n">
        <f aca="false">2880000-1440000</f>
        <v>1440000</v>
      </c>
      <c r="M87" s="1" t="n">
        <f aca="false">2880000-1440000</f>
        <v>1440000</v>
      </c>
      <c r="N87" s="1" t="n">
        <f aca="false">2880000-1440000</f>
        <v>1440000</v>
      </c>
      <c r="O87" s="1" t="n">
        <f aca="false">3840000-1440000</f>
        <v>2400000</v>
      </c>
      <c r="P87" s="1" t="n">
        <f aca="false">2986666.66666667+1440000</f>
        <v>4426666.66666667</v>
      </c>
      <c r="Q87" s="1" t="n">
        <f aca="false">2986666.66666667+1440000</f>
        <v>4426666.66666667</v>
      </c>
      <c r="R87" s="1" t="n">
        <f aca="false">2986666.66666667+1440000</f>
        <v>4426666.66666667</v>
      </c>
      <c r="S87" s="1" t="n">
        <f aca="false">2986666.66666667+1440000</f>
        <v>4426666.66666667</v>
      </c>
      <c r="T87" s="1" t="n">
        <v>2986666.66666667</v>
      </c>
      <c r="U87" s="1" t="n">
        <v>2986666.66666667</v>
      </c>
      <c r="V87" s="16" t="n">
        <f aca="false">SUM(C87:U87)</f>
        <v>32000000</v>
      </c>
      <c r="W87" s="23" t="s">
        <v>23</v>
      </c>
    </row>
    <row r="88" customFormat="false" ht="12.75" hidden="false" customHeight="false" outlineLevel="0" collapsed="false">
      <c r="A88" s="1" t="s">
        <v>27</v>
      </c>
      <c r="C88" s="2" t="n">
        <v>0</v>
      </c>
      <c r="P88" s="1" t="n">
        <v>125000</v>
      </c>
      <c r="Q88" s="1" t="n">
        <v>125000</v>
      </c>
      <c r="R88" s="1" t="n">
        <v>125000</v>
      </c>
      <c r="S88" s="1" t="n">
        <v>125000</v>
      </c>
      <c r="T88" s="1" t="n">
        <v>125000</v>
      </c>
      <c r="U88" s="1" t="n">
        <v>125000</v>
      </c>
      <c r="V88" s="16" t="n">
        <f aca="false">SUM(C88:U88)</f>
        <v>750000</v>
      </c>
      <c r="W88" s="23" t="s">
        <v>28</v>
      </c>
    </row>
    <row r="89" customFormat="false" ht="12.75" hidden="false" customHeight="false" outlineLevel="0" collapsed="false">
      <c r="A89" s="1" t="s">
        <v>29</v>
      </c>
      <c r="C89" s="2" t="n">
        <v>0</v>
      </c>
      <c r="S89" s="1" t="n">
        <v>500000</v>
      </c>
      <c r="T89" s="1" t="n">
        <v>500000</v>
      </c>
      <c r="V89" s="16" t="n">
        <f aca="false">SUM(C89:U89)</f>
        <v>1000000</v>
      </c>
      <c r="W89" s="23" t="str">
        <f aca="false">W87</f>
        <v>Mike Miller</v>
      </c>
    </row>
    <row r="90" customFormat="false" ht="12.75" hidden="false" customHeight="false" outlineLevel="0" collapsed="false">
      <c r="A90" s="1" t="s">
        <v>30</v>
      </c>
      <c r="C90" s="2" t="n">
        <v>0</v>
      </c>
      <c r="K90" s="1" t="n">
        <v>770000</v>
      </c>
      <c r="V90" s="16" t="n">
        <f aca="false">SUM(C90:U90)</f>
        <v>770000</v>
      </c>
      <c r="W90" s="23" t="s">
        <v>69</v>
      </c>
    </row>
    <row r="91" customFormat="false" ht="12.75" hidden="false" customHeight="false" outlineLevel="0" collapsed="false">
      <c r="A91" s="1" t="s">
        <v>32</v>
      </c>
      <c r="C91" s="2" t="n">
        <v>0</v>
      </c>
      <c r="F91" s="1" t="n">
        <v>112500</v>
      </c>
      <c r="G91" s="1" t="n">
        <v>112500</v>
      </c>
      <c r="H91" s="1" t="n">
        <v>112500</v>
      </c>
      <c r="I91" s="1" t="n">
        <v>112500</v>
      </c>
      <c r="V91" s="16" t="n">
        <f aca="false">SUM(C91:U91)</f>
        <v>450000</v>
      </c>
      <c r="W91" s="23" t="str">
        <f aca="false">W90</f>
        <v>Steve Dowd</v>
      </c>
    </row>
    <row r="92" customFormat="false" ht="12.75" hidden="false" customHeight="false" outlineLevel="0" collapsed="false">
      <c r="A92" s="1" t="s">
        <v>33</v>
      </c>
      <c r="C92" s="2" t="n">
        <v>0</v>
      </c>
      <c r="Q92" s="1" t="n">
        <v>500000</v>
      </c>
      <c r="R92" s="1" t="n">
        <v>166666.666666667</v>
      </c>
      <c r="S92" s="1" t="n">
        <v>166666.666666667</v>
      </c>
      <c r="T92" s="1" t="n">
        <v>166666.666666667</v>
      </c>
      <c r="V92" s="16" t="n">
        <f aca="false">SUM(C92:U92)</f>
        <v>1000000</v>
      </c>
      <c r="W92" s="23" t="s">
        <v>34</v>
      </c>
    </row>
    <row r="93" customFormat="false" ht="12.75" hidden="false" customHeight="false" outlineLevel="0" collapsed="false">
      <c r="A93" s="1" t="s">
        <v>35</v>
      </c>
      <c r="C93" s="2" t="n">
        <v>0</v>
      </c>
      <c r="P93" s="1" t="n">
        <v>1000000</v>
      </c>
      <c r="Q93" s="1" t="n">
        <v>500000</v>
      </c>
      <c r="R93" s="1" t="n">
        <v>500000</v>
      </c>
      <c r="V93" s="16" t="n">
        <f aca="false">SUM(C93:U93)</f>
        <v>2000000</v>
      </c>
      <c r="W93" s="23" t="str">
        <f aca="false">W91</f>
        <v>Steve Dowd</v>
      </c>
    </row>
    <row r="94" customFormat="false" ht="12.75" hidden="false" customHeight="false" outlineLevel="0" collapsed="false">
      <c r="A94" s="1" t="s">
        <v>36</v>
      </c>
      <c r="C94" s="2" t="n">
        <v>0</v>
      </c>
      <c r="S94" s="1" t="n">
        <v>500000</v>
      </c>
      <c r="T94" s="1" t="n">
        <v>500000</v>
      </c>
      <c r="U94" s="1" t="n">
        <v>0</v>
      </c>
      <c r="V94" s="16" t="n">
        <f aca="false">SUM(C94:U94)</f>
        <v>1000000</v>
      </c>
      <c r="W94" s="23" t="str">
        <f aca="false">W88</f>
        <v>Kevin Presto</v>
      </c>
    </row>
    <row r="95" customFormat="false" ht="12.75" hidden="false" customHeight="false" outlineLevel="0" collapsed="false">
      <c r="A95" s="1" t="s">
        <v>70</v>
      </c>
      <c r="U95" s="1" t="n">
        <v>236000</v>
      </c>
      <c r="V95" s="16" t="n">
        <f aca="false">SUM(C95:U95)</f>
        <v>236000</v>
      </c>
      <c r="W95" s="23" t="s">
        <v>64</v>
      </c>
    </row>
    <row r="96" customFormat="false" ht="12.75" hidden="false" customHeight="false" outlineLevel="0" collapsed="false">
      <c r="A96" s="1" t="s">
        <v>37</v>
      </c>
      <c r="C96" s="2" t="n">
        <v>0</v>
      </c>
      <c r="U96" s="1" t="n">
        <v>50000</v>
      </c>
      <c r="V96" s="16" t="n">
        <f aca="false">SUM(C96:U96)</f>
        <v>50000</v>
      </c>
      <c r="W96" s="23" t="str">
        <f aca="false">W93</f>
        <v>Steve Dowd</v>
      </c>
    </row>
    <row r="97" customFormat="false" ht="12.75" hidden="false" customHeight="false" outlineLevel="0" collapsed="false">
      <c r="A97" s="1" t="s">
        <v>38</v>
      </c>
      <c r="C97" s="2" t="n">
        <v>0</v>
      </c>
      <c r="L97" s="1" t="n">
        <v>200000</v>
      </c>
      <c r="V97" s="16" t="n">
        <f aca="false">SUM(C97:U97)</f>
        <v>200000</v>
      </c>
      <c r="W97" s="23" t="str">
        <f aca="false">W96</f>
        <v>Steve Dowd</v>
      </c>
    </row>
    <row r="98" customFormat="false" ht="12.75" hidden="false" customHeight="false" outlineLevel="0" collapsed="false">
      <c r="A98" s="1" t="s">
        <v>39</v>
      </c>
      <c r="C98" s="2" t="n">
        <v>0</v>
      </c>
      <c r="D98" s="1" t="n">
        <v>11111.1111111111</v>
      </c>
      <c r="E98" s="1" t="n">
        <v>11111.1111111111</v>
      </c>
      <c r="F98" s="1" t="n">
        <v>11111.1111111111</v>
      </c>
      <c r="G98" s="1" t="n">
        <v>11111.1111111111</v>
      </c>
      <c r="H98" s="1" t="n">
        <v>11111.1111111111</v>
      </c>
      <c r="I98" s="1" t="n">
        <v>11111.1111111111</v>
      </c>
      <c r="J98" s="1" t="n">
        <v>11111.1111111111</v>
      </c>
      <c r="K98" s="1" t="n">
        <v>11111.1111111111</v>
      </c>
      <c r="L98" s="1" t="n">
        <v>11111.1111111111</v>
      </c>
      <c r="M98" s="1" t="n">
        <v>11111.1111111111</v>
      </c>
      <c r="N98" s="1" t="n">
        <v>11111.1111111111</v>
      </c>
      <c r="O98" s="1" t="n">
        <v>11111.1111111111</v>
      </c>
      <c r="P98" s="1" t="n">
        <v>11111.1111111111</v>
      </c>
      <c r="Q98" s="1" t="n">
        <v>11111.1111111111</v>
      </c>
      <c r="R98" s="1" t="n">
        <v>11111.1111111111</v>
      </c>
      <c r="S98" s="1" t="n">
        <v>11111.1111111111</v>
      </c>
      <c r="T98" s="1" t="n">
        <v>11111.1111111111</v>
      </c>
      <c r="U98" s="1" t="n">
        <v>11111.1111111111</v>
      </c>
      <c r="V98" s="16" t="n">
        <f aca="false">SUM(C98:U98)</f>
        <v>200000</v>
      </c>
      <c r="W98" s="23" t="str">
        <f aca="false">W97</f>
        <v>Steve Dowd</v>
      </c>
    </row>
    <row r="99" customFormat="false" ht="12.75" hidden="false" customHeight="false" outlineLevel="0" collapsed="false">
      <c r="A99" s="1" t="s">
        <v>40</v>
      </c>
      <c r="C99" s="2" t="n">
        <v>0</v>
      </c>
      <c r="E99" s="1" t="n">
        <v>28571.4285714286</v>
      </c>
      <c r="F99" s="1" t="n">
        <v>28571.4285714286</v>
      </c>
      <c r="G99" s="1" t="n">
        <v>28571.4285714286</v>
      </c>
      <c r="H99" s="1" t="n">
        <v>28571.4285714286</v>
      </c>
      <c r="I99" s="1" t="n">
        <v>28571.4285714286</v>
      </c>
      <c r="J99" s="1" t="n">
        <v>28571.4285714286</v>
      </c>
      <c r="K99" s="1" t="n">
        <v>28571.4285714286</v>
      </c>
      <c r="L99" s="1" t="n">
        <v>28571.4285714286</v>
      </c>
      <c r="M99" s="1" t="n">
        <v>28571.4285714286</v>
      </c>
      <c r="N99" s="1" t="n">
        <v>28571.4285714286</v>
      </c>
      <c r="O99" s="1" t="n">
        <v>28571.4285714286</v>
      </c>
      <c r="P99" s="1" t="n">
        <v>28571.4285714286</v>
      </c>
      <c r="Q99" s="1" t="n">
        <v>28571.4285714286</v>
      </c>
      <c r="R99" s="1" t="n">
        <v>28571.4285714286</v>
      </c>
      <c r="V99" s="16" t="n">
        <f aca="false">SUM(C99:U99)</f>
        <v>400000</v>
      </c>
      <c r="W99" s="23" t="str">
        <f aca="false">W97</f>
        <v>Steve Dowd</v>
      </c>
    </row>
    <row r="100" customFormat="false" ht="12.75" hidden="false" customHeight="false" outlineLevel="0" collapsed="false">
      <c r="A100" s="1" t="s">
        <v>41</v>
      </c>
      <c r="C100" s="2" t="n">
        <v>0</v>
      </c>
      <c r="N100" s="1" t="n">
        <v>10000</v>
      </c>
      <c r="O100" s="1" t="n">
        <f aca="false">325000-35000</f>
        <v>290000</v>
      </c>
      <c r="P100" s="1" t="n">
        <v>10000</v>
      </c>
      <c r="Q100" s="1" t="n">
        <v>10000</v>
      </c>
      <c r="R100" s="1" t="n">
        <v>10000</v>
      </c>
      <c r="S100" s="1" t="n">
        <v>10000</v>
      </c>
      <c r="T100" s="1" t="n">
        <v>10000</v>
      </c>
      <c r="U100" s="1" t="n">
        <v>50000</v>
      </c>
      <c r="V100" s="16" t="n">
        <f aca="false">SUM(C100:U100)</f>
        <v>400000</v>
      </c>
      <c r="W100" s="23" t="str">
        <f aca="false">W97</f>
        <v>Steve Dowd</v>
      </c>
    </row>
    <row r="101" customFormat="false" ht="12.75" hidden="false" customHeight="false" outlineLevel="0" collapsed="false">
      <c r="A101" s="1" t="s">
        <v>42</v>
      </c>
      <c r="C101" s="18" t="n">
        <f aca="false">SUM(C83:C100)</f>
        <v>16673404</v>
      </c>
      <c r="D101" s="18" t="n">
        <f aca="false">SUM(D83:D100)</f>
        <v>40789611.1111111</v>
      </c>
      <c r="E101" s="18" t="n">
        <f aca="false">SUM(E83:E100)</f>
        <v>4117534.53968254</v>
      </c>
      <c r="F101" s="18" t="n">
        <f aca="false">SUM(F83:F100)</f>
        <v>4230034.53968254</v>
      </c>
      <c r="G101" s="18" t="n">
        <f aca="false">SUM(G83:G100)</f>
        <v>4230034.53968254</v>
      </c>
      <c r="H101" s="18" t="n">
        <f aca="false">SUM(H83:H100)</f>
        <v>4670034.53968254</v>
      </c>
      <c r="I101" s="18" t="n">
        <f aca="false">SUM(I83:I100)</f>
        <v>7750034.53968254</v>
      </c>
      <c r="J101" s="18" t="n">
        <f aca="false">SUM(J83:J100)</f>
        <v>1799682.53968254</v>
      </c>
      <c r="K101" s="18" t="n">
        <f aca="false">SUM(K83:K100)</f>
        <v>2849682.53968254</v>
      </c>
      <c r="L101" s="18" t="n">
        <f aca="false">SUM(L83:L100)</f>
        <v>2119682.53968254</v>
      </c>
      <c r="M101" s="18" t="n">
        <f aca="false">SUM(M83:M100)</f>
        <v>1919682.53968254</v>
      </c>
      <c r="N101" s="18" t="n">
        <f aca="false">SUM(N83:N100)</f>
        <v>1929682.53968254</v>
      </c>
      <c r="O101" s="18" t="n">
        <f aca="false">SUM(O83:O100)</f>
        <v>3169682.53968254</v>
      </c>
      <c r="P101" s="18" t="n">
        <f aca="false">SUM(P83:P100)</f>
        <v>6041349.20634921</v>
      </c>
      <c r="Q101" s="18" t="n">
        <f aca="false">SUM(Q83:Q100)</f>
        <v>6041349.20634921</v>
      </c>
      <c r="R101" s="18" t="n">
        <f aca="false">SUM(R83:R100)</f>
        <v>5268015.87301588</v>
      </c>
      <c r="S101" s="18" t="n">
        <f aca="false">SUM(S83:S100)</f>
        <v>5739444.44444445</v>
      </c>
      <c r="T101" s="18" t="n">
        <f aca="false">SUM(T83:T100)</f>
        <v>4299444.44444444</v>
      </c>
      <c r="U101" s="18" t="n">
        <f aca="false">SUM(U83:U100)</f>
        <v>7536629.77777778</v>
      </c>
      <c r="V101" s="19" t="n">
        <f aca="false">SUM(C101:U101)</f>
        <v>131175016</v>
      </c>
    </row>
    <row r="102" customFormat="false" ht="12.75" hidden="false" customHeight="false" outlineLevel="0" collapsed="false">
      <c r="A102" s="1" t="s">
        <v>43</v>
      </c>
      <c r="C102" s="18" t="n">
        <f aca="false">+C101</f>
        <v>16673404</v>
      </c>
      <c r="D102" s="18" t="n">
        <f aca="false">+C102+D101</f>
        <v>57463015.1111111</v>
      </c>
      <c r="E102" s="18" t="n">
        <f aca="false">+D102+E101</f>
        <v>61580549.6507937</v>
      </c>
      <c r="F102" s="18" t="n">
        <f aca="false">+E102+F101</f>
        <v>65810584.1904762</v>
      </c>
      <c r="G102" s="18" t="n">
        <f aca="false">+F102+G101</f>
        <v>70040618.7301587</v>
      </c>
      <c r="H102" s="18" t="n">
        <f aca="false">+G102+H101</f>
        <v>74710653.2698413</v>
      </c>
      <c r="I102" s="18" t="n">
        <f aca="false">+H102+I101</f>
        <v>82460687.8095238</v>
      </c>
      <c r="J102" s="18" t="n">
        <f aca="false">+I102+J101</f>
        <v>84260370.3492063</v>
      </c>
      <c r="K102" s="18" t="n">
        <f aca="false">+J102+K101</f>
        <v>87110052.8888889</v>
      </c>
      <c r="L102" s="18" t="n">
        <f aca="false">+K102+L101</f>
        <v>89229735.4285714</v>
      </c>
      <c r="M102" s="18" t="n">
        <f aca="false">+L102+M101</f>
        <v>91149417.968254</v>
      </c>
      <c r="N102" s="18" t="n">
        <f aca="false">+M102+N101</f>
        <v>93079100.5079365</v>
      </c>
      <c r="O102" s="18" t="n">
        <f aca="false">+N102+O101</f>
        <v>96248783.047619</v>
      </c>
      <c r="P102" s="18" t="n">
        <f aca="false">+O102+P101</f>
        <v>102290132.253968</v>
      </c>
      <c r="Q102" s="18" t="n">
        <f aca="false">+P102+Q101</f>
        <v>108331481.460317</v>
      </c>
      <c r="R102" s="18" t="n">
        <f aca="false">+Q102+R101</f>
        <v>113599497.333333</v>
      </c>
      <c r="S102" s="18" t="n">
        <f aca="false">+R102+S101</f>
        <v>119338941.777778</v>
      </c>
      <c r="T102" s="18" t="n">
        <f aca="false">+S102+T101</f>
        <v>123638386.222222</v>
      </c>
      <c r="U102" s="18" t="n">
        <f aca="false">+T102+U101</f>
        <v>131175016</v>
      </c>
      <c r="V102" s="16"/>
    </row>
    <row r="103" customFormat="false" ht="12.75" hidden="false" customHeight="false" outlineLevel="0" collapsed="false">
      <c r="A103" s="1" t="s">
        <v>44</v>
      </c>
      <c r="V103" s="21" t="n">
        <f aca="false">+V101/C115/1000</f>
        <v>285.16307826087</v>
      </c>
    </row>
    <row r="104" customFormat="false" ht="12.75" hidden="false" customHeight="false" outlineLevel="0" collapsed="false">
      <c r="V104" s="16"/>
    </row>
    <row r="105" customFormat="false" ht="12.75" hidden="false" customHeight="false" outlineLevel="0" collapsed="false">
      <c r="A105" s="1" t="s">
        <v>45</v>
      </c>
      <c r="C105" s="2" t="n">
        <v>146354</v>
      </c>
      <c r="D105" s="1" t="n">
        <v>104209</v>
      </c>
      <c r="E105" s="1" t="n">
        <f aca="false">(+D102+D109)*$C114/12</f>
        <v>312615.214768519</v>
      </c>
      <c r="F105" s="1" t="n">
        <f aca="false">(+E102+E109)*$C114/12</f>
        <v>336611.859271795</v>
      </c>
      <c r="G105" s="1" t="n">
        <f aca="false">(+F102+F109)*$C114/12</f>
        <v>361347.860599464</v>
      </c>
      <c r="H105" s="1" t="n">
        <f aca="false">(+G102+G109)*$C114/12</f>
        <v>386217.848600992</v>
      </c>
      <c r="I105" s="1" t="n">
        <f aca="false">(+H102+H109)*$C114/12</f>
        <v>413605.882370861</v>
      </c>
      <c r="J105" s="1" t="n">
        <f aca="false">(+I102+I109)*$C114/12</f>
        <v>457825.60132365</v>
      </c>
      <c r="K105" s="1" t="n">
        <f aca="false">(+J102+J109)*$C114/12</f>
        <v>470053.770420767</v>
      </c>
      <c r="L105" s="1" t="n">
        <f aca="false">(+K102+K109)*$C114/12</f>
        <v>488035.675433827</v>
      </c>
      <c r="M105" s="1" t="n">
        <f aca="false">(+L102+L109)*$C114/12</f>
        <v>510285.815765707</v>
      </c>
      <c r="N105" s="1" t="n">
        <f aca="false">(+M102+M109)*$C114/12</f>
        <v>523448.144357718</v>
      </c>
      <c r="O105" s="1" t="n">
        <f aca="false">(+N102+N109)*$C114/12</f>
        <v>536735.935562936</v>
      </c>
      <c r="P105" s="1" t="n">
        <f aca="false">(+O102+O109)*$C114/12</f>
        <v>556812.368970516</v>
      </c>
      <c r="Q105" s="1" t="n">
        <f aca="false">(+P102+P109)*$C114/12</f>
        <v>592552.410836831</v>
      </c>
      <c r="R105" s="1" t="n">
        <f aca="false">(+Q102+Q109)*$C114/12</f>
        <v>628486.044596589</v>
      </c>
      <c r="S105" s="1" t="n">
        <f aca="false">(+R102+R109)*$C114/12</f>
        <v>660425.429983657</v>
      </c>
      <c r="T105" s="1" t="n">
        <f aca="false">(+S102+S109)*$C114/12</f>
        <v>695091.391803475</v>
      </c>
      <c r="U105" s="1" t="n">
        <f aca="false">(+T102+T109)*$C114/12</f>
        <v>722145.127583152</v>
      </c>
      <c r="V105" s="16" t="n">
        <f aca="false">SUM(C105:U105)</f>
        <v>8902859.38225046</v>
      </c>
      <c r="W105" s="17" t="str">
        <f aca="false">W116</f>
        <v>Rodney Malcolm</v>
      </c>
    </row>
    <row r="106" customFormat="false" ht="12.75" hidden="false" customHeight="false" outlineLevel="0" collapsed="false">
      <c r="A106" s="1" t="s">
        <v>46</v>
      </c>
      <c r="C106" s="2" t="n">
        <v>0</v>
      </c>
      <c r="L106" s="1" t="n">
        <v>1500000</v>
      </c>
      <c r="V106" s="16" t="n">
        <f aca="false">SUM(C106:U106)</f>
        <v>1500000</v>
      </c>
      <c r="W106" s="17" t="s">
        <v>47</v>
      </c>
    </row>
    <row r="107" customFormat="false" ht="12.75" hidden="false" customHeight="false" outlineLevel="0" collapsed="false">
      <c r="A107" s="1" t="s">
        <v>48</v>
      </c>
      <c r="C107" s="2" t="n">
        <v>0</v>
      </c>
      <c r="U107" s="1" t="n">
        <f aca="false">+V87*0.05+V101*0.03</f>
        <v>5535250.48</v>
      </c>
      <c r="V107" s="16" t="n">
        <f aca="false">SUM(C107:U107)</f>
        <v>5535250.48</v>
      </c>
      <c r="W107" s="17" t="str">
        <f aca="false">W90</f>
        <v>Steve Dowd</v>
      </c>
    </row>
    <row r="108" customFormat="false" ht="12.75" hidden="false" customHeight="false" outlineLevel="0" collapsed="false">
      <c r="A108" s="1" t="s">
        <v>49</v>
      </c>
      <c r="C108" s="18" t="n">
        <f aca="false">SUM(C105:C107)</f>
        <v>146354</v>
      </c>
      <c r="D108" s="18" t="n">
        <f aca="false">SUM(D105:D107)</f>
        <v>104209</v>
      </c>
      <c r="E108" s="18" t="n">
        <f aca="false">SUM(E105:E107)</f>
        <v>312615.214768519</v>
      </c>
      <c r="F108" s="18" t="n">
        <f aca="false">SUM(F105:F107)</f>
        <v>336611.859271795</v>
      </c>
      <c r="G108" s="18" t="n">
        <f aca="false">SUM(G105:G107)</f>
        <v>361347.860599464</v>
      </c>
      <c r="H108" s="18" t="n">
        <f aca="false">SUM(H105:H107)</f>
        <v>386217.848600992</v>
      </c>
      <c r="I108" s="18" t="n">
        <f aca="false">SUM(I105:I107)</f>
        <v>413605.882370861</v>
      </c>
      <c r="J108" s="18" t="n">
        <f aca="false">SUM(J105:J107)</f>
        <v>457825.60132365</v>
      </c>
      <c r="K108" s="18" t="n">
        <f aca="false">SUM(K105:K107)</f>
        <v>470053.770420767</v>
      </c>
      <c r="L108" s="18" t="n">
        <f aca="false">SUM(L105:L107)</f>
        <v>1988035.67543383</v>
      </c>
      <c r="M108" s="18" t="n">
        <f aca="false">SUM(M105:M107)</f>
        <v>510285.815765707</v>
      </c>
      <c r="N108" s="18" t="n">
        <f aca="false">SUM(N105:N107)</f>
        <v>523448.144357718</v>
      </c>
      <c r="O108" s="18" t="n">
        <f aca="false">SUM(O105:O107)</f>
        <v>536735.935562936</v>
      </c>
      <c r="P108" s="18" t="n">
        <f aca="false">SUM(P105:P107)</f>
        <v>556812.368970516</v>
      </c>
      <c r="Q108" s="18" t="n">
        <f aca="false">SUM(Q105:Q107)</f>
        <v>592552.410836831</v>
      </c>
      <c r="R108" s="18" t="n">
        <f aca="false">SUM(R105:R107)</f>
        <v>628486.044596589</v>
      </c>
      <c r="S108" s="18" t="n">
        <f aca="false">SUM(S105:S107)</f>
        <v>660425.429983657</v>
      </c>
      <c r="T108" s="18" t="n">
        <f aca="false">SUM(T105:T107)</f>
        <v>695091.391803475</v>
      </c>
      <c r="U108" s="18" t="n">
        <f aca="false">SUM(U105:U107)</f>
        <v>6257395.60758315</v>
      </c>
      <c r="V108" s="19" t="n">
        <f aca="false">SUM(C108:U108)</f>
        <v>15938109.8622505</v>
      </c>
    </row>
    <row r="109" customFormat="false" ht="12.75" hidden="false" customHeight="false" outlineLevel="0" collapsed="false">
      <c r="A109" s="1" t="s">
        <v>50</v>
      </c>
      <c r="C109" s="18" t="n">
        <f aca="false">+C108</f>
        <v>146354</v>
      </c>
      <c r="D109" s="18" t="n">
        <f aca="false">+D108+C109</f>
        <v>250563</v>
      </c>
      <c r="E109" s="18" t="n">
        <f aca="false">+E108+D109</f>
        <v>563178.214768519</v>
      </c>
      <c r="F109" s="18" t="n">
        <f aca="false">+F108+E109</f>
        <v>899790.074040314</v>
      </c>
      <c r="G109" s="18" t="n">
        <f aca="false">+G108+F109</f>
        <v>1261137.93463978</v>
      </c>
      <c r="H109" s="18" t="n">
        <f aca="false">+H108+G109</f>
        <v>1647355.78324077</v>
      </c>
      <c r="I109" s="18" t="n">
        <f aca="false">+I108+H109</f>
        <v>2060961.66561163</v>
      </c>
      <c r="J109" s="18" t="n">
        <f aca="false">+J108+I109</f>
        <v>2518787.26693528</v>
      </c>
      <c r="K109" s="18" t="n">
        <f aca="false">+K108+J109</f>
        <v>2988841.03735605</v>
      </c>
      <c r="L109" s="18" t="n">
        <f aca="false">+L108+K109</f>
        <v>4976876.71278988</v>
      </c>
      <c r="M109" s="18" t="n">
        <f aca="false">+M108+L109</f>
        <v>5487162.52855558</v>
      </c>
      <c r="N109" s="18" t="n">
        <f aca="false">+N108+M109</f>
        <v>6010610.6729133</v>
      </c>
      <c r="O109" s="18" t="n">
        <f aca="false">+O108+N109</f>
        <v>6547346.60847624</v>
      </c>
      <c r="P109" s="18" t="n">
        <f aca="false">+P108+O109</f>
        <v>7104158.97744675</v>
      </c>
      <c r="Q109" s="18" t="n">
        <f aca="false">+Q108+P109</f>
        <v>7696711.38828358</v>
      </c>
      <c r="R109" s="18" t="n">
        <f aca="false">+R108+Q109</f>
        <v>8325197.43288017</v>
      </c>
      <c r="S109" s="18" t="n">
        <f aca="false">+S108+R109</f>
        <v>8985622.86286383</v>
      </c>
      <c r="T109" s="18" t="n">
        <f aca="false">+T108+S109</f>
        <v>9680714.2546673</v>
      </c>
      <c r="U109" s="18" t="n">
        <f aca="false">+U108+T109</f>
        <v>15938109.8622505</v>
      </c>
      <c r="V109" s="16"/>
    </row>
    <row r="110" customFormat="false" ht="12.75" hidden="false" customHeight="false" outlineLevel="0" collapsed="false">
      <c r="V110" s="16"/>
    </row>
    <row r="111" customFormat="false" ht="12.75" hidden="false" customHeight="false" outlineLevel="0" collapsed="false">
      <c r="A111" s="2" t="s">
        <v>65</v>
      </c>
      <c r="B111" s="2"/>
      <c r="C111" s="2" t="n">
        <f aca="false">+C101+C108</f>
        <v>16819758</v>
      </c>
      <c r="D111" s="2" t="n">
        <f aca="false">+D101+D108</f>
        <v>40893820.1111111</v>
      </c>
      <c r="E111" s="2" t="n">
        <f aca="false">+E101+E108</f>
        <v>4430149.75445106</v>
      </c>
      <c r="F111" s="2" t="n">
        <f aca="false">+F101+F108</f>
        <v>4566646.39895434</v>
      </c>
      <c r="G111" s="2" t="n">
        <f aca="false">+G101+G108</f>
        <v>4591382.40028201</v>
      </c>
      <c r="H111" s="2" t="n">
        <f aca="false">+H101+H108</f>
        <v>5056252.38828353</v>
      </c>
      <c r="I111" s="2" t="n">
        <f aca="false">+I101+I108</f>
        <v>8163640.4220534</v>
      </c>
      <c r="J111" s="2" t="n">
        <f aca="false">+J101+J108</f>
        <v>2257508.14100619</v>
      </c>
      <c r="K111" s="2" t="n">
        <f aca="false">+K101+K108</f>
        <v>3319736.31010331</v>
      </c>
      <c r="L111" s="2" t="n">
        <f aca="false">+L101+L108</f>
        <v>4107718.21511637</v>
      </c>
      <c r="M111" s="2" t="n">
        <f aca="false">+M101+M108</f>
        <v>2429968.35544825</v>
      </c>
      <c r="N111" s="2" t="n">
        <f aca="false">+N101+N108</f>
        <v>2453130.68404026</v>
      </c>
      <c r="O111" s="2" t="n">
        <f aca="false">+O101+O108</f>
        <v>3706418.47524548</v>
      </c>
      <c r="P111" s="2" t="n">
        <f aca="false">+P101+P108</f>
        <v>6598161.57531973</v>
      </c>
      <c r="Q111" s="2" t="n">
        <f aca="false">+Q101+Q108</f>
        <v>6633901.61718604</v>
      </c>
      <c r="R111" s="2" t="n">
        <f aca="false">+R101+R108</f>
        <v>5896501.91761247</v>
      </c>
      <c r="S111" s="2" t="n">
        <f aca="false">+S101+S108</f>
        <v>6399869.87442811</v>
      </c>
      <c r="T111" s="2" t="n">
        <f aca="false">+T101+T108</f>
        <v>4994535.83624792</v>
      </c>
      <c r="U111" s="2" t="n">
        <f aca="false">+U101+U108</f>
        <v>13794025.3853609</v>
      </c>
      <c r="V111" s="16" t="n">
        <f aca="false">SUM(C111:U111)</f>
        <v>147113125.86225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customFormat="false" ht="12.75" hidden="false" customHeight="false" outlineLevel="0" collapsed="false">
      <c r="A112" s="2" t="s">
        <v>52</v>
      </c>
      <c r="B112" s="2"/>
      <c r="C112" s="2" t="n">
        <f aca="false">C111</f>
        <v>16819758</v>
      </c>
      <c r="D112" s="2" t="n">
        <f aca="false">C112+D111</f>
        <v>57713578.1111111</v>
      </c>
      <c r="E112" s="2" t="n">
        <f aca="false">D112+E111</f>
        <v>62143727.8655622</v>
      </c>
      <c r="F112" s="2" t="n">
        <f aca="false">E112+F111</f>
        <v>66710374.2645165</v>
      </c>
      <c r="G112" s="2" t="n">
        <f aca="false">F112+G111</f>
        <v>71301756.6647985</v>
      </c>
      <c r="H112" s="2" t="n">
        <f aca="false">G112+H111</f>
        <v>76358009.0530821</v>
      </c>
      <c r="I112" s="2" t="n">
        <f aca="false">H112+I111</f>
        <v>84521649.4751355</v>
      </c>
      <c r="J112" s="2" t="n">
        <f aca="false">I112+J111</f>
        <v>86779157.6161416</v>
      </c>
      <c r="K112" s="2" t="n">
        <f aca="false">J112+K111</f>
        <v>90098893.9262449</v>
      </c>
      <c r="L112" s="2" t="n">
        <f aca="false">K112+L111</f>
        <v>94206612.1413613</v>
      </c>
      <c r="M112" s="2" t="n">
        <f aca="false">L112+M111</f>
        <v>96636580.4968096</v>
      </c>
      <c r="N112" s="2" t="n">
        <f aca="false">M112+N111</f>
        <v>99089711.1808498</v>
      </c>
      <c r="O112" s="2" t="n">
        <f aca="false">N112+O111</f>
        <v>102796129.656095</v>
      </c>
      <c r="P112" s="2" t="n">
        <f aca="false">O112+P111</f>
        <v>109394291.231415</v>
      </c>
      <c r="Q112" s="2" t="n">
        <f aca="false">P112+Q111</f>
        <v>116028192.848601</v>
      </c>
      <c r="R112" s="2" t="n">
        <f aca="false">Q112+R111</f>
        <v>121924694.766214</v>
      </c>
      <c r="S112" s="2" t="n">
        <f aca="false">R112+S111</f>
        <v>128324564.640642</v>
      </c>
      <c r="T112" s="2" t="n">
        <f aca="false">S112+T111</f>
        <v>133319100.47689</v>
      </c>
      <c r="U112" s="2" t="n">
        <f aca="false">T112+U111</f>
        <v>147113125.86225</v>
      </c>
      <c r="V112" s="16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customFormat="false" ht="12.75" hidden="false" customHeight="false" outlineLevel="0" collapsed="false">
      <c r="A113" s="2"/>
      <c r="B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1" t="n">
        <f aca="false">+V111/C115/1000</f>
        <v>319.811143178805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</row>
    <row r="114" customFormat="false" ht="12.75" hidden="false" customHeight="false" outlineLevel="0" collapsed="false">
      <c r="A114" s="15" t="s">
        <v>53</v>
      </c>
      <c r="B114" s="2"/>
      <c r="C114" s="8" t="n">
        <v>0.065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16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customFormat="false" ht="12.75" hidden="false" customHeight="false" outlineLevel="0" collapsed="false">
      <c r="A115" s="1" t="s">
        <v>44</v>
      </c>
      <c r="B115" s="2"/>
      <c r="C115" s="2" t="n">
        <v>460</v>
      </c>
      <c r="D115" s="2" t="s">
        <v>54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16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1" t="s">
        <v>55</v>
      </c>
      <c r="C116" s="2" t="n">
        <v>0</v>
      </c>
      <c r="U116" s="1" t="n">
        <v>5842000</v>
      </c>
      <c r="V116" s="22" t="n">
        <f aca="false">SUM(C116:U116)</f>
        <v>5842000</v>
      </c>
      <c r="W116" s="17" t="str">
        <f aca="false">W106</f>
        <v>Rodney Malcolm</v>
      </c>
    </row>
    <row r="117" customFormat="false" ht="12.75" hidden="false" customHeight="false" outlineLevel="0" collapsed="false">
      <c r="A117" s="15"/>
      <c r="B117" s="2"/>
      <c r="C117" s="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16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" t="s">
        <v>56</v>
      </c>
      <c r="C118" s="2" t="n">
        <f aca="false">+C111-C105</f>
        <v>16673404</v>
      </c>
      <c r="D118" s="2" t="n">
        <f aca="false">+D111-D105</f>
        <v>40789611.1111111</v>
      </c>
      <c r="E118" s="2" t="n">
        <f aca="false">+E111-E105</f>
        <v>4117534.53968254</v>
      </c>
      <c r="F118" s="2" t="n">
        <f aca="false">+F111-F105</f>
        <v>4230034.53968254</v>
      </c>
      <c r="G118" s="2" t="n">
        <f aca="false">+G111-G105</f>
        <v>4230034.53968254</v>
      </c>
      <c r="H118" s="2" t="n">
        <f aca="false">+H111-H105</f>
        <v>4670034.53968254</v>
      </c>
      <c r="I118" s="2" t="n">
        <f aca="false">+I111-I105</f>
        <v>7750034.53968254</v>
      </c>
      <c r="J118" s="2" t="n">
        <f aca="false">+J111-J105</f>
        <v>1799682.53968254</v>
      </c>
      <c r="K118" s="2" t="n">
        <f aca="false">+K111-K105</f>
        <v>2849682.53968254</v>
      </c>
      <c r="L118" s="2" t="n">
        <f aca="false">+L111-L105</f>
        <v>3619682.53968254</v>
      </c>
      <c r="M118" s="2" t="n">
        <f aca="false">+M111-M105</f>
        <v>1919682.53968254</v>
      </c>
      <c r="N118" s="2" t="n">
        <f aca="false">+N111-N105</f>
        <v>1929682.53968254</v>
      </c>
      <c r="O118" s="2" t="n">
        <f aca="false">+O111-O105</f>
        <v>3169682.53968254</v>
      </c>
      <c r="P118" s="2" t="n">
        <f aca="false">+P111-P105</f>
        <v>6041349.20634921</v>
      </c>
      <c r="Q118" s="2" t="n">
        <f aca="false">+Q111-Q105</f>
        <v>6041349.20634921</v>
      </c>
      <c r="R118" s="2" t="n">
        <f aca="false">+R111-R105</f>
        <v>5268015.87301588</v>
      </c>
      <c r="S118" s="2" t="n">
        <f aca="false">+S111-S105</f>
        <v>5739444.44444445</v>
      </c>
      <c r="T118" s="2" t="n">
        <f aca="false">+T111-T105</f>
        <v>4299444.44444444</v>
      </c>
      <c r="U118" s="2" t="n">
        <f aca="false">+U111-U105</f>
        <v>13071880.2577778</v>
      </c>
      <c r="V118" s="22" t="n">
        <f aca="false">SUM(C118:U118)</f>
        <v>138210266.48</v>
      </c>
    </row>
    <row r="120" customFormat="false" ht="12.75" hidden="false" customHeight="false" outlineLevel="0" collapsed="false">
      <c r="A120" s="1" t="s">
        <v>71</v>
      </c>
      <c r="C120" s="1" t="n">
        <f aca="false">+C112+C75+C36</f>
        <v>53134117</v>
      </c>
      <c r="D120" s="1" t="n">
        <f aca="false">+D112+D75+D36</f>
        <v>124266800.333333</v>
      </c>
      <c r="E120" s="1" t="n">
        <f aca="false">+E112+E75+E36</f>
        <v>177479740.358948</v>
      </c>
      <c r="F120" s="1" t="n">
        <f aca="false">+F112+F75+F36</f>
        <v>199684895.143036</v>
      </c>
      <c r="G120" s="1" t="n">
        <f aca="false">+G112+G75+G36</f>
        <v>217963588.84887</v>
      </c>
      <c r="H120" s="1" t="n">
        <f aca="false">+H112+H75+H36</f>
        <v>234152892.145611</v>
      </c>
      <c r="I120" s="1" t="n">
        <f aca="false">+I112+I75+I36</f>
        <v>259429687.501876</v>
      </c>
      <c r="J120" s="1" t="n">
        <f aca="false">+J112+J75+J36</f>
        <v>273980546.832987</v>
      </c>
      <c r="K120" s="1" t="n">
        <f aca="false">+K112+K75+K36</f>
        <v>288822887.318809</v>
      </c>
      <c r="L120" s="1" t="n">
        <f aca="false">+L112+L75+L36</f>
        <v>308281685.815595</v>
      </c>
      <c r="M120" s="1" t="n">
        <f aca="false">+M112+M75+M36</f>
        <v>324152171.137572</v>
      </c>
      <c r="N120" s="1" t="n">
        <f aca="false">+N112+N75+N36</f>
        <v>344377777.588377</v>
      </c>
      <c r="O120" s="1" t="n">
        <f aca="false">+O112+O75+O36</f>
        <v>373661901.407457</v>
      </c>
      <c r="P120" s="1" t="n">
        <f aca="false">+P112+P75+P36</f>
        <v>395401445.230557</v>
      </c>
      <c r="Q120" s="1" t="n">
        <f aca="false">+Q112+Q75+Q36</f>
        <v>418566444.582699</v>
      </c>
      <c r="R120" s="1" t="n">
        <f aca="false">+R112+R75+R36</f>
        <v>441355887.681331</v>
      </c>
      <c r="S120" s="1" t="n">
        <f aca="false">+S112+S75+S36</f>
        <v>461726630.739605</v>
      </c>
      <c r="T120" s="1" t="n">
        <f aca="false">+T112+T75+T36</f>
        <v>478767715.322778</v>
      </c>
      <c r="U120" s="1" t="n">
        <f aca="false">+U112+U75+U36</f>
        <v>529238861.020776</v>
      </c>
    </row>
    <row r="121" customFormat="false" ht="12.75" hidden="false" customHeight="false" outlineLevel="0" collapsed="false">
      <c r="A121" s="2"/>
      <c r="C121" s="1" t="n">
        <f aca="false">+C116+C79+C40</f>
        <v>0</v>
      </c>
      <c r="D121" s="1" t="n">
        <f aca="false">+D116+D79+D40</f>
        <v>0</v>
      </c>
      <c r="E121" s="1" t="n">
        <f aca="false">+E116+E79+E40</f>
        <v>0</v>
      </c>
      <c r="F121" s="1" t="n">
        <f aca="false">+F116+F79+F40</f>
        <v>0</v>
      </c>
      <c r="G121" s="1" t="n">
        <f aca="false">+G116+G79+G40</f>
        <v>0</v>
      </c>
      <c r="H121" s="1" t="n">
        <f aca="false">+H116+H79+H40</f>
        <v>0</v>
      </c>
      <c r="I121" s="1" t="n">
        <f aca="false">+I116+I79+I40</f>
        <v>0</v>
      </c>
      <c r="J121" s="1" t="n">
        <f aca="false">+J116+J79+J40</f>
        <v>0</v>
      </c>
      <c r="K121" s="1" t="n">
        <f aca="false">+K116+K79+K40</f>
        <v>0</v>
      </c>
      <c r="L121" s="1" t="n">
        <f aca="false">+L116+L79+L40</f>
        <v>0</v>
      </c>
      <c r="M121" s="1" t="n">
        <f aca="false">+M116+M79+M40</f>
        <v>0</v>
      </c>
      <c r="N121" s="1" t="n">
        <f aca="false">+N116+N79+N40</f>
        <v>0</v>
      </c>
      <c r="O121" s="1" t="n">
        <f aca="false">+O116+O79+O40</f>
        <v>0</v>
      </c>
      <c r="P121" s="1" t="n">
        <f aca="false">+P116+P79+P40</f>
        <v>0</v>
      </c>
      <c r="Q121" s="1" t="n">
        <f aca="false">+Q116+Q79+Q40</f>
        <v>0</v>
      </c>
      <c r="R121" s="1" t="n">
        <f aca="false">+R116+R79+R40</f>
        <v>0</v>
      </c>
      <c r="S121" s="1" t="n">
        <f aca="false">+S116+S79+S40</f>
        <v>0</v>
      </c>
      <c r="T121" s="1" t="n">
        <f aca="false">+T116+T79+T40</f>
        <v>0</v>
      </c>
      <c r="U121" s="1" t="n">
        <f aca="false">+U116+U79+U40</f>
        <v>19520000</v>
      </c>
    </row>
    <row r="122" customFormat="false" ht="12.75" hidden="false" customHeight="false" outlineLevel="0" collapsed="false">
      <c r="A122" s="1" t="s">
        <v>72</v>
      </c>
      <c r="C122" s="1" t="n">
        <f aca="false">+C120+C121</f>
        <v>53134117</v>
      </c>
      <c r="D122" s="1" t="n">
        <f aca="false">+D120+D121</f>
        <v>124266800.333333</v>
      </c>
      <c r="E122" s="1" t="n">
        <f aca="false">+E120+E121</f>
        <v>177479740.358948</v>
      </c>
      <c r="F122" s="1" t="n">
        <f aca="false">+F120+F121</f>
        <v>199684895.143036</v>
      </c>
      <c r="G122" s="1" t="n">
        <f aca="false">+G120+G121</f>
        <v>217963588.84887</v>
      </c>
      <c r="H122" s="1" t="n">
        <f aca="false">+H120+H121</f>
        <v>234152892.145611</v>
      </c>
      <c r="I122" s="1" t="n">
        <f aca="false">+I120+I121</f>
        <v>259429687.501876</v>
      </c>
      <c r="J122" s="1" t="n">
        <f aca="false">+J120+J121</f>
        <v>273980546.832987</v>
      </c>
      <c r="K122" s="1" t="n">
        <f aca="false">+K120+K121</f>
        <v>288822887.318809</v>
      </c>
      <c r="L122" s="1" t="n">
        <f aca="false">+L120+L121</f>
        <v>308281685.815595</v>
      </c>
      <c r="M122" s="1" t="n">
        <f aca="false">+M120+M121</f>
        <v>324152171.137572</v>
      </c>
      <c r="N122" s="1" t="n">
        <f aca="false">+N120+N121</f>
        <v>344377777.588377</v>
      </c>
      <c r="O122" s="1" t="n">
        <f aca="false">+O120+O121</f>
        <v>373661901.407457</v>
      </c>
      <c r="P122" s="1" t="n">
        <f aca="false">+P120+P121</f>
        <v>395401445.230557</v>
      </c>
      <c r="Q122" s="1" t="n">
        <f aca="false">+Q120+Q121</f>
        <v>418566444.582699</v>
      </c>
      <c r="R122" s="1" t="n">
        <f aca="false">+R120+R121</f>
        <v>441355887.681331</v>
      </c>
      <c r="S122" s="1" t="n">
        <f aca="false">+S120+S121</f>
        <v>461726630.739605</v>
      </c>
      <c r="T122" s="1" t="n">
        <f aca="false">+T120+T121</f>
        <v>478767715.322778</v>
      </c>
      <c r="U122" s="1" t="n">
        <f aca="false">+U120+U121</f>
        <v>548758861.020776</v>
      </c>
    </row>
  </sheetData>
  <mergeCells count="2">
    <mergeCell ref="D5:O5"/>
    <mergeCell ref="P5:V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3" man="true" max="16383" min="0"/>
    <brk id="8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1.99"/>
    <col collapsed="false" customWidth="true" hidden="false" outlineLevel="0" max="3" min="3" style="0" width="11.28"/>
    <col collapsed="false" customWidth="true" hidden="false" outlineLevel="0" max="25" min="4" style="0" width="12.28"/>
    <col collapsed="false" customWidth="true" hidden="false" outlineLevel="0" max="26" min="26" style="0" width="13.85"/>
    <col collapsed="false" customWidth="true" hidden="false" outlineLevel="0" max="27" min="27" style="0" width="12.28"/>
  </cols>
  <sheetData>
    <row r="1" customFormat="false" ht="15.75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73</v>
      </c>
    </row>
    <row r="4" customFormat="false" ht="15.75" hidden="false" customHeight="false" outlineLevel="0" collapsed="false">
      <c r="A4" s="3" t="s">
        <v>3</v>
      </c>
    </row>
    <row r="7" customFormat="false" ht="12.75" hidden="false" customHeight="false" outlineLevel="0" collapsed="false">
      <c r="A7" s="9"/>
      <c r="B7" s="10"/>
      <c r="C7" s="11" t="n">
        <v>1998</v>
      </c>
      <c r="D7" s="12" t="s">
        <v>4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 t="s">
        <v>5</v>
      </c>
      <c r="Q7" s="12"/>
      <c r="R7" s="12"/>
      <c r="S7" s="12"/>
      <c r="T7" s="12"/>
      <c r="U7" s="12"/>
      <c r="V7" s="12"/>
      <c r="W7" s="10"/>
      <c r="X7" s="10"/>
      <c r="Y7" s="10"/>
      <c r="Z7" s="10"/>
      <c r="AA7" s="10"/>
    </row>
    <row r="8" customFormat="false" ht="12.75" hidden="false" customHeight="false" outlineLevel="0" collapsed="false">
      <c r="A8" s="10"/>
      <c r="B8" s="10"/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17</v>
      </c>
      <c r="O8" s="10" t="s">
        <v>18</v>
      </c>
      <c r="P8" s="10" t="s">
        <v>7</v>
      </c>
      <c r="Q8" s="10" t="s">
        <v>8</v>
      </c>
      <c r="R8" s="10" t="s">
        <v>9</v>
      </c>
      <c r="S8" s="10" t="s">
        <v>10</v>
      </c>
      <c r="T8" s="10" t="s">
        <v>11</v>
      </c>
      <c r="U8" s="10" t="s">
        <v>12</v>
      </c>
      <c r="V8" s="10" t="s">
        <v>6</v>
      </c>
      <c r="W8" s="10"/>
      <c r="X8" s="10"/>
      <c r="Y8" s="10"/>
      <c r="Z8" s="10"/>
      <c r="AA8" s="10"/>
    </row>
    <row r="9" customFormat="false" ht="20.25" hidden="false" customHeight="false" outlineLevel="0" collapsed="false">
      <c r="A9" s="24" t="s">
        <v>74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customFormat="false" ht="12.75" hidden="false" customHeight="false" outlineLevel="0" collapsed="false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customFormat="false" ht="12.75" hidden="false" customHeight="false" outlineLevel="0" collapsed="false">
      <c r="A11" s="9" t="s">
        <v>75</v>
      </c>
      <c r="C11" s="1" t="n">
        <f aca="false">Wilton!C47</f>
        <v>7140000</v>
      </c>
      <c r="D11" s="1" t="n">
        <f aca="false">Wilton!D47</f>
        <v>1296410</v>
      </c>
      <c r="E11" s="1" t="n">
        <f aca="false">Wilton!E47</f>
        <v>33024184</v>
      </c>
      <c r="F11" s="1" t="n">
        <f aca="false">Wilton!F47</f>
        <v>225882.6</v>
      </c>
      <c r="G11" s="1" t="n">
        <f aca="false">Wilton!G47</f>
        <v>1752232.9</v>
      </c>
      <c r="H11" s="1" t="n">
        <f aca="false">Wilton!H47</f>
        <v>18800373.5</v>
      </c>
      <c r="I11" s="1" t="n">
        <f aca="false">Wilton!I47</f>
        <v>8037788.40252083</v>
      </c>
      <c r="J11" s="1" t="n">
        <f aca="false">Wilton!J47</f>
        <v>8808343.96206088</v>
      </c>
      <c r="K11" s="1" t="n">
        <f aca="false">Wilton!K47</f>
        <v>6987028.92872204</v>
      </c>
      <c r="L11" s="1" t="n">
        <f aca="false">Wilton!L47</f>
        <v>7789242.4890361</v>
      </c>
      <c r="M11" s="1" t="n">
        <f aca="false">Wilton!M47</f>
        <v>11600775.8308585</v>
      </c>
      <c r="N11" s="1" t="n">
        <f aca="false">Wilton!N47</f>
        <v>17679921.6272104</v>
      </c>
      <c r="O11" s="1" t="n">
        <f aca="false">Wilton!O47</f>
        <v>39358504.8537675</v>
      </c>
      <c r="P11" s="1" t="n">
        <f aca="false">Wilton!P47</f>
        <v>33885461.5007952</v>
      </c>
      <c r="Q11" s="1" t="n">
        <f aca="false">Wilton!Q47</f>
        <v>16495261.211824</v>
      </c>
      <c r="R11" s="1" t="n">
        <f aca="false">Wilton!R47</f>
        <v>9972018.00143334</v>
      </c>
      <c r="S11" s="1" t="n">
        <f aca="false">Wilton!S47</f>
        <v>11059183.8645012</v>
      </c>
      <c r="T11" s="1" t="n">
        <f aca="false">Wilton!T47</f>
        <v>5975460.42668643</v>
      </c>
      <c r="U11" s="1" t="n">
        <f aca="false">Wilton!U47</f>
        <v>15083814.7745696</v>
      </c>
      <c r="V11" s="1" t="n">
        <f aca="false">Wilton!Y47</f>
        <v>254971888.873986</v>
      </c>
      <c r="W11" s="1"/>
      <c r="X11" s="1"/>
      <c r="Y11" s="1"/>
      <c r="Z11" s="1"/>
      <c r="AA11" s="1"/>
      <c r="AB11" s="1"/>
      <c r="AC11" s="1"/>
      <c r="AD11" s="1"/>
      <c r="AE11" s="1"/>
    </row>
    <row r="12" customFormat="false" ht="12.75" hidden="false" customHeight="false" outlineLevel="0" collapsed="false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customFormat="false" ht="12.75" hidden="false" customHeight="false" outlineLevel="0" collapsed="false">
      <c r="A13" s="9" t="s">
        <v>76</v>
      </c>
      <c r="C13" s="1" t="n">
        <f aca="false">Gleason!C46</f>
        <v>0</v>
      </c>
      <c r="D13" s="1" t="n">
        <f aca="false">Gleason!D46</f>
        <v>0</v>
      </c>
      <c r="E13" s="1" t="n">
        <f aca="false">Gleason!E46</f>
        <v>0</v>
      </c>
      <c r="F13" s="1" t="n">
        <f aca="false">Gleason!F46</f>
        <v>0</v>
      </c>
      <c r="G13" s="1" t="n">
        <f aca="false">Gleason!G46</f>
        <v>0</v>
      </c>
      <c r="H13" s="1" t="n">
        <f aca="false">Gleason!H46</f>
        <v>0</v>
      </c>
      <c r="I13" s="1" t="n">
        <f aca="false">Gleason!I46</f>
        <v>0</v>
      </c>
      <c r="J13" s="1" t="n">
        <f aca="false">Gleason!J46</f>
        <v>0</v>
      </c>
      <c r="K13" s="1" t="n">
        <f aca="false">Gleason!L46</f>
        <v>93152637</v>
      </c>
      <c r="L13" s="1" t="n">
        <f aca="false">Gleason!M46</f>
        <v>709310.93</v>
      </c>
      <c r="M13" s="1" t="n">
        <f aca="false">Gleason!N46</f>
        <v>2178270.25600972</v>
      </c>
      <c r="N13" s="1" t="n">
        <f aca="false">Gleason!O46</f>
        <v>7520808.75656311</v>
      </c>
      <c r="O13" s="1" t="n">
        <f aca="false">Gleason!P46</f>
        <v>6841773.75634866</v>
      </c>
      <c r="P13" s="1" t="n">
        <f aca="false">Gleason!Q46</f>
        <v>10354572.0032085</v>
      </c>
      <c r="Q13" s="1" t="n">
        <f aca="false">Gleason!R46</f>
        <v>10119571.2058134</v>
      </c>
      <c r="R13" s="1" t="n">
        <f aca="false">Gleason!S46</f>
        <v>9519640.47090738</v>
      </c>
      <c r="S13" s="1" t="n">
        <f aca="false">Gleason!T46</f>
        <v>9848792.25612896</v>
      </c>
      <c r="T13" s="1" t="n">
        <f aca="false">Gleason!U46</f>
        <v>7413875.5241867</v>
      </c>
      <c r="U13" s="1" t="n">
        <f aca="false">Gleason!V46</f>
        <v>12861653.2321177</v>
      </c>
      <c r="V13" s="1" t="n">
        <f aca="false">Gleason!Z46</f>
        <v>170520905.391284</v>
      </c>
      <c r="W13" s="1"/>
      <c r="X13" s="1"/>
      <c r="Y13" s="1"/>
      <c r="Z13" s="1"/>
      <c r="AA13" s="1"/>
      <c r="AB13" s="1"/>
      <c r="AC13" s="1"/>
      <c r="AD13" s="1"/>
      <c r="AE13" s="1"/>
    </row>
    <row r="14" customFormat="false" ht="12.75" hidden="false" customHeight="false" outlineLevel="0" collapsed="false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customFormat="false" ht="12.75" hidden="false" customHeight="false" outlineLevel="0" collapsed="false">
      <c r="A15" s="2" t="s">
        <v>77</v>
      </c>
      <c r="C15" s="1" t="n">
        <f aca="false">Wheatland!C46</f>
        <v>17087218</v>
      </c>
      <c r="D15" s="1" t="n">
        <f aca="false">Wheatland!D46</f>
        <v>43641491</v>
      </c>
      <c r="E15" s="1" t="n">
        <f aca="false">Wheatland!E46</f>
        <v>4681548</v>
      </c>
      <c r="F15" s="1" t="n">
        <f aca="false">Wheatland!F46</f>
        <v>362603.6</v>
      </c>
      <c r="G15" s="1" t="n">
        <f aca="false">Wheatland!G46</f>
        <v>4745094.59</v>
      </c>
      <c r="H15" s="1" t="n">
        <f aca="false">Wheatland!H46</f>
        <v>9091692.23</v>
      </c>
      <c r="I15" s="1" t="n">
        <f aca="false">Wheatland!I46</f>
        <v>497761.128620833</v>
      </c>
      <c r="J15" s="1" t="n">
        <f aca="false">Wheatland!J46</f>
        <v>1048367.48213836</v>
      </c>
      <c r="K15" s="1" t="n">
        <f aca="false">Wheatland!K46</f>
        <v>1496281.67641661</v>
      </c>
      <c r="L15" s="1" t="n">
        <f aca="false">Wheatland!L46</f>
        <v>1780115.93</v>
      </c>
      <c r="M15" s="1" t="n">
        <f aca="false">Wheatland!M46</f>
        <v>1566383.40884026</v>
      </c>
      <c r="N15" s="1" t="n">
        <f aca="false">Wheatland!N46</f>
        <v>5481999.34096592</v>
      </c>
      <c r="O15" s="1" t="n">
        <f aca="false">Wheatland!O46</f>
        <v>4543589.92564781</v>
      </c>
      <c r="P15" s="1" t="n">
        <f aca="false">Wheatland!P46</f>
        <v>9182819.13452652</v>
      </c>
      <c r="Q15" s="1" t="n">
        <f aca="false">Wheatland!Q46</f>
        <v>10681694.1217049</v>
      </c>
      <c r="R15" s="1" t="n">
        <f aca="false">Wheatland!R46</f>
        <v>10879375.6578155</v>
      </c>
      <c r="S15" s="1" t="n">
        <f aca="false">Wheatland!S46</f>
        <v>7964606.60210788</v>
      </c>
      <c r="T15" s="1" t="n">
        <f aca="false">Wheatland!T46</f>
        <v>7386362.74259346</v>
      </c>
      <c r="U15" s="1" t="n">
        <f aca="false">Wheatland!U46</f>
        <v>16289738.0019733</v>
      </c>
      <c r="V15" s="1" t="n">
        <f aca="false">Wheatland!Y46</f>
        <v>160572274.028951</v>
      </c>
      <c r="W15" s="1"/>
      <c r="X15" s="1"/>
      <c r="Y15" s="1"/>
      <c r="Z15" s="1"/>
      <c r="AA15" s="1"/>
      <c r="AB15" s="1"/>
      <c r="AC15" s="1"/>
      <c r="AD15" s="1"/>
      <c r="AE15" s="1"/>
    </row>
    <row r="16" customFormat="false" ht="12.75" hidden="false" customHeight="false" outlineLevel="0" collapsed="false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1"/>
      <c r="X16" s="1"/>
      <c r="Y16" s="1"/>
      <c r="Z16" s="1"/>
      <c r="AA16" s="1"/>
      <c r="AB16" s="1"/>
      <c r="AC16" s="1"/>
      <c r="AD16" s="1"/>
      <c r="AE16" s="1"/>
    </row>
    <row r="17" customFormat="false" ht="12.75" hidden="false" customHeight="false" outlineLevel="0" collapsed="false">
      <c r="A17" s="26" t="s">
        <v>78</v>
      </c>
      <c r="C17" s="1" t="n">
        <f aca="false">SUM(C10:C15)</f>
        <v>24227218</v>
      </c>
      <c r="D17" s="1" t="n">
        <f aca="false">SUM(D10:D15)</f>
        <v>44937901</v>
      </c>
      <c r="E17" s="1" t="n">
        <f aca="false">SUM(E10:E15)</f>
        <v>37705732</v>
      </c>
      <c r="F17" s="1" t="n">
        <f aca="false">SUM(F10:F15)</f>
        <v>588486.2</v>
      </c>
      <c r="G17" s="1" t="n">
        <f aca="false">SUM(G10:G15)</f>
        <v>6497327.49</v>
      </c>
      <c r="H17" s="1" t="n">
        <f aca="false">SUM(H10:H15)</f>
        <v>27892065.73</v>
      </c>
      <c r="I17" s="1" t="n">
        <f aca="false">SUM(I10:I15)</f>
        <v>8535549.53114167</v>
      </c>
      <c r="J17" s="1" t="n">
        <f aca="false">SUM(J10:J15)</f>
        <v>9856711.44419924</v>
      </c>
      <c r="K17" s="1" t="n">
        <f aca="false">SUM(K10:K15)</f>
        <v>101635947.605139</v>
      </c>
      <c r="L17" s="1" t="n">
        <f aca="false">SUM(L10:L15)</f>
        <v>10278669.3490361</v>
      </c>
      <c r="M17" s="1" t="n">
        <f aca="false">SUM(M10:M15)</f>
        <v>15345429.4957085</v>
      </c>
      <c r="N17" s="1" t="n">
        <f aca="false">SUM(N10:N15)</f>
        <v>30682729.7247394</v>
      </c>
      <c r="O17" s="1" t="n">
        <f aca="false">SUM(O10:O15)</f>
        <v>50743868.535764</v>
      </c>
      <c r="P17" s="1" t="n">
        <f aca="false">SUM(P10:P15)</f>
        <v>53422852.6385302</v>
      </c>
      <c r="Q17" s="1" t="n">
        <f aca="false">SUM(Q10:Q15)</f>
        <v>37296526.5393423</v>
      </c>
      <c r="R17" s="1" t="n">
        <f aca="false">SUM(R10:R15)</f>
        <v>30371034.1301563</v>
      </c>
      <c r="S17" s="1" t="n">
        <f aca="false">SUM(S10:S15)</f>
        <v>28872582.722738</v>
      </c>
      <c r="T17" s="1" t="n">
        <f aca="false">SUM(T10:T15)</f>
        <v>20775698.6934666</v>
      </c>
      <c r="U17" s="1" t="n">
        <f aca="false">SUM(U10:U15)</f>
        <v>44235206.0086606</v>
      </c>
      <c r="V17" s="1" t="n">
        <f aca="false">SUM(V10:V15)</f>
        <v>586065068.294221</v>
      </c>
      <c r="W17" s="1"/>
      <c r="X17" s="1"/>
      <c r="Y17" s="1"/>
      <c r="Z17" s="1"/>
      <c r="AA17" s="1"/>
      <c r="AB17" s="1"/>
      <c r="AC17" s="1"/>
      <c r="AD17" s="1"/>
      <c r="AE17" s="1"/>
    </row>
    <row r="18" customFormat="false" ht="12.75" hidden="false" customHeight="false" outlineLevel="0" collapsed="false">
      <c r="A18" s="2" t="s">
        <v>79</v>
      </c>
      <c r="B18" s="2"/>
      <c r="C18" s="2" t="n">
        <f aca="false">C17</f>
        <v>24227218</v>
      </c>
      <c r="D18" s="2" t="n">
        <f aca="false">C18+D17</f>
        <v>69165119</v>
      </c>
      <c r="E18" s="2" t="n">
        <f aca="false">D18+E17</f>
        <v>106870851</v>
      </c>
      <c r="F18" s="2" t="n">
        <f aca="false">E18+F17</f>
        <v>107459337.2</v>
      </c>
      <c r="G18" s="2" t="n">
        <f aca="false">F18+G17</f>
        <v>113956664.69</v>
      </c>
      <c r="H18" s="2" t="n">
        <f aca="false">G18+H17</f>
        <v>141848730.42</v>
      </c>
      <c r="I18" s="2" t="n">
        <f aca="false">H18+I17</f>
        <v>150384279.951142</v>
      </c>
      <c r="J18" s="2" t="n">
        <f aca="false">I18+J17</f>
        <v>160240991.395341</v>
      </c>
      <c r="K18" s="2" t="n">
        <f aca="false">J18+K17</f>
        <v>261876939.00048</v>
      </c>
      <c r="L18" s="2" t="n">
        <f aca="false">K18+L17</f>
        <v>272155608.349516</v>
      </c>
      <c r="M18" s="2" t="n">
        <f aca="false">L18+M17</f>
        <v>287501037.845224</v>
      </c>
      <c r="N18" s="2" t="n">
        <f aca="false">M18+N17</f>
        <v>318183767.569964</v>
      </c>
      <c r="O18" s="2" t="n">
        <f aca="false">N18+O17</f>
        <v>368927636.105728</v>
      </c>
      <c r="P18" s="2" t="n">
        <f aca="false">O18+P17</f>
        <v>422350488.744258</v>
      </c>
      <c r="Q18" s="2" t="n">
        <f aca="false">P18+Q17</f>
        <v>459647015.2836</v>
      </c>
      <c r="R18" s="2" t="n">
        <f aca="false">Q18+R17</f>
        <v>490018049.413756</v>
      </c>
      <c r="S18" s="2" t="n">
        <f aca="false">R18+S17</f>
        <v>518890632.136494</v>
      </c>
      <c r="T18" s="2" t="n">
        <f aca="false">S18+T17</f>
        <v>539666330.829961</v>
      </c>
      <c r="U18" s="2" t="n">
        <f aca="false">T18+U17</f>
        <v>583901536.838621</v>
      </c>
      <c r="V18" s="2"/>
      <c r="W18" s="2"/>
      <c r="X18" s="2"/>
      <c r="Y18" s="2"/>
      <c r="Z18" s="2"/>
      <c r="AA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customFormat="false" ht="12.75" hidden="false" customHeight="false" outlineLevel="0" collapsed="false">
      <c r="A20" s="27"/>
      <c r="B20" s="2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8"/>
      <c r="W20" s="28"/>
      <c r="X20" s="28"/>
      <c r="Y20" s="28"/>
      <c r="Z20" s="28"/>
      <c r="AA20" s="28"/>
      <c r="AB20" s="1"/>
      <c r="AC20" s="1"/>
      <c r="AD20" s="1"/>
      <c r="AE20" s="1"/>
    </row>
    <row r="21" customFormat="false" ht="12.75" hidden="false" customHeight="false" outlineLevel="0" collapsed="false">
      <c r="A21" s="27"/>
      <c r="B21" s="2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customFormat="false" ht="12.75" hidden="false" customHeight="false" outlineLevel="0" collapsed="false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customFormat="false" ht="12.75" hidden="false" customHeight="false" outlineLevel="0" collapsed="false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customFormat="false" ht="12.75" hidden="false" customHeight="false" outlineLevel="0" collapsed="false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customFormat="false" ht="12.75" hidden="false" customHeight="false" outlineLevel="0" collapsed="false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customFormat="false" ht="12.75" hidden="false" customHeight="false" outlineLevel="0" collapsed="false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customFormat="false" ht="12.75" hidden="false" customHeight="false" outlineLevel="0" collapsed="false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customFormat="false" ht="12.75" hidden="false" customHeight="false" outlineLevel="0" collapsed="false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customFormat="false" ht="12.75" hidden="false" customHeight="false" outlineLevel="0" collapsed="false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customFormat="false" ht="12.75" hidden="false" customHeight="false" outlineLevel="0" collapsed="false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customFormat="false" ht="12.75" hidden="false" customHeight="false" outlineLevel="0" collapsed="false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customFormat="false" ht="12.75" hidden="false" customHeight="false" outlineLevel="0" collapsed="false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customFormat="false" ht="12.75" hidden="false" customHeight="false" outlineLevel="0" collapsed="false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</sheetData>
  <mergeCells count="2">
    <mergeCell ref="D7:O7"/>
    <mergeCell ref="P7:V7"/>
  </mergeCells>
  <printOptions headings="false" gridLines="false" gridLinesSet="true" horizontalCentered="false" verticalCentered="false"/>
  <pageMargins left="0.179861111111111" right="0.159722222222222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M33" activePane="bottomRight" state="frozen"/>
      <selection pane="topLeft" activeCell="A1" activeCellId="0" sqref="A1"/>
      <selection pane="topRight" activeCell="M1" activeCellId="0" sqref="M1"/>
      <selection pane="bottomLeft" activeCell="A33" activeCellId="0" sqref="A33"/>
      <selection pane="bottomRight" activeCell="O37" activeCellId="0" sqref="O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11" min="5" style="1" width="11.28"/>
    <col collapsed="false" customWidth="true" hidden="false" outlineLevel="0" max="12" min="12" style="1" width="12.28"/>
    <col collapsed="false" customWidth="true" hidden="false" outlineLevel="0" max="14" min="13" style="1" width="11.85"/>
    <col collapsed="false" customWidth="true" hidden="false" outlineLevel="0" max="17" min="15" style="1" width="12.28"/>
    <col collapsed="false" customWidth="true" hidden="true" outlineLevel="0" max="22" min="18" style="1" width="12.28"/>
    <col collapsed="false" customWidth="true" hidden="true" outlineLevel="0" max="23" min="23" style="1" width="12.85"/>
    <col collapsed="false" customWidth="true" hidden="false" outlineLevel="0" max="24" min="24" style="2" width="13.56"/>
    <col collapsed="false" customWidth="true" hidden="false" outlineLevel="0" max="25" min="25" style="1" width="19.99"/>
    <col collapsed="false" customWidth="true" hidden="false" outlineLevel="0" max="26" min="26" style="1" width="11.28"/>
    <col collapsed="false" customWidth="false" hidden="false" outlineLevel="0" max="257" min="27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December 24,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 t="str">
        <f aca="true">CELL("filename")</f>
        <v>'file:///mnt/12tb/@roms/datasets/enron/EDRM Enron Email Data Set v2 XML/filtered-attachments/xls/Draw_Sched___122899.xls'#$Calvert City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7" t="n">
        <f aca="true">NOW()</f>
        <v>45926.9532411015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 t="s">
        <v>76</v>
      </c>
      <c r="N5" s="12" t="s">
        <v>80</v>
      </c>
      <c r="O5" s="12"/>
      <c r="P5" s="12"/>
      <c r="Q5" s="12"/>
      <c r="R5" s="12" t="s">
        <v>5</v>
      </c>
      <c r="S5" s="12"/>
      <c r="T5" s="12"/>
      <c r="U5" s="12"/>
      <c r="V5" s="12"/>
      <c r="W5" s="12"/>
      <c r="X5" s="12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81</v>
      </c>
      <c r="N6" s="10" t="s">
        <v>82</v>
      </c>
      <c r="O6" s="10" t="s">
        <v>16</v>
      </c>
      <c r="P6" s="10" t="s">
        <v>17</v>
      </c>
      <c r="Q6" s="10" t="s">
        <v>18</v>
      </c>
      <c r="R6" s="10" t="s">
        <v>7</v>
      </c>
      <c r="S6" s="10" t="s">
        <v>8</v>
      </c>
      <c r="T6" s="10" t="s">
        <v>9</v>
      </c>
      <c r="U6" s="10" t="s">
        <v>10</v>
      </c>
      <c r="V6" s="10" t="s">
        <v>11</v>
      </c>
      <c r="W6" s="10" t="s">
        <v>12</v>
      </c>
      <c r="X6" s="13" t="s">
        <v>6</v>
      </c>
      <c r="Y6" s="13" t="s">
        <v>19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4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57</v>
      </c>
      <c r="X8" s="16"/>
    </row>
    <row r="9" customFormat="false" ht="12.75" hidden="false" customHeight="false" outlineLevel="0" collapsed="false">
      <c r="A9" s="9" t="s">
        <v>58</v>
      </c>
      <c r="X9" s="16"/>
    </row>
    <row r="10" customFormat="false" ht="12.75" hidden="false" customHeight="false" outlineLevel="0" collapsed="false">
      <c r="A10" s="1" t="s">
        <v>59</v>
      </c>
      <c r="C10" s="2" t="n">
        <f aca="false">11990800+234000</f>
        <v>12224800</v>
      </c>
      <c r="D10" s="1" t="n">
        <v>31276400</v>
      </c>
      <c r="E10" s="1" t="n">
        <v>3107550</v>
      </c>
      <c r="G10" s="1" t="n">
        <v>3107250</v>
      </c>
      <c r="H10" s="1" t="n">
        <v>6240218.71</v>
      </c>
      <c r="J10" s="1" t="n">
        <v>107199</v>
      </c>
      <c r="K10" s="1" t="n">
        <v>393211</v>
      </c>
      <c r="M10" s="1" t="n">
        <f aca="false">-56349430-107199</f>
        <v>-56456629</v>
      </c>
      <c r="X10" s="16" t="n">
        <f aca="false">SUM(C10:W10)</f>
        <v>-0.28999999910593</v>
      </c>
      <c r="Y10" s="23" t="s">
        <v>23</v>
      </c>
    </row>
    <row r="11" customFormat="false" ht="12.75" hidden="false" customHeight="false" outlineLevel="0" collapsed="false">
      <c r="A11" s="1" t="s">
        <v>60</v>
      </c>
      <c r="C11" s="2" t="n">
        <v>17151750</v>
      </c>
      <c r="D11" s="1" t="n">
        <v>12474000</v>
      </c>
      <c r="E11" s="1" t="n">
        <v>0</v>
      </c>
      <c r="K11" s="1" t="n">
        <v>0</v>
      </c>
      <c r="M11" s="1" t="n">
        <f aca="false">-29625750</f>
        <v>-29625750</v>
      </c>
      <c r="X11" s="16" t="n">
        <f aca="false">SUM(C11:W11)</f>
        <v>0</v>
      </c>
      <c r="Y11" s="23" t="s">
        <v>23</v>
      </c>
      <c r="Z11" s="1" t="n">
        <f aca="false">SUM(X10:X11)</f>
        <v>-0.28999999910593</v>
      </c>
    </row>
    <row r="12" customFormat="false" ht="12.75" hidden="false" customHeight="false" outlineLevel="0" collapsed="false">
      <c r="A12" s="1" t="s">
        <v>24</v>
      </c>
      <c r="C12" s="2" t="n">
        <v>0</v>
      </c>
      <c r="J12" s="1" t="n">
        <v>293461</v>
      </c>
      <c r="K12" s="1" t="n">
        <v>883701.65</v>
      </c>
      <c r="M12" s="1" t="n">
        <v>-1177162</v>
      </c>
      <c r="X12" s="16" t="n">
        <f aca="false">SUM(C12:W12)</f>
        <v>0.649999999906868</v>
      </c>
      <c r="Y12" s="23" t="s">
        <v>23</v>
      </c>
      <c r="Z12" s="1" t="n">
        <v>5885811</v>
      </c>
    </row>
    <row r="13" customFormat="false" ht="12.75" hidden="false" customHeight="false" outlineLevel="0" collapsed="false">
      <c r="A13" s="1" t="s">
        <v>83</v>
      </c>
      <c r="J13" s="1" t="n">
        <f aca="false">929800/12</f>
        <v>77483.3333333333</v>
      </c>
      <c r="K13" s="1" t="n">
        <f aca="false">929800/12</f>
        <v>77483.3333333333</v>
      </c>
      <c r="L13" s="1" t="n">
        <f aca="false">929800/12</f>
        <v>77483.3333333333</v>
      </c>
      <c r="M13" s="1" t="n">
        <v>-232450</v>
      </c>
      <c r="X13" s="16" t="n">
        <f aca="false">SUM(C13:W13)</f>
        <v>0</v>
      </c>
      <c r="Y13" s="23" t="s">
        <v>23</v>
      </c>
      <c r="Z13" s="1" t="n">
        <v>929800</v>
      </c>
    </row>
    <row r="14" customFormat="false" ht="12.75" hidden="false" customHeight="false" outlineLevel="0" collapsed="false">
      <c r="A14" s="1" t="s">
        <v>84</v>
      </c>
      <c r="J14" s="1" t="n">
        <f aca="false">2840700/12</f>
        <v>236725</v>
      </c>
      <c r="K14" s="1" t="n">
        <f aca="false">2840700/12</f>
        <v>236725</v>
      </c>
      <c r="L14" s="1" t="n">
        <f aca="false">2840700/12</f>
        <v>236725</v>
      </c>
      <c r="M14" s="1" t="n">
        <f aca="false">-710172-3</f>
        <v>-710175</v>
      </c>
      <c r="X14" s="16" t="n">
        <f aca="false">SUM(C14:W14)</f>
        <v>0</v>
      </c>
      <c r="Y14" s="23" t="s">
        <v>23</v>
      </c>
      <c r="Z14" s="1" t="n">
        <v>2840700</v>
      </c>
    </row>
    <row r="15" customFormat="false" ht="12.75" hidden="false" customHeight="false" outlineLevel="0" collapsed="false">
      <c r="A15" s="1" t="s">
        <v>85</v>
      </c>
      <c r="X15" s="16" t="n">
        <f aca="false">SUM(C15:W15)</f>
        <v>0</v>
      </c>
      <c r="Y15" s="23" t="s">
        <v>23</v>
      </c>
      <c r="Z15" s="1" t="n">
        <v>3066700</v>
      </c>
    </row>
    <row r="16" customFormat="false" ht="12.75" hidden="false" customHeight="false" outlineLevel="0" collapsed="false">
      <c r="A16" s="1" t="s">
        <v>86</v>
      </c>
      <c r="C16" s="2" t="n">
        <v>0</v>
      </c>
      <c r="K16" s="1" t="n">
        <v>0</v>
      </c>
      <c r="X16" s="16" t="n">
        <f aca="false">SUM(C16:W16)</f>
        <v>0</v>
      </c>
      <c r="Y16" s="23" t="s">
        <v>23</v>
      </c>
      <c r="Z16" s="1" t="n">
        <f aca="false">41741400-X17-X18</f>
        <v>41741400</v>
      </c>
    </row>
    <row r="17" customFormat="false" ht="12.75" hidden="false" customHeight="false" outlineLevel="0" collapsed="false">
      <c r="A17" s="1" t="s">
        <v>87</v>
      </c>
      <c r="X17" s="16" t="n">
        <f aca="false">SUM(C17:W17)</f>
        <v>0</v>
      </c>
      <c r="Y17" s="23" t="s">
        <v>23</v>
      </c>
      <c r="Z17" s="1" t="n">
        <v>9230000</v>
      </c>
    </row>
    <row r="18" customFormat="false" ht="13.5" hidden="false" customHeight="true" outlineLevel="0" collapsed="false">
      <c r="A18" s="1" t="s">
        <v>88</v>
      </c>
      <c r="X18" s="16" t="n">
        <f aca="false">SUM(C18:W18)</f>
        <v>0</v>
      </c>
      <c r="Y18" s="23" t="s">
        <v>23</v>
      </c>
      <c r="Z18" s="1" t="n">
        <v>2125800</v>
      </c>
    </row>
    <row r="19" customFormat="false" ht="12.75" hidden="false" customHeight="false" outlineLevel="0" collapsed="false">
      <c r="A19" s="1" t="s">
        <v>27</v>
      </c>
      <c r="C19" s="2" t="n">
        <v>0</v>
      </c>
      <c r="X19" s="16" t="n">
        <f aca="false">SUM(C19:W19)</f>
        <v>0</v>
      </c>
      <c r="Y19" s="23" t="s">
        <v>28</v>
      </c>
      <c r="Z19" s="1" t="n">
        <v>908786</v>
      </c>
    </row>
    <row r="20" customFormat="false" ht="12.75" hidden="false" customHeight="false" outlineLevel="0" collapsed="false">
      <c r="A20" s="1" t="s">
        <v>29</v>
      </c>
      <c r="C20" s="2" t="n">
        <v>0</v>
      </c>
      <c r="X20" s="16" t="n">
        <f aca="false">SUM(C20:W20)</f>
        <v>0</v>
      </c>
      <c r="Y20" s="23" t="s">
        <v>23</v>
      </c>
      <c r="Z20" s="1" t="n">
        <v>1247007</v>
      </c>
    </row>
    <row r="21" customFormat="false" ht="12.75" hidden="false" customHeight="false" outlineLevel="0" collapsed="false">
      <c r="A21" s="1" t="s">
        <v>30</v>
      </c>
      <c r="C21" s="2" t="n">
        <v>0</v>
      </c>
      <c r="I21" s="1" t="n">
        <v>6000</v>
      </c>
      <c r="J21" s="1" t="n">
        <v>0</v>
      </c>
      <c r="K21" s="1" t="n">
        <v>0</v>
      </c>
      <c r="L21" s="1" t="n">
        <v>369040.52</v>
      </c>
      <c r="M21" s="1" t="n">
        <v>-369041</v>
      </c>
      <c r="N21" s="31" t="n">
        <v>-6000</v>
      </c>
      <c r="X21" s="16" t="n">
        <f aca="false">SUM(C21:W21)</f>
        <v>-0.479999999981374</v>
      </c>
      <c r="Y21" s="23" t="s">
        <v>61</v>
      </c>
      <c r="Z21" s="1" t="n">
        <v>453841</v>
      </c>
    </row>
    <row r="22" customFormat="false" ht="12.75" hidden="false" customHeight="false" outlineLevel="0" collapsed="false">
      <c r="A22" s="1" t="s">
        <v>32</v>
      </c>
      <c r="C22" s="2" t="n">
        <v>0</v>
      </c>
      <c r="F22" s="31"/>
      <c r="G22" s="1" t="n">
        <v>0</v>
      </c>
      <c r="H22" s="1" t="n">
        <v>239729</v>
      </c>
      <c r="I22" s="1" t="n">
        <v>46480</v>
      </c>
      <c r="J22" s="1" t="n">
        <f aca="false">62682</f>
        <v>62682</v>
      </c>
      <c r="K22" s="1" t="n">
        <v>7969</v>
      </c>
      <c r="L22" s="1" t="n">
        <v>9500</v>
      </c>
      <c r="M22" s="1" t="n">
        <f aca="false">-69419</f>
        <v>-69419</v>
      </c>
      <c r="N22" s="31" t="n">
        <f aca="false">-287441-9500</f>
        <v>-296941</v>
      </c>
      <c r="X22" s="16" t="n">
        <f aca="false">SUM(C22:W22)</f>
        <v>0</v>
      </c>
      <c r="Y22" s="23" t="str">
        <f aca="false">Y21</f>
        <v>Ben Jacoby</v>
      </c>
    </row>
    <row r="23" customFormat="false" ht="12.75" hidden="false" customHeight="false" outlineLevel="0" collapsed="false">
      <c r="A23" s="1" t="s">
        <v>33</v>
      </c>
      <c r="C23" s="2" t="n">
        <v>0</v>
      </c>
      <c r="F23" s="32"/>
      <c r="X23" s="16" t="n">
        <f aca="false">SUM(C23:W23)</f>
        <v>0</v>
      </c>
      <c r="Y23" s="23" t="s">
        <v>34</v>
      </c>
      <c r="Z23" s="1" t="n">
        <v>750000</v>
      </c>
    </row>
    <row r="24" customFormat="false" ht="12.75" hidden="false" customHeight="false" outlineLevel="0" collapsed="false">
      <c r="A24" s="1" t="s">
        <v>89</v>
      </c>
      <c r="F24" s="32"/>
      <c r="X24" s="16" t="n">
        <f aca="false">SUM(C24:W24)</f>
        <v>0</v>
      </c>
      <c r="Y24" s="23"/>
      <c r="Z24" s="1" t="n">
        <v>700000</v>
      </c>
    </row>
    <row r="25" customFormat="false" ht="12.75" hidden="false" customHeight="false" outlineLevel="0" collapsed="false">
      <c r="A25" s="1" t="s">
        <v>90</v>
      </c>
      <c r="F25" s="32"/>
      <c r="X25" s="16" t="n">
        <f aca="false">SUM(C25:W25)</f>
        <v>0</v>
      </c>
      <c r="Y25" s="23"/>
      <c r="Z25" s="1" t="n">
        <v>2200000</v>
      </c>
    </row>
    <row r="26" customFormat="false" ht="12.75" hidden="false" customHeight="false" outlineLevel="0" collapsed="false">
      <c r="A26" s="1" t="s">
        <v>36</v>
      </c>
      <c r="F26" s="32"/>
      <c r="X26" s="16" t="n">
        <f aca="false">SUM(C26:W26)</f>
        <v>0</v>
      </c>
      <c r="Y26" s="23" t="str">
        <f aca="false">Y19</f>
        <v>Kevin Presto</v>
      </c>
      <c r="Z26" s="1" t="n">
        <v>1000000</v>
      </c>
    </row>
    <row r="27" customFormat="false" ht="12.75" hidden="false" customHeight="false" outlineLevel="0" collapsed="false">
      <c r="A27" s="1" t="s">
        <v>63</v>
      </c>
      <c r="F27" s="32"/>
      <c r="X27" s="16" t="n">
        <f aca="false">SUM(C27:W27)</f>
        <v>0</v>
      </c>
      <c r="Y27" s="23" t="s">
        <v>64</v>
      </c>
      <c r="Z27" s="1" t="n">
        <v>256000</v>
      </c>
    </row>
    <row r="28" customFormat="false" ht="12.75" hidden="false" customHeight="false" outlineLevel="0" collapsed="false">
      <c r="A28" s="1" t="s">
        <v>37</v>
      </c>
      <c r="C28" s="2" t="n">
        <v>0</v>
      </c>
      <c r="F28" s="32"/>
      <c r="X28" s="16" t="n">
        <f aca="false">SUM(C28:W28)</f>
        <v>0</v>
      </c>
      <c r="Y28" s="23" t="str">
        <f aca="false">Y27</f>
        <v>Patrick Maloy</v>
      </c>
      <c r="Z28" s="1" t="n">
        <v>1750000</v>
      </c>
    </row>
    <row r="29" customFormat="false" ht="12.75" hidden="false" customHeight="false" outlineLevel="0" collapsed="false">
      <c r="A29" s="1" t="s">
        <v>38</v>
      </c>
      <c r="C29" s="2" t="n">
        <v>0</v>
      </c>
      <c r="F29" s="32"/>
      <c r="X29" s="16" t="n">
        <f aca="false">SUM(C29:W29)</f>
        <v>0</v>
      </c>
      <c r="Y29" s="23" t="str">
        <f aca="false">Y28</f>
        <v>Patrick Maloy</v>
      </c>
      <c r="Z29" s="1" t="n">
        <v>200000</v>
      </c>
    </row>
    <row r="30" customFormat="false" ht="12.75" hidden="false" customHeight="false" outlineLevel="0" collapsed="false">
      <c r="A30" s="1" t="s">
        <v>39</v>
      </c>
      <c r="C30" s="2" t="n">
        <v>0</v>
      </c>
      <c r="D30" s="1" t="n">
        <v>0</v>
      </c>
      <c r="E30" s="1" t="n">
        <v>0</v>
      </c>
      <c r="F30" s="15"/>
      <c r="G30" s="15" t="n">
        <v>4235</v>
      </c>
      <c r="H30" s="15" t="n">
        <v>20999</v>
      </c>
      <c r="I30" s="15" t="n">
        <v>10759.47</v>
      </c>
      <c r="J30" s="15" t="n">
        <v>6023</v>
      </c>
      <c r="K30" s="15" t="n">
        <v>6146</v>
      </c>
      <c r="L30" s="1" t="n">
        <v>0</v>
      </c>
      <c r="M30" s="15" t="n">
        <v>-33713</v>
      </c>
      <c r="N30" s="31" t="n">
        <v>-14448.6</v>
      </c>
      <c r="X30" s="16" t="n">
        <f aca="false">SUM(C30:W30)</f>
        <v>0.869999999998981</v>
      </c>
      <c r="Y30" s="23" t="str">
        <f aca="false">Y29</f>
        <v>Patrick Maloy</v>
      </c>
    </row>
    <row r="31" customFormat="false" ht="12.75" hidden="false" customHeight="false" outlineLevel="0" collapsed="false">
      <c r="A31" s="1" t="s">
        <v>40</v>
      </c>
      <c r="C31" s="2" t="n">
        <v>0</v>
      </c>
      <c r="F31" s="32"/>
      <c r="G31" s="1" t="n">
        <v>1154</v>
      </c>
      <c r="H31" s="1" t="n">
        <v>17366</v>
      </c>
      <c r="I31" s="1" t="n">
        <v>11430</v>
      </c>
      <c r="J31" s="1" t="n">
        <f aca="false">15497+1916.59</f>
        <v>17413.59</v>
      </c>
      <c r="K31" s="1" t="n">
        <f aca="false">12736+30287</f>
        <v>43023</v>
      </c>
      <c r="L31" s="1" t="n">
        <v>33474</v>
      </c>
      <c r="M31" s="1" t="n">
        <v>-129040</v>
      </c>
      <c r="N31" s="31" t="n">
        <v>5179</v>
      </c>
      <c r="X31" s="16" t="n">
        <f aca="false">SUM(C31:W31)</f>
        <v>-0.409999999999855</v>
      </c>
      <c r="Y31" s="23" t="str">
        <f aca="false">Y30</f>
        <v>Patrick Maloy</v>
      </c>
    </row>
    <row r="32" customFormat="false" ht="12.75" hidden="false" customHeight="false" outlineLevel="0" collapsed="false">
      <c r="A32" s="1" t="s">
        <v>41</v>
      </c>
      <c r="C32" s="2" t="n">
        <v>0</v>
      </c>
      <c r="H32" s="1" t="n">
        <f aca="false">60917-5510.85</f>
        <v>55406.15</v>
      </c>
      <c r="I32" s="1" t="n">
        <v>16078</v>
      </c>
      <c r="J32" s="1" t="n">
        <f aca="false">49418-12631-3302.46-787.02</f>
        <v>32697.52</v>
      </c>
      <c r="K32" s="1" t="n">
        <v>0</v>
      </c>
      <c r="L32" s="1" t="n">
        <v>0</v>
      </c>
      <c r="M32" s="1" t="n">
        <v>-14302</v>
      </c>
      <c r="N32" s="31" t="n">
        <f aca="false">-67672.28-22207.5</f>
        <v>-89879.78</v>
      </c>
      <c r="X32" s="16" t="n">
        <f aca="false">SUM(C32:W32)</f>
        <v>-0.110000000000582</v>
      </c>
      <c r="Y32" s="23" t="str">
        <f aca="false">Y31</f>
        <v>Patrick Maloy</v>
      </c>
    </row>
    <row r="33" customFormat="false" ht="12.75" hidden="false" customHeight="false" outlineLevel="0" collapsed="false">
      <c r="A33" s="1" t="s">
        <v>42</v>
      </c>
      <c r="C33" s="18" t="n">
        <f aca="false">SUM(C10:C32)</f>
        <v>29376550</v>
      </c>
      <c r="D33" s="18" t="n">
        <f aca="false">SUM(D10:D32)</f>
        <v>43750400</v>
      </c>
      <c r="E33" s="18" t="n">
        <f aca="false">SUM(E10:E32)</f>
        <v>3107550</v>
      </c>
      <c r="F33" s="18" t="n">
        <f aca="false">SUM(F10:F32)</f>
        <v>0</v>
      </c>
      <c r="G33" s="18" t="n">
        <f aca="false">SUM(G10:G32)</f>
        <v>3112639</v>
      </c>
      <c r="H33" s="18" t="n">
        <f aca="false">SUM(H10:H32)</f>
        <v>6573718.86</v>
      </c>
      <c r="I33" s="18" t="n">
        <f aca="false">SUM(I10:I32)</f>
        <v>90747.47</v>
      </c>
      <c r="J33" s="18" t="n">
        <f aca="false">SUM(J10:J32)</f>
        <v>833684.443333333</v>
      </c>
      <c r="K33" s="18" t="n">
        <f aca="false">SUM(K10:K32)</f>
        <v>1648258.98333333</v>
      </c>
      <c r="L33" s="18" t="n">
        <f aca="false">SUM(L10:L32)</f>
        <v>726222.853333333</v>
      </c>
      <c r="M33" s="18" t="n">
        <f aca="false">SUM(M10:M32)</f>
        <v>-88817681</v>
      </c>
      <c r="N33" s="18" t="n">
        <f aca="false">SUM(N10:N32)</f>
        <v>-402090.38</v>
      </c>
      <c r="O33" s="18" t="n">
        <f aca="false">SUM(O10:O32)</f>
        <v>0</v>
      </c>
      <c r="P33" s="18" t="n">
        <f aca="false">SUM(P10:P32)</f>
        <v>0</v>
      </c>
      <c r="Q33" s="18" t="n">
        <f aca="false">SUM(Q10:Q32)</f>
        <v>0</v>
      </c>
      <c r="R33" s="18" t="n">
        <f aca="false">SUM(R10:R32)</f>
        <v>0</v>
      </c>
      <c r="S33" s="18" t="n">
        <f aca="false">SUM(S10:S32)</f>
        <v>0</v>
      </c>
      <c r="T33" s="18" t="n">
        <f aca="false">SUM(T10:T32)</f>
        <v>0</v>
      </c>
      <c r="U33" s="18" t="n">
        <f aca="false">SUM(U10:U32)</f>
        <v>0</v>
      </c>
      <c r="V33" s="18" t="n">
        <f aca="false">SUM(V10:V32)</f>
        <v>0</v>
      </c>
      <c r="W33" s="18" t="n">
        <f aca="false">SUM(W10:W32)</f>
        <v>0</v>
      </c>
      <c r="X33" s="19" t="n">
        <f aca="false">SUM(C33:W33)</f>
        <v>0.230000000214204</v>
      </c>
    </row>
    <row r="34" customFormat="false" ht="12.75" hidden="false" customHeight="false" outlineLevel="0" collapsed="false">
      <c r="A34" s="1" t="s">
        <v>43</v>
      </c>
      <c r="C34" s="18" t="n">
        <f aca="false">+C33</f>
        <v>29376550</v>
      </c>
      <c r="D34" s="18" t="n">
        <f aca="false">+C34+D33</f>
        <v>73126950</v>
      </c>
      <c r="E34" s="18" t="n">
        <f aca="false">+D34+E33</f>
        <v>76234500</v>
      </c>
      <c r="F34" s="18" t="n">
        <f aca="false">+E34+F33</f>
        <v>76234500</v>
      </c>
      <c r="G34" s="18" t="n">
        <f aca="false">+F34+G33</f>
        <v>79347139</v>
      </c>
      <c r="H34" s="18" t="n">
        <f aca="false">+G34+H33</f>
        <v>85920857.86</v>
      </c>
      <c r="I34" s="18" t="n">
        <f aca="false">+H34+I33</f>
        <v>86011605.33</v>
      </c>
      <c r="J34" s="18" t="n">
        <f aca="false">+I34+J33</f>
        <v>86845289.7733333</v>
      </c>
      <c r="K34" s="18" t="n">
        <f aca="false">+J34+K33</f>
        <v>88493548.7566667</v>
      </c>
      <c r="L34" s="18" t="n">
        <f aca="false">+K34+L33</f>
        <v>89219771.61</v>
      </c>
      <c r="M34" s="18" t="n">
        <f aca="false">+K34+M33</f>
        <v>-324132.24333334</v>
      </c>
      <c r="N34" s="18" t="n">
        <f aca="false">+M34+N33</f>
        <v>-726222.62333334</v>
      </c>
      <c r="O34" s="18" t="n">
        <f aca="false">+L34+O33</f>
        <v>89219771.61</v>
      </c>
      <c r="P34" s="18" t="n">
        <f aca="false">+O34+P33</f>
        <v>89219771.61</v>
      </c>
      <c r="Q34" s="18" t="n">
        <f aca="false">+P34+Q33</f>
        <v>89219771.61</v>
      </c>
      <c r="R34" s="18" t="n">
        <f aca="false">+Q34+R33</f>
        <v>89219771.61</v>
      </c>
      <c r="S34" s="18" t="n">
        <f aca="false">+R34+S33</f>
        <v>89219771.61</v>
      </c>
      <c r="T34" s="18" t="n">
        <f aca="false">+S34+T33</f>
        <v>89219771.61</v>
      </c>
      <c r="U34" s="18" t="n">
        <f aca="false">+T34+U33</f>
        <v>89219771.61</v>
      </c>
      <c r="V34" s="18" t="n">
        <f aca="false">+U34+V33</f>
        <v>89219771.61</v>
      </c>
      <c r="W34" s="18" t="n">
        <f aca="false">+V34+W33</f>
        <v>89219771.61</v>
      </c>
      <c r="X34" s="16"/>
    </row>
    <row r="35" customFormat="false" ht="12.75" hidden="false" customHeight="false" outlineLevel="0" collapsed="false">
      <c r="A35" s="1" t="s">
        <v>44</v>
      </c>
      <c r="X35" s="21" t="n">
        <f aca="false">+X33/C52/1000</f>
        <v>4.50980392576871E-007</v>
      </c>
    </row>
    <row r="36" customFormat="false" ht="12.75" hidden="false" customHeight="false" outlineLevel="0" collapsed="false">
      <c r="X36" s="21"/>
    </row>
    <row r="37" customFormat="false" ht="12.75" hidden="false" customHeight="false" outlineLevel="0" collapsed="false">
      <c r="A37" s="1" t="s">
        <v>91</v>
      </c>
      <c r="F37" s="15" t="n">
        <v>-21556.4</v>
      </c>
      <c r="G37" s="15" t="n">
        <f aca="false">43113+23365.91</f>
        <v>66478.91</v>
      </c>
      <c r="H37" s="1" t="n">
        <v>-51000</v>
      </c>
      <c r="X37" s="16" t="n">
        <f aca="false">SUM(C37:W37)</f>
        <v>-6077.49</v>
      </c>
      <c r="Y37" s="17" t="s">
        <v>47</v>
      </c>
    </row>
    <row r="38" customFormat="false" ht="12.75" hidden="false" customHeight="false" outlineLevel="0" collapsed="false">
      <c r="A38" s="1" t="s">
        <v>45</v>
      </c>
      <c r="C38" s="2" t="n">
        <v>704264</v>
      </c>
      <c r="D38" s="1" t="n">
        <v>320324</v>
      </c>
      <c r="E38" s="1" t="n">
        <v>477081</v>
      </c>
      <c r="F38" s="15" t="n">
        <f aca="false">-11622+437418</f>
        <v>425796</v>
      </c>
      <c r="G38" s="15" t="n">
        <v>378280</v>
      </c>
      <c r="H38" s="15" t="n">
        <v>557261</v>
      </c>
      <c r="I38" s="15" t="n">
        <f aca="false">(I34+H43)*$C50/12</f>
        <v>481371.224966667</v>
      </c>
      <c r="J38" s="15" t="n">
        <f aca="false">(J34+I43)*$C50/12</f>
        <v>488494.443169958</v>
      </c>
      <c r="K38" s="15" t="n">
        <f aca="false">(K34+J43)*$C50/12</f>
        <v>500068.524230185</v>
      </c>
      <c r="L38" s="15" t="n">
        <v>0</v>
      </c>
      <c r="M38" s="15" t="n">
        <f aca="false">-K43</f>
        <v>-4326862.70236681</v>
      </c>
      <c r="N38" s="15" t="n">
        <v>0</v>
      </c>
      <c r="O38" s="15"/>
      <c r="P38" s="15"/>
      <c r="Q38" s="15"/>
      <c r="R38" s="15"/>
      <c r="S38" s="15"/>
      <c r="T38" s="15"/>
      <c r="U38" s="15"/>
      <c r="V38" s="15"/>
      <c r="W38" s="15"/>
      <c r="X38" s="16" t="n">
        <f aca="false">SUM(C38:W38)</f>
        <v>6077.48999999929</v>
      </c>
      <c r="Y38" s="17" t="str">
        <f aca="false">Y53</f>
        <v>Rodney Malcolm</v>
      </c>
    </row>
    <row r="39" customFormat="false" ht="12.75" hidden="false" customHeight="false" outlineLevel="0" collapsed="false">
      <c r="A39" s="1" t="s">
        <v>92</v>
      </c>
      <c r="C39" s="2" t="n">
        <v>0</v>
      </c>
      <c r="D39" s="1" t="n">
        <v>0</v>
      </c>
      <c r="E39" s="1" t="n">
        <v>0</v>
      </c>
      <c r="F39" s="15" t="n">
        <v>0</v>
      </c>
      <c r="G39" s="15" t="n">
        <v>0</v>
      </c>
      <c r="H39" s="15" t="n">
        <v>0</v>
      </c>
      <c r="I39" s="15" t="n">
        <v>0</v>
      </c>
      <c r="J39" s="15" t="n">
        <v>0</v>
      </c>
      <c r="K39" s="15" t="n">
        <v>0</v>
      </c>
      <c r="L39" s="15" t="n">
        <v>0</v>
      </c>
      <c r="M39" s="15" t="n">
        <v>0</v>
      </c>
      <c r="N39" s="15" t="n">
        <v>0</v>
      </c>
      <c r="O39" s="15" t="n">
        <v>0</v>
      </c>
      <c r="P39" s="15" t="n">
        <v>0</v>
      </c>
      <c r="Q39" s="15" t="n">
        <v>0</v>
      </c>
      <c r="R39" s="15"/>
      <c r="S39" s="15"/>
      <c r="T39" s="15"/>
      <c r="U39" s="15"/>
      <c r="V39" s="15"/>
      <c r="W39" s="15"/>
      <c r="X39" s="16" t="n">
        <f aca="false">SUM(C39:W39)</f>
        <v>0</v>
      </c>
      <c r="Y39" s="17" t="str">
        <f aca="false">Y38</f>
        <v>Rodney Malcolm</v>
      </c>
    </row>
    <row r="40" customFormat="false" ht="12.75" hidden="false" customHeight="false" outlineLevel="0" collapsed="false">
      <c r="A40" s="1" t="s">
        <v>46</v>
      </c>
      <c r="C40" s="2" t="n">
        <v>0</v>
      </c>
      <c r="X40" s="16" t="n">
        <f aca="false">SUM(C40:W40)</f>
        <v>0</v>
      </c>
      <c r="Y40" s="17" t="s">
        <v>47</v>
      </c>
    </row>
    <row r="41" customFormat="false" ht="12.75" hidden="false" customHeight="false" outlineLevel="0" collapsed="false">
      <c r="A41" s="1" t="s">
        <v>93</v>
      </c>
      <c r="C41" s="2" t="n">
        <v>0</v>
      </c>
      <c r="W41" s="1" t="n">
        <v>0</v>
      </c>
      <c r="X41" s="16" t="n">
        <f aca="false">SUM(C41:W41)</f>
        <v>0</v>
      </c>
      <c r="Y41" s="17" t="str">
        <f aca="false">Y22</f>
        <v>Ben Jacoby</v>
      </c>
    </row>
    <row r="42" customFormat="false" ht="12.75" hidden="false" customHeight="false" outlineLevel="0" collapsed="false">
      <c r="A42" s="1" t="s">
        <v>49</v>
      </c>
      <c r="C42" s="18" t="n">
        <f aca="false">SUM(C37:C41)</f>
        <v>704264</v>
      </c>
      <c r="D42" s="18" t="n">
        <f aca="false">SUM(D37:D41)</f>
        <v>320324</v>
      </c>
      <c r="E42" s="18" t="n">
        <f aca="false">SUM(E37:E41)</f>
        <v>477081</v>
      </c>
      <c r="F42" s="18" t="n">
        <f aca="false">SUM(F37:F41)</f>
        <v>404239.6</v>
      </c>
      <c r="G42" s="18" t="n">
        <f aca="false">SUM(G37:G41)</f>
        <v>444758.91</v>
      </c>
      <c r="H42" s="18" t="n">
        <f aca="false">SUM(H37:H41)</f>
        <v>506261</v>
      </c>
      <c r="I42" s="18" t="n">
        <f aca="false">SUM(I37:I41)</f>
        <v>481371.224966667</v>
      </c>
      <c r="J42" s="18" t="n">
        <f aca="false">SUM(J37:J41)</f>
        <v>488494.443169958</v>
      </c>
      <c r="K42" s="18" t="n">
        <f aca="false">SUM(K37:K41)</f>
        <v>500068.524230185</v>
      </c>
      <c r="L42" s="18" t="n">
        <f aca="false">SUM(L37:L41)</f>
        <v>0</v>
      </c>
      <c r="M42" s="18" t="n">
        <f aca="false">SUM(M37:M41)</f>
        <v>-4326862.70236681</v>
      </c>
      <c r="N42" s="18" t="n">
        <f aca="false">SUM(N37:N41)</f>
        <v>0</v>
      </c>
      <c r="O42" s="18" t="n">
        <f aca="false">SUM(O37:O41)</f>
        <v>0</v>
      </c>
      <c r="P42" s="18" t="n">
        <f aca="false">SUM(P37:P41)</f>
        <v>0</v>
      </c>
      <c r="Q42" s="18" t="n">
        <f aca="false">SUM(Q37:Q41)</f>
        <v>0</v>
      </c>
      <c r="R42" s="18" t="n">
        <f aca="false">SUM(R37:R41)</f>
        <v>0</v>
      </c>
      <c r="S42" s="18" t="n">
        <f aca="false">SUM(S37:S41)</f>
        <v>0</v>
      </c>
      <c r="T42" s="18" t="n">
        <f aca="false">SUM(T37:T41)</f>
        <v>0</v>
      </c>
      <c r="U42" s="18" t="n">
        <f aca="false">SUM(U37:U41)</f>
        <v>0</v>
      </c>
      <c r="V42" s="18" t="n">
        <f aca="false">SUM(V37:V41)</f>
        <v>0</v>
      </c>
      <c r="W42" s="18" t="n">
        <f aca="false">SUM(W37:W41)</f>
        <v>0</v>
      </c>
      <c r="X42" s="19" t="n">
        <f aca="false">SUM(C42:W42)</f>
        <v>0</v>
      </c>
    </row>
    <row r="43" customFormat="false" ht="12.75" hidden="false" customHeight="false" outlineLevel="0" collapsed="false">
      <c r="A43" s="1" t="s">
        <v>50</v>
      </c>
      <c r="C43" s="18" t="n">
        <f aca="false">+C42</f>
        <v>704264</v>
      </c>
      <c r="D43" s="18" t="n">
        <f aca="false">+D42+C43</f>
        <v>1024588</v>
      </c>
      <c r="E43" s="18" t="n">
        <f aca="false">+E42+D43</f>
        <v>1501669</v>
      </c>
      <c r="F43" s="18" t="n">
        <f aca="false">+F42+E43</f>
        <v>1905908.6</v>
      </c>
      <c r="G43" s="18" t="n">
        <f aca="false">+G42+F43</f>
        <v>2350667.51</v>
      </c>
      <c r="H43" s="18" t="n">
        <f aca="false">+H42+G43</f>
        <v>2856928.51</v>
      </c>
      <c r="I43" s="18" t="n">
        <f aca="false">+I42+H43</f>
        <v>3338299.73496667</v>
      </c>
      <c r="J43" s="18" t="n">
        <f aca="false">+J42+I43</f>
        <v>3826794.17813663</v>
      </c>
      <c r="K43" s="18" t="n">
        <f aca="false">+K42+J43</f>
        <v>4326862.70236681</v>
      </c>
      <c r="L43" s="18" t="n">
        <f aca="false">+L42+K43</f>
        <v>4326862.70236681</v>
      </c>
      <c r="M43" s="18" t="n">
        <f aca="false">+M42+L43</f>
        <v>0</v>
      </c>
      <c r="N43" s="18" t="n">
        <f aca="false">+N42+M43</f>
        <v>0</v>
      </c>
      <c r="O43" s="18" t="n">
        <f aca="false">+O42+N43</f>
        <v>0</v>
      </c>
      <c r="P43" s="18" t="n">
        <f aca="false">+P42+O43</f>
        <v>0</v>
      </c>
      <c r="Q43" s="18" t="n">
        <f aca="false">+Q42+P43</f>
        <v>0</v>
      </c>
      <c r="R43" s="18" t="n">
        <f aca="false">+R42+Q43</f>
        <v>0</v>
      </c>
      <c r="S43" s="18" t="n">
        <f aca="false">+S42+R43</f>
        <v>0</v>
      </c>
      <c r="T43" s="18" t="n">
        <f aca="false">+T42+S43</f>
        <v>0</v>
      </c>
      <c r="U43" s="18" t="n">
        <f aca="false">+U42+T43</f>
        <v>0</v>
      </c>
      <c r="V43" s="18" t="n">
        <f aca="false">+V42+U43</f>
        <v>0</v>
      </c>
      <c r="W43" s="18" t="n">
        <f aca="false">+W42+V43</f>
        <v>0</v>
      </c>
      <c r="X43" s="16"/>
    </row>
    <row r="44" customFormat="false" ht="12.75" hidden="false" customHeight="false" outlineLevel="0" collapsed="false">
      <c r="X44" s="16"/>
    </row>
    <row r="45" customFormat="false" ht="12.75" hidden="false" customHeight="false" outlineLevel="0" collapsed="false">
      <c r="A45" s="2" t="s">
        <v>65</v>
      </c>
      <c r="B45" s="2"/>
      <c r="C45" s="2" t="n">
        <f aca="false">+C33+C42</f>
        <v>30080814</v>
      </c>
      <c r="D45" s="2" t="n">
        <f aca="false">+D33+D42</f>
        <v>44070724</v>
      </c>
      <c r="E45" s="2" t="n">
        <f aca="false">+E33+E42</f>
        <v>3584631</v>
      </c>
      <c r="F45" s="2" t="n">
        <f aca="false">+F33+F42</f>
        <v>404239.6</v>
      </c>
      <c r="G45" s="2" t="n">
        <f aca="false">+G33+G42</f>
        <v>3557397.91</v>
      </c>
      <c r="H45" s="2" t="n">
        <f aca="false">+H33+H42</f>
        <v>7079979.86</v>
      </c>
      <c r="I45" s="2" t="n">
        <f aca="false">+I33+I42</f>
        <v>572118.694966667</v>
      </c>
      <c r="J45" s="2" t="n">
        <f aca="false">+J33+J42</f>
        <v>1322178.88650329</v>
      </c>
      <c r="K45" s="2" t="n">
        <f aca="false">+K33+K42</f>
        <v>2148327.50756352</v>
      </c>
      <c r="L45" s="2" t="n">
        <f aca="false">+L33+L42</f>
        <v>726222.853333333</v>
      </c>
      <c r="M45" s="2" t="n">
        <f aca="false">+M33+M42</f>
        <v>-93144543.7023668</v>
      </c>
      <c r="N45" s="2" t="n">
        <f aca="false">+N33+N42</f>
        <v>-402090.38</v>
      </c>
      <c r="O45" s="2" t="n">
        <f aca="false">+O33+O42</f>
        <v>0</v>
      </c>
      <c r="P45" s="2" t="n">
        <f aca="false">+P33+P42</f>
        <v>0</v>
      </c>
      <c r="Q45" s="2" t="n">
        <f aca="false">+Q33+Q42</f>
        <v>0</v>
      </c>
      <c r="R45" s="2" t="n">
        <f aca="false">+R33+R42</f>
        <v>0</v>
      </c>
      <c r="S45" s="2" t="n">
        <f aca="false">+S33+S42</f>
        <v>0</v>
      </c>
      <c r="T45" s="2" t="n">
        <f aca="false">+T33+T42</f>
        <v>0</v>
      </c>
      <c r="U45" s="2" t="n">
        <f aca="false">+U33+U42</f>
        <v>0</v>
      </c>
      <c r="V45" s="2" t="n">
        <f aca="false">+V33+V42</f>
        <v>0</v>
      </c>
      <c r="W45" s="2" t="n">
        <f aca="false">+W33+W42</f>
        <v>0</v>
      </c>
      <c r="X45" s="16" t="n">
        <f aca="false">SUM(C45:W45)</f>
        <v>0.229999995557591</v>
      </c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12.75" hidden="false" customHeight="false" outlineLevel="0" collapsed="false">
      <c r="A46" s="2" t="s">
        <v>52</v>
      </c>
      <c r="B46" s="2"/>
      <c r="C46" s="2" t="n">
        <f aca="false">C45</f>
        <v>30080814</v>
      </c>
      <c r="D46" s="2" t="n">
        <f aca="false">C46+D45</f>
        <v>74151538</v>
      </c>
      <c r="E46" s="2" t="n">
        <f aca="false">D46+E45</f>
        <v>77736169</v>
      </c>
      <c r="F46" s="2" t="n">
        <f aca="false">E46+F45</f>
        <v>78140408.6</v>
      </c>
      <c r="G46" s="2" t="n">
        <f aca="false">F46+G45</f>
        <v>81697806.51</v>
      </c>
      <c r="H46" s="2" t="n">
        <f aca="false">G46+H45</f>
        <v>88777786.37</v>
      </c>
      <c r="I46" s="2" t="n">
        <f aca="false">H46+I45</f>
        <v>89349905.0649667</v>
      </c>
      <c r="J46" s="2" t="n">
        <f aca="false">I46+J45</f>
        <v>90672083.95147</v>
      </c>
      <c r="K46" s="2" t="n">
        <f aca="false">J46+K45</f>
        <v>92820411.4590335</v>
      </c>
      <c r="L46" s="2" t="n">
        <f aca="false">K46+L45</f>
        <v>93546634.3123668</v>
      </c>
      <c r="M46" s="2" t="n">
        <f aca="false">L46+M45</f>
        <v>402090.609999999</v>
      </c>
      <c r="N46" s="2" t="n">
        <f aca="false">M46+N45</f>
        <v>0.229999999399297</v>
      </c>
      <c r="O46" s="2" t="n">
        <f aca="false">N46+O45</f>
        <v>0.229999999399297</v>
      </c>
      <c r="P46" s="2" t="n">
        <f aca="false">O46+P45</f>
        <v>0.229999999399297</v>
      </c>
      <c r="Q46" s="2" t="n">
        <f aca="false">P46+Q45</f>
        <v>0.229999999399297</v>
      </c>
      <c r="R46" s="2" t="n">
        <f aca="false">Q46+R45</f>
        <v>0.229999999399297</v>
      </c>
      <c r="S46" s="2" t="n">
        <f aca="false">R46+S45</f>
        <v>0.229999999399297</v>
      </c>
      <c r="T46" s="2" t="n">
        <f aca="false">S46+T45</f>
        <v>0.229999999399297</v>
      </c>
      <c r="U46" s="2" t="n">
        <f aca="false">T46+U45</f>
        <v>0.229999999399297</v>
      </c>
      <c r="V46" s="2" t="n">
        <f aca="false">U46+V45</f>
        <v>0.229999999399297</v>
      </c>
      <c r="W46" s="2" t="n">
        <f aca="false">V46+W45</f>
        <v>0.229999999399297</v>
      </c>
      <c r="X46" s="16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/>
      <c r="B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16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1" t="n">
        <f aca="false">+X45/C52/1000</f>
        <v>4.50980383446257E-007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94</v>
      </c>
      <c r="B50" s="2"/>
      <c r="C50" s="8" t="n">
        <v>0.065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16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95</v>
      </c>
      <c r="B51" s="2"/>
      <c r="C51" s="8" t="n">
        <v>0.0035</v>
      </c>
      <c r="D51" s="33" t="n">
        <v>174500000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16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44</v>
      </c>
      <c r="B52" s="2"/>
      <c r="C52" s="2" t="n">
        <v>510</v>
      </c>
      <c r="D52" s="2" t="s">
        <v>54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16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55</v>
      </c>
      <c r="C53" s="2" t="n">
        <v>0</v>
      </c>
      <c r="W53" s="1" t="n">
        <v>0</v>
      </c>
      <c r="X53" s="22" t="n">
        <f aca="false">SUM(C53:W53)</f>
        <v>0</v>
      </c>
      <c r="Y53" s="17" t="str">
        <f aca="false">Y40</f>
        <v>Rodney Malcolm</v>
      </c>
    </row>
    <row r="54" customFormat="false" ht="12.75" hidden="false" customHeight="false" outlineLevel="0" collapsed="false">
      <c r="A54" s="15"/>
      <c r="B54" s="2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16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56</v>
      </c>
      <c r="C55" s="2" t="n">
        <f aca="false">+C45-C38</f>
        <v>29376550</v>
      </c>
      <c r="D55" s="2" t="n">
        <f aca="false">+D45-D38</f>
        <v>43750400</v>
      </c>
      <c r="E55" s="2" t="n">
        <f aca="false">+E45-E38</f>
        <v>3107550</v>
      </c>
      <c r="F55" s="2" t="n">
        <f aca="false">+F45-F38</f>
        <v>-21556.4</v>
      </c>
      <c r="G55" s="2" t="n">
        <f aca="false">+G45-G38</f>
        <v>3179117.91</v>
      </c>
      <c r="H55" s="2" t="n">
        <f aca="false">+H45-H38</f>
        <v>6522718.86</v>
      </c>
      <c r="I55" s="2" t="n">
        <f aca="false">+I45-I38</f>
        <v>90747.47</v>
      </c>
      <c r="J55" s="2" t="n">
        <f aca="false">+J45-J38</f>
        <v>833684.443333333</v>
      </c>
      <c r="K55" s="2" t="n">
        <f aca="false">+K45-K38</f>
        <v>1648258.98333333</v>
      </c>
      <c r="L55" s="2" t="n">
        <f aca="false">+L45-L38</f>
        <v>726222.853333333</v>
      </c>
      <c r="M55" s="2" t="n">
        <f aca="false">+M45-M38</f>
        <v>-88817681</v>
      </c>
      <c r="N55" s="2" t="n">
        <f aca="false">+N45-N38</f>
        <v>-402090.38</v>
      </c>
      <c r="O55" s="2" t="n">
        <f aca="false">+O45-O38</f>
        <v>0</v>
      </c>
      <c r="P55" s="2" t="n">
        <f aca="false">+P45-P38</f>
        <v>0</v>
      </c>
      <c r="Q55" s="2" t="n">
        <f aca="false">+Q45-Q38</f>
        <v>0</v>
      </c>
      <c r="R55" s="2" t="n">
        <f aca="false">+R45-R38</f>
        <v>0</v>
      </c>
      <c r="S55" s="2" t="n">
        <f aca="false">+S45-S38</f>
        <v>0</v>
      </c>
      <c r="T55" s="2" t="n">
        <f aca="false">+T45-T38</f>
        <v>0</v>
      </c>
      <c r="U55" s="2" t="n">
        <f aca="false">+U45-U38</f>
        <v>0</v>
      </c>
      <c r="V55" s="2" t="n">
        <f aca="false">+V45-V38</f>
        <v>0</v>
      </c>
      <c r="W55" s="2" t="n">
        <f aca="false">+W45-W38</f>
        <v>0</v>
      </c>
      <c r="X55" s="16" t="n">
        <f aca="false">SUM(C55:W55)</f>
        <v>-6077.25999999984</v>
      </c>
    </row>
    <row r="56" customFormat="false" ht="12.75" hidden="false" customHeight="false" outlineLevel="0" collapsed="false">
      <c r="X56" s="16"/>
    </row>
    <row r="57" customFormat="false" ht="12.75" hidden="false" customHeight="false" outlineLevel="0" collapsed="false">
      <c r="X57" s="16"/>
    </row>
    <row r="58" customFormat="false" ht="20.25" hidden="false" customHeight="false" outlineLevel="0" collapsed="false">
      <c r="A58" s="24" t="s">
        <v>80</v>
      </c>
      <c r="X58" s="16"/>
    </row>
    <row r="59" customFormat="false" ht="12.75" hidden="false" customHeight="false" outlineLevel="0" collapsed="false">
      <c r="A59" s="9" t="s">
        <v>57</v>
      </c>
      <c r="X59" s="16"/>
    </row>
    <row r="60" customFormat="false" ht="12.75" hidden="false" customHeight="false" outlineLevel="0" collapsed="false">
      <c r="A60" s="1" t="s">
        <v>32</v>
      </c>
      <c r="C60" s="2" t="n">
        <v>0</v>
      </c>
      <c r="D60" s="1" t="n">
        <v>500</v>
      </c>
      <c r="E60" s="1" t="n">
        <v>43071</v>
      </c>
      <c r="F60" s="15" t="n">
        <f aca="false">36361-4000</f>
        <v>32361</v>
      </c>
      <c r="G60" s="1" t="n">
        <v>6649</v>
      </c>
      <c r="H60" s="1" t="n">
        <v>0</v>
      </c>
      <c r="I60" s="1" t="n">
        <v>0</v>
      </c>
      <c r="J60" s="1" t="n">
        <v>0</v>
      </c>
      <c r="K60" s="1" t="n">
        <v>0</v>
      </c>
      <c r="L60" s="1" t="n">
        <v>0</v>
      </c>
      <c r="N60" s="1" t="n">
        <f aca="false">-N22</f>
        <v>296941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V60" s="1" t="n">
        <v>0</v>
      </c>
      <c r="W60" s="1" t="n">
        <v>0</v>
      </c>
      <c r="X60" s="16" t="n">
        <f aca="false">SUM(C60:W60)</f>
        <v>379522</v>
      </c>
      <c r="Y60" s="23" t="str">
        <f aca="false">+Y$31</f>
        <v>Patrick Maloy</v>
      </c>
      <c r="Z60" s="1" t="n">
        <f aca="false">X60+X22</f>
        <v>379522</v>
      </c>
      <c r="AA60" s="1" t="e">
        <f aca="false">#REF!-Z60</f>
        <v>#REF!</v>
      </c>
    </row>
    <row r="61" customFormat="false" ht="12.75" hidden="false" customHeight="false" outlineLevel="0" collapsed="false">
      <c r="A61" s="1" t="s">
        <v>40</v>
      </c>
      <c r="C61" s="2" t="n">
        <v>0</v>
      </c>
      <c r="D61" s="1" t="n">
        <v>135</v>
      </c>
      <c r="E61" s="1" t="n">
        <f aca="false">49089-21984+7500</f>
        <v>34605</v>
      </c>
      <c r="F61" s="1" t="n">
        <f aca="false">7328</f>
        <v>7328</v>
      </c>
      <c r="G61" s="1" t="n">
        <f aca="false">1627</f>
        <v>1627</v>
      </c>
      <c r="H61" s="1" t="n">
        <v>0</v>
      </c>
      <c r="I61" s="1" t="n">
        <v>83611.75</v>
      </c>
      <c r="J61" s="1" t="n">
        <f aca="false">566.92+17351.64+16608.79+10439.68+3047.18</f>
        <v>48014.21</v>
      </c>
      <c r="K61" s="1" t="n">
        <v>0</v>
      </c>
      <c r="L61" s="1" t="n">
        <v>0</v>
      </c>
      <c r="N61" s="1" t="n">
        <f aca="false">6000+5179</f>
        <v>11179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V61" s="1" t="n">
        <v>0</v>
      </c>
      <c r="W61" s="1" t="n">
        <v>0</v>
      </c>
      <c r="X61" s="16" t="n">
        <f aca="false">SUM(C61:W61)</f>
        <v>186499.96</v>
      </c>
      <c r="Y61" s="23" t="str">
        <f aca="false">Y60</f>
        <v>Patrick Maloy</v>
      </c>
      <c r="Z61" s="1" t="n">
        <f aca="false">X61+X31</f>
        <v>186499.55</v>
      </c>
      <c r="AA61" s="1" t="e">
        <f aca="false">#REF!-Z61</f>
        <v>#REF!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21984</v>
      </c>
      <c r="F62" s="15" t="n">
        <v>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N62" s="1" t="n">
        <f aca="false">-N30</f>
        <v>14448.6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V62" s="1" t="n">
        <v>0</v>
      </c>
      <c r="W62" s="1" t="n">
        <v>0</v>
      </c>
      <c r="X62" s="16" t="n">
        <f aca="false">SUM(C62:W62)</f>
        <v>36432.6</v>
      </c>
      <c r="Y62" s="23" t="str">
        <f aca="false">Y61</f>
        <v>Patrick Maloy</v>
      </c>
      <c r="Z62" s="1" t="n">
        <f aca="false">X62+X30</f>
        <v>36433.47</v>
      </c>
      <c r="AA62" s="1" t="e">
        <f aca="false">#REF!-Z62</f>
        <v>#REF!</v>
      </c>
    </row>
    <row r="63" customFormat="false" ht="12.75" hidden="false" customHeight="false" outlineLevel="0" collapsed="false">
      <c r="A63" s="1" t="s">
        <v>41</v>
      </c>
      <c r="C63" s="2" t="n">
        <v>0</v>
      </c>
      <c r="E63" s="1" t="n">
        <v>0</v>
      </c>
      <c r="F63" s="15" t="n">
        <v>9963</v>
      </c>
      <c r="G63" s="1" t="n">
        <v>76235</v>
      </c>
      <c r="H63" s="1" t="n">
        <v>5510.85</v>
      </c>
      <c r="I63" s="1" t="n">
        <v>10271.2</v>
      </c>
      <c r="J63" s="1" t="n">
        <f aca="false">12631+3302.46+787.02</f>
        <v>16720.48</v>
      </c>
      <c r="K63" s="1" t="n">
        <v>0</v>
      </c>
      <c r="L63" s="1" t="n">
        <v>0</v>
      </c>
      <c r="N63" s="1" t="n">
        <f aca="false">-N32</f>
        <v>89879.78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V63" s="1" t="n">
        <v>0</v>
      </c>
      <c r="W63" s="1" t="n">
        <v>0</v>
      </c>
      <c r="X63" s="16" t="n">
        <f aca="false">SUM(C63:W63)</f>
        <v>208580.31</v>
      </c>
      <c r="Y63" s="23" t="str">
        <f aca="false">Y62</f>
        <v>Patrick Maloy</v>
      </c>
      <c r="Z63" s="1" t="n">
        <f aca="false">X63+X32</f>
        <v>208580.2</v>
      </c>
      <c r="AA63" s="1" t="e">
        <f aca="false">#REF!-Z63</f>
        <v>#REF!</v>
      </c>
    </row>
    <row r="64" customFormat="false" ht="12.75" hidden="false" customHeight="false" outlineLevel="0" collapsed="false">
      <c r="A64" s="2" t="s">
        <v>96</v>
      </c>
      <c r="C64" s="18" t="n">
        <f aca="false">SUM(C60:C63)</f>
        <v>0</v>
      </c>
      <c r="D64" s="18" t="n">
        <f aca="false">SUM(D60:D63)</f>
        <v>635</v>
      </c>
      <c r="E64" s="18" t="n">
        <f aca="false">SUM(E60:E63)</f>
        <v>99660</v>
      </c>
      <c r="F64" s="18" t="n">
        <f aca="false">SUM(F60:F63)</f>
        <v>49652</v>
      </c>
      <c r="G64" s="18" t="n">
        <f aca="false">SUM(G60:G63)</f>
        <v>84511</v>
      </c>
      <c r="H64" s="18" t="n">
        <f aca="false">SUM(H60:H63)</f>
        <v>5510.85</v>
      </c>
      <c r="I64" s="18" t="n">
        <f aca="false">SUM(I60:I63)</f>
        <v>93882.95</v>
      </c>
      <c r="J64" s="18" t="n">
        <f aca="false">SUM(J60:J63)</f>
        <v>64734.69</v>
      </c>
      <c r="K64" s="18" t="n">
        <f aca="false">SUM(K60:K63)</f>
        <v>0</v>
      </c>
      <c r="L64" s="18" t="n">
        <f aca="false">SUM(L60:L63)</f>
        <v>0</v>
      </c>
      <c r="M64" s="18" t="n">
        <f aca="false">SUM(M60:M63)</f>
        <v>0</v>
      </c>
      <c r="N64" s="18" t="n">
        <f aca="false">SUM(N60:N63)</f>
        <v>412448.38</v>
      </c>
      <c r="O64" s="18" t="n">
        <f aca="false">SUM(O60:O63)</f>
        <v>0</v>
      </c>
      <c r="P64" s="18" t="n">
        <f aca="false">SUM(P60:P63)</f>
        <v>0</v>
      </c>
      <c r="Q64" s="18" t="n">
        <f aca="false">SUM(Q60:Q63)</f>
        <v>0</v>
      </c>
      <c r="R64" s="18" t="n">
        <f aca="false">SUM(R60:R63)</f>
        <v>0</v>
      </c>
      <c r="S64" s="18" t="n">
        <f aca="false">SUM(S60:S63)</f>
        <v>0</v>
      </c>
      <c r="T64" s="18" t="n">
        <f aca="false">SUM(T60:T63)</f>
        <v>0</v>
      </c>
      <c r="U64" s="18" t="n">
        <f aca="false">SUM(U60:U63)</f>
        <v>0</v>
      </c>
      <c r="V64" s="18" t="n">
        <f aca="false">SUM(V60:V63)</f>
        <v>0</v>
      </c>
      <c r="W64" s="18" t="n">
        <f aca="false">SUM(W60:W63)</f>
        <v>0</v>
      </c>
      <c r="X64" s="19" t="n">
        <f aca="false">SUM(C64:W64)</f>
        <v>811034.87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16"/>
    </row>
    <row r="66" customFormat="false" ht="12.75" hidden="false" customHeight="false" outlineLevel="0" collapsed="false">
      <c r="A66" s="1" t="s">
        <v>97</v>
      </c>
      <c r="G66" s="1" t="n">
        <v>-82061</v>
      </c>
      <c r="H66" s="1" t="n">
        <v>-1928</v>
      </c>
      <c r="I66" s="1" t="n">
        <v>-32859</v>
      </c>
      <c r="J66" s="1" t="n">
        <v>-22657</v>
      </c>
      <c r="X66" s="16" t="n">
        <f aca="false">SUM(C66:W66)</f>
        <v>-139505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635</v>
      </c>
      <c r="E67" s="18" t="n">
        <f aca="false">SUM(E64:E66)</f>
        <v>99660</v>
      </c>
      <c r="F67" s="18" t="n">
        <f aca="false">SUM(F64:F66)</f>
        <v>49652</v>
      </c>
      <c r="G67" s="18" t="n">
        <f aca="false">SUM(G64:G66)</f>
        <v>2450</v>
      </c>
      <c r="H67" s="18" t="n">
        <f aca="false">SUM(H64:H66)</f>
        <v>3582.85</v>
      </c>
      <c r="I67" s="18" t="n">
        <f aca="false">SUM(I64:I66)</f>
        <v>61023.95</v>
      </c>
      <c r="J67" s="18" t="n">
        <f aca="false">SUM(J64:J66)</f>
        <v>42077.69</v>
      </c>
      <c r="K67" s="18" t="n">
        <f aca="false">SUM(K64:K66)</f>
        <v>0</v>
      </c>
      <c r="L67" s="18" t="n">
        <f aca="false">SUM(L64:L66)</f>
        <v>0</v>
      </c>
      <c r="M67" s="18"/>
      <c r="N67" s="18"/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671529.87</v>
      </c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16" t="n">
        <f aca="false">X67-'[1]Calvert City'!$BT$216</f>
        <v>-82585.1933333332</v>
      </c>
    </row>
    <row r="69" customFormat="false" ht="12.75" hidden="false" customHeight="false" outlineLevel="0" collapsed="false">
      <c r="A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16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0.28"/>
    <col collapsed="false" customWidth="true" hidden="false" outlineLevel="0" max="4" min="4" style="1" width="11.42"/>
    <col collapsed="false" customWidth="true" hidden="false" outlineLevel="0" max="5" min="5" style="1" width="11.28"/>
    <col collapsed="false" customWidth="true" hidden="false" outlineLevel="0" max="6" min="6" style="1" width="12.28"/>
    <col collapsed="false" customWidth="true" hidden="false" outlineLevel="0" max="7" min="7" style="1" width="11.28"/>
    <col collapsed="false" customWidth="true" hidden="false" outlineLevel="0" max="8" min="8" style="1" width="11.99"/>
    <col collapsed="false" customWidth="true" hidden="false" outlineLevel="0" max="10" min="9" style="1" width="11.28"/>
    <col collapsed="false" customWidth="true" hidden="false" outlineLevel="0" max="13" min="11" style="1" width="12.28"/>
    <col collapsed="false" customWidth="true" hidden="false" outlineLevel="0" max="14" min="14" style="1" width="12.85"/>
    <col collapsed="false" customWidth="true" hidden="false" outlineLevel="0" max="16" min="15" style="1" width="12.28"/>
    <col collapsed="false" customWidth="true" hidden="false" outlineLevel="0" max="17" min="17" style="1" width="12.85"/>
    <col collapsed="false" customWidth="true" hidden="false" outlineLevel="0" max="20" min="18" style="1" width="12.28"/>
    <col collapsed="false" customWidth="true" hidden="false" outlineLevel="0" max="24" min="21" style="1" width="13.85"/>
    <col collapsed="false" customWidth="true" hidden="false" outlineLevel="0" max="25" min="25" style="2" width="14.41"/>
    <col collapsed="false" customWidth="true" hidden="fals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3.85"/>
    <col collapsed="false" customWidth="false" hidden="false" outlineLevel="0" max="29" min="29" style="1" width="9.14"/>
    <col collapsed="false" customWidth="true" hidden="false" outlineLevel="0" max="31" min="30" style="1" width="9.28"/>
    <col collapsed="false" customWidth="false" hidden="false" outlineLevel="0" max="257" min="32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 t="n">
        <v>0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XML/filtered-attachments/xls/Draw_Sched___122899.xls'#$Wilton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45926.9532411321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4"/>
      <c r="Z8" s="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21</v>
      </c>
      <c r="B9" s="10"/>
      <c r="C9" s="10"/>
      <c r="D9" s="10"/>
      <c r="E9" s="35" t="n">
        <v>0.35</v>
      </c>
      <c r="F9" s="35" t="n">
        <v>0.4</v>
      </c>
      <c r="G9" s="35" t="n">
        <v>0.45</v>
      </c>
      <c r="H9" s="35" t="n">
        <v>0.5</v>
      </c>
      <c r="I9" s="35" t="n">
        <v>0.55</v>
      </c>
      <c r="J9" s="35" t="n">
        <v>0.6</v>
      </c>
      <c r="K9" s="35" t="n">
        <v>0.65</v>
      </c>
      <c r="L9" s="35" t="n">
        <v>0.7</v>
      </c>
      <c r="M9" s="35" t="n">
        <v>0.7625</v>
      </c>
      <c r="N9" s="36" t="n">
        <v>0.8562</v>
      </c>
      <c r="O9" s="35" t="n">
        <v>0.95</v>
      </c>
      <c r="P9" s="10"/>
      <c r="Q9" s="10"/>
      <c r="R9" s="10"/>
      <c r="S9" s="10"/>
      <c r="T9" s="10"/>
      <c r="U9" s="35" t="n">
        <v>1</v>
      </c>
      <c r="V9" s="35"/>
      <c r="W9" s="35"/>
      <c r="X9" s="35"/>
      <c r="Y9" s="14"/>
      <c r="Z9" s="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22</v>
      </c>
      <c r="B10" s="1" t="n">
        <v>140040940</v>
      </c>
      <c r="C10" s="2" t="n">
        <v>6800000</v>
      </c>
      <c r="D10" s="15" t="n">
        <v>0</v>
      </c>
      <c r="E10" s="15" t="n">
        <v>32884800</v>
      </c>
      <c r="F10" s="15" t="n">
        <v>0</v>
      </c>
      <c r="G10" s="15" t="n">
        <v>0</v>
      </c>
      <c r="H10" s="15" t="n">
        <v>18310527</v>
      </c>
      <c r="I10" s="15" t="n">
        <v>6800000</v>
      </c>
      <c r="J10" s="15" t="n">
        <v>5225143</v>
      </c>
      <c r="K10" s="15" t="n">
        <v>6152847</v>
      </c>
      <c r="L10" s="15" t="n">
        <v>6924847</v>
      </c>
      <c r="M10" s="15" t="n">
        <v>6924847</v>
      </c>
      <c r="N10" s="15" t="n">
        <f aca="false">6924847</f>
        <v>6924847</v>
      </c>
      <c r="O10" s="15" t="n">
        <f aca="false">11376658.75+13311485</f>
        <v>24688143.75</v>
      </c>
      <c r="P10" s="1" t="n">
        <v>13325691</v>
      </c>
      <c r="Q10" s="1" t="n">
        <v>0</v>
      </c>
      <c r="R10" s="1" t="n">
        <v>0</v>
      </c>
      <c r="U10" s="1" t="n">
        <v>7103247</v>
      </c>
      <c r="Y10" s="16" t="n">
        <f aca="false">SUM(C10:X10)</f>
        <v>142064939.75</v>
      </c>
      <c r="Z10" s="17" t="s">
        <v>23</v>
      </c>
      <c r="AA10" s="1" t="n">
        <f aca="false">[1]Wilton!$BR$12</f>
        <v>142064940</v>
      </c>
      <c r="AB10" s="1" t="n">
        <f aca="false">Y10-AA10</f>
        <v>-0.25</v>
      </c>
    </row>
    <row r="11" customFormat="false" ht="12.75" hidden="false" customHeight="false" outlineLevel="0" collapsed="false">
      <c r="A11" s="1" t="s">
        <v>24</v>
      </c>
      <c r="C11" s="2" t="n">
        <v>0</v>
      </c>
      <c r="D11" s="1" t="n">
        <v>1250000</v>
      </c>
      <c r="F11" s="15"/>
      <c r="J11" s="1" t="n">
        <f aca="false">-740943.25+666672.85</f>
        <v>-74270.4</v>
      </c>
      <c r="K11" s="1" t="n">
        <v>7480</v>
      </c>
      <c r="M11" s="1" t="n">
        <v>1774814.4</v>
      </c>
      <c r="O11" s="1" t="n">
        <v>1774814</v>
      </c>
      <c r="P11" s="1" t="n">
        <v>591604.8</v>
      </c>
      <c r="Q11" s="1" t="n">
        <v>591604.8</v>
      </c>
      <c r="Y11" s="16" t="n">
        <f aca="false">SUM(C11:X11)</f>
        <v>5916047.6</v>
      </c>
      <c r="Z11" s="17" t="str">
        <f aca="false">Z10</f>
        <v>Mike Miller</v>
      </c>
      <c r="AA11" s="1" t="n">
        <f aca="false">[1]Wilton!$BR$31</f>
        <v>5916048</v>
      </c>
      <c r="AB11" s="1" t="n">
        <f aca="false">Y11-AA11</f>
        <v>-0.400000000372529</v>
      </c>
    </row>
    <row r="12" customFormat="false" ht="12.75" hidden="false" customHeight="false" outlineLevel="0" collapsed="false">
      <c r="A12" s="1" t="s">
        <v>100</v>
      </c>
      <c r="F12" s="15"/>
      <c r="I12" s="1" t="n">
        <v>815280</v>
      </c>
      <c r="J12" s="1" t="n">
        <v>2025876</v>
      </c>
      <c r="K12" s="1" t="n">
        <v>0</v>
      </c>
      <c r="M12" s="1" t="n">
        <v>1894103.8</v>
      </c>
      <c r="P12" s="1" t="n">
        <v>1183814.88</v>
      </c>
      <c r="Q12" s="1" t="n">
        <v>1775722.31</v>
      </c>
      <c r="R12" s="1" t="n">
        <v>1302196.36</v>
      </c>
      <c r="U12" s="1" t="n">
        <f aca="false">473525.95+8560</f>
        <v>482085.95</v>
      </c>
      <c r="Y12" s="16" t="n">
        <f aca="false">SUM(C12:X12)</f>
        <v>9479079.3</v>
      </c>
      <c r="Z12" s="17" t="str">
        <f aca="false">Z11</f>
        <v>Mike Miller</v>
      </c>
      <c r="AA12" s="1" t="n">
        <f aca="false">[1]Wilton!$BR$147</f>
        <v>9479079</v>
      </c>
      <c r="AB12" s="1" t="n">
        <f aca="false">Y12-AA12</f>
        <v>0.299999998882413</v>
      </c>
    </row>
    <row r="13" customFormat="false" ht="12.75" hidden="false" customHeight="false" outlineLevel="0" collapsed="false">
      <c r="A13" s="1" t="s">
        <v>83</v>
      </c>
      <c r="C13" s="2" t="n">
        <v>0</v>
      </c>
      <c r="F13" s="15"/>
      <c r="J13" s="1" t="n">
        <f aca="false">935200/12</f>
        <v>77933.3333333333</v>
      </c>
      <c r="K13" s="1" t="n">
        <f aca="false">935200/12</f>
        <v>77933.3333333333</v>
      </c>
      <c r="L13" s="1" t="n">
        <f aca="false">935200/12</f>
        <v>77933.3333333333</v>
      </c>
      <c r="M13" s="1" t="n">
        <f aca="false">77933.33</f>
        <v>77933.33</v>
      </c>
      <c r="N13" s="1" t="n">
        <f aca="false">935200/12+5000</f>
        <v>82933.3333333333</v>
      </c>
      <c r="O13" s="1" t="n">
        <f aca="false">935200/12</f>
        <v>77933.3333333333</v>
      </c>
      <c r="P13" s="1" t="n">
        <f aca="false">935200/12</f>
        <v>77933.3333333333</v>
      </c>
      <c r="Q13" s="1" t="n">
        <f aca="false">935200/12</f>
        <v>77933.3333333333</v>
      </c>
      <c r="R13" s="1" t="n">
        <f aca="false">935200/12</f>
        <v>77933.3333333333</v>
      </c>
      <c r="S13" s="1" t="n">
        <f aca="false">935200/12</f>
        <v>77933.3333333333</v>
      </c>
      <c r="T13" s="1" t="n">
        <f aca="false">935200/12</f>
        <v>77933.3333333333</v>
      </c>
      <c r="U13" s="1" t="n">
        <f aca="false">935200/12</f>
        <v>77933.3333333333</v>
      </c>
      <c r="Y13" s="16" t="n">
        <f aca="false">SUM(C13:X13)</f>
        <v>940199.996666667</v>
      </c>
      <c r="Z13" s="17" t="str">
        <f aca="false">Z12</f>
        <v>Mike Miller</v>
      </c>
      <c r="AA13" s="1" t="n">
        <f aca="false">[1]Wilton!$BR$131</f>
        <v>940200</v>
      </c>
      <c r="AB13" s="1" t="n">
        <f aca="false">Y13-AA13</f>
        <v>-0.00333333329763263</v>
      </c>
    </row>
    <row r="14" customFormat="false" ht="12.75" hidden="false" customHeight="false" outlineLevel="0" collapsed="false">
      <c r="A14" s="1" t="s">
        <v>84</v>
      </c>
      <c r="F14" s="15"/>
      <c r="J14" s="1" t="n">
        <f aca="false">2824800/12</f>
        <v>235400</v>
      </c>
      <c r="K14" s="1" t="n">
        <f aca="false">2824800/12</f>
        <v>235400</v>
      </c>
      <c r="L14" s="1" t="n">
        <f aca="false">2824800/12</f>
        <v>235400</v>
      </c>
      <c r="M14" s="1" t="n">
        <v>235399</v>
      </c>
      <c r="N14" s="1" t="n">
        <f aca="false">2824800/12</f>
        <v>235400</v>
      </c>
      <c r="O14" s="1" t="n">
        <f aca="false">2824800/12</f>
        <v>235400</v>
      </c>
      <c r="P14" s="1" t="n">
        <f aca="false">2824800/12</f>
        <v>235400</v>
      </c>
      <c r="Q14" s="1" t="n">
        <f aca="false">2824800/12</f>
        <v>235400</v>
      </c>
      <c r="R14" s="1" t="n">
        <f aca="false">2824800/12</f>
        <v>235400</v>
      </c>
      <c r="S14" s="1" t="n">
        <f aca="false">2824800/12</f>
        <v>235400</v>
      </c>
      <c r="T14" s="1" t="n">
        <f aca="false">2824800/12</f>
        <v>235400</v>
      </c>
      <c r="U14" s="1" t="n">
        <f aca="false">2824800/12+1</f>
        <v>235401</v>
      </c>
      <c r="Y14" s="16" t="n">
        <f aca="false">SUM(C14:X14)</f>
        <v>2824800</v>
      </c>
      <c r="Z14" s="17" t="str">
        <f aca="false">Z13</f>
        <v>Mike Miller</v>
      </c>
      <c r="AA14" s="1" t="n">
        <f aca="false">[1]Wilton!$BR$132</f>
        <v>2824800</v>
      </c>
      <c r="AB14" s="1" t="n">
        <f aca="false">Y14-AA14</f>
        <v>0</v>
      </c>
    </row>
    <row r="15" customFormat="false" ht="12.75" hidden="false" customHeight="false" outlineLevel="0" collapsed="false">
      <c r="A15" s="1" t="s">
        <v>85</v>
      </c>
      <c r="F15" s="15"/>
      <c r="U15" s="1" t="n">
        <v>3066700</v>
      </c>
      <c r="Y15" s="16" t="n">
        <f aca="false">SUM(C15:X15)</f>
        <v>3066700</v>
      </c>
      <c r="Z15" s="17" t="str">
        <f aca="false">Z14</f>
        <v>Mike Miller</v>
      </c>
      <c r="AA15" s="1" t="n">
        <f aca="false">[1]Wilton!$BR$133</f>
        <v>3066700</v>
      </c>
      <c r="AB15" s="1" t="n">
        <f aca="false">Y15-AA15</f>
        <v>0</v>
      </c>
    </row>
    <row r="16" customFormat="false" ht="12.75" hidden="false" customHeight="false" outlineLevel="0" collapsed="false">
      <c r="A16" s="1" t="s">
        <v>101</v>
      </c>
      <c r="C16" s="2" t="n">
        <v>0</v>
      </c>
      <c r="F16" s="15"/>
      <c r="K16" s="1" t="n">
        <v>0</v>
      </c>
      <c r="M16" s="1" t="n">
        <v>0</v>
      </c>
      <c r="N16" s="1" t="n">
        <v>862088</v>
      </c>
      <c r="O16" s="1" t="n">
        <v>636689</v>
      </c>
      <c r="P16" s="1" t="n">
        <f aca="false">(0.6104-0.3765)*AA16</f>
        <v>3456642.9666</v>
      </c>
      <c r="Q16" s="1" t="n">
        <f aca="false">(0.7911-0.6104)*AA16</f>
        <v>2670437.7258</v>
      </c>
      <c r="R16" s="1" t="n">
        <f aca="false">(0.8836-0.7911)*AA16</f>
        <v>1366992.195</v>
      </c>
      <c r="S16" s="1" t="n">
        <f aca="false">(0.9397-0.8836)*AA16</f>
        <v>829062.293399999</v>
      </c>
      <c r="T16" s="1" t="n">
        <f aca="false">(0.9868-0.9397)*AA16</f>
        <v>696057.647400001</v>
      </c>
      <c r="U16" s="1" t="n">
        <f aca="false">(1-0.9868)*AA16</f>
        <v>195073.4808</v>
      </c>
      <c r="Y16" s="16" t="n">
        <f aca="false">SUM(C16:X16)</f>
        <v>10713043.309</v>
      </c>
      <c r="Z16" s="17" t="str">
        <f aca="false">Z15</f>
        <v>Mike Miller</v>
      </c>
      <c r="AA16" s="1" t="n">
        <f aca="false">[1]Wilton!$BR$55</f>
        <v>14778294</v>
      </c>
      <c r="AB16" s="1" t="n">
        <f aca="false">Y16-AA16</f>
        <v>-4065250.691</v>
      </c>
    </row>
    <row r="17" customFormat="false" ht="12.75" hidden="false" customHeight="false" outlineLevel="0" collapsed="false">
      <c r="A17" s="1" t="s">
        <v>102</v>
      </c>
      <c r="F17" s="15"/>
      <c r="N17" s="1" t="n">
        <v>3301</v>
      </c>
      <c r="O17" s="1" t="n">
        <v>346618</v>
      </c>
      <c r="P17" s="1" t="n">
        <f aca="false">(0.6104-0.3765)*AA17</f>
        <v>1891185.8194</v>
      </c>
      <c r="Q17" s="1" t="n">
        <f aca="false">(0.7911-0.6104)*AA17</f>
        <v>1461040.0922</v>
      </c>
      <c r="R17" s="1" t="n">
        <f aca="false">(0.8836-0.7911)*AA17</f>
        <v>747903.755</v>
      </c>
      <c r="S17" s="1" t="n">
        <f aca="false">(0.9397-0.8836)*AA17</f>
        <v>453593.520599999</v>
      </c>
      <c r="T17" s="1" t="n">
        <f aca="false">(0.9868-0.9397)*AA17</f>
        <v>380824.5066</v>
      </c>
      <c r="U17" s="1" t="n">
        <f aca="false">(1-0.9868)*AA17</f>
        <v>106727.8872</v>
      </c>
      <c r="Y17" s="16" t="n">
        <f aca="false">SUM(C17:X17)</f>
        <v>5391194.581</v>
      </c>
      <c r="Z17" s="17" t="str">
        <f aca="false">Z16</f>
        <v>Mike Miller</v>
      </c>
      <c r="AA17" s="1" t="n">
        <f aca="false">[1]Wilton!$BR$81</f>
        <v>8085446</v>
      </c>
      <c r="AB17" s="1" t="n">
        <f aca="false">Y17-AA17</f>
        <v>-2694251.419</v>
      </c>
    </row>
    <row r="18" customFormat="false" ht="12.75" hidden="false" customHeight="false" outlineLevel="0" collapsed="false">
      <c r="A18" s="1" t="s">
        <v>103</v>
      </c>
      <c r="F18" s="15"/>
      <c r="N18" s="1" t="n">
        <v>0</v>
      </c>
      <c r="O18" s="1" t="n">
        <v>2569929</v>
      </c>
      <c r="P18" s="1" t="n">
        <f aca="false">(0.6104-0.3765)*AA18</f>
        <v>7975331.1037</v>
      </c>
      <c r="Q18" s="1" t="n">
        <f aca="false">(0.7911-0.6104)*AA18</f>
        <v>6161360.9681</v>
      </c>
      <c r="R18" s="1" t="n">
        <f aca="false">(0.8836-0.7911)*AA18</f>
        <v>3153989.4275</v>
      </c>
      <c r="S18" s="1" t="n">
        <f aca="false">(0.9397-0.8836)*AA18+3341072</f>
        <v>5253923.9663</v>
      </c>
      <c r="T18" s="1" t="n">
        <f aca="false">(0.9868-0.9397)*AA18</f>
        <v>1605977.3193</v>
      </c>
      <c r="U18" s="1" t="n">
        <f aca="false">(1-0.9868)*AA18</f>
        <v>450082.8156</v>
      </c>
      <c r="Y18" s="16" t="n">
        <f aca="false">SUM(C18:X18)</f>
        <v>27170594.6005</v>
      </c>
      <c r="Z18" s="17" t="str">
        <f aca="false">Z17</f>
        <v>Mike Miller</v>
      </c>
      <c r="AA18" s="1" t="n">
        <f aca="false">[1]Wilton!$BR$114</f>
        <v>34097183</v>
      </c>
      <c r="AB18" s="1" t="n">
        <f aca="false">Y18-AA18</f>
        <v>-6926588.3995</v>
      </c>
    </row>
    <row r="19" customFormat="false" ht="12.75" hidden="false" customHeight="false" outlineLevel="0" collapsed="false">
      <c r="A19" s="1" t="s">
        <v>104</v>
      </c>
      <c r="F19" s="15"/>
      <c r="M19" s="1" t="n">
        <v>0</v>
      </c>
      <c r="N19" s="1" t="n">
        <v>0</v>
      </c>
      <c r="O19" s="1" t="n">
        <v>28388</v>
      </c>
      <c r="P19" s="1" t="n">
        <f aca="false">(0.6104-0.3765)*AA19</f>
        <v>1248267.9301</v>
      </c>
      <c r="Q19" s="1" t="n">
        <f aca="false">(0.7911-0.6104)*AA19</f>
        <v>964352.3513</v>
      </c>
      <c r="R19" s="1" t="n">
        <f aca="false">(0.8836-0.7911)*AA19</f>
        <v>493650.2075</v>
      </c>
      <c r="S19" s="1" t="n">
        <f aca="false">(0.9397-0.8836)*AA19</f>
        <v>299392.1799</v>
      </c>
      <c r="T19" s="1" t="n">
        <f aca="false">(0.9868-0.9397)*AA19</f>
        <v>251361.3489</v>
      </c>
      <c r="U19" s="1" t="n">
        <f aca="false">(1-0.9868)*AA19</f>
        <v>70445.2187999999</v>
      </c>
      <c r="Y19" s="16" t="n">
        <f aca="false">SUM(C19:X19)</f>
        <v>3355857.2365</v>
      </c>
      <c r="Z19" s="17" t="str">
        <f aca="false">Z18</f>
        <v>Mike Miller</v>
      </c>
      <c r="AA19" s="1" t="n">
        <f aca="false">[1]Wilton!$BR$119</f>
        <v>5336759</v>
      </c>
      <c r="AB19" s="1" t="n">
        <f aca="false">Y19-AA19</f>
        <v>-1980901.7635</v>
      </c>
    </row>
    <row r="20" customFormat="false" ht="12.75" hidden="false" customHeight="false" outlineLevel="0" collapsed="false">
      <c r="A20" s="1" t="s">
        <v>105</v>
      </c>
      <c r="F20" s="15"/>
      <c r="N20" s="1" t="n">
        <v>0</v>
      </c>
      <c r="U20" s="1" t="n">
        <v>500000</v>
      </c>
      <c r="Y20" s="16" t="n">
        <f aca="false">SUM(C20:X20)</f>
        <v>500000</v>
      </c>
      <c r="Z20" s="17" t="str">
        <f aca="false">Z19</f>
        <v>Mike Miller</v>
      </c>
      <c r="AA20" s="1" t="n">
        <f aca="false">[1]Wilton!$BR$162</f>
        <v>500000</v>
      </c>
      <c r="AB20" s="1" t="n">
        <f aca="false">Y20-AA20</f>
        <v>0</v>
      </c>
    </row>
    <row r="21" customFormat="false" ht="12.75" hidden="false" customHeight="false" outlineLevel="0" collapsed="false">
      <c r="A21" s="1" t="s">
        <v>106</v>
      </c>
      <c r="F21" s="15"/>
      <c r="O21" s="1" t="n">
        <f aca="false">41000+531</f>
        <v>41531</v>
      </c>
      <c r="Y21" s="16" t="n">
        <f aca="false">SUM(C21:X21)</f>
        <v>41531</v>
      </c>
      <c r="Z21" s="17"/>
      <c r="AA21" s="1" t="n">
        <v>41531</v>
      </c>
      <c r="AB21" s="1" t="n">
        <f aca="false">Y21-AA21</f>
        <v>0</v>
      </c>
    </row>
    <row r="22" customFormat="false" ht="12.75" hidden="false" customHeight="false" outlineLevel="0" collapsed="false">
      <c r="A22" s="1" t="s">
        <v>107</v>
      </c>
      <c r="F22" s="15"/>
      <c r="N22" s="1" t="n">
        <v>8573073</v>
      </c>
      <c r="O22" s="1" t="n">
        <v>7093919</v>
      </c>
      <c r="Y22" s="16" t="n">
        <f aca="false">SUM(C22:X22)</f>
        <v>15666992</v>
      </c>
      <c r="Z22" s="17" t="str">
        <f aca="false">Z20</f>
        <v>Mike Miller</v>
      </c>
      <c r="AB22" s="1" t="n">
        <f aca="false">Y22-AA22</f>
        <v>15666992</v>
      </c>
    </row>
    <row r="23" customFormat="false" ht="12.75" hidden="false" customHeight="false" outlineLevel="0" collapsed="false">
      <c r="A23" s="1" t="s">
        <v>27</v>
      </c>
      <c r="C23" s="2" t="n">
        <v>0</v>
      </c>
      <c r="F23" s="15"/>
      <c r="P23" s="1" t="n">
        <v>125000</v>
      </c>
      <c r="Q23" s="1" t="n">
        <v>125000</v>
      </c>
      <c r="R23" s="1" t="n">
        <v>125000</v>
      </c>
      <c r="S23" s="1" t="n">
        <v>125000</v>
      </c>
      <c r="T23" s="1" t="n">
        <v>125000</v>
      </c>
      <c r="U23" s="1" t="n">
        <f aca="false">908786-625000</f>
        <v>283786</v>
      </c>
      <c r="Y23" s="16" t="n">
        <f aca="false">SUM(C23:X23)</f>
        <v>908786</v>
      </c>
      <c r="Z23" s="17" t="s">
        <v>28</v>
      </c>
      <c r="AA23" s="1" t="n">
        <f aca="false">[1]Wilton!$BR$156</f>
        <v>908786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29</v>
      </c>
      <c r="C24" s="2" t="n">
        <v>0</v>
      </c>
      <c r="F24" s="15"/>
      <c r="S24" s="1" t="n">
        <v>500000</v>
      </c>
      <c r="T24" s="1" t="n">
        <v>500000</v>
      </c>
      <c r="U24" s="1" t="n">
        <f aca="false">1253881-1000000</f>
        <v>253881</v>
      </c>
      <c r="Y24" s="16" t="n">
        <f aca="false">SUM(C24:X24)</f>
        <v>1253881</v>
      </c>
      <c r="Z24" s="17" t="str">
        <f aca="false">Z16</f>
        <v>Mike Miller</v>
      </c>
      <c r="AA24" s="1" t="n">
        <f aca="false">[1]Wilton!$BR$164</f>
        <v>1253881</v>
      </c>
      <c r="AB24" s="1" t="n">
        <f aca="false">Y24-AA24</f>
        <v>0</v>
      </c>
    </row>
    <row r="25" customFormat="false" ht="12.75" hidden="false" customHeight="false" outlineLevel="0" collapsed="false">
      <c r="A25" s="1" t="s">
        <v>30</v>
      </c>
      <c r="C25" s="2" t="n">
        <v>0</v>
      </c>
      <c r="F25" s="15" t="n">
        <v>20000</v>
      </c>
      <c r="G25" s="1" t="n">
        <f aca="false">1381361+65000</f>
        <v>1446361</v>
      </c>
      <c r="H25" s="1" t="n">
        <v>8500</v>
      </c>
      <c r="J25" s="1" t="n">
        <v>821965</v>
      </c>
      <c r="K25" s="1" t="n">
        <v>0</v>
      </c>
      <c r="M25" s="1" t="n">
        <v>1000</v>
      </c>
      <c r="N25" s="1" t="n">
        <v>7992</v>
      </c>
      <c r="Y25" s="16" t="n">
        <f aca="false">SUM(C25:X25)</f>
        <v>2305818</v>
      </c>
      <c r="Z25" s="17" t="s">
        <v>31</v>
      </c>
      <c r="AA25" s="1" t="n">
        <f aca="false">[1]Wilton!$BR$171</f>
        <v>2305818.14</v>
      </c>
      <c r="AB25" s="1" t="n">
        <f aca="false">Y25-AA25</f>
        <v>-0.140000000130385</v>
      </c>
    </row>
    <row r="26" customFormat="false" ht="12.75" hidden="false" customHeight="false" outlineLevel="0" collapsed="false">
      <c r="A26" s="1" t="s">
        <v>32</v>
      </c>
      <c r="C26" s="2" t="n">
        <v>0</v>
      </c>
      <c r="E26" s="1" t="n">
        <v>0</v>
      </c>
      <c r="F26" s="15" t="n">
        <v>0</v>
      </c>
      <c r="H26" s="1" t="n">
        <v>71081</v>
      </c>
      <c r="I26" s="1" t="n">
        <v>13262</v>
      </c>
      <c r="J26" s="1" t="n">
        <v>24704.06</v>
      </c>
      <c r="K26" s="1" t="n">
        <v>9361.22</v>
      </c>
      <c r="L26" s="1" t="n">
        <v>11746.18</v>
      </c>
      <c r="M26" s="1" t="n">
        <v>19878</v>
      </c>
      <c r="N26" s="1" t="n">
        <v>29832</v>
      </c>
      <c r="O26" s="1" t="n">
        <f aca="false">14873-2460</f>
        <v>12413</v>
      </c>
      <c r="P26" s="1" t="n">
        <v>78892</v>
      </c>
      <c r="U26" s="1" t="n">
        <v>78785</v>
      </c>
      <c r="Y26" s="16" t="n">
        <f aca="false">SUM(C26:X26)</f>
        <v>349954.46</v>
      </c>
      <c r="Z26" s="17" t="str">
        <f aca="false">Z25</f>
        <v>Scott Healy</v>
      </c>
    </row>
    <row r="27" customFormat="false" ht="12.75" hidden="false" customHeight="false" outlineLevel="0" collapsed="false">
      <c r="A27" s="1" t="s">
        <v>89</v>
      </c>
      <c r="F27" s="15"/>
      <c r="O27" s="1" t="n">
        <v>216382</v>
      </c>
      <c r="Y27" s="16" t="n">
        <f aca="false">SUM(C27:X27)</f>
        <v>216382</v>
      </c>
      <c r="Z27" s="17"/>
      <c r="AA27" s="1" t="n">
        <f aca="false">[1]Wilton!$BR$160</f>
        <v>216381.67</v>
      </c>
      <c r="AB27" s="1" t="n">
        <f aca="false">Y27-AA27</f>
        <v>0.329999999987194</v>
      </c>
    </row>
    <row r="28" customFormat="false" ht="12.75" hidden="false" customHeight="false" outlineLevel="0" collapsed="false">
      <c r="A28" s="1" t="s">
        <v>108</v>
      </c>
      <c r="C28" s="2" t="n">
        <v>0</v>
      </c>
      <c r="F28" s="15"/>
      <c r="M28" s="1" t="n">
        <v>50050</v>
      </c>
      <c r="N28" s="1" t="n">
        <v>160616</v>
      </c>
      <c r="P28" s="1" t="n">
        <f aca="false">1000000-50050-160616</f>
        <v>789334</v>
      </c>
      <c r="Y28" s="16" t="n">
        <f aca="false">SUM(C28:X28)</f>
        <v>1000000</v>
      </c>
      <c r="Z28" s="17" t="s">
        <v>34</v>
      </c>
      <c r="AA28" s="1" t="n">
        <f aca="false">[1]Wilton!$BR$180</f>
        <v>1000000</v>
      </c>
      <c r="AB28" s="1" t="n">
        <f aca="false">Y28-AA28</f>
        <v>0</v>
      </c>
    </row>
    <row r="29" customFormat="false" ht="12.75" hidden="false" customHeight="false" outlineLevel="0" collapsed="false">
      <c r="A29" s="1" t="s">
        <v>33</v>
      </c>
      <c r="C29" s="2" t="n">
        <v>0</v>
      </c>
      <c r="F29" s="15"/>
      <c r="O29" s="1" t="n">
        <v>250000</v>
      </c>
      <c r="P29" s="1" t="n">
        <v>1750000</v>
      </c>
      <c r="Q29" s="1" t="n">
        <v>1250000</v>
      </c>
      <c r="R29" s="1" t="n">
        <v>1250000</v>
      </c>
      <c r="S29" s="1" t="n">
        <v>1500000</v>
      </c>
      <c r="T29" s="1" t="n">
        <v>250000</v>
      </c>
      <c r="U29" s="1" t="n">
        <v>250000</v>
      </c>
      <c r="Y29" s="16" t="n">
        <f aca="false">SUM(C29:X29)</f>
        <v>6500000</v>
      </c>
      <c r="Z29" s="17" t="s">
        <v>34</v>
      </c>
      <c r="AA29" s="1" t="n">
        <f aca="false">[1]Wilton!$BR$182</f>
        <v>6500000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36</v>
      </c>
      <c r="C30" s="2" t="n">
        <v>0</v>
      </c>
      <c r="F30" s="15"/>
      <c r="S30" s="1" t="n">
        <v>500000</v>
      </c>
      <c r="T30" s="1" t="n">
        <v>500000</v>
      </c>
      <c r="U30" s="1" t="n">
        <v>500000</v>
      </c>
      <c r="Y30" s="16" t="n">
        <f aca="false">SUM(C30:X30)</f>
        <v>1500000</v>
      </c>
      <c r="Z30" s="17" t="str">
        <f aca="false">Z23</f>
        <v>Kevin Presto</v>
      </c>
      <c r="AA30" s="1" t="n">
        <f aca="false">[1]Wilton!$BR$188</f>
        <v>1500000</v>
      </c>
      <c r="AB30" s="1" t="n">
        <f aca="false">Y30-AA30</f>
        <v>0</v>
      </c>
    </row>
    <row r="31" customFormat="false" ht="12.75" hidden="false" customHeight="false" outlineLevel="0" collapsed="false">
      <c r="A31" s="1" t="s">
        <v>38</v>
      </c>
      <c r="C31" s="2" t="n">
        <v>0</v>
      </c>
      <c r="F31" s="15"/>
      <c r="M31" s="1" t="n">
        <v>0</v>
      </c>
      <c r="N31" s="1" t="n">
        <v>0</v>
      </c>
      <c r="O31" s="1" t="n">
        <v>266248.5</v>
      </c>
      <c r="Y31" s="16" t="n">
        <f aca="false">SUM(C31:X31)</f>
        <v>266248.5</v>
      </c>
      <c r="Z31" s="17" t="s">
        <v>31</v>
      </c>
      <c r="AA31" s="1" t="n">
        <f aca="false">[1]Wilton!$BR$190</f>
        <v>266248.5</v>
      </c>
      <c r="AB31" s="1" t="n">
        <f aca="false">Y31-AA31</f>
        <v>0</v>
      </c>
    </row>
    <row r="32" customFormat="false" ht="12.75" hidden="false" customHeight="false" outlineLevel="0" collapsed="false">
      <c r="A32" s="1" t="s">
        <v>39</v>
      </c>
      <c r="C32" s="2" t="n">
        <v>0</v>
      </c>
      <c r="D32" s="1" t="n">
        <v>0</v>
      </c>
      <c r="E32" s="1" t="n">
        <v>0</v>
      </c>
      <c r="F32" s="15" t="n">
        <v>0</v>
      </c>
      <c r="G32" s="1" t="n">
        <v>7949</v>
      </c>
      <c r="H32" s="1" t="n">
        <v>29402</v>
      </c>
      <c r="I32" s="1" t="n">
        <v>13770.85</v>
      </c>
      <c r="J32" s="1" t="n">
        <v>7746</v>
      </c>
      <c r="K32" s="1" t="n">
        <v>6276</v>
      </c>
      <c r="L32" s="1" t="n">
        <v>6591.41</v>
      </c>
      <c r="M32" s="1" t="n">
        <v>0</v>
      </c>
      <c r="N32" s="1" t="n">
        <v>0</v>
      </c>
      <c r="O32" s="1" t="n">
        <f aca="false">200000/15</f>
        <v>13333.3333333333</v>
      </c>
      <c r="P32" s="1" t="n">
        <f aca="false">200000/15</f>
        <v>13333.3333333333</v>
      </c>
      <c r="Q32" s="1" t="n">
        <f aca="false">200000/15</f>
        <v>13333.3333333333</v>
      </c>
      <c r="R32" s="1" t="n">
        <f aca="false">200000/15</f>
        <v>13333.3333333333</v>
      </c>
      <c r="S32" s="1" t="n">
        <f aca="false">6712-438</f>
        <v>6274</v>
      </c>
      <c r="T32" s="1" t="n">
        <v>5588</v>
      </c>
      <c r="U32" s="1" t="n">
        <f aca="false">6742+33723</f>
        <v>40465</v>
      </c>
      <c r="Y32" s="16" t="n">
        <f aca="false">SUM(C32:X32)</f>
        <v>177395.593333333</v>
      </c>
      <c r="Z32" s="17" t="s">
        <v>31</v>
      </c>
    </row>
    <row r="33" customFormat="false" ht="12.75" hidden="false" customHeight="false" outlineLevel="0" collapsed="false">
      <c r="A33" s="1" t="s">
        <v>40</v>
      </c>
      <c r="C33" s="2" t="n">
        <v>0</v>
      </c>
      <c r="D33" s="1" t="n">
        <v>0</v>
      </c>
      <c r="E33" s="1" t="n">
        <v>0</v>
      </c>
      <c r="F33" s="15" t="n">
        <v>0</v>
      </c>
      <c r="G33" s="1" t="n">
        <v>0</v>
      </c>
      <c r="H33" s="1" t="n">
        <v>11792</v>
      </c>
      <c r="I33" s="1" t="n">
        <f aca="false">11675+5185</f>
        <v>16860</v>
      </c>
      <c r="J33" s="1" t="n">
        <f aca="false">3599+10838+1916.6</f>
        <v>16353.6</v>
      </c>
      <c r="K33" s="1" t="n">
        <v>33741</v>
      </c>
      <c r="L33" s="1" t="n">
        <f aca="false">20657.14+6342.74</f>
        <v>26999.88</v>
      </c>
      <c r="M33" s="1" t="n">
        <v>47825</v>
      </c>
      <c r="N33" s="1" t="n">
        <v>131162</v>
      </c>
      <c r="O33" s="1" t="n">
        <f aca="false">2145+179148</f>
        <v>181293</v>
      </c>
      <c r="P33" s="1" t="n">
        <f aca="false">37613-2610</f>
        <v>35003</v>
      </c>
      <c r="Q33" s="1" t="n">
        <v>2610</v>
      </c>
      <c r="Y33" s="16" t="n">
        <f aca="false">SUM(C33:X33)</f>
        <v>503639.48</v>
      </c>
      <c r="Z33" s="17" t="s">
        <v>31</v>
      </c>
    </row>
    <row r="34" customFormat="false" ht="12.75" hidden="false" customHeight="false" outlineLevel="0" collapsed="false">
      <c r="A34" s="1" t="s">
        <v>41</v>
      </c>
      <c r="C34" s="2" t="n">
        <v>0</v>
      </c>
      <c r="D34" s="1" t="n">
        <v>0</v>
      </c>
      <c r="E34" s="1" t="n">
        <v>0</v>
      </c>
      <c r="F34" s="15" t="n">
        <v>0</v>
      </c>
      <c r="G34" s="1" t="n">
        <v>0</v>
      </c>
      <c r="H34" s="1" t="n">
        <v>604.5</v>
      </c>
      <c r="I34" s="1" t="n">
        <v>0</v>
      </c>
      <c r="J34" s="1" t="n">
        <v>21423</v>
      </c>
      <c r="K34" s="1" t="n">
        <v>0</v>
      </c>
      <c r="L34" s="1" t="n">
        <v>75</v>
      </c>
      <c r="M34" s="1" t="n">
        <v>6749</v>
      </c>
      <c r="N34" s="1" t="n">
        <v>4455</v>
      </c>
      <c r="O34" s="1" t="n">
        <v>50000</v>
      </c>
      <c r="P34" s="1" t="n">
        <v>50000</v>
      </c>
      <c r="Q34" s="1" t="n">
        <v>19571</v>
      </c>
      <c r="R34" s="1" t="n">
        <v>5000</v>
      </c>
      <c r="S34" s="1" t="n">
        <f aca="false">153+18251</f>
        <v>18404</v>
      </c>
      <c r="T34" s="1" t="n">
        <v>54925</v>
      </c>
      <c r="U34" s="1" t="n">
        <v>15544</v>
      </c>
      <c r="Y34" s="16" t="n">
        <f aca="false">SUM(C34:X34)</f>
        <v>246750.5</v>
      </c>
      <c r="Z34" s="17" t="s">
        <v>31</v>
      </c>
      <c r="AA34" s="1" t="n">
        <v>0</v>
      </c>
    </row>
    <row r="35" customFormat="false" ht="12.75" hidden="false" customHeight="false" outlineLevel="0" collapsed="false">
      <c r="A35" s="1" t="s">
        <v>42</v>
      </c>
      <c r="C35" s="18" t="n">
        <f aca="false">SUM(C10:C34)</f>
        <v>6800000</v>
      </c>
      <c r="D35" s="18" t="n">
        <f aca="false">SUM(D10:D34)</f>
        <v>1250000</v>
      </c>
      <c r="E35" s="18" t="n">
        <f aca="false">SUM(E10:E34)</f>
        <v>32884800</v>
      </c>
      <c r="F35" s="18" t="n">
        <f aca="false">SUM(F10:F34)</f>
        <v>20000</v>
      </c>
      <c r="G35" s="18" t="n">
        <f aca="false">SUM(G10:G34)</f>
        <v>1454310</v>
      </c>
      <c r="H35" s="18" t="n">
        <f aca="false">SUM(H10:H34)</f>
        <v>18431906.5</v>
      </c>
      <c r="I35" s="18" t="n">
        <f aca="false">SUM(I10:I34)</f>
        <v>7659172.85</v>
      </c>
      <c r="J35" s="18" t="n">
        <f aca="false">SUM(J10:J34)</f>
        <v>8382273.59333333</v>
      </c>
      <c r="K35" s="18" t="n">
        <f aca="false">SUM(K10:K34)</f>
        <v>6523038.55333333</v>
      </c>
      <c r="L35" s="18" t="n">
        <f aca="false">SUM(L10:L34)</f>
        <v>7283592.80333333</v>
      </c>
      <c r="M35" s="18" t="n">
        <f aca="false">SUM(M10:M34)</f>
        <v>11032599.53</v>
      </c>
      <c r="N35" s="18" t="n">
        <f aca="false">SUM(N10:N34)</f>
        <v>17015699.3333333</v>
      </c>
      <c r="O35" s="18" t="n">
        <f aca="false">SUM(O10:O34)</f>
        <v>38483034.9166667</v>
      </c>
      <c r="P35" s="18" t="n">
        <f aca="false">SUM(P10:P34)</f>
        <v>32827434.1664667</v>
      </c>
      <c r="Q35" s="18" t="n">
        <f aca="false">SUM(Q10:Q34)</f>
        <v>15348365.9140667</v>
      </c>
      <c r="R35" s="18" t="n">
        <f aca="false">SUM(R10:R34)</f>
        <v>8771398.61166667</v>
      </c>
      <c r="S35" s="18" t="n">
        <f aca="false">SUM(S10:S34)</f>
        <v>9798983.29353333</v>
      </c>
      <c r="T35" s="18" t="n">
        <f aca="false">SUM(T10:T34)</f>
        <v>4683067.15553334</v>
      </c>
      <c r="U35" s="18" t="n">
        <f aca="false">SUM(U10:U34)</f>
        <v>13710157.6857333</v>
      </c>
      <c r="V35" s="18"/>
      <c r="W35" s="18"/>
      <c r="X35" s="18"/>
      <c r="Y35" s="19" t="n">
        <f aca="false">SUM(C35:X35)</f>
        <v>242359834.907</v>
      </c>
    </row>
    <row r="36" customFormat="false" ht="12.75" hidden="false" customHeight="false" outlineLevel="0" collapsed="false">
      <c r="A36" s="1" t="s">
        <v>43</v>
      </c>
      <c r="C36" s="18" t="n">
        <f aca="false">+C35</f>
        <v>6800000</v>
      </c>
      <c r="D36" s="18" t="n">
        <f aca="false">+C36+D35</f>
        <v>8050000</v>
      </c>
      <c r="E36" s="18" t="n">
        <f aca="false">+D36+E35</f>
        <v>40934800</v>
      </c>
      <c r="F36" s="18" t="n">
        <f aca="false">+E36+F35</f>
        <v>40954800</v>
      </c>
      <c r="G36" s="18" t="n">
        <f aca="false">+F36+G35</f>
        <v>42409110</v>
      </c>
      <c r="H36" s="18" t="n">
        <f aca="false">+G36+H35</f>
        <v>60841016.5</v>
      </c>
      <c r="I36" s="18" t="n">
        <f aca="false">+H36+I35</f>
        <v>68500189.35</v>
      </c>
      <c r="J36" s="18" t="n">
        <f aca="false">+I36+J35</f>
        <v>76882462.9433333</v>
      </c>
      <c r="K36" s="18" t="n">
        <f aca="false">+J36+K35</f>
        <v>83405501.4966667</v>
      </c>
      <c r="L36" s="18" t="n">
        <f aca="false">+K36+L35</f>
        <v>90689094.3</v>
      </c>
      <c r="M36" s="18" t="n">
        <f aca="false">+L36+M35</f>
        <v>101721693.83</v>
      </c>
      <c r="N36" s="18" t="n">
        <f aca="false">+M36+N35</f>
        <v>118737393.163333</v>
      </c>
      <c r="O36" s="18" t="n">
        <f aca="false">+N36+O35</f>
        <v>157220428.08</v>
      </c>
      <c r="P36" s="18" t="n">
        <f aca="false">+O36+P35</f>
        <v>190047862.246467</v>
      </c>
      <c r="Q36" s="18" t="n">
        <f aca="false">+P36+Q35</f>
        <v>205396228.160533</v>
      </c>
      <c r="R36" s="18" t="n">
        <f aca="false">+Q36+R35</f>
        <v>214167626.7722</v>
      </c>
      <c r="S36" s="18" t="n">
        <f aca="false">+R36+S35</f>
        <v>223966610.065733</v>
      </c>
      <c r="T36" s="18" t="n">
        <f aca="false">+S36+T35</f>
        <v>228649677.221267</v>
      </c>
      <c r="U36" s="18" t="n">
        <f aca="false">+T36+U35</f>
        <v>242359834.907</v>
      </c>
      <c r="V36" s="37"/>
      <c r="W36" s="37"/>
      <c r="X36" s="37"/>
      <c r="Y36" s="20"/>
    </row>
    <row r="37" customFormat="false" ht="12.75" hidden="false" customHeight="false" outlineLevel="0" collapsed="false">
      <c r="A37" s="1" t="s">
        <v>44</v>
      </c>
      <c r="F37" s="15"/>
      <c r="Y37" s="21" t="n">
        <f aca="false">+Y35/C52/1000</f>
        <v>398.618149518092</v>
      </c>
    </row>
    <row r="38" customFormat="false" ht="12.75" hidden="false" customHeight="false" outlineLevel="0" collapsed="false">
      <c r="F38" s="15"/>
      <c r="Y38" s="16"/>
    </row>
    <row r="39" customFormat="false" ht="12.75" hidden="false" customHeight="false" outlineLevel="0" collapsed="false">
      <c r="A39" s="1" t="s">
        <v>91</v>
      </c>
      <c r="F39" s="15" t="n">
        <v>-21556.4</v>
      </c>
      <c r="G39" s="15" t="n">
        <f aca="false">43113+23365.9</f>
        <v>66478.9</v>
      </c>
      <c r="H39" s="1" t="n">
        <v>-51000</v>
      </c>
      <c r="Y39" s="16" t="n">
        <f aca="false">SUM(C39:X39)</f>
        <v>-6077.50000000001</v>
      </c>
      <c r="Z39" s="17" t="s">
        <v>47</v>
      </c>
    </row>
    <row r="40" customFormat="false" ht="12.75" hidden="false" customHeight="false" outlineLevel="0" collapsed="false">
      <c r="A40" s="1" t="s">
        <v>45</v>
      </c>
      <c r="C40" s="2" t="n">
        <v>340000</v>
      </c>
      <c r="D40" s="1" t="n">
        <v>46410</v>
      </c>
      <c r="E40" s="1" t="n">
        <v>139384</v>
      </c>
      <c r="F40" s="15" t="n">
        <f aca="false">205882.6+21556.4</f>
        <v>227439</v>
      </c>
      <c r="G40" s="15" t="n">
        <v>231444</v>
      </c>
      <c r="H40" s="15" t="n">
        <v>419367</v>
      </c>
      <c r="I40" s="15" t="n">
        <f aca="false">(I36+H45)*$C50/12</f>
        <v>378615.552520833</v>
      </c>
      <c r="J40" s="15" t="n">
        <f aca="false">(J36+I45)*$C50/12</f>
        <v>426070.368727543</v>
      </c>
      <c r="K40" s="15" t="n">
        <f aca="false">(K36+J45)*$C50/12</f>
        <v>463711.375388706</v>
      </c>
      <c r="L40" s="15" t="n">
        <v>505639.68570277</v>
      </c>
      <c r="M40" s="15" t="n">
        <v>568176.300858508</v>
      </c>
      <c r="N40" s="15" t="n">
        <v>663422.293877047</v>
      </c>
      <c r="O40" s="15" t="n">
        <f aca="false">(O36+N45)*$C50/12</f>
        <v>875469.937100825</v>
      </c>
      <c r="P40" s="15" t="n">
        <f aca="false">(P36+O45)*$C50/12</f>
        <v>1058027.33432848</v>
      </c>
      <c r="Q40" s="15" t="n">
        <f aca="false">(Q36+P45)*$C50/12</f>
        <v>1146895.29775729</v>
      </c>
      <c r="R40" s="15" t="n">
        <f aca="false">(R36+Q45)*$C50/12</f>
        <v>1200619.38976667</v>
      </c>
      <c r="S40" s="15" t="n">
        <f aca="false">(S36+R45)*$C50/12</f>
        <v>1260200.57096788</v>
      </c>
      <c r="T40" s="15" t="n">
        <f aca="false">(T36+S45)*$C50/12</f>
        <v>1292393.27115309</v>
      </c>
      <c r="U40" s="15" t="n">
        <f aca="false">(U36+T45)*$C50/12</f>
        <v>1373657.08883623</v>
      </c>
      <c r="V40" s="15"/>
      <c r="W40" s="15"/>
      <c r="X40" s="15"/>
      <c r="Y40" s="16" t="n">
        <f aca="false">SUM(C40:X40)</f>
        <v>12616942.4669859</v>
      </c>
      <c r="Z40" s="17" t="n">
        <f aca="false">Z53</f>
        <v>0</v>
      </c>
    </row>
    <row r="41" customFormat="false" ht="12.75" hidden="false" customHeight="false" outlineLevel="0" collapsed="false">
      <c r="A41" s="1" t="s">
        <v>92</v>
      </c>
      <c r="F41" s="15" t="n">
        <v>0</v>
      </c>
      <c r="G41" s="15" t="n">
        <v>0</v>
      </c>
      <c r="H41" s="15" t="n">
        <v>0</v>
      </c>
      <c r="I41" s="15" t="n">
        <v>0</v>
      </c>
      <c r="J41" s="15"/>
      <c r="K41" s="15" t="n">
        <v>0</v>
      </c>
      <c r="L41" s="15" t="n">
        <v>0</v>
      </c>
      <c r="M41" s="15" t="n">
        <v>0</v>
      </c>
      <c r="N41" s="15" t="n">
        <v>0</v>
      </c>
      <c r="O41" s="15" t="n">
        <v>0</v>
      </c>
      <c r="P41" s="15" t="n">
        <v>0</v>
      </c>
      <c r="Q41" s="15" t="n">
        <v>0</v>
      </c>
      <c r="R41" s="15" t="n">
        <v>0</v>
      </c>
      <c r="S41" s="15" t="n">
        <v>0</v>
      </c>
      <c r="T41" s="15" t="n">
        <v>0</v>
      </c>
      <c r="U41" s="15" t="n">
        <v>0</v>
      </c>
      <c r="V41" s="15"/>
      <c r="W41" s="15"/>
      <c r="X41" s="15"/>
      <c r="Y41" s="16" t="n">
        <f aca="false">SUM(C41:X41)</f>
        <v>0</v>
      </c>
      <c r="Z41" s="17" t="n">
        <f aca="false">Z40</f>
        <v>0</v>
      </c>
    </row>
    <row r="42" customFormat="false" ht="12.75" hidden="false" customHeight="false" outlineLevel="0" collapsed="false">
      <c r="A42" s="1" t="s">
        <v>109</v>
      </c>
      <c r="C42" s="2" t="n">
        <v>0</v>
      </c>
      <c r="H42" s="1" t="n">
        <v>100</v>
      </c>
      <c r="K42" s="1" t="n">
        <f aca="false">220+59</f>
        <v>279</v>
      </c>
      <c r="L42" s="1" t="n">
        <v>10</v>
      </c>
      <c r="M42" s="1" t="n">
        <v>0</v>
      </c>
      <c r="N42" s="1" t="n">
        <v>800</v>
      </c>
      <c r="Y42" s="16" t="n">
        <f aca="false">SUM(C42:X42)</f>
        <v>1189</v>
      </c>
      <c r="Z42" s="17"/>
    </row>
    <row r="43" customFormat="false" ht="12.75" hidden="false" customHeight="false" outlineLevel="0" collapsed="false">
      <c r="A43" s="1" t="s">
        <v>93</v>
      </c>
      <c r="C43" s="2" t="n">
        <v>0</v>
      </c>
      <c r="U43" s="1" t="n">
        <v>0</v>
      </c>
      <c r="Y43" s="16" t="n">
        <f aca="false">SUM(C43:X43)</f>
        <v>0</v>
      </c>
      <c r="Z43" s="17" t="str">
        <f aca="false">Z24</f>
        <v>Mike Miller</v>
      </c>
    </row>
    <row r="44" customFormat="false" ht="12.75" hidden="false" customHeight="false" outlineLevel="0" collapsed="false">
      <c r="A44" s="1" t="s">
        <v>49</v>
      </c>
      <c r="C44" s="18" t="n">
        <f aca="false">SUM(C39:C43)</f>
        <v>340000</v>
      </c>
      <c r="D44" s="18" t="n">
        <f aca="false">SUM(D39:D43)</f>
        <v>46410</v>
      </c>
      <c r="E44" s="18" t="n">
        <f aca="false">SUM(E39:E43)</f>
        <v>139384</v>
      </c>
      <c r="F44" s="18" t="n">
        <f aca="false">SUM(F39:F43)</f>
        <v>205882.6</v>
      </c>
      <c r="G44" s="18" t="n">
        <f aca="false">SUM(G39:G43)</f>
        <v>297922.9</v>
      </c>
      <c r="H44" s="18" t="n">
        <f aca="false">SUM(H39:H43)</f>
        <v>368467</v>
      </c>
      <c r="I44" s="18" t="n">
        <f aca="false">SUM(I39:I43)</f>
        <v>378615.552520833</v>
      </c>
      <c r="J44" s="18" t="n">
        <f aca="false">SUM(J39:J43)</f>
        <v>426070.368727543</v>
      </c>
      <c r="K44" s="18" t="n">
        <f aca="false">SUM(K39:K43)</f>
        <v>463990.375388706</v>
      </c>
      <c r="L44" s="18" t="n">
        <f aca="false">SUM(L39:L43)</f>
        <v>505649.68570277</v>
      </c>
      <c r="M44" s="18" t="n">
        <f aca="false">SUM(M39:M43)</f>
        <v>568176.300858508</v>
      </c>
      <c r="N44" s="18" t="n">
        <f aca="false">SUM(N39:N43)</f>
        <v>664222.293877047</v>
      </c>
      <c r="O44" s="18" t="n">
        <f aca="false">SUM(O39:O43)</f>
        <v>875469.937100825</v>
      </c>
      <c r="P44" s="18" t="n">
        <f aca="false">SUM(P39:P43)</f>
        <v>1058027.33432848</v>
      </c>
      <c r="Q44" s="18" t="n">
        <f aca="false">SUM(Q39:Q43)</f>
        <v>1146895.29775729</v>
      </c>
      <c r="R44" s="18" t="n">
        <f aca="false">SUM(R39:R43)</f>
        <v>1200619.38976667</v>
      </c>
      <c r="S44" s="18" t="n">
        <f aca="false">SUM(S39:S43)</f>
        <v>1260200.57096788</v>
      </c>
      <c r="T44" s="18" t="n">
        <f aca="false">SUM(T39:T43)</f>
        <v>1292393.27115309</v>
      </c>
      <c r="U44" s="18" t="n">
        <f aca="false">SUM(U39:U43)</f>
        <v>1373657.08883623</v>
      </c>
      <c r="V44" s="18" t="n">
        <f aca="false">SUM(V39:V43)</f>
        <v>0</v>
      </c>
      <c r="W44" s="18" t="n">
        <f aca="false">SUM(W39:W43)</f>
        <v>0</v>
      </c>
      <c r="X44" s="18" t="n">
        <f aca="false">SUM(X39:X43)</f>
        <v>0</v>
      </c>
      <c r="Y44" s="19" t="n">
        <f aca="false">SUM(C44:U44)</f>
        <v>12612053.9669859</v>
      </c>
    </row>
    <row r="45" customFormat="false" ht="12.75" hidden="false" customHeight="false" outlineLevel="0" collapsed="false">
      <c r="A45" s="1" t="s">
        <v>50</v>
      </c>
      <c r="C45" s="18" t="n">
        <f aca="false">+C44</f>
        <v>340000</v>
      </c>
      <c r="D45" s="18" t="n">
        <f aca="false">+D44+C45</f>
        <v>386410</v>
      </c>
      <c r="E45" s="18" t="n">
        <f aca="false">+E44+D45</f>
        <v>525794</v>
      </c>
      <c r="F45" s="18" t="n">
        <f aca="false">+F44+E45</f>
        <v>731676.6</v>
      </c>
      <c r="G45" s="18" t="n">
        <f aca="false">+G44+F45</f>
        <v>1029599.5</v>
      </c>
      <c r="H45" s="18" t="n">
        <f aca="false">+H44+G45</f>
        <v>1398066.5</v>
      </c>
      <c r="I45" s="18" t="n">
        <f aca="false">+I44+H45</f>
        <v>1776682.05252083</v>
      </c>
      <c r="J45" s="18" t="n">
        <f aca="false">+J44+I45</f>
        <v>2202752.42124838</v>
      </c>
      <c r="K45" s="18" t="n">
        <f aca="false">+K44+J45</f>
        <v>2666742.79663708</v>
      </c>
      <c r="L45" s="18" t="n">
        <f aca="false">+L44+K45</f>
        <v>3172392.48233985</v>
      </c>
      <c r="M45" s="18" t="n">
        <f aca="false">+M44+L45</f>
        <v>3740568.78319836</v>
      </c>
      <c r="N45" s="18" t="n">
        <f aca="false">+N44+M45</f>
        <v>4404791.07707541</v>
      </c>
      <c r="O45" s="18" t="n">
        <f aca="false">+O44+N45</f>
        <v>5280261.01417623</v>
      </c>
      <c r="P45" s="18" t="n">
        <f aca="false">+P44+O45</f>
        <v>6338288.34850471</v>
      </c>
      <c r="Q45" s="18" t="n">
        <f aca="false">+Q44+P45</f>
        <v>7485183.646262</v>
      </c>
      <c r="R45" s="18" t="n">
        <f aca="false">+R44+Q45</f>
        <v>8685803.03602867</v>
      </c>
      <c r="S45" s="18" t="n">
        <f aca="false">+S44+R45</f>
        <v>9946003.60699655</v>
      </c>
      <c r="T45" s="18" t="n">
        <f aca="false">+T44+S45</f>
        <v>11238396.8781496</v>
      </c>
      <c r="U45" s="18" t="n">
        <f aca="false">+U44+T45</f>
        <v>12612053.9669859</v>
      </c>
      <c r="V45" s="18" t="n">
        <f aca="false">+V44+U45</f>
        <v>12612053.9669859</v>
      </c>
      <c r="W45" s="18" t="n">
        <f aca="false">+W44+V45</f>
        <v>12612053.9669859</v>
      </c>
      <c r="X45" s="18" t="n">
        <f aca="false">+X44+W45</f>
        <v>12612053.9669859</v>
      </c>
      <c r="Y45" s="16"/>
    </row>
    <row r="46" customFormat="false" ht="12.75" hidden="false" customHeight="false" outlineLevel="0" collapsed="false">
      <c r="Y46" s="16"/>
    </row>
    <row r="47" customFormat="false" ht="12.75" hidden="false" customHeight="false" outlineLevel="0" collapsed="false">
      <c r="A47" s="2" t="s">
        <v>110</v>
      </c>
      <c r="B47" s="2"/>
      <c r="C47" s="2" t="n">
        <f aca="false">+C35+C44</f>
        <v>7140000</v>
      </c>
      <c r="D47" s="2" t="n">
        <f aca="false">+D35+D44</f>
        <v>1296410</v>
      </c>
      <c r="E47" s="2" t="n">
        <f aca="false">+E35+E44</f>
        <v>33024184</v>
      </c>
      <c r="F47" s="2" t="n">
        <f aca="false">+F35+F44</f>
        <v>225882.6</v>
      </c>
      <c r="G47" s="2" t="n">
        <f aca="false">+G35+G44</f>
        <v>1752232.9</v>
      </c>
      <c r="H47" s="2" t="n">
        <f aca="false">+H35+H44</f>
        <v>18800373.5</v>
      </c>
      <c r="I47" s="2" t="n">
        <f aca="false">+I35+I44</f>
        <v>8037788.40252083</v>
      </c>
      <c r="J47" s="2" t="n">
        <f aca="false">+J35+J44</f>
        <v>8808343.96206088</v>
      </c>
      <c r="K47" s="2" t="n">
        <f aca="false">+K35+K44</f>
        <v>6987028.92872204</v>
      </c>
      <c r="L47" s="2" t="n">
        <f aca="false">+L35+L44</f>
        <v>7789242.4890361</v>
      </c>
      <c r="M47" s="2" t="n">
        <f aca="false">+M35+M44</f>
        <v>11600775.8308585</v>
      </c>
      <c r="N47" s="2" t="n">
        <f aca="false">+N35+N44</f>
        <v>17679921.6272104</v>
      </c>
      <c r="O47" s="2" t="n">
        <f aca="false">+O35+O44</f>
        <v>39358504.8537675</v>
      </c>
      <c r="P47" s="2" t="n">
        <f aca="false">+P35+P44</f>
        <v>33885461.5007952</v>
      </c>
      <c r="Q47" s="2" t="n">
        <f aca="false">+Q35+Q44</f>
        <v>16495261.211824</v>
      </c>
      <c r="R47" s="2" t="n">
        <f aca="false">+R35+R44</f>
        <v>9972018.00143334</v>
      </c>
      <c r="S47" s="2" t="n">
        <f aca="false">+S35+S44</f>
        <v>11059183.8645012</v>
      </c>
      <c r="T47" s="2" t="n">
        <f aca="false">+T35+T44</f>
        <v>5975460.42668643</v>
      </c>
      <c r="U47" s="2" t="n">
        <f aca="false">+U35+U44</f>
        <v>15083814.7745696</v>
      </c>
      <c r="V47" s="2" t="n">
        <f aca="false">+V35+V44</f>
        <v>0</v>
      </c>
      <c r="W47" s="2" t="n">
        <f aca="false">+W35+W44</f>
        <v>0</v>
      </c>
      <c r="X47" s="2" t="n">
        <f aca="false">+X35+X44</f>
        <v>0</v>
      </c>
      <c r="Y47" s="16" t="n">
        <f aca="false">SUM(C47:X47)</f>
        <v>254971888.873986</v>
      </c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 t="s">
        <v>52</v>
      </c>
      <c r="B48" s="2"/>
      <c r="C48" s="2" t="n">
        <f aca="false">C47</f>
        <v>7140000</v>
      </c>
      <c r="D48" s="2" t="n">
        <f aca="false">C48+D47</f>
        <v>8436410</v>
      </c>
      <c r="E48" s="2" t="n">
        <f aca="false">D48+E47</f>
        <v>41460594</v>
      </c>
      <c r="F48" s="2" t="n">
        <f aca="false">E48+F47</f>
        <v>41686476.6</v>
      </c>
      <c r="G48" s="2" t="n">
        <f aca="false">F48+G47</f>
        <v>43438709.5</v>
      </c>
      <c r="H48" s="2" t="n">
        <f aca="false">G48+H47</f>
        <v>62239083</v>
      </c>
      <c r="I48" s="2" t="n">
        <f aca="false">H48+I47</f>
        <v>70276871.4025208</v>
      </c>
      <c r="J48" s="2" t="n">
        <f aca="false">I48+J47</f>
        <v>79085215.3645817</v>
      </c>
      <c r="K48" s="2" t="n">
        <f aca="false">J48+K47</f>
        <v>86072244.2933037</v>
      </c>
      <c r="L48" s="2" t="n">
        <f aca="false">K48+L47</f>
        <v>93861486.7823398</v>
      </c>
      <c r="M48" s="2" t="n">
        <f aca="false">L48+M47</f>
        <v>105462262.613198</v>
      </c>
      <c r="N48" s="2" t="n">
        <f aca="false">M48+N47</f>
        <v>123142184.240409</v>
      </c>
      <c r="O48" s="2" t="n">
        <f aca="false">N48+O47</f>
        <v>162500689.094176</v>
      </c>
      <c r="P48" s="2" t="n">
        <f aca="false">O48+P47</f>
        <v>196386150.594971</v>
      </c>
      <c r="Q48" s="2" t="n">
        <f aca="false">P48+Q47</f>
        <v>212881411.806795</v>
      </c>
      <c r="R48" s="2" t="n">
        <f aca="false">Q48+R47</f>
        <v>222853429.808229</v>
      </c>
      <c r="S48" s="2" t="n">
        <f aca="false">R48+S47</f>
        <v>233912613.67273</v>
      </c>
      <c r="T48" s="2" t="n">
        <f aca="false">S48+T47</f>
        <v>239888074.099416</v>
      </c>
      <c r="U48" s="2" t="n">
        <f aca="false">T48+U47</f>
        <v>254971888.873986</v>
      </c>
      <c r="V48" s="2" t="n">
        <f aca="false">U48+V47</f>
        <v>254971888.873986</v>
      </c>
      <c r="W48" s="2" t="n">
        <f aca="false">V48+W47</f>
        <v>254971888.873986</v>
      </c>
      <c r="X48" s="2" t="n">
        <f aca="false">W48+X47</f>
        <v>254971888.873986</v>
      </c>
      <c r="Y48" s="16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" t="s">
        <v>44</v>
      </c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1" t="n">
        <f aca="false">+Y47/C52/1000</f>
        <v>419.361659332214</v>
      </c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94</v>
      </c>
      <c r="B50" s="2"/>
      <c r="C50" s="8" t="n">
        <v>0.065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95</v>
      </c>
      <c r="B51" s="2"/>
      <c r="C51" s="8" t="n">
        <v>0.0035</v>
      </c>
      <c r="D51" s="33" t="n">
        <v>245672000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5"/>
      <c r="B52" s="2"/>
      <c r="C52" s="2" t="n">
        <v>608</v>
      </c>
      <c r="D52" s="2" t="s">
        <v>54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6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55</v>
      </c>
      <c r="C53" s="2" t="n">
        <v>0</v>
      </c>
      <c r="U53" s="1" t="n">
        <v>0</v>
      </c>
      <c r="Y53" s="22" t="n">
        <f aca="false">SUM(C53:U53)</f>
        <v>0</v>
      </c>
      <c r="Z53" s="17" t="n">
        <f aca="false">Z42</f>
        <v>0</v>
      </c>
    </row>
    <row r="54" customFormat="false" ht="12.75" hidden="false" customHeight="false" outlineLevel="0" collapsed="false">
      <c r="A54" s="15"/>
      <c r="B54" s="2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6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56</v>
      </c>
      <c r="C55" s="2" t="n">
        <f aca="false">+C47-C40</f>
        <v>6800000</v>
      </c>
      <c r="D55" s="2" t="n">
        <f aca="false">+D47-D40</f>
        <v>1250000</v>
      </c>
      <c r="E55" s="2" t="n">
        <f aca="false">+E47-E40</f>
        <v>32884800</v>
      </c>
      <c r="F55" s="2" t="n">
        <f aca="false">+F47-F40</f>
        <v>-1556.39999999999</v>
      </c>
      <c r="G55" s="2" t="n">
        <f aca="false">+G47-G40</f>
        <v>1520788.9</v>
      </c>
      <c r="H55" s="2" t="n">
        <f aca="false">+H47-H40</f>
        <v>18381006.5</v>
      </c>
      <c r="I55" s="2" t="n">
        <f aca="false">+I47-I40</f>
        <v>7659172.85</v>
      </c>
      <c r="J55" s="2" t="n">
        <f aca="false">+J47-J40</f>
        <v>8382273.59333333</v>
      </c>
      <c r="K55" s="2" t="n">
        <f aca="false">+K47-K40</f>
        <v>6523317.55333333</v>
      </c>
      <c r="L55" s="2" t="n">
        <f aca="false">+L47-L40</f>
        <v>7283602.80333333</v>
      </c>
      <c r="M55" s="2" t="n">
        <f aca="false">+M47-M40</f>
        <v>11032599.53</v>
      </c>
      <c r="N55" s="2" t="n">
        <f aca="false">+N47-N40</f>
        <v>17016499.3333333</v>
      </c>
      <c r="O55" s="2" t="n">
        <f aca="false">+O47-O40</f>
        <v>38483034.9166667</v>
      </c>
      <c r="P55" s="2" t="n">
        <f aca="false">+P47-P40</f>
        <v>32827434.1664667</v>
      </c>
      <c r="Q55" s="2" t="n">
        <f aca="false">+Q47-Q40</f>
        <v>15348365.9140667</v>
      </c>
      <c r="R55" s="2" t="n">
        <f aca="false">+R47-R40</f>
        <v>8771398.61166667</v>
      </c>
      <c r="S55" s="2" t="n">
        <f aca="false">+S47-S40</f>
        <v>9798983.29353333</v>
      </c>
      <c r="T55" s="2" t="n">
        <f aca="false">+T47-T40</f>
        <v>4683067.15553334</v>
      </c>
      <c r="U55" s="2" t="n">
        <f aca="false">+U47-U40</f>
        <v>13710157.6857333</v>
      </c>
      <c r="V55" s="2" t="n">
        <f aca="false">+V47-V40</f>
        <v>0</v>
      </c>
      <c r="W55" s="2" t="n">
        <f aca="false">+W47-W40</f>
        <v>0</v>
      </c>
      <c r="X55" s="2" t="n">
        <f aca="false">+X47-X40</f>
        <v>0</v>
      </c>
      <c r="Y55" s="16" t="n">
        <f aca="false">SUM(C55:X55)</f>
        <v>242354946.407</v>
      </c>
    </row>
    <row r="56" customFormat="false" ht="9.75" hidden="false" customHeight="true" outlineLevel="0" collapsed="false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6"/>
    </row>
    <row r="57" customFormat="false" ht="12.75" hidden="false" customHeight="false" outlineLevel="0" collapsed="false">
      <c r="Y57" s="16"/>
    </row>
    <row r="58" customFormat="false" ht="20.25" hidden="false" customHeight="false" outlineLevel="0" collapsed="false">
      <c r="A58" s="24" t="s">
        <v>80</v>
      </c>
      <c r="Y58" s="16"/>
      <c r="AB58" s="1" t="s">
        <v>111</v>
      </c>
    </row>
    <row r="59" customFormat="false" ht="12.75" hidden="false" customHeight="false" outlineLevel="0" collapsed="false">
      <c r="A59" s="9" t="s">
        <v>20</v>
      </c>
      <c r="Y59" s="16"/>
      <c r="AB59" s="1" t="s">
        <v>112</v>
      </c>
    </row>
    <row r="60" customFormat="false" ht="12.75" hidden="false" customHeight="false" outlineLevel="0" collapsed="false">
      <c r="A60" s="1" t="s">
        <v>32</v>
      </c>
      <c r="C60" s="2" t="n">
        <v>0</v>
      </c>
      <c r="D60" s="1" t="n">
        <v>0</v>
      </c>
      <c r="E60" s="1" t="n">
        <v>0</v>
      </c>
      <c r="F60" s="15" t="n">
        <v>8000</v>
      </c>
      <c r="G60" s="1" t="n">
        <v>24712</v>
      </c>
      <c r="H60" s="1" t="n">
        <v>0</v>
      </c>
      <c r="I60" s="1" t="n">
        <v>0</v>
      </c>
      <c r="J60" s="1" t="n">
        <v>14873.37</v>
      </c>
      <c r="K60" s="1" t="n">
        <v>2460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Y60" s="16" t="n">
        <f aca="false">SUM(C60:U60)</f>
        <v>50045.37</v>
      </c>
      <c r="Z60" s="17" t="s">
        <v>31</v>
      </c>
      <c r="AA60" s="1" t="n">
        <f aca="false">Y60+Y26</f>
        <v>399999.83</v>
      </c>
      <c r="AB60" s="1" t="n">
        <f aca="false">[1]Wilton!$BR$178</f>
        <v>400000</v>
      </c>
      <c r="AC60" s="1" t="n">
        <f aca="false">AB60-AA60</f>
        <v>0.169999999983702</v>
      </c>
    </row>
    <row r="61" customFormat="false" ht="12.75" hidden="false" customHeight="false" outlineLevel="0" collapsed="false">
      <c r="A61" s="1" t="s">
        <v>40</v>
      </c>
      <c r="C61" s="2" t="n">
        <v>0</v>
      </c>
      <c r="D61" s="1" t="n">
        <v>1236</v>
      </c>
      <c r="E61" s="1" t="n">
        <f aca="false">56608-22604+22500</f>
        <v>56504</v>
      </c>
      <c r="F61" s="15" t="n">
        <f aca="false">5706+21114</f>
        <v>26820</v>
      </c>
      <c r="G61" s="1" t="n">
        <f aca="false">9652+1899</f>
        <v>11551</v>
      </c>
      <c r="H61" s="1" t="n">
        <v>0</v>
      </c>
      <c r="I61" s="1" t="n">
        <f aca="false">169479.45+30387.78</f>
        <v>199867.23</v>
      </c>
      <c r="J61" s="1" t="n">
        <f aca="false">566.91+3047.17+16608.78+17351.65+10439.68</f>
        <v>48014.19</v>
      </c>
      <c r="K61" s="1" t="n">
        <v>0</v>
      </c>
      <c r="L61" s="1" t="n">
        <v>0</v>
      </c>
      <c r="M61" s="1" t="n">
        <v>0</v>
      </c>
      <c r="N61" s="1" t="n">
        <v>0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Y61" s="16" t="n">
        <f aca="false">SUM(C61:U61)</f>
        <v>343992.42</v>
      </c>
      <c r="Z61" s="17" t="str">
        <f aca="false">Z60</f>
        <v>Scott Healy</v>
      </c>
      <c r="AA61" s="1" t="n">
        <f aca="false">Y61+Y33</f>
        <v>847631.9</v>
      </c>
      <c r="AB61" s="1" t="n">
        <f aca="false">[1]Wilton!$BR$201</f>
        <v>847631.42</v>
      </c>
      <c r="AC61" s="1" t="n">
        <f aca="false">AB61-AA61</f>
        <v>-0.479999999981374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22604</v>
      </c>
      <c r="F62" s="15" t="n">
        <v>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Y62" s="16" t="n">
        <f aca="false">SUM(C62:U62)</f>
        <v>22604</v>
      </c>
      <c r="Z62" s="17" t="str">
        <f aca="false">Z61</f>
        <v>Scott Healy</v>
      </c>
      <c r="AA62" s="1" t="n">
        <f aca="false">Y62+Y32</f>
        <v>199999.593333333</v>
      </c>
      <c r="AB62" s="1" t="n">
        <f aca="false">[1]Wilton!$BR$192</f>
        <v>200000</v>
      </c>
      <c r="AC62" s="1" t="n">
        <f aca="false">AB62-AA62</f>
        <v>0.406666666676756</v>
      </c>
    </row>
    <row r="63" customFormat="false" ht="12.75" hidden="false" customHeight="false" outlineLevel="0" collapsed="false">
      <c r="A63" s="1" t="s">
        <v>41</v>
      </c>
      <c r="C63" s="2" t="n">
        <v>0</v>
      </c>
      <c r="D63" s="1" t="n">
        <v>0</v>
      </c>
      <c r="E63" s="1" t="n">
        <v>0</v>
      </c>
      <c r="F63" s="15" t="n">
        <v>10000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Y63" s="16" t="n">
        <f aca="false">SUM(C63:U63)</f>
        <v>10000</v>
      </c>
      <c r="Z63" s="17" t="str">
        <f aca="false">Z62</f>
        <v>Scott Healy</v>
      </c>
      <c r="AA63" s="1" t="n">
        <f aca="false">Y63+Y34</f>
        <v>256750.5</v>
      </c>
      <c r="AB63" s="1" t="n">
        <f aca="false">[1]Wilton!$BR$207</f>
        <v>256751</v>
      </c>
      <c r="AC63" s="1" t="n">
        <f aca="false">AB63-AA63</f>
        <v>0.5</v>
      </c>
    </row>
    <row r="64" customFormat="false" ht="12.75" hidden="false" customHeight="false" outlineLevel="0" collapsed="false">
      <c r="A64" s="2" t="s">
        <v>113</v>
      </c>
      <c r="C64" s="18" t="n">
        <f aca="false">SUM(C60:C63)</f>
        <v>0</v>
      </c>
      <c r="D64" s="18" t="n">
        <f aca="false">SUM(D60:D63)</f>
        <v>1236</v>
      </c>
      <c r="E64" s="18" t="n">
        <f aca="false">SUM(E60:E63)</f>
        <v>79108</v>
      </c>
      <c r="F64" s="18" t="n">
        <f aca="false">SUM(F60:F63)</f>
        <v>44820</v>
      </c>
      <c r="G64" s="18" t="n">
        <f aca="false">SUM(G60:G63)</f>
        <v>36263</v>
      </c>
      <c r="H64" s="18" t="n">
        <f aca="false">SUM(H60:H63)</f>
        <v>0</v>
      </c>
      <c r="I64" s="18" t="n">
        <f aca="false">SUM(I60:I63)</f>
        <v>199867.23</v>
      </c>
      <c r="J64" s="18" t="n">
        <f aca="false">SUM(J60:J63)</f>
        <v>62887.56</v>
      </c>
      <c r="K64" s="18" t="n">
        <f aca="false">SUM(K60:K63)</f>
        <v>2460</v>
      </c>
      <c r="L64" s="18" t="n">
        <f aca="false">SUM(L60:L63)</f>
        <v>0</v>
      </c>
      <c r="M64" s="18" t="n">
        <f aca="false">SUM(M60:M63)</f>
        <v>0</v>
      </c>
      <c r="N64" s="18" t="n">
        <f aca="false">SUM(N60:N63)</f>
        <v>0</v>
      </c>
      <c r="O64" s="18" t="n">
        <f aca="false">SUM(O60:O63)</f>
        <v>0</v>
      </c>
      <c r="P64" s="18" t="n">
        <f aca="false">SUM(P60:P63)</f>
        <v>0</v>
      </c>
      <c r="Q64" s="18" t="n">
        <f aca="false">SUM(Q60:Q63)</f>
        <v>0</v>
      </c>
      <c r="R64" s="18" t="n">
        <f aca="false">SUM(R60:R63)</f>
        <v>0</v>
      </c>
      <c r="S64" s="18" t="n">
        <f aca="false">SUM(S60:S63)</f>
        <v>0</v>
      </c>
      <c r="T64" s="18" t="n">
        <f aca="false">SUM(T60:T63)</f>
        <v>0</v>
      </c>
      <c r="U64" s="18" t="n">
        <f aca="false">SUM(U60:U63)</f>
        <v>0</v>
      </c>
      <c r="V64" s="18" t="n">
        <f aca="false">SUM(V60:V63)</f>
        <v>0</v>
      </c>
      <c r="W64" s="18" t="n">
        <f aca="false">SUM(W60:W63)</f>
        <v>0</v>
      </c>
      <c r="X64" s="18" t="n">
        <f aca="false">SUM(X60:X63)</f>
        <v>0</v>
      </c>
      <c r="Y64" s="19" t="n">
        <f aca="false">SUM(C64:U64)</f>
        <v>426641.79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6"/>
    </row>
    <row r="66" customFormat="false" ht="12.75" hidden="false" customHeight="false" outlineLevel="0" collapsed="false">
      <c r="A66" s="2" t="s">
        <v>97</v>
      </c>
      <c r="D66" s="2"/>
      <c r="E66" s="2"/>
      <c r="F66" s="2"/>
      <c r="G66" s="2" t="n">
        <v>-56500</v>
      </c>
      <c r="H66" s="2" t="n">
        <f aca="false">1-35</f>
        <v>-34</v>
      </c>
      <c r="I66" s="2" t="n">
        <v>-69954</v>
      </c>
      <c r="J66" s="2" t="n">
        <v>-22011</v>
      </c>
      <c r="K66" s="2" t="n">
        <f aca="false">-98-861</f>
        <v>-959</v>
      </c>
      <c r="L66" s="2" t="n">
        <f aca="false">-3</f>
        <v>-3</v>
      </c>
      <c r="M66" s="2" t="n">
        <f aca="false">[1]Wilton!$AN$223</f>
        <v>52217</v>
      </c>
      <c r="N66" s="2" t="n">
        <f aca="false">-233-52264</f>
        <v>-52497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16" t="n">
        <f aca="false">SUM(G66:U66)</f>
        <v>-149741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1236</v>
      </c>
      <c r="E67" s="18" t="n">
        <f aca="false">SUM(E64:E66)</f>
        <v>79108</v>
      </c>
      <c r="F67" s="18" t="n">
        <f aca="false">SUM(F64:F66)</f>
        <v>44820</v>
      </c>
      <c r="G67" s="18" t="n">
        <f aca="false">SUM(G64:G66)</f>
        <v>-20237</v>
      </c>
      <c r="H67" s="18" t="n">
        <f aca="false">SUM(H64:H66)</f>
        <v>-34</v>
      </c>
      <c r="I67" s="18" t="n">
        <f aca="false">SUM(I64:I66)</f>
        <v>129913.23</v>
      </c>
      <c r="J67" s="18" t="n">
        <f aca="false">SUM(J64:J66)</f>
        <v>40876.56</v>
      </c>
      <c r="K67" s="18" t="n">
        <f aca="false">SUM(K64:K66)</f>
        <v>1501</v>
      </c>
      <c r="L67" s="18" t="n">
        <f aca="false">SUM(L64:L66)</f>
        <v>-3</v>
      </c>
      <c r="M67" s="18" t="n">
        <f aca="false">SUM(M64:M66)</f>
        <v>52217</v>
      </c>
      <c r="N67" s="18" t="n">
        <f aca="false">SUM(N64:N66)</f>
        <v>-52497</v>
      </c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0</v>
      </c>
      <c r="Y67" s="18" t="n">
        <f aca="false">SUM(Y64:Y66)</f>
        <v>276900.79</v>
      </c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6"/>
    </row>
    <row r="69" customFormat="false" ht="12.75" hidden="false" customHeight="false" outlineLevel="0" collapsed="false">
      <c r="A69" s="2" t="s">
        <v>114</v>
      </c>
      <c r="Y69" s="16"/>
    </row>
    <row r="70" customFormat="false" ht="12.75" hidden="false" customHeight="false" outlineLevel="0" collapsed="false">
      <c r="A70" s="1" t="s">
        <v>39</v>
      </c>
      <c r="E70" s="1" t="n">
        <v>19729</v>
      </c>
      <c r="F70" s="1" t="n">
        <v>0</v>
      </c>
      <c r="H70" s="1" t="n">
        <v>12698.23</v>
      </c>
      <c r="J70" s="1" t="n">
        <v>5725</v>
      </c>
      <c r="O70" s="1" t="n">
        <v>1242.3</v>
      </c>
      <c r="Y70" s="16" t="n">
        <f aca="false">SUM(C70:U70)</f>
        <v>39394.53</v>
      </c>
      <c r="Z70" s="17" t="str">
        <f aca="false">+Z63</f>
        <v>Scott Healy</v>
      </c>
    </row>
    <row r="71" customFormat="false" ht="12.75" hidden="false" customHeight="false" outlineLevel="0" collapsed="false">
      <c r="A71" s="1" t="s">
        <v>40</v>
      </c>
      <c r="D71" s="1" t="n">
        <v>1343</v>
      </c>
      <c r="E71" s="15" t="n">
        <f aca="false">24234.66+4681.29</f>
        <v>28915.95</v>
      </c>
      <c r="F71" s="1" t="n">
        <f aca="false">19059+269.69</f>
        <v>19328.69</v>
      </c>
      <c r="G71" s="1" t="n">
        <v>568</v>
      </c>
      <c r="H71" s="1" t="n">
        <v>68419</v>
      </c>
      <c r="L71" s="1" t="n">
        <v>591.45</v>
      </c>
      <c r="Y71" s="16" t="n">
        <f aca="false">SUM(C71:U71)</f>
        <v>119166.09</v>
      </c>
      <c r="Z71" s="17" t="str">
        <f aca="false">Z70</f>
        <v>Scott Healy</v>
      </c>
    </row>
    <row r="72" customFormat="false" ht="12.75" hidden="false" customHeight="false" outlineLevel="0" collapsed="false">
      <c r="A72" s="1" t="s">
        <v>41</v>
      </c>
      <c r="C72" s="2" t="n">
        <v>52133</v>
      </c>
      <c r="G72" s="1" t="n">
        <v>1331</v>
      </c>
      <c r="Y72" s="16" t="n">
        <f aca="false">SUM(C72:U72)</f>
        <v>53464</v>
      </c>
      <c r="Z72" s="17" t="str">
        <f aca="false">Z71</f>
        <v>Scott Healy</v>
      </c>
    </row>
    <row r="73" customFormat="false" ht="12.75" hidden="false" customHeight="false" outlineLevel="0" collapsed="false">
      <c r="A73" s="1" t="s">
        <v>30</v>
      </c>
      <c r="C73" s="2" t="n">
        <v>87500</v>
      </c>
      <c r="Y73" s="16" t="n">
        <f aca="false">SUM(C73:U73)</f>
        <v>87500</v>
      </c>
    </row>
    <row r="74" customFormat="false" ht="12.75" hidden="false" customHeight="false" outlineLevel="0" collapsed="false">
      <c r="A74" s="2" t="s">
        <v>115</v>
      </c>
      <c r="C74" s="18" t="n">
        <f aca="false">SUM(C70:C73)</f>
        <v>139633</v>
      </c>
      <c r="D74" s="18" t="n">
        <f aca="false">SUM(D70:D73)</f>
        <v>1343</v>
      </c>
      <c r="E74" s="18" t="n">
        <f aca="false">SUM(E70:E73)</f>
        <v>48644.95</v>
      </c>
      <c r="F74" s="18" t="n">
        <f aca="false">SUM(F70:F73)</f>
        <v>19328.69</v>
      </c>
      <c r="G74" s="18" t="n">
        <f aca="false">SUM(G70:G73)</f>
        <v>1899</v>
      </c>
      <c r="H74" s="18" t="n">
        <f aca="false">SUM(H70:H73)</f>
        <v>81117.23</v>
      </c>
      <c r="I74" s="18" t="n">
        <f aca="false">SUM(I70:I73)</f>
        <v>0</v>
      </c>
      <c r="J74" s="18" t="n">
        <f aca="false">SUM(J70:J73)</f>
        <v>5725</v>
      </c>
      <c r="K74" s="18" t="n">
        <f aca="false">SUM(K70:K73)</f>
        <v>0</v>
      </c>
      <c r="L74" s="18" t="n">
        <f aca="false">SUM(L70:L73)</f>
        <v>591.45</v>
      </c>
      <c r="M74" s="18" t="n">
        <f aca="false">SUM(M70:M73)</f>
        <v>0</v>
      </c>
      <c r="N74" s="18" t="n">
        <f aca="false">SUM(N70:N73)</f>
        <v>0</v>
      </c>
      <c r="O74" s="18" t="n">
        <f aca="false">SUM(O70:O73)</f>
        <v>1242.3</v>
      </c>
      <c r="P74" s="18" t="n">
        <f aca="false">SUM(P70:P73)</f>
        <v>0</v>
      </c>
      <c r="Q74" s="18" t="n">
        <f aca="false">SUM(Q70:Q73)</f>
        <v>0</v>
      </c>
      <c r="R74" s="18" t="n">
        <f aca="false">SUM(R70:R73)</f>
        <v>0</v>
      </c>
      <c r="S74" s="18" t="n">
        <f aca="false">SUM(S70:S73)</f>
        <v>0</v>
      </c>
      <c r="T74" s="18" t="n">
        <f aca="false">SUM(T70:T73)</f>
        <v>0</v>
      </c>
      <c r="U74" s="18" t="n">
        <f aca="false">SUM(U70:U73)</f>
        <v>0</v>
      </c>
      <c r="V74" s="18" t="n">
        <f aca="false">SUM(V70:V73)</f>
        <v>0</v>
      </c>
      <c r="W74" s="18" t="n">
        <f aca="false">SUM(W70:W73)</f>
        <v>0</v>
      </c>
      <c r="X74" s="18" t="n">
        <f aca="false">SUM(X70:X73)</f>
        <v>0</v>
      </c>
      <c r="Y74" s="19" t="n">
        <f aca="false">SUM(C74:U74)</f>
        <v>299524.62</v>
      </c>
    </row>
    <row r="75" customFormat="false" ht="12.75" hidden="false" customHeight="false" outlineLevel="0" collapsed="false">
      <c r="Y75" s="16"/>
    </row>
    <row r="76" customFormat="false" ht="12.75" hidden="false" customHeight="false" outlineLevel="0" collapsed="false">
      <c r="Y76" s="16"/>
    </row>
    <row r="77" customFormat="false" ht="13.5" hidden="false" customHeight="false" outlineLevel="0" collapsed="false">
      <c r="A77" s="2" t="s">
        <v>116</v>
      </c>
      <c r="C77" s="38" t="n">
        <f aca="false">+C47+C67+C74</f>
        <v>7279633</v>
      </c>
      <c r="D77" s="38" t="n">
        <f aca="false">+D47+D67+D74</f>
        <v>1298989</v>
      </c>
      <c r="E77" s="38" t="n">
        <f aca="false">+E47+E67+E74</f>
        <v>33151936.95</v>
      </c>
      <c r="F77" s="38" t="n">
        <f aca="false">+F47+F67+F74</f>
        <v>290031.29</v>
      </c>
      <c r="G77" s="38" t="n">
        <f aca="false">+G47+G67+G74</f>
        <v>1733894.9</v>
      </c>
      <c r="H77" s="38" t="n">
        <f aca="false">+H47+H67+H74</f>
        <v>18881456.73</v>
      </c>
      <c r="I77" s="38" t="n">
        <f aca="false">+I47+I67+I74</f>
        <v>8167701.63252083</v>
      </c>
      <c r="J77" s="38" t="n">
        <f aca="false">+J47+J67+J74</f>
        <v>8854945.52206088</v>
      </c>
      <c r="K77" s="38" t="n">
        <f aca="false">+K47+K67+K74</f>
        <v>6988529.92872204</v>
      </c>
      <c r="L77" s="38" t="n">
        <f aca="false">+L47+L67+L74</f>
        <v>7789830.9390361</v>
      </c>
      <c r="M77" s="38" t="n">
        <f aca="false">+M47+M67+M74</f>
        <v>11652992.8308585</v>
      </c>
      <c r="N77" s="38" t="n">
        <f aca="false">+N47+N67+N74</f>
        <v>17627424.6272104</v>
      </c>
      <c r="O77" s="38" t="n">
        <f aca="false">+O47+O67+O74</f>
        <v>39359747.1537675</v>
      </c>
      <c r="P77" s="38" t="n">
        <f aca="false">+P47+P67+P74</f>
        <v>33885461.5007952</v>
      </c>
      <c r="Q77" s="38" t="n">
        <f aca="false">+Q47+Q67+Q74</f>
        <v>16495261.211824</v>
      </c>
      <c r="R77" s="38" t="n">
        <f aca="false">+R47+R67+R74</f>
        <v>9972018.00143334</v>
      </c>
      <c r="S77" s="38" t="n">
        <f aca="false">+S47+S67+S74</f>
        <v>11059183.8645012</v>
      </c>
      <c r="T77" s="38" t="n">
        <f aca="false">+T47+T67+T74</f>
        <v>5975460.42668643</v>
      </c>
      <c r="U77" s="38" t="n">
        <f aca="false">+U47+U67+U74</f>
        <v>15083814.7745696</v>
      </c>
      <c r="V77" s="38" t="n">
        <f aca="false">+V47+V67+V74</f>
        <v>0</v>
      </c>
      <c r="W77" s="38" t="n">
        <f aca="false">+W47+W67+W74</f>
        <v>0</v>
      </c>
      <c r="X77" s="38" t="n">
        <f aca="false">+X47+X67+X74</f>
        <v>0</v>
      </c>
      <c r="Y77" s="39" t="n">
        <f aca="false">SUM(C77:U77)</f>
        <v>255548314.283986</v>
      </c>
    </row>
    <row r="78" customFormat="false" ht="12.75" hidden="false" customHeight="false" outlineLevel="0" collapsed="false">
      <c r="U78" s="0"/>
      <c r="V78" s="0"/>
      <c r="W78" s="0"/>
      <c r="X78" s="0"/>
      <c r="Y78" s="40" t="n">
        <f aca="false">Y77-[1]Wilton!$BR$239</f>
        <v>-0.692999988794327</v>
      </c>
    </row>
    <row r="79" customFormat="false" ht="12.75" hidden="false" customHeight="false" outlineLevel="0" collapsed="false">
      <c r="U79" s="0"/>
      <c r="V79" s="0"/>
      <c r="W79" s="0"/>
      <c r="X79" s="0"/>
      <c r="Y79" s="0"/>
    </row>
    <row r="80" customFormat="false" ht="12.75" hidden="false" customHeight="false" outlineLevel="0" collapsed="false">
      <c r="U80" s="0"/>
      <c r="V80" s="0"/>
      <c r="W80" s="0"/>
      <c r="X80" s="0"/>
      <c r="Y80" s="0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U33" activePane="bottomRight" state="frozen"/>
      <selection pane="topLeft" activeCell="A1" activeCellId="0" sqref="A1"/>
      <selection pane="topRight" activeCell="U1" activeCellId="0" sqref="U1"/>
      <selection pane="bottomLeft" activeCell="A33" activeCellId="0" sqref="A33"/>
      <selection pane="bottomRight" activeCell="Z53" activeCellId="0" sqref="Z5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11" min="5" style="1" width="11.28"/>
    <col collapsed="false" customWidth="true" hidden="false" outlineLevel="0" max="21" min="12" style="1" width="12.28"/>
    <col collapsed="false" customWidth="true" hidden="false" outlineLevel="0" max="25" min="22" style="1" width="12.14"/>
    <col collapsed="false" customWidth="true" hidden="false" outlineLevel="0" max="26" min="26" style="2" width="13.56"/>
    <col collapsed="false" customWidth="true" hidden="false" outlineLevel="0" max="27" min="27" style="1" width="19.99"/>
    <col collapsed="false" customWidth="true" hidden="false" outlineLevel="0" max="29" min="28" style="1" width="11.28"/>
    <col collapsed="false" customWidth="false" hidden="false" outlineLevel="0" max="257" min="30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December 24,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 t="str">
        <f aca="true">CELL("filename")</f>
        <v>'file:///mnt/12tb/@roms/datasets/enron/EDRM Enron Email Data Set v2 XML/filtered-attachments/xls/Draw_Sched___122899.xls'#$Gleason</v>
      </c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7" t="n">
        <f aca="true">NOW()</f>
        <v>45926.9532411702</v>
      </c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 t="s">
        <v>5</v>
      </c>
      <c r="R5" s="12"/>
      <c r="S5" s="12"/>
      <c r="T5" s="12"/>
      <c r="U5" s="12"/>
      <c r="V5" s="12"/>
      <c r="W5" s="12"/>
      <c r="X5" s="12"/>
      <c r="Y5" s="12"/>
      <c r="Z5" s="12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81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7</v>
      </c>
      <c r="R6" s="10" t="s">
        <v>8</v>
      </c>
      <c r="S6" s="10" t="s">
        <v>9</v>
      </c>
      <c r="T6" s="10" t="s">
        <v>10</v>
      </c>
      <c r="U6" s="10" t="s">
        <v>11</v>
      </c>
      <c r="V6" s="10" t="s">
        <v>12</v>
      </c>
      <c r="W6" s="10" t="s">
        <v>13</v>
      </c>
      <c r="X6" s="10" t="s">
        <v>14</v>
      </c>
      <c r="Y6" s="10" t="s">
        <v>15</v>
      </c>
      <c r="Z6" s="13" t="s">
        <v>6</v>
      </c>
      <c r="AA6" s="13" t="s">
        <v>19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4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76</v>
      </c>
      <c r="Z8" s="16"/>
    </row>
    <row r="9" customFormat="false" ht="12.75" hidden="false" customHeight="false" outlineLevel="0" collapsed="false">
      <c r="A9" s="9" t="s">
        <v>58</v>
      </c>
      <c r="Z9" s="16"/>
    </row>
    <row r="10" customFormat="false" ht="12.75" hidden="false" customHeight="false" outlineLevel="0" collapsed="false">
      <c r="A10" s="1" t="s">
        <v>59</v>
      </c>
      <c r="L10" s="1" t="n">
        <v>56456629</v>
      </c>
      <c r="N10" s="1" t="n">
        <v>1282310</v>
      </c>
      <c r="O10" s="1" t="n">
        <v>144155</v>
      </c>
      <c r="P10" s="1" t="n">
        <f aca="false">1553625-393211</f>
        <v>1160414</v>
      </c>
      <c r="R10" s="1" t="n">
        <v>0</v>
      </c>
      <c r="U10" s="1" t="n">
        <v>11</v>
      </c>
      <c r="V10" s="1" t="n">
        <f aca="false">3081531-1282310</f>
        <v>1799221</v>
      </c>
      <c r="Z10" s="16" t="n">
        <f aca="false">SUM(C10:Y10)</f>
        <v>60842740</v>
      </c>
      <c r="AA10" s="23" t="s">
        <v>23</v>
      </c>
    </row>
    <row r="11" customFormat="false" ht="12.75" hidden="false" customHeight="false" outlineLevel="0" collapsed="false">
      <c r="A11" s="1" t="s">
        <v>60</v>
      </c>
      <c r="L11" s="1" t="n">
        <v>29625750</v>
      </c>
      <c r="T11" s="1" t="n">
        <f aca="false">249989-107199</f>
        <v>142790</v>
      </c>
      <c r="U11" s="1" t="n">
        <v>1645716</v>
      </c>
      <c r="V11" s="1" t="n">
        <f aca="false">1559250+97385+1409470</f>
        <v>3066105</v>
      </c>
      <c r="Z11" s="16" t="n">
        <f aca="false">SUM(C11:Y11)</f>
        <v>34480361</v>
      </c>
      <c r="AA11" s="23" t="s">
        <v>23</v>
      </c>
      <c r="AB11" s="1" t="n">
        <f aca="false">[1]Gleason!$BT$16</f>
        <v>95323101</v>
      </c>
      <c r="AC11" s="1" t="n">
        <f aca="false">Z10+Z11-AB11</f>
        <v>0</v>
      </c>
    </row>
    <row r="12" customFormat="false" ht="12.75" hidden="false" customHeight="false" outlineLevel="0" collapsed="false">
      <c r="A12" s="1" t="s">
        <v>24</v>
      </c>
      <c r="L12" s="1" t="n">
        <v>1177162</v>
      </c>
      <c r="N12" s="1" t="n">
        <v>0</v>
      </c>
      <c r="O12" s="1" t="n">
        <v>58500</v>
      </c>
      <c r="P12" s="1" t="n">
        <f aca="false">1196070.3+569673+8000</f>
        <v>1773743.3</v>
      </c>
      <c r="Q12" s="1" t="n">
        <v>1765743.3</v>
      </c>
      <c r="R12" s="1" t="n">
        <v>645575.4</v>
      </c>
      <c r="S12" s="1" t="n">
        <f aca="false">531586.8-58500</f>
        <v>473086.8</v>
      </c>
      <c r="T12" s="1" t="n">
        <v>0</v>
      </c>
      <c r="Z12" s="16" t="n">
        <f aca="false">SUM(C12:Y12)</f>
        <v>5893810.8</v>
      </c>
      <c r="AA12" s="23" t="s">
        <v>23</v>
      </c>
      <c r="AB12" s="1" t="n">
        <f aca="false">[1]Gleason!$BT$35</f>
        <v>5893811</v>
      </c>
      <c r="AC12" s="1" t="n">
        <f aca="false">Z12-AB12</f>
        <v>-0.200000000186265</v>
      </c>
    </row>
    <row r="13" customFormat="false" ht="12.75" hidden="false" customHeight="false" outlineLevel="0" collapsed="false">
      <c r="A13" s="1" t="s">
        <v>83</v>
      </c>
      <c r="L13" s="1" t="n">
        <v>232450</v>
      </c>
      <c r="M13" s="1" t="n">
        <v>0</v>
      </c>
      <c r="N13" s="1" t="n">
        <f aca="false">929800/12</f>
        <v>77483.3333333333</v>
      </c>
      <c r="O13" s="1" t="n">
        <f aca="false">929800/12</f>
        <v>77483.3333333333</v>
      </c>
      <c r="P13" s="1" t="n">
        <f aca="false">929800/12</f>
        <v>77483.3333333333</v>
      </c>
      <c r="Q13" s="1" t="n">
        <f aca="false">929800/12</f>
        <v>77483.3333333333</v>
      </c>
      <c r="R13" s="1" t="n">
        <f aca="false">929800/12</f>
        <v>77483.3333333333</v>
      </c>
      <c r="S13" s="1" t="n">
        <f aca="false">929800/12</f>
        <v>77483.3333333333</v>
      </c>
      <c r="T13" s="1" t="n">
        <f aca="false">929800/12</f>
        <v>77483.3333333333</v>
      </c>
      <c r="U13" s="1" t="n">
        <f aca="false">929800/12</f>
        <v>77483.3333333333</v>
      </c>
      <c r="V13" s="1" t="n">
        <f aca="false">929800/12</f>
        <v>77483.3333333333</v>
      </c>
      <c r="Z13" s="16" t="n">
        <f aca="false">SUM(C13:Y13)</f>
        <v>929800</v>
      </c>
      <c r="AA13" s="23" t="s">
        <v>23</v>
      </c>
      <c r="AB13" s="1" t="n">
        <f aca="false">[1]Gleason!$BT$131</f>
        <v>929800</v>
      </c>
      <c r="AC13" s="1" t="n">
        <f aca="false">Z13-AB13</f>
        <v>0</v>
      </c>
    </row>
    <row r="14" customFormat="false" ht="12.75" hidden="false" customHeight="false" outlineLevel="0" collapsed="false">
      <c r="A14" s="1" t="s">
        <v>84</v>
      </c>
      <c r="L14" s="1" t="n">
        <v>710172</v>
      </c>
      <c r="M14" s="1" t="n">
        <v>0</v>
      </c>
      <c r="N14" s="1" t="n">
        <v>236722</v>
      </c>
      <c r="O14" s="1" t="n">
        <v>236722</v>
      </c>
      <c r="P14" s="1" t="n">
        <f aca="false">2840700/12</f>
        <v>236725</v>
      </c>
      <c r="Q14" s="1" t="n">
        <f aca="false">2840700/12</f>
        <v>236725</v>
      </c>
      <c r="R14" s="1" t="n">
        <f aca="false">2840700/12</f>
        <v>236725</v>
      </c>
      <c r="S14" s="1" t="n">
        <f aca="false">2840700/12</f>
        <v>236725</v>
      </c>
      <c r="T14" s="1" t="n">
        <f aca="false">2840700/12</f>
        <v>236725</v>
      </c>
      <c r="U14" s="1" t="n">
        <f aca="false">2840700/12</f>
        <v>236725</v>
      </c>
      <c r="V14" s="1" t="n">
        <f aca="false">2840700/12+6+3</f>
        <v>236734</v>
      </c>
      <c r="Z14" s="16" t="n">
        <f aca="false">SUM(C14:Y14)</f>
        <v>2840700</v>
      </c>
      <c r="AA14" s="23" t="s">
        <v>23</v>
      </c>
      <c r="AB14" s="1" t="n">
        <f aca="false">[1]Gleason!$BT$132</f>
        <v>2840700</v>
      </c>
      <c r="AC14" s="1" t="n">
        <f aca="false">Z14-AB14</f>
        <v>0</v>
      </c>
    </row>
    <row r="15" customFormat="false" ht="12.75" hidden="false" customHeight="false" outlineLevel="0" collapsed="false">
      <c r="A15" s="1" t="s">
        <v>85</v>
      </c>
      <c r="V15" s="1" t="n">
        <v>3066700</v>
      </c>
      <c r="Z15" s="16" t="n">
        <f aca="false">SUM(C15:Y15)</f>
        <v>3066700</v>
      </c>
      <c r="AA15" s="23" t="s">
        <v>23</v>
      </c>
      <c r="AB15" s="1" t="n">
        <f aca="false">[1]Gleason!$BT$133</f>
        <v>3066700</v>
      </c>
      <c r="AC15" s="1" t="n">
        <f aca="false">Z15-AB15</f>
        <v>0</v>
      </c>
    </row>
    <row r="16" customFormat="false" ht="12.75" hidden="false" customHeight="false" outlineLevel="0" collapsed="false">
      <c r="A16" s="1" t="s">
        <v>101</v>
      </c>
      <c r="O16" s="1" t="n">
        <v>420818</v>
      </c>
      <c r="Q16" s="1" t="n">
        <f aca="false">(0.2939-0.145)*AB16</f>
        <v>2226146.4246</v>
      </c>
      <c r="R16" s="1" t="n">
        <f aca="false">(0.4765-0.2939)*AB16</f>
        <v>2729982.1164</v>
      </c>
      <c r="S16" s="1" t="n">
        <f aca="false">(0.6457-0.4765)*AB16</f>
        <v>2529643.8888</v>
      </c>
      <c r="T16" s="1" t="n">
        <f aca="false">(0.7795-0.6457)*AB16</f>
        <v>2000392.1532</v>
      </c>
      <c r="U16" s="1" t="n">
        <f aca="false">(0.8617-0.7795)*AB16</f>
        <v>1228940.4708</v>
      </c>
      <c r="V16" s="1" t="n">
        <f aca="false">(0.9293-0.8617)*AB16</f>
        <v>1010661.5064</v>
      </c>
      <c r="W16" s="1" t="n">
        <f aca="false">(1-0.9293)*AB16</f>
        <v>1057008.4098</v>
      </c>
      <c r="Z16" s="16" t="n">
        <f aca="false">SUM(C16:Y16)</f>
        <v>13203592.97</v>
      </c>
      <c r="AA16" s="23"/>
      <c r="AB16" s="1" t="n">
        <f aca="false">[1]Gleason!$BT$59</f>
        <v>14950614</v>
      </c>
      <c r="AC16" s="1" t="n">
        <f aca="false">Z16-AB16</f>
        <v>-1747021.03</v>
      </c>
    </row>
    <row r="17" customFormat="false" ht="12.75" hidden="false" customHeight="false" outlineLevel="0" collapsed="false">
      <c r="A17" s="1" t="s">
        <v>102</v>
      </c>
      <c r="O17" s="1" t="n">
        <v>84021</v>
      </c>
      <c r="Q17" s="1" t="n">
        <f aca="false">(0.2939-0.145)*AB17</f>
        <v>768904.5611</v>
      </c>
      <c r="R17" s="1" t="n">
        <f aca="false">(0.4765-0.2939)*AB17</f>
        <v>942927.9574</v>
      </c>
      <c r="S17" s="1" t="n">
        <f aca="false">(0.6457-0.4765)*AB17</f>
        <v>873731.7108</v>
      </c>
      <c r="T17" s="1" t="n">
        <f aca="false">(0.7795-0.6457)*AB17</f>
        <v>690929.6862</v>
      </c>
      <c r="U17" s="1" t="n">
        <f aca="false">(0.8617-0.7795)*AB17</f>
        <v>424472.4978</v>
      </c>
      <c r="V17" s="1" t="n">
        <f aca="false">(0.9293-0.8617)*AB17</f>
        <v>349079.5724</v>
      </c>
      <c r="W17" s="1" t="n">
        <f aca="false">(1-0.9293)*AB17</f>
        <v>365087.6593</v>
      </c>
      <c r="Z17" s="16" t="n">
        <f aca="false">SUM(C17:Y17)</f>
        <v>4499154.645</v>
      </c>
      <c r="AA17" s="23"/>
      <c r="AB17" s="1" t="n">
        <f aca="false">[1]Gleason!$BT$87</f>
        <v>5163899</v>
      </c>
      <c r="AC17" s="1" t="n">
        <f aca="false">Z17-AB17</f>
        <v>-664744.355</v>
      </c>
    </row>
    <row r="18" customFormat="false" ht="12.75" hidden="false" customHeight="false" outlineLevel="0" collapsed="false">
      <c r="A18" s="1" t="s">
        <v>103</v>
      </c>
      <c r="O18" s="1" t="n">
        <v>204588</v>
      </c>
      <c r="Q18" s="1" t="n">
        <f aca="false">(0.2939-0.145)*AB18</f>
        <v>1845896.4743</v>
      </c>
      <c r="R18" s="1" t="n">
        <f aca="false">(0.4765-0.2939)*AB18</f>
        <v>2263671.5662</v>
      </c>
      <c r="S18" s="1" t="n">
        <f aca="false">(0.6457-0.4765)*AB18</f>
        <v>2097553.2804</v>
      </c>
      <c r="T18" s="1" t="n">
        <f aca="false">(0.7795-0.6457)*AB18</f>
        <v>1658703.4806</v>
      </c>
      <c r="U18" s="1" t="n">
        <f aca="false">(0.8617-0.7795)*AB18</f>
        <v>1019024.1114</v>
      </c>
      <c r="V18" s="1" t="n">
        <f aca="false">(0.9293-0.8617)*AB18</f>
        <v>838029.5612</v>
      </c>
      <c r="W18" s="1" t="n">
        <f aca="false">(1-0.9293)*AB18</f>
        <v>876459.9109</v>
      </c>
      <c r="Z18" s="16" t="n">
        <f aca="false">SUM(C18:Y18)</f>
        <v>10803926.385</v>
      </c>
      <c r="AA18" s="23"/>
      <c r="AB18" s="1" t="n">
        <f aca="false">[1]Gleason!$BT$119</f>
        <v>12396887</v>
      </c>
      <c r="AC18" s="1" t="n">
        <f aca="false">Z18-AB18</f>
        <v>-1592960.615</v>
      </c>
    </row>
    <row r="19" customFormat="false" ht="12.75" hidden="false" customHeight="false" outlineLevel="0" collapsed="false">
      <c r="A19" s="1" t="s">
        <v>104</v>
      </c>
      <c r="N19" s="1" t="n">
        <v>0</v>
      </c>
      <c r="O19" s="1" t="n">
        <v>0</v>
      </c>
      <c r="Q19" s="1" t="n">
        <f aca="false">(0.2939-0.145)*AB19</f>
        <v>1795689.33</v>
      </c>
      <c r="R19" s="1" t="n">
        <f aca="false">(0.4765-0.2939)*AB19</f>
        <v>2202101.22</v>
      </c>
      <c r="S19" s="1" t="n">
        <f aca="false">(0.6457-0.4765)*AB19</f>
        <v>2040501.24</v>
      </c>
      <c r="T19" s="1" t="n">
        <f aca="false">(0.7795-0.6457)*AB19</f>
        <v>1613587.86</v>
      </c>
      <c r="U19" s="1" t="n">
        <f aca="false">(0.8617-0.7795)*AB19</f>
        <v>991307.340000001</v>
      </c>
      <c r="V19" s="1" t="n">
        <f aca="false">(0.9293-0.8617)*AB19</f>
        <v>815235.72</v>
      </c>
      <c r="W19" s="1" t="n">
        <f aca="false">(1-0.9293)*AB19</f>
        <v>852620.79</v>
      </c>
      <c r="Z19" s="16" t="n">
        <f aca="false">SUM(C19:Y19)</f>
        <v>10311043.5</v>
      </c>
      <c r="AA19" s="23" t="s">
        <v>23</v>
      </c>
      <c r="AB19" s="1" t="n">
        <f aca="false">[1]Gleason!$BT$124</f>
        <v>12059700</v>
      </c>
      <c r="AC19" s="1" t="n">
        <f aca="false">Z19-AB19</f>
        <v>-1748656.5</v>
      </c>
    </row>
    <row r="20" customFormat="false" ht="12.75" hidden="false" customHeight="false" outlineLevel="0" collapsed="false">
      <c r="A20" s="1" t="s">
        <v>105</v>
      </c>
      <c r="V20" s="1" t="n">
        <v>0</v>
      </c>
      <c r="W20" s="1" t="n">
        <v>675000</v>
      </c>
      <c r="Z20" s="16" t="n">
        <f aca="false">SUM(C20:Y20)</f>
        <v>675000</v>
      </c>
      <c r="AA20" s="23" t="s">
        <v>23</v>
      </c>
      <c r="AB20" s="1" t="n">
        <f aca="false">[1]Gleason!$BT$171</f>
        <v>675000</v>
      </c>
      <c r="AC20" s="1" t="n">
        <f aca="false">Z20-AB20</f>
        <v>0</v>
      </c>
    </row>
    <row r="21" customFormat="false" ht="13.5" hidden="false" customHeight="true" outlineLevel="0" collapsed="false">
      <c r="A21" s="1" t="s">
        <v>107</v>
      </c>
      <c r="O21" s="1" t="n">
        <v>5344605</v>
      </c>
      <c r="Q21" s="1" t="n">
        <v>408777</v>
      </c>
      <c r="Z21" s="16" t="n">
        <f aca="false">SUM(C21:Y21)</f>
        <v>5753382</v>
      </c>
      <c r="AA21" s="23" t="s">
        <v>23</v>
      </c>
      <c r="AB21" s="1" t="n">
        <v>0</v>
      </c>
      <c r="AC21" s="1" t="n">
        <f aca="false">Z21-AB21</f>
        <v>5753382</v>
      </c>
    </row>
    <row r="22" customFormat="false" ht="12.75" hidden="false" customHeight="false" outlineLevel="0" collapsed="false">
      <c r="A22" s="1" t="s">
        <v>27</v>
      </c>
      <c r="Q22" s="1" t="n">
        <v>150000</v>
      </c>
      <c r="R22" s="1" t="n">
        <v>150000</v>
      </c>
      <c r="S22" s="1" t="n">
        <v>150000</v>
      </c>
      <c r="T22" s="1" t="n">
        <v>150000</v>
      </c>
      <c r="U22" s="1" t="n">
        <v>150000</v>
      </c>
      <c r="V22" s="1" t="n">
        <f aca="false">908786-750000</f>
        <v>158786</v>
      </c>
      <c r="Z22" s="16" t="n">
        <f aca="false">SUM(C22:Y22)</f>
        <v>908786</v>
      </c>
      <c r="AA22" s="23" t="s">
        <v>28</v>
      </c>
      <c r="AB22" s="1" t="n">
        <f aca="false">[1]Gleason!$BT$165</f>
        <v>908786</v>
      </c>
      <c r="AC22" s="1" t="n">
        <f aca="false">Z22-AB22</f>
        <v>0</v>
      </c>
    </row>
    <row r="23" customFormat="false" ht="12.75" hidden="false" customHeight="false" outlineLevel="0" collapsed="false">
      <c r="A23" s="1" t="s">
        <v>29</v>
      </c>
      <c r="T23" s="1" t="n">
        <v>500000</v>
      </c>
      <c r="U23" s="1" t="n">
        <v>500000</v>
      </c>
      <c r="V23" s="1" t="n">
        <v>247007</v>
      </c>
      <c r="Z23" s="16" t="n">
        <f aca="false">SUM(C23:Y23)</f>
        <v>1247007</v>
      </c>
      <c r="AA23" s="23" t="s">
        <v>23</v>
      </c>
      <c r="AB23" s="1" t="n">
        <f aca="false">[1]Gleason!$BT$173</f>
        <v>1247007</v>
      </c>
      <c r="AC23" s="1" t="n">
        <f aca="false">Z23-AB23</f>
        <v>0</v>
      </c>
    </row>
    <row r="24" customFormat="false" ht="12.75" hidden="false" customHeight="false" outlineLevel="0" collapsed="false">
      <c r="A24" s="1" t="s">
        <v>30</v>
      </c>
      <c r="L24" s="1" t="n">
        <v>369041</v>
      </c>
      <c r="N24" s="1" t="n">
        <v>0</v>
      </c>
      <c r="Z24" s="16" t="n">
        <f aca="false">SUM(C24:Y24)</f>
        <v>369041</v>
      </c>
      <c r="AA24" s="23" t="s">
        <v>61</v>
      </c>
      <c r="AB24" s="1" t="n">
        <f aca="false">[1]Gleason!$BT$180</f>
        <v>369041</v>
      </c>
      <c r="AC24" s="1" t="n">
        <f aca="false">Z24-AB24</f>
        <v>0</v>
      </c>
    </row>
    <row r="25" customFormat="false" ht="12.75" hidden="false" customHeight="false" outlineLevel="0" collapsed="false">
      <c r="A25" s="1" t="s">
        <v>32</v>
      </c>
      <c r="F25" s="31"/>
      <c r="L25" s="1" t="n">
        <v>69419</v>
      </c>
      <c r="M25" s="1" t="n">
        <v>190571</v>
      </c>
      <c r="N25" s="1" t="n">
        <v>0</v>
      </c>
      <c r="O25" s="1" t="n">
        <v>264856</v>
      </c>
      <c r="P25" s="1" t="n">
        <v>15154</v>
      </c>
      <c r="Z25" s="16" t="n">
        <f aca="false">SUM(C25:Y25)</f>
        <v>540000</v>
      </c>
      <c r="AA25" s="23" t="str">
        <f aca="false">AA24</f>
        <v>Ben Jacoby</v>
      </c>
    </row>
    <row r="26" customFormat="false" ht="12.75" hidden="false" customHeight="false" outlineLevel="0" collapsed="false">
      <c r="A26" s="1" t="s">
        <v>33</v>
      </c>
      <c r="F26" s="32"/>
      <c r="P26" s="1" t="n">
        <v>375000</v>
      </c>
      <c r="Q26" s="1" t="n">
        <v>125000</v>
      </c>
      <c r="R26" s="1" t="n">
        <v>125000</v>
      </c>
      <c r="S26" s="1" t="n">
        <v>125000</v>
      </c>
      <c r="T26" s="1" t="n">
        <v>350000</v>
      </c>
      <c r="Z26" s="16" t="n">
        <f aca="false">SUM(C26:Y26)</f>
        <v>1100000</v>
      </c>
      <c r="AA26" s="23" t="s">
        <v>34</v>
      </c>
      <c r="AB26" s="1" t="n">
        <f aca="false">[1]Gleason!$BT$199</f>
        <v>1100000</v>
      </c>
      <c r="AC26" s="1" t="n">
        <f aca="false">Z26-AB26</f>
        <v>0</v>
      </c>
    </row>
    <row r="27" customFormat="false" ht="12.75" hidden="false" customHeight="false" outlineLevel="0" collapsed="false">
      <c r="A27" s="1" t="s">
        <v>90</v>
      </c>
      <c r="F27" s="32"/>
      <c r="N27" s="1" t="n">
        <v>18018</v>
      </c>
      <c r="P27" s="1" t="n">
        <f aca="false">2200000-18018</f>
        <v>2181982</v>
      </c>
      <c r="T27" s="1" t="n">
        <v>1500000</v>
      </c>
      <c r="Z27" s="16" t="n">
        <f aca="false">SUM(C27:Y27)</f>
        <v>3700000</v>
      </c>
      <c r="AA27" s="23"/>
      <c r="AB27" s="1" t="n">
        <f aca="false">[1]Gleason!$BT$197</f>
        <v>3700000</v>
      </c>
      <c r="AC27" s="1" t="n">
        <f aca="false">Z27-AB27</f>
        <v>0</v>
      </c>
    </row>
    <row r="28" customFormat="false" ht="12.75" hidden="false" customHeight="false" outlineLevel="0" collapsed="false">
      <c r="A28" s="1" t="s">
        <v>36</v>
      </c>
      <c r="F28" s="32"/>
      <c r="T28" s="1" t="n">
        <v>0</v>
      </c>
      <c r="U28" s="1" t="n">
        <v>250000</v>
      </c>
      <c r="V28" s="1" t="n">
        <v>250000</v>
      </c>
      <c r="Z28" s="16" t="n">
        <f aca="false">SUM(C28:Y28)</f>
        <v>500000</v>
      </c>
      <c r="AA28" s="23" t="str">
        <f aca="false">AA22</f>
        <v>Kevin Presto</v>
      </c>
      <c r="AB28" s="1" t="n">
        <f aca="false">[1]Gleason!$BT$205</f>
        <v>500000</v>
      </c>
      <c r="AC28" s="1" t="n">
        <f aca="false">Z28-AB28</f>
        <v>0</v>
      </c>
    </row>
    <row r="29" customFormat="false" ht="12.75" hidden="false" customHeight="false" outlineLevel="0" collapsed="false">
      <c r="A29" s="1" t="s">
        <v>63</v>
      </c>
      <c r="F29" s="32"/>
      <c r="V29" s="1" t="n">
        <v>0</v>
      </c>
      <c r="Z29" s="16" t="n">
        <f aca="false">SUM(C29:Y29)</f>
        <v>0</v>
      </c>
      <c r="AA29" s="23" t="s">
        <v>64</v>
      </c>
      <c r="AB29" s="1" t="n">
        <v>0</v>
      </c>
      <c r="AC29" s="1" t="n">
        <f aca="false">Z29-AB29</f>
        <v>0</v>
      </c>
    </row>
    <row r="30" customFormat="false" ht="12.75" hidden="false" customHeight="false" outlineLevel="0" collapsed="false">
      <c r="A30" s="1" t="s">
        <v>38</v>
      </c>
      <c r="F30" s="32"/>
      <c r="N30" s="1" t="n">
        <v>0</v>
      </c>
      <c r="O30" s="1" t="n">
        <v>0</v>
      </c>
      <c r="P30" s="1" t="n">
        <v>200935</v>
      </c>
      <c r="Z30" s="16" t="n">
        <f aca="false">SUM(C30:Y30)</f>
        <v>200935</v>
      </c>
      <c r="AA30" s="23"/>
      <c r="AB30" s="1" t="n">
        <f aca="false">[1]Gleason!$BT$207</f>
        <v>200935.25</v>
      </c>
      <c r="AC30" s="1" t="n">
        <f aca="false">Z30-AB30</f>
        <v>-0.25</v>
      </c>
    </row>
    <row r="31" customFormat="false" ht="12.75" hidden="false" customHeight="false" outlineLevel="0" collapsed="false">
      <c r="A31" s="1" t="s">
        <v>39</v>
      </c>
      <c r="F31" s="15"/>
      <c r="G31" s="15"/>
      <c r="H31" s="15"/>
      <c r="I31" s="15"/>
      <c r="J31" s="15"/>
      <c r="K31" s="15"/>
      <c r="L31" s="15" t="n">
        <v>33713</v>
      </c>
      <c r="M31" s="1" t="n">
        <v>0</v>
      </c>
      <c r="N31" s="1" t="n">
        <v>0</v>
      </c>
      <c r="O31" s="1" t="n">
        <v>0</v>
      </c>
      <c r="P31" s="1" t="n">
        <v>20000</v>
      </c>
      <c r="Q31" s="1" t="n">
        <f aca="false">11111.1111111111+11173</f>
        <v>22284.1111111111</v>
      </c>
      <c r="R31" s="1" t="n">
        <f aca="false">11111.1111111111+12759</f>
        <v>23870.1111111111</v>
      </c>
      <c r="S31" s="1" t="n">
        <v>11111.1111111111</v>
      </c>
      <c r="T31" s="1" t="n">
        <v>11111.1111111111</v>
      </c>
      <c r="U31" s="1" t="n">
        <v>31111</v>
      </c>
      <c r="V31" s="1" t="n">
        <f aca="false">13620+20000</f>
        <v>33620</v>
      </c>
      <c r="Z31" s="16" t="n">
        <f aca="false">SUM(C31:Y31)</f>
        <v>186820.444444444</v>
      </c>
      <c r="AA31" s="23"/>
    </row>
    <row r="32" customFormat="false" ht="12.75" hidden="false" customHeight="false" outlineLevel="0" collapsed="false">
      <c r="A32" s="1" t="s">
        <v>40</v>
      </c>
      <c r="F32" s="32"/>
      <c r="L32" s="1" t="n">
        <v>137136</v>
      </c>
      <c r="M32" s="1" t="n">
        <v>5262</v>
      </c>
      <c r="N32" s="1" t="n">
        <v>18874</v>
      </c>
      <c r="O32" s="1" t="n">
        <v>113219</v>
      </c>
      <c r="P32" s="1" t="n">
        <f aca="false">83611.75-912</f>
        <v>82699.75</v>
      </c>
      <c r="Q32" s="1" t="n">
        <f aca="false">22033+191013</f>
        <v>213046</v>
      </c>
      <c r="R32" s="1" t="n">
        <v>10010</v>
      </c>
      <c r="S32" s="1" t="n">
        <f aca="false">30286.69-14452</f>
        <v>15834.69</v>
      </c>
      <c r="T32" s="1" t="n">
        <f aca="false">13074-3457+1916</f>
        <v>11533</v>
      </c>
      <c r="U32" s="1" t="n">
        <v>9698</v>
      </c>
      <c r="V32" s="1" t="n">
        <v>0</v>
      </c>
      <c r="Z32" s="16" t="n">
        <f aca="false">SUM(C32:Y32)</f>
        <v>617312.44</v>
      </c>
      <c r="AA32" s="23"/>
    </row>
    <row r="33" customFormat="false" ht="12.75" hidden="false" customHeight="false" outlineLevel="0" collapsed="false">
      <c r="A33" s="1" t="s">
        <v>41</v>
      </c>
      <c r="L33" s="1" t="n">
        <v>14302</v>
      </c>
      <c r="M33" s="1" t="n">
        <v>13886</v>
      </c>
      <c r="N33" s="1" t="n">
        <v>27415</v>
      </c>
      <c r="O33" s="1" t="n">
        <v>13908</v>
      </c>
      <c r="P33" s="1" t="n">
        <f aca="false">50000+72844</f>
        <v>122844</v>
      </c>
      <c r="Q33" s="1" t="n">
        <f aca="false">68298</f>
        <v>68298</v>
      </c>
      <c r="R33" s="1" t="n">
        <f aca="false">18820-11693</f>
        <v>7127</v>
      </c>
      <c r="S33" s="1" t="n">
        <v>132585</v>
      </c>
      <c r="T33" s="1" t="n">
        <v>96092</v>
      </c>
      <c r="U33" s="1" t="n">
        <v>0</v>
      </c>
      <c r="V33" s="1" t="n">
        <v>0</v>
      </c>
      <c r="Z33" s="16" t="n">
        <f aca="false">SUM(C33:Y33)</f>
        <v>496457</v>
      </c>
      <c r="AA33" s="23"/>
    </row>
    <row r="34" customFormat="false" ht="12.75" hidden="false" customHeight="false" outlineLevel="0" collapsed="false">
      <c r="A34" s="1" t="s">
        <v>42</v>
      </c>
      <c r="C34" s="18" t="n">
        <f aca="false">SUM(C9:C33)</f>
        <v>0</v>
      </c>
      <c r="D34" s="18" t="n">
        <f aca="false">SUM(D9:D33)</f>
        <v>0</v>
      </c>
      <c r="E34" s="18" t="n">
        <f aca="false">SUM(E9:E33)</f>
        <v>0</v>
      </c>
      <c r="F34" s="18" t="n">
        <f aca="false">SUM(F9:F33)</f>
        <v>0</v>
      </c>
      <c r="G34" s="18" t="n">
        <f aca="false">SUM(G9:G33)</f>
        <v>0</v>
      </c>
      <c r="H34" s="18" t="n">
        <f aca="false">SUM(H9:H33)</f>
        <v>0</v>
      </c>
      <c r="I34" s="18" t="n">
        <f aca="false">SUM(I9:I33)</f>
        <v>0</v>
      </c>
      <c r="J34" s="18" t="n">
        <f aca="false">SUM(J9:J33)</f>
        <v>0</v>
      </c>
      <c r="K34" s="18" t="n">
        <f aca="false">SUM(K10:K33)</f>
        <v>0</v>
      </c>
      <c r="L34" s="18" t="n">
        <f aca="false">SUM(L10:L33)</f>
        <v>88825774</v>
      </c>
      <c r="M34" s="18" t="n">
        <f aca="false">SUM(M10:M33)</f>
        <v>209719</v>
      </c>
      <c r="N34" s="18" t="n">
        <f aca="false">SUM(N10:N33)</f>
        <v>1660822.33333333</v>
      </c>
      <c r="O34" s="18" t="n">
        <f aca="false">SUM(O10:O33)</f>
        <v>6962875.33333333</v>
      </c>
      <c r="P34" s="18" t="n">
        <f aca="false">SUM(P10:P33)</f>
        <v>6246980.38333333</v>
      </c>
      <c r="Q34" s="18" t="n">
        <f aca="false">SUM(Q10:Q33)</f>
        <v>9703993.53444444</v>
      </c>
      <c r="R34" s="18" t="n">
        <f aca="false">SUM(R10:R33)</f>
        <v>9414473.70444444</v>
      </c>
      <c r="S34" s="18" t="n">
        <f aca="false">SUM(S10:S33)</f>
        <v>8763256.05444445</v>
      </c>
      <c r="T34" s="18" t="n">
        <f aca="false">SUM(T10:T33)</f>
        <v>9039347.62444444</v>
      </c>
      <c r="U34" s="18" t="n">
        <f aca="false">SUM(U10:U33)</f>
        <v>6564488.75333334</v>
      </c>
      <c r="V34" s="18" t="n">
        <f aca="false">SUM(V10:V33)</f>
        <v>11948662.6933333</v>
      </c>
      <c r="W34" s="18" t="n">
        <f aca="false">SUM(W10:W33)</f>
        <v>3826176.77</v>
      </c>
      <c r="X34" s="18" t="n">
        <f aca="false">SUM(X10:X33)</f>
        <v>0</v>
      </c>
      <c r="Y34" s="18" t="n">
        <f aca="false">SUM(Y10:Y33)</f>
        <v>0</v>
      </c>
      <c r="Z34" s="19" t="n">
        <f aca="false">SUM(C34:Y34)</f>
        <v>163166570.184444</v>
      </c>
    </row>
    <row r="35" customFormat="false" ht="12.75" hidden="false" customHeight="false" outlineLevel="0" collapsed="false">
      <c r="A35" s="1" t="s">
        <v>43</v>
      </c>
      <c r="C35" s="18" t="n">
        <f aca="false">+C34</f>
        <v>0</v>
      </c>
      <c r="D35" s="18" t="n">
        <f aca="false">+D34</f>
        <v>0</v>
      </c>
      <c r="E35" s="18" t="n">
        <f aca="false">+E34</f>
        <v>0</v>
      </c>
      <c r="F35" s="18" t="n">
        <f aca="false">+F34</f>
        <v>0</v>
      </c>
      <c r="G35" s="18" t="n">
        <f aca="false">+G34</f>
        <v>0</v>
      </c>
      <c r="H35" s="18" t="n">
        <f aca="false">+H34</f>
        <v>0</v>
      </c>
      <c r="I35" s="18" t="n">
        <f aca="false">+I34</f>
        <v>0</v>
      </c>
      <c r="J35" s="18" t="n">
        <f aca="false">+J34</f>
        <v>0</v>
      </c>
      <c r="K35" s="18" t="n">
        <f aca="false">+K34</f>
        <v>0</v>
      </c>
      <c r="L35" s="18" t="n">
        <f aca="false">+K35+L34</f>
        <v>88825774</v>
      </c>
      <c r="M35" s="18" t="n">
        <f aca="false">+L35+M34</f>
        <v>89035493</v>
      </c>
      <c r="N35" s="18" t="n">
        <f aca="false">+M35+N34</f>
        <v>90696315.3333333</v>
      </c>
      <c r="O35" s="18" t="n">
        <f aca="false">+N35+O34</f>
        <v>97659190.6666667</v>
      </c>
      <c r="P35" s="18" t="n">
        <f aca="false">+O35+P34</f>
        <v>103906171.05</v>
      </c>
      <c r="Q35" s="18" t="n">
        <f aca="false">+P35+Q34</f>
        <v>113610164.584444</v>
      </c>
      <c r="R35" s="18" t="n">
        <f aca="false">+Q35+R34</f>
        <v>123024638.288889</v>
      </c>
      <c r="S35" s="18" t="n">
        <f aca="false">+R35+S34</f>
        <v>131787894.343333</v>
      </c>
      <c r="T35" s="18" t="n">
        <f aca="false">+S35+T34</f>
        <v>140827241.967778</v>
      </c>
      <c r="U35" s="18" t="n">
        <f aca="false">+T35+U34</f>
        <v>147391730.721111</v>
      </c>
      <c r="V35" s="18" t="n">
        <f aca="false">+U35+V34</f>
        <v>159340393.414444</v>
      </c>
      <c r="W35" s="18" t="n">
        <f aca="false">+V35+W34</f>
        <v>163166570.184444</v>
      </c>
      <c r="X35" s="18" t="n">
        <f aca="false">+W35+X34</f>
        <v>163166570.184444</v>
      </c>
      <c r="Y35" s="18" t="n">
        <f aca="false">+X35+Y34</f>
        <v>163166570.184444</v>
      </c>
      <c r="Z35" s="16"/>
    </row>
    <row r="36" customFormat="false" ht="12.75" hidden="false" customHeight="false" outlineLevel="0" collapsed="false">
      <c r="A36" s="1" t="s">
        <v>44</v>
      </c>
      <c r="D36" s="2"/>
      <c r="E36" s="2"/>
      <c r="F36" s="2"/>
      <c r="G36" s="2"/>
      <c r="H36" s="2"/>
      <c r="I36" s="2"/>
      <c r="J36" s="2"/>
      <c r="K36" s="2"/>
      <c r="L36" s="2"/>
      <c r="Z36" s="21" t="n">
        <f aca="false">+Z34/C53/1000</f>
        <v>319.934451342048</v>
      </c>
    </row>
    <row r="37" customFormat="false" ht="12.75" hidden="false" customHeight="false" outlineLevel="0" collapsed="false">
      <c r="D37" s="2"/>
      <c r="E37" s="2"/>
      <c r="F37" s="2"/>
      <c r="G37" s="2"/>
      <c r="H37" s="2"/>
      <c r="I37" s="2"/>
      <c r="J37" s="2"/>
      <c r="K37" s="2"/>
      <c r="L37" s="2"/>
      <c r="Z37" s="21"/>
    </row>
    <row r="38" customFormat="false" ht="12.75" hidden="false" customHeight="false" outlineLevel="0" collapsed="false">
      <c r="A38" s="1" t="s">
        <v>91</v>
      </c>
      <c r="D38" s="2"/>
      <c r="E38" s="2"/>
      <c r="F38" s="2"/>
      <c r="G38" s="2"/>
      <c r="H38" s="2"/>
      <c r="I38" s="2"/>
      <c r="J38" s="2"/>
      <c r="K38" s="2"/>
      <c r="L38" s="2"/>
      <c r="M38" s="1" t="n">
        <v>-6077</v>
      </c>
      <c r="Z38" s="16" t="n">
        <f aca="false">SUM(C38:Y38)</f>
        <v>-6077</v>
      </c>
      <c r="AA38" s="17" t="s">
        <v>47</v>
      </c>
    </row>
    <row r="39" customFormat="false" ht="12.75" hidden="false" customHeight="false" outlineLevel="0" collapsed="false">
      <c r="A39" s="1" t="s">
        <v>45</v>
      </c>
      <c r="C39" s="2" t="n">
        <v>0</v>
      </c>
      <c r="D39" s="2" t="n">
        <v>0</v>
      </c>
      <c r="E39" s="2" t="n">
        <v>0</v>
      </c>
      <c r="F39" s="2" t="n">
        <v>0</v>
      </c>
      <c r="G39" s="2" t="n">
        <v>0</v>
      </c>
      <c r="H39" s="2" t="n">
        <v>0</v>
      </c>
      <c r="I39" s="2" t="n">
        <v>0</v>
      </c>
      <c r="J39" s="2" t="n">
        <v>0</v>
      </c>
      <c r="K39" s="2" t="n">
        <v>0</v>
      </c>
      <c r="L39" s="2" t="n">
        <f aca="false">4326863</f>
        <v>4326863</v>
      </c>
      <c r="M39" s="15" t="n">
        <v>505668.93</v>
      </c>
      <c r="N39" s="15" t="n">
        <v>517447.922676389</v>
      </c>
      <c r="O39" s="15" t="n">
        <f aca="false">(O35+N44)*$C51/12</f>
        <v>557933.423229775</v>
      </c>
      <c r="P39" s="15" t="n">
        <f aca="false">(P35+O44)*$C51/12</f>
        <v>594793.373015325</v>
      </c>
      <c r="Q39" s="15" t="n">
        <f aca="false">(Q35+P44)*$C51/12</f>
        <v>650578.468764065</v>
      </c>
      <c r="R39" s="15" t="n">
        <f aca="false">(R35+Q44)*$C51/12</f>
        <v>705097.501368945</v>
      </c>
      <c r="S39" s="15" t="n">
        <f aca="false">(S35+R44)*$C51/12</f>
        <v>756384.416462934</v>
      </c>
      <c r="T39" s="15" t="n">
        <f aca="false">(T35+S44)*$C51/12</f>
        <v>809444.631684516</v>
      </c>
      <c r="U39" s="15" t="n">
        <f aca="false">(U35+T44)*$C51/12</f>
        <v>849386.770853362</v>
      </c>
      <c r="V39" s="15" t="n">
        <f aca="false">(V35+U44)*$C51/12-5719</f>
        <v>912990.538784374</v>
      </c>
      <c r="W39" s="15"/>
      <c r="X39" s="15"/>
      <c r="Y39" s="15"/>
      <c r="Z39" s="16" t="n">
        <f aca="false">SUM(C39:Y39)</f>
        <v>11186588.9768397</v>
      </c>
      <c r="AA39" s="17" t="str">
        <f aca="false">AA54</f>
        <v>Rodney Malcolm</v>
      </c>
    </row>
    <row r="40" customFormat="false" ht="12.75" hidden="false" customHeight="false" outlineLevel="0" collapsed="false">
      <c r="A40" s="1" t="s">
        <v>92</v>
      </c>
      <c r="D40" s="2"/>
      <c r="E40" s="2"/>
      <c r="F40" s="2"/>
      <c r="G40" s="2"/>
      <c r="H40" s="2"/>
      <c r="I40" s="2"/>
      <c r="J40" s="2"/>
      <c r="K40" s="2"/>
      <c r="L40" s="2"/>
      <c r="M40" s="15" t="n">
        <v>0</v>
      </c>
      <c r="N40" s="15" t="n">
        <v>0</v>
      </c>
      <c r="O40" s="15" t="n">
        <v>0</v>
      </c>
      <c r="P40" s="15" t="n">
        <v>0</v>
      </c>
      <c r="Q40" s="15" t="n">
        <v>0</v>
      </c>
      <c r="R40" s="15" t="n">
        <v>0</v>
      </c>
      <c r="S40" s="15" t="n">
        <v>0</v>
      </c>
      <c r="T40" s="15" t="n">
        <v>0</v>
      </c>
      <c r="U40" s="15" t="n">
        <v>0</v>
      </c>
      <c r="V40" s="15" t="n">
        <v>0</v>
      </c>
      <c r="W40" s="15"/>
      <c r="X40" s="15"/>
      <c r="Y40" s="15"/>
      <c r="Z40" s="16" t="n">
        <f aca="false">SUM(C40:Y40)</f>
        <v>0</v>
      </c>
      <c r="AA40" s="17" t="str">
        <f aca="false">AA39</f>
        <v>Rodney Malcolm</v>
      </c>
    </row>
    <row r="41" customFormat="false" ht="12.75" hidden="false" customHeight="false" outlineLevel="0" collapsed="false">
      <c r="A41" s="1" t="s">
        <v>46</v>
      </c>
      <c r="C41" s="2" t="n">
        <v>0</v>
      </c>
      <c r="D41" s="2" t="n">
        <v>0</v>
      </c>
      <c r="E41" s="2" t="n">
        <v>0</v>
      </c>
      <c r="F41" s="2" t="n">
        <v>0</v>
      </c>
      <c r="G41" s="2" t="n">
        <v>0</v>
      </c>
      <c r="H41" s="2" t="n">
        <v>0</v>
      </c>
      <c r="I41" s="2" t="n">
        <v>0</v>
      </c>
      <c r="J41" s="2" t="n">
        <v>0</v>
      </c>
      <c r="K41" s="2" t="n">
        <v>0</v>
      </c>
      <c r="L41" s="2" t="n">
        <v>0</v>
      </c>
      <c r="Z41" s="16" t="n">
        <f aca="false">SUM(C41:Y41)</f>
        <v>0</v>
      </c>
      <c r="AA41" s="17" t="s">
        <v>47</v>
      </c>
    </row>
    <row r="42" customFormat="false" ht="12.75" hidden="false" customHeight="false" outlineLevel="0" collapsed="false">
      <c r="A42" s="1" t="s">
        <v>93</v>
      </c>
      <c r="C42" s="2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2" t="n">
        <v>0</v>
      </c>
      <c r="I42" s="2" t="n">
        <v>0</v>
      </c>
      <c r="J42" s="2" t="n">
        <v>0</v>
      </c>
      <c r="K42" s="2" t="n">
        <v>0</v>
      </c>
      <c r="L42" s="2" t="n">
        <v>0</v>
      </c>
      <c r="V42" s="1" t="n">
        <f aca="false">[1]Gleason!$BT$230</f>
        <v>0</v>
      </c>
      <c r="Z42" s="16" t="n">
        <f aca="false">SUM(C42:Y42)</f>
        <v>0</v>
      </c>
      <c r="AA42" s="17" t="str">
        <f aca="false">AA25</f>
        <v>Ben Jacoby</v>
      </c>
    </row>
    <row r="43" customFormat="false" ht="12.75" hidden="false" customHeight="false" outlineLevel="0" collapsed="false">
      <c r="A43" s="1" t="s">
        <v>49</v>
      </c>
      <c r="C43" s="18" t="n">
        <f aca="false">SUM(C38:C42)</f>
        <v>0</v>
      </c>
      <c r="D43" s="18" t="n">
        <f aca="false">SUM(D38:D42)</f>
        <v>0</v>
      </c>
      <c r="E43" s="18" t="n">
        <f aca="false">SUM(E38:E42)</f>
        <v>0</v>
      </c>
      <c r="F43" s="18" t="n">
        <f aca="false">SUM(F38:F42)</f>
        <v>0</v>
      </c>
      <c r="G43" s="18" t="n">
        <f aca="false">SUM(G38:G42)</f>
        <v>0</v>
      </c>
      <c r="H43" s="18" t="n">
        <f aca="false">SUM(H38:H42)</f>
        <v>0</v>
      </c>
      <c r="I43" s="18" t="n">
        <f aca="false">SUM(I38:I42)</f>
        <v>0</v>
      </c>
      <c r="J43" s="18" t="n">
        <f aca="false">SUM(J38:J42)</f>
        <v>0</v>
      </c>
      <c r="K43" s="18" t="n">
        <f aca="false">SUM(K38:K42)</f>
        <v>0</v>
      </c>
      <c r="L43" s="18" t="n">
        <f aca="false">SUM(L38:L42)</f>
        <v>4326863</v>
      </c>
      <c r="M43" s="18" t="n">
        <f aca="false">SUM(M38:M42)</f>
        <v>499591.93</v>
      </c>
      <c r="N43" s="18" t="n">
        <f aca="false">SUM(N38:N42)</f>
        <v>517447.922676389</v>
      </c>
      <c r="O43" s="18" t="n">
        <f aca="false">SUM(O38:O42)</f>
        <v>557933.423229775</v>
      </c>
      <c r="P43" s="18" t="n">
        <f aca="false">SUM(P38:P42)</f>
        <v>594793.373015325</v>
      </c>
      <c r="Q43" s="18" t="n">
        <f aca="false">SUM(Q38:Q42)</f>
        <v>650578.468764065</v>
      </c>
      <c r="R43" s="18" t="n">
        <f aca="false">SUM(R38:R42)</f>
        <v>705097.501368945</v>
      </c>
      <c r="S43" s="18" t="n">
        <f aca="false">SUM(S38:S42)</f>
        <v>756384.416462934</v>
      </c>
      <c r="T43" s="18" t="n">
        <f aca="false">SUM(T38:T42)</f>
        <v>809444.631684516</v>
      </c>
      <c r="U43" s="18" t="n">
        <f aca="false">SUM(U38:U42)</f>
        <v>849386.770853362</v>
      </c>
      <c r="V43" s="18" t="n">
        <f aca="false">SUM(V38:V42)</f>
        <v>912990.538784374</v>
      </c>
      <c r="W43" s="18" t="n">
        <f aca="false">SUM(W38:W42)</f>
        <v>0</v>
      </c>
      <c r="X43" s="18" t="n">
        <f aca="false">SUM(X38:X42)</f>
        <v>0</v>
      </c>
      <c r="Y43" s="18" t="n">
        <f aca="false">SUM(Y38:Y42)</f>
        <v>0</v>
      </c>
      <c r="Z43" s="19" t="n">
        <f aca="false">SUM(C43:V43)</f>
        <v>11180511.9768397</v>
      </c>
    </row>
    <row r="44" customFormat="false" ht="12.75" hidden="false" customHeight="false" outlineLevel="0" collapsed="false">
      <c r="A44" s="1" t="s">
        <v>50</v>
      </c>
      <c r="C44" s="18" t="n">
        <f aca="false">+C43</f>
        <v>0</v>
      </c>
      <c r="D44" s="18" t="n">
        <f aca="false">+D43</f>
        <v>0</v>
      </c>
      <c r="E44" s="18" t="n">
        <f aca="false">+E43</f>
        <v>0</v>
      </c>
      <c r="F44" s="18" t="n">
        <f aca="false">+F43</f>
        <v>0</v>
      </c>
      <c r="G44" s="18" t="n">
        <f aca="false">+G43</f>
        <v>0</v>
      </c>
      <c r="H44" s="18" t="n">
        <f aca="false">+H43</f>
        <v>0</v>
      </c>
      <c r="I44" s="18" t="n">
        <f aca="false">+I43</f>
        <v>0</v>
      </c>
      <c r="J44" s="18" t="n">
        <f aca="false">+J43</f>
        <v>0</v>
      </c>
      <c r="K44" s="18" t="n">
        <f aca="false">+K43</f>
        <v>0</v>
      </c>
      <c r="L44" s="18" t="n">
        <f aca="false">+L43</f>
        <v>4326863</v>
      </c>
      <c r="M44" s="18" t="n">
        <f aca="false">L44+M43</f>
        <v>4826454.93</v>
      </c>
      <c r="N44" s="18" t="n">
        <f aca="false">M44+N43</f>
        <v>5343902.85267639</v>
      </c>
      <c r="O44" s="18" t="n">
        <f aca="false">N44+O43</f>
        <v>5901836.27590616</v>
      </c>
      <c r="P44" s="18" t="n">
        <f aca="false">O44+P43</f>
        <v>6496629.64892149</v>
      </c>
      <c r="Q44" s="18" t="n">
        <f aca="false">P44+Q43</f>
        <v>7147208.11768555</v>
      </c>
      <c r="R44" s="18" t="n">
        <f aca="false">Q44+R43</f>
        <v>7852305.6190545</v>
      </c>
      <c r="S44" s="18" t="n">
        <f aca="false">R44+S43</f>
        <v>8608690.03551743</v>
      </c>
      <c r="T44" s="18" t="n">
        <f aca="false">S44+T43</f>
        <v>9418134.66720195</v>
      </c>
      <c r="U44" s="18" t="n">
        <f aca="false">T44+U43</f>
        <v>10267521.4380553</v>
      </c>
      <c r="V44" s="18" t="n">
        <f aca="false">U44+V43</f>
        <v>11180511.9768397</v>
      </c>
      <c r="W44" s="18" t="n">
        <f aca="false">V44+W43</f>
        <v>11180511.9768397</v>
      </c>
      <c r="X44" s="18" t="n">
        <f aca="false">W44+X43</f>
        <v>11180511.9768397</v>
      </c>
      <c r="Y44" s="18" t="n">
        <f aca="false">X44+Y43</f>
        <v>11180511.9768397</v>
      </c>
      <c r="Z44" s="16"/>
    </row>
    <row r="45" customFormat="false" ht="12.75" hidden="false" customHeight="false" outlineLevel="0" collapsed="false">
      <c r="D45" s="2"/>
      <c r="E45" s="2"/>
      <c r="F45" s="2"/>
      <c r="G45" s="2"/>
      <c r="H45" s="2"/>
      <c r="I45" s="2"/>
      <c r="J45" s="2"/>
      <c r="K45" s="2"/>
      <c r="L45" s="2"/>
      <c r="Z45" s="16"/>
    </row>
    <row r="46" customFormat="false" ht="12.75" hidden="false" customHeight="false" outlineLevel="0" collapsed="false">
      <c r="A46" s="2" t="s">
        <v>65</v>
      </c>
      <c r="B46" s="2"/>
      <c r="C46" s="2" t="n">
        <f aca="false">+C34+C43</f>
        <v>0</v>
      </c>
      <c r="D46" s="2" t="n">
        <f aca="false">+D34+D43</f>
        <v>0</v>
      </c>
      <c r="E46" s="2" t="n">
        <f aca="false">+E34+E43</f>
        <v>0</v>
      </c>
      <c r="F46" s="2" t="n">
        <f aca="false">+F34+F43</f>
        <v>0</v>
      </c>
      <c r="G46" s="2" t="n">
        <f aca="false">+G34+G43</f>
        <v>0</v>
      </c>
      <c r="H46" s="2" t="n">
        <f aca="false">+H34+H43</f>
        <v>0</v>
      </c>
      <c r="I46" s="2" t="n">
        <f aca="false">+I34+I43</f>
        <v>0</v>
      </c>
      <c r="J46" s="2" t="n">
        <f aca="false">+J34+J43</f>
        <v>0</v>
      </c>
      <c r="K46" s="2" t="n">
        <f aca="false">+K34+K43</f>
        <v>0</v>
      </c>
      <c r="L46" s="2" t="n">
        <f aca="false">+L34+L43</f>
        <v>93152637</v>
      </c>
      <c r="M46" s="2" t="n">
        <f aca="false">+M34+M43</f>
        <v>709310.93</v>
      </c>
      <c r="N46" s="2" t="n">
        <f aca="false">+N34+N43</f>
        <v>2178270.25600972</v>
      </c>
      <c r="O46" s="2" t="n">
        <f aca="false">+O34+O43</f>
        <v>7520808.75656311</v>
      </c>
      <c r="P46" s="2" t="n">
        <f aca="false">+P34+P43</f>
        <v>6841773.75634866</v>
      </c>
      <c r="Q46" s="2" t="n">
        <f aca="false">+Q34+Q43</f>
        <v>10354572.0032085</v>
      </c>
      <c r="R46" s="2" t="n">
        <f aca="false">+R34+R43</f>
        <v>10119571.2058134</v>
      </c>
      <c r="S46" s="2" t="n">
        <f aca="false">+S34+S43</f>
        <v>9519640.47090738</v>
      </c>
      <c r="T46" s="2" t="n">
        <f aca="false">+T34+T43</f>
        <v>9848792.25612896</v>
      </c>
      <c r="U46" s="2" t="n">
        <f aca="false">+U34+U43</f>
        <v>7413875.5241867</v>
      </c>
      <c r="V46" s="2" t="n">
        <f aca="false">+V34+V43</f>
        <v>12861653.2321177</v>
      </c>
      <c r="W46" s="2" t="n">
        <f aca="false">+W34+W43</f>
        <v>3826176.77</v>
      </c>
      <c r="X46" s="2" t="n">
        <f aca="false">+X34+X43</f>
        <v>0</v>
      </c>
      <c r="Y46" s="2" t="n">
        <f aca="false">+Y34+Y43</f>
        <v>0</v>
      </c>
      <c r="Z46" s="16" t="n">
        <f aca="false">SUM(C46:V46)</f>
        <v>170520905.391284</v>
      </c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 t="s">
        <v>52</v>
      </c>
      <c r="B47" s="2"/>
      <c r="C47" s="2" t="n">
        <f aca="false">C46</f>
        <v>0</v>
      </c>
      <c r="D47" s="2" t="n">
        <f aca="false">D46</f>
        <v>0</v>
      </c>
      <c r="E47" s="2" t="n">
        <f aca="false">E46</f>
        <v>0</v>
      </c>
      <c r="F47" s="2" t="n">
        <f aca="false">F46</f>
        <v>0</v>
      </c>
      <c r="G47" s="2" t="n">
        <f aca="false">G46</f>
        <v>0</v>
      </c>
      <c r="H47" s="2" t="n">
        <f aca="false">H46</f>
        <v>0</v>
      </c>
      <c r="I47" s="2" t="n">
        <f aca="false">I46</f>
        <v>0</v>
      </c>
      <c r="J47" s="2" t="n">
        <f aca="false">J46</f>
        <v>0</v>
      </c>
      <c r="K47" s="2" t="n">
        <f aca="false">K46</f>
        <v>0</v>
      </c>
      <c r="L47" s="2" t="n">
        <f aca="false">L46</f>
        <v>93152637</v>
      </c>
      <c r="M47" s="2" t="n">
        <f aca="false">M46+L47</f>
        <v>93861947.93</v>
      </c>
      <c r="N47" s="2" t="n">
        <f aca="false">N46+M47</f>
        <v>96040218.1860097</v>
      </c>
      <c r="O47" s="2" t="n">
        <f aca="false">O46+N47</f>
        <v>103561026.942573</v>
      </c>
      <c r="P47" s="2" t="n">
        <f aca="false">P46+O47</f>
        <v>110402800.698922</v>
      </c>
      <c r="Q47" s="2" t="n">
        <f aca="false">Q46+P47</f>
        <v>120757372.70213</v>
      </c>
      <c r="R47" s="2" t="n">
        <f aca="false">R46+Q47</f>
        <v>130876943.907943</v>
      </c>
      <c r="S47" s="2" t="n">
        <f aca="false">S46+R47</f>
        <v>140396584.378851</v>
      </c>
      <c r="T47" s="2" t="n">
        <f aca="false">T46+S47</f>
        <v>150245376.63498</v>
      </c>
      <c r="U47" s="2" t="n">
        <f aca="false">U46+T47</f>
        <v>157659252.159166</v>
      </c>
      <c r="V47" s="2" t="n">
        <f aca="false">V46+U47</f>
        <v>170520905.391284</v>
      </c>
      <c r="W47" s="2" t="n">
        <f aca="false">W46+V47</f>
        <v>174347082.161284</v>
      </c>
      <c r="X47" s="2" t="n">
        <f aca="false">X46+W47</f>
        <v>174347082.161284</v>
      </c>
      <c r="Y47" s="2" t="n">
        <f aca="false">Y46+X47</f>
        <v>174347082.161284</v>
      </c>
      <c r="Z47" s="16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16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2"/>
      <c r="B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1" t="n">
        <f aca="false">+Z46/C53/1000</f>
        <v>334.354716453498</v>
      </c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94</v>
      </c>
      <c r="B51" s="2"/>
      <c r="C51" s="8" t="n">
        <v>0.065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16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5" t="s">
        <v>95</v>
      </c>
      <c r="B52" s="2"/>
      <c r="C52" s="8" t="n">
        <v>0.0035</v>
      </c>
      <c r="D52" s="33" t="n">
        <v>174500000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6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44</v>
      </c>
      <c r="B53" s="2"/>
      <c r="C53" s="2" t="n">
        <v>510</v>
      </c>
      <c r="D53" s="2" t="s">
        <v>54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6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55</v>
      </c>
      <c r="C54" s="2" t="n">
        <v>0</v>
      </c>
      <c r="V54" s="1" t="n">
        <v>0</v>
      </c>
      <c r="Z54" s="22" t="n">
        <f aca="false">SUM(C54:V54)</f>
        <v>0</v>
      </c>
      <c r="AA54" s="17" t="str">
        <f aca="false">AA41</f>
        <v>Rodney Malcolm</v>
      </c>
    </row>
    <row r="55" customFormat="false" ht="12.75" hidden="false" customHeight="false" outlineLevel="0" collapsed="false">
      <c r="A55" s="15"/>
      <c r="B55" s="2"/>
      <c r="C55" s="8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16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12.75" hidden="false" customHeight="false" outlineLevel="0" collapsed="false">
      <c r="A56" s="1" t="s">
        <v>56</v>
      </c>
      <c r="C56" s="2" t="n">
        <f aca="false">+C46-C39</f>
        <v>0</v>
      </c>
      <c r="D56" s="2" t="n">
        <f aca="false">+D46-D39</f>
        <v>0</v>
      </c>
      <c r="E56" s="2" t="n">
        <f aca="false">+E46-E39</f>
        <v>0</v>
      </c>
      <c r="F56" s="2" t="n">
        <f aca="false">+F46-F39</f>
        <v>0</v>
      </c>
      <c r="G56" s="2" t="n">
        <f aca="false">+G46-G39</f>
        <v>0</v>
      </c>
      <c r="H56" s="2" t="n">
        <f aca="false">+H46-H39</f>
        <v>0</v>
      </c>
      <c r="I56" s="2" t="n">
        <f aca="false">+I46-I39</f>
        <v>0</v>
      </c>
      <c r="J56" s="2" t="n">
        <f aca="false">+J46-J39</f>
        <v>0</v>
      </c>
      <c r="K56" s="2" t="n">
        <f aca="false">+K46-K39</f>
        <v>0</v>
      </c>
      <c r="L56" s="2"/>
      <c r="M56" s="2" t="n">
        <f aca="false">+M46-M39</f>
        <v>203642</v>
      </c>
      <c r="N56" s="2" t="n">
        <f aca="false">+N46-N39</f>
        <v>1660822.33333333</v>
      </c>
      <c r="O56" s="2" t="n">
        <f aca="false">+O46-O39</f>
        <v>6962875.33333333</v>
      </c>
      <c r="P56" s="2" t="n">
        <f aca="false">+P46-P39</f>
        <v>6246980.38333333</v>
      </c>
      <c r="Q56" s="2" t="n">
        <f aca="false">+Q46-Q39</f>
        <v>9703993.53444444</v>
      </c>
      <c r="R56" s="2" t="n">
        <f aca="false">+R46-R39</f>
        <v>9414473.70444444</v>
      </c>
      <c r="S56" s="2" t="n">
        <f aca="false">+S46-S39</f>
        <v>8763256.05444445</v>
      </c>
      <c r="T56" s="2" t="n">
        <f aca="false">+T46-T39</f>
        <v>9039347.62444444</v>
      </c>
      <c r="U56" s="2" t="n">
        <f aca="false">+U46-U39</f>
        <v>6564488.75333334</v>
      </c>
      <c r="V56" s="2" t="n">
        <f aca="false">+V46-V39</f>
        <v>11948662.6933333</v>
      </c>
      <c r="W56" s="2" t="n">
        <f aca="false">+W46-W39</f>
        <v>3826176.77</v>
      </c>
      <c r="X56" s="2" t="n">
        <f aca="false">+X46-X39</f>
        <v>0</v>
      </c>
      <c r="Y56" s="2" t="n">
        <f aca="false">+Y46-Y39</f>
        <v>0</v>
      </c>
      <c r="Z56" s="16" t="n">
        <f aca="false">SUM(C56:Y56)</f>
        <v>74334719.1844444</v>
      </c>
    </row>
    <row r="57" customFormat="false" ht="12.75" hidden="false" customHeight="false" outlineLevel="0" collapsed="false">
      <c r="Z57" s="16"/>
    </row>
    <row r="58" customFormat="false" ht="12.75" hidden="false" customHeight="false" outlineLevel="0" collapsed="false">
      <c r="Z58" s="16"/>
    </row>
    <row r="59" customFormat="false" ht="20.25" hidden="false" customHeight="false" outlineLevel="0" collapsed="false">
      <c r="A59" s="24" t="s">
        <v>80</v>
      </c>
      <c r="Z59" s="16"/>
    </row>
    <row r="60" customFormat="false" ht="12.75" hidden="false" customHeight="false" outlineLevel="0" collapsed="false">
      <c r="A60" s="2" t="s">
        <v>117</v>
      </c>
      <c r="Z60" s="16"/>
    </row>
    <row r="61" customFormat="false" ht="12.75" hidden="false" customHeight="false" outlineLevel="0" collapsed="false">
      <c r="A61" s="41" t="s">
        <v>118</v>
      </c>
      <c r="B61" s="42"/>
      <c r="H61" s="1" t="n">
        <f aca="false">135487+48439.18</f>
        <v>183926.18</v>
      </c>
      <c r="I61" s="1" t="n">
        <v>0</v>
      </c>
      <c r="J61" s="1" t="n">
        <v>2645</v>
      </c>
      <c r="K61" s="1" t="n">
        <v>0</v>
      </c>
      <c r="L61" s="1" t="n">
        <f aca="false">-SUM(G61:K61)-M61</f>
        <v>-194774.18</v>
      </c>
      <c r="M61" s="1" t="n">
        <v>8203</v>
      </c>
      <c r="Q61" s="1" t="n">
        <v>0</v>
      </c>
      <c r="Z61" s="16" t="n">
        <f aca="false">SUM(C61:Y61)</f>
        <v>0</v>
      </c>
      <c r="AA61" s="41" t="s">
        <v>118</v>
      </c>
      <c r="AC61" s="1" t="n">
        <f aca="false">Z61+Z25</f>
        <v>540000</v>
      </c>
      <c r="AD61" s="1" t="n">
        <f aca="false">[1]Gleason!$BT$190</f>
        <v>540000</v>
      </c>
      <c r="AE61" s="1" t="n">
        <f aca="false">AC61-AD61</f>
        <v>0</v>
      </c>
    </row>
    <row r="62" customFormat="false" ht="12.75" hidden="false" customHeight="false" outlineLevel="0" collapsed="false">
      <c r="A62" s="41" t="s">
        <v>119</v>
      </c>
      <c r="B62" s="42"/>
      <c r="E62" s="1" t="n">
        <v>0</v>
      </c>
      <c r="F62" s="1" t="n">
        <v>3543</v>
      </c>
      <c r="H62" s="1" t="n">
        <v>2193</v>
      </c>
      <c r="I62" s="1" t="n">
        <v>0</v>
      </c>
      <c r="K62" s="1" t="n">
        <v>0</v>
      </c>
      <c r="L62" s="1" t="n">
        <f aca="false">-SUM(G62:K62)</f>
        <v>-2193</v>
      </c>
      <c r="Z62" s="16" t="n">
        <f aca="false">SUM(C62:Y62)</f>
        <v>3543</v>
      </c>
      <c r="AA62" s="41" t="s">
        <v>119</v>
      </c>
      <c r="AC62" s="1" t="n">
        <f aca="false">Z62+Z33</f>
        <v>500000</v>
      </c>
      <c r="AD62" s="1" t="n">
        <f aca="false">[1]Gleason!$BT$224</f>
        <v>500000</v>
      </c>
      <c r="AE62" s="1" t="n">
        <f aca="false">AC62-AD62</f>
        <v>0</v>
      </c>
    </row>
    <row r="63" customFormat="false" ht="12.75" hidden="false" customHeight="false" outlineLevel="0" collapsed="false">
      <c r="A63" s="41" t="s">
        <v>120</v>
      </c>
      <c r="B63" s="42"/>
      <c r="D63" s="1" t="n">
        <v>0</v>
      </c>
      <c r="I63" s="1" t="n">
        <v>0</v>
      </c>
      <c r="K63" s="1" t="n">
        <v>0</v>
      </c>
      <c r="L63" s="1" t="n">
        <f aca="false">-SUM(G63:K63)</f>
        <v>-0</v>
      </c>
      <c r="Z63" s="16" t="n">
        <f aca="false">SUM(C63:Y63)</f>
        <v>0</v>
      </c>
      <c r="AA63" s="41" t="s">
        <v>120</v>
      </c>
      <c r="AC63" s="1" t="n">
        <f aca="false">Z63</f>
        <v>0</v>
      </c>
      <c r="AD63" s="1" t="n">
        <v>0</v>
      </c>
      <c r="AE63" s="1" t="n">
        <f aca="false">AC63-AD63</f>
        <v>0</v>
      </c>
    </row>
    <row r="64" customFormat="false" ht="12.75" hidden="false" customHeight="false" outlineLevel="0" collapsed="false">
      <c r="A64" s="41" t="s">
        <v>121</v>
      </c>
      <c r="B64" s="42"/>
      <c r="C64" s="2" t="n">
        <v>0</v>
      </c>
      <c r="D64" s="1" t="n">
        <v>0</v>
      </c>
      <c r="E64" s="1" t="n">
        <v>5000</v>
      </c>
      <c r="F64" s="1" t="n">
        <f aca="false">716+188</f>
        <v>904</v>
      </c>
      <c r="G64" s="1" t="n">
        <v>7490.5</v>
      </c>
      <c r="H64" s="1" t="n">
        <v>2410.51</v>
      </c>
      <c r="I64" s="1" t="n">
        <v>0</v>
      </c>
      <c r="L64" s="1" t="n">
        <f aca="false">-SUM(G64:K64)</f>
        <v>-9901.01</v>
      </c>
      <c r="Z64" s="16" t="n">
        <f aca="false">SUM(C64:Y64)</f>
        <v>5904</v>
      </c>
      <c r="AA64" s="41" t="s">
        <v>121</v>
      </c>
      <c r="AC64" s="1" t="n">
        <f aca="false">Z64+Z32</f>
        <v>623216.44</v>
      </c>
      <c r="AD64" s="1" t="n">
        <f aca="false">[1]Gleason!$BT$218</f>
        <v>623216.18</v>
      </c>
      <c r="AE64" s="1" t="n">
        <f aca="false">AC64-AD64</f>
        <v>0.259999999892898</v>
      </c>
    </row>
    <row r="65" customFormat="false" ht="12.75" hidden="false" customHeight="false" outlineLevel="0" collapsed="false">
      <c r="A65" s="41" t="s">
        <v>39</v>
      </c>
      <c r="B65" s="42"/>
      <c r="F65" s="1" t="n">
        <v>11817</v>
      </c>
      <c r="G65" s="1" t="n">
        <v>1079</v>
      </c>
      <c r="H65" s="1" t="n">
        <f aca="false">862+910.57</f>
        <v>1772.57</v>
      </c>
      <c r="I65" s="1" t="n">
        <v>0</v>
      </c>
      <c r="K65" s="1" t="n">
        <v>0</v>
      </c>
      <c r="L65" s="1" t="n">
        <f aca="false">-SUM(G65:K65)+1362.81</f>
        <v>-1488.76</v>
      </c>
      <c r="Z65" s="16" t="n">
        <f aca="false">SUM(C65:Y65)</f>
        <v>13179.81</v>
      </c>
      <c r="AA65" s="41" t="s">
        <v>39</v>
      </c>
      <c r="AC65" s="1" t="n">
        <f aca="false">Z65+Z31</f>
        <v>200000.254444444</v>
      </c>
      <c r="AD65" s="1" t="n">
        <f aca="false">[1]Gleason!$BT$209</f>
        <v>200000</v>
      </c>
      <c r="AE65" s="1" t="n">
        <f aca="false">AC65-AD65</f>
        <v>0.254444444435649</v>
      </c>
    </row>
    <row r="66" customFormat="false" ht="12.75" hidden="false" customHeight="false" outlineLevel="0" collapsed="false">
      <c r="A66" s="2" t="s">
        <v>122</v>
      </c>
      <c r="C66" s="18" t="n">
        <f aca="false">SUM(C61:C65)</f>
        <v>0</v>
      </c>
      <c r="D66" s="18" t="n">
        <f aca="false">SUM(D61:D65)</f>
        <v>0</v>
      </c>
      <c r="E66" s="18" t="n">
        <f aca="false">SUM(E61:E65)</f>
        <v>5000</v>
      </c>
      <c r="F66" s="18" t="n">
        <f aca="false">SUM(F61:F65)</f>
        <v>16264</v>
      </c>
      <c r="G66" s="18" t="n">
        <f aca="false">SUM(G61:G65)</f>
        <v>8569.5</v>
      </c>
      <c r="H66" s="18" t="n">
        <f aca="false">SUM(H61:H65)</f>
        <v>190302.26</v>
      </c>
      <c r="I66" s="18" t="n">
        <f aca="false">SUM(I61:I65)</f>
        <v>0</v>
      </c>
      <c r="J66" s="18" t="n">
        <f aca="false">SUM(J61:J65)</f>
        <v>2645</v>
      </c>
      <c r="K66" s="18" t="n">
        <f aca="false">SUM(K61:K65)</f>
        <v>0</v>
      </c>
      <c r="L66" s="18" t="n">
        <f aca="false">SUM(L61:L65)</f>
        <v>-208356.95</v>
      </c>
      <c r="M66" s="18" t="n">
        <f aca="false">SUM(M61:M65)</f>
        <v>8203</v>
      </c>
      <c r="N66" s="18" t="n">
        <f aca="false">SUM(N61:N65)</f>
        <v>0</v>
      </c>
      <c r="O66" s="18" t="n">
        <f aca="false">SUM(O61:O65)</f>
        <v>0</v>
      </c>
      <c r="P66" s="18" t="n">
        <f aca="false">SUM(P61:P65)</f>
        <v>0</v>
      </c>
      <c r="Q66" s="18" t="n">
        <f aca="false">SUM(Q61:Q65)</f>
        <v>0</v>
      </c>
      <c r="R66" s="18" t="n">
        <f aca="false">SUM(R61:R65)</f>
        <v>0</v>
      </c>
      <c r="S66" s="18" t="n">
        <f aca="false">SUM(S61:S65)</f>
        <v>0</v>
      </c>
      <c r="T66" s="18" t="n">
        <f aca="false">SUM(T61:T65)</f>
        <v>0</v>
      </c>
      <c r="U66" s="18" t="n">
        <f aca="false">SUM(U61:U65)</f>
        <v>0</v>
      </c>
      <c r="V66" s="18" t="n">
        <f aca="false">SUM(V61:V65)</f>
        <v>0</v>
      </c>
      <c r="W66" s="18" t="n">
        <f aca="false">SUM(W61:W65)</f>
        <v>0</v>
      </c>
      <c r="X66" s="18" t="n">
        <f aca="false">SUM(X61:X65)</f>
        <v>0</v>
      </c>
      <c r="Y66" s="18" t="n">
        <f aca="false">SUM(Y61:Y65)</f>
        <v>0</v>
      </c>
      <c r="Z66" s="19" t="n">
        <f aca="false">SUM(C66:V66)</f>
        <v>22626.81</v>
      </c>
    </row>
    <row r="67" customFormat="false" ht="12.75" hidden="false" customHeight="false" outlineLevel="0" collapsed="false">
      <c r="A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16"/>
    </row>
    <row r="68" customFormat="false" ht="12.75" hidden="false" customHeight="false" outlineLevel="0" collapsed="false">
      <c r="A68" s="1" t="s">
        <v>97</v>
      </c>
      <c r="G68" s="1" t="n">
        <v>0</v>
      </c>
      <c r="H68" s="1" t="n">
        <v>0</v>
      </c>
      <c r="I68" s="1" t="n">
        <v>0</v>
      </c>
      <c r="J68" s="1" t="n">
        <v>0</v>
      </c>
      <c r="K68" s="1" t="n">
        <v>0</v>
      </c>
      <c r="L68" s="1" t="n">
        <v>0</v>
      </c>
      <c r="O68" s="1" t="n">
        <f aca="false">[1]Gleason!$AR$237</f>
        <v>0</v>
      </c>
      <c r="Z68" s="16" t="n">
        <f aca="false">SUM(C68:V68)</f>
        <v>0</v>
      </c>
    </row>
    <row r="69" customFormat="false" ht="12.75" hidden="false" customHeight="false" outlineLevel="0" collapsed="false">
      <c r="A69" s="18" t="s">
        <v>98</v>
      </c>
      <c r="B69" s="34"/>
      <c r="C69" s="18" t="n">
        <f aca="false">SUM(C68)</f>
        <v>0</v>
      </c>
      <c r="D69" s="18" t="n">
        <f aca="false">SUM(D66:D68)</f>
        <v>0</v>
      </c>
      <c r="E69" s="18" t="n">
        <f aca="false">SUM(E66:E68)</f>
        <v>5000</v>
      </c>
      <c r="F69" s="18" t="n">
        <f aca="false">SUM(F66:F68)</f>
        <v>16264</v>
      </c>
      <c r="G69" s="18" t="n">
        <f aca="false">SUM(G66:G68)</f>
        <v>8569.5</v>
      </c>
      <c r="H69" s="18" t="n">
        <f aca="false">SUM(H66:H68)</f>
        <v>190302.26</v>
      </c>
      <c r="I69" s="18" t="n">
        <f aca="false">SUM(I66:I68)</f>
        <v>0</v>
      </c>
      <c r="J69" s="18" t="n">
        <f aca="false">SUM(J66:J68)</f>
        <v>2645</v>
      </c>
      <c r="K69" s="18" t="n">
        <f aca="false">SUM(K66:K68)</f>
        <v>0</v>
      </c>
      <c r="L69" s="18" t="n">
        <f aca="false">SUM(L66:L68)</f>
        <v>-208356.95</v>
      </c>
      <c r="M69" s="18" t="n">
        <f aca="false">SUM(M66:M68)</f>
        <v>8203</v>
      </c>
      <c r="N69" s="18" t="n">
        <f aca="false">SUM(N66:N68)</f>
        <v>0</v>
      </c>
      <c r="O69" s="18" t="n">
        <f aca="false">SUM(O66:O68)</f>
        <v>0</v>
      </c>
      <c r="P69" s="18" t="n">
        <f aca="false">SUM(P66:P68)</f>
        <v>0</v>
      </c>
      <c r="Q69" s="18" t="n">
        <f aca="false">SUM(Q66:Q68)</f>
        <v>0</v>
      </c>
      <c r="R69" s="18" t="n">
        <f aca="false">SUM(R66:R68)</f>
        <v>0</v>
      </c>
      <c r="S69" s="18" t="n">
        <f aca="false">SUM(S66:S68)</f>
        <v>0</v>
      </c>
      <c r="T69" s="18" t="n">
        <f aca="false">SUM(T66:T68)</f>
        <v>0</v>
      </c>
      <c r="U69" s="18" t="n">
        <f aca="false">SUM(U66:U68)</f>
        <v>0</v>
      </c>
      <c r="V69" s="18" t="n">
        <f aca="false">SUM(V66:V68)</f>
        <v>0</v>
      </c>
      <c r="W69" s="18" t="n">
        <f aca="false">SUM(W66:W68)</f>
        <v>0</v>
      </c>
      <c r="X69" s="18" t="n">
        <f aca="false">SUM(X66:X68)</f>
        <v>0</v>
      </c>
      <c r="Y69" s="18" t="n">
        <f aca="false">SUM(Y66:Y68)</f>
        <v>0</v>
      </c>
      <c r="Z69" s="18" t="n">
        <f aca="false">SUM(Z66:Z68)</f>
        <v>22626.81</v>
      </c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  <c r="ID69" s="34"/>
      <c r="IE69" s="34"/>
      <c r="IF69" s="34"/>
      <c r="IG69" s="34"/>
      <c r="IH69" s="34"/>
      <c r="II69" s="34"/>
      <c r="IJ69" s="34"/>
      <c r="IK69" s="34"/>
      <c r="IL69" s="34"/>
      <c r="IM69" s="34"/>
      <c r="IN69" s="34"/>
      <c r="IO69" s="34"/>
      <c r="IP69" s="34"/>
      <c r="IQ69" s="34"/>
      <c r="IR69" s="34"/>
      <c r="IS69" s="34"/>
      <c r="IT69" s="34"/>
      <c r="IU69" s="34"/>
      <c r="IV69" s="34"/>
      <c r="IW69" s="34"/>
    </row>
    <row r="70" customFormat="false" ht="12.75" hidden="false" customHeight="false" outlineLevel="0" collapsed="false">
      <c r="A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16"/>
    </row>
    <row r="71" customFormat="false" ht="12.75" hidden="false" customHeight="false" outlineLevel="0" collapsed="false">
      <c r="Z71" s="16"/>
    </row>
    <row r="72" customFormat="false" ht="12.75" hidden="false" customHeight="false" outlineLevel="0" collapsed="false">
      <c r="A72" s="2" t="s">
        <v>123</v>
      </c>
      <c r="C72" s="2" t="n">
        <f aca="false">+C46+C69+C66</f>
        <v>0</v>
      </c>
      <c r="D72" s="2" t="n">
        <f aca="false">+D46+D69+D66</f>
        <v>0</v>
      </c>
      <c r="E72" s="2" t="n">
        <f aca="false">+E69+E46</f>
        <v>5000</v>
      </c>
      <c r="F72" s="2" t="n">
        <f aca="false">+F69+F46</f>
        <v>16264</v>
      </c>
      <c r="G72" s="2" t="n">
        <f aca="false">+G69+G46</f>
        <v>8569.5</v>
      </c>
      <c r="H72" s="2" t="n">
        <f aca="false">+H69+H46</f>
        <v>190302.26</v>
      </c>
      <c r="I72" s="2" t="n">
        <f aca="false">+I69+I46</f>
        <v>0</v>
      </c>
      <c r="J72" s="2" t="n">
        <f aca="false">+J69+J46</f>
        <v>2645</v>
      </c>
      <c r="K72" s="2" t="n">
        <f aca="false">+K69+K46</f>
        <v>0</v>
      </c>
      <c r="L72" s="2" t="n">
        <f aca="false">D69:L69+L46</f>
        <v>92944280.05</v>
      </c>
      <c r="M72" s="2" t="n">
        <f aca="false">+M69+M46</f>
        <v>717513.93</v>
      </c>
      <c r="N72" s="2" t="n">
        <f aca="false">+N69+N46</f>
        <v>2178270.25600972</v>
      </c>
      <c r="O72" s="2" t="n">
        <f aca="false">+O69+O46</f>
        <v>7520808.75656311</v>
      </c>
      <c r="P72" s="2" t="n">
        <f aca="false">+P69+P46</f>
        <v>6841773.75634866</v>
      </c>
      <c r="Q72" s="2" t="n">
        <f aca="false">+Q69+Q46</f>
        <v>10354572.0032085</v>
      </c>
      <c r="R72" s="2" t="n">
        <f aca="false">+R69+R46</f>
        <v>10119571.2058134</v>
      </c>
      <c r="S72" s="2" t="n">
        <f aca="false">+S69+S46</f>
        <v>9519640.47090738</v>
      </c>
      <c r="T72" s="2" t="n">
        <f aca="false">+T69+T46</f>
        <v>9848792.25612896</v>
      </c>
      <c r="U72" s="2" t="n">
        <f aca="false">+U69+U46</f>
        <v>7413875.5241867</v>
      </c>
      <c r="V72" s="2" t="n">
        <f aca="false">+V69+V46</f>
        <v>12861653.2321177</v>
      </c>
      <c r="W72" s="2" t="n">
        <f aca="false">+W69+W46</f>
        <v>3826176.77</v>
      </c>
      <c r="X72" s="2" t="n">
        <f aca="false">+X69+X46</f>
        <v>0</v>
      </c>
      <c r="Y72" s="2" t="n">
        <f aca="false">+Y69+Y46</f>
        <v>0</v>
      </c>
      <c r="Z72" s="2" t="n">
        <f aca="false">SUM(C72:Y72)</f>
        <v>174369708.971284</v>
      </c>
    </row>
    <row r="73" customFormat="false" ht="12.75" hidden="false" customHeight="false" outlineLevel="0" collapsed="false">
      <c r="Z73" s="2" t="n">
        <f aca="false">Z72-[1]Gleason!$BT$240</f>
        <v>0.00444445013999939</v>
      </c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W58" activePane="bottomRight" state="frozen"/>
      <selection pane="topLeft" activeCell="A1" activeCellId="0" sqref="A1"/>
      <selection pane="topRight" activeCell="W1" activeCellId="0" sqref="W1"/>
      <selection pane="bottomLeft" activeCell="A58" activeCellId="0" sqref="A58"/>
      <selection pane="bottomRight" activeCell="AB62" activeCellId="0" sqref="AB6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3.99"/>
    <col collapsed="false" customWidth="true" hidden="false" outlineLevel="0" max="11" min="5" style="1" width="11.28"/>
    <col collapsed="false" customWidth="true" hidden="false" outlineLevel="0" max="12" min="12" style="1" width="12.14"/>
    <col collapsed="false" customWidth="true" hidden="false" outlineLevel="0" max="13" min="13" style="1" width="11.28"/>
    <col collapsed="false" customWidth="true" hidden="false" outlineLevel="0" max="24" min="14" style="1" width="12.28"/>
    <col collapsed="false" customWidth="true" hidden="false" outlineLevel="0" max="25" min="25" style="2" width="13.85"/>
    <col collapsed="false" customWidth="true" hidden="fals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0.85"/>
    <col collapsed="false" customWidth="false" hidden="false" outlineLevel="0" max="257" min="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December 24,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XML/filtered-attachments/xls/Draw_Sched___122899.xls'#$Wheatland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45926.9532412016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2" t="s">
        <v>66</v>
      </c>
      <c r="Y8" s="16"/>
    </row>
    <row r="9" customFormat="false" ht="12.75" hidden="false" customHeight="false" outlineLevel="0" collapsed="false">
      <c r="A9" s="9" t="s">
        <v>67</v>
      </c>
      <c r="Y9" s="16"/>
    </row>
    <row r="10" customFormat="false" ht="12.75" hidden="false" customHeight="false" outlineLevel="0" collapsed="false">
      <c r="A10" s="1" t="s">
        <v>68</v>
      </c>
      <c r="C10" s="2" t="n">
        <v>16673400</v>
      </c>
      <c r="D10" s="1" t="n">
        <v>43401650</v>
      </c>
      <c r="E10" s="1" t="n">
        <v>4291075</v>
      </c>
      <c r="G10" s="1" t="n">
        <v>4291075</v>
      </c>
      <c r="H10" s="1" t="n">
        <v>8617667.23</v>
      </c>
      <c r="I10" s="1" t="n">
        <v>0</v>
      </c>
      <c r="K10" s="1" t="n">
        <v>318421</v>
      </c>
      <c r="M10" s="1" t="n">
        <v>0</v>
      </c>
      <c r="N10" s="1" t="n">
        <v>39600</v>
      </c>
      <c r="O10" s="1" t="n">
        <v>1077741.26</v>
      </c>
      <c r="P10" s="1" t="n">
        <f aca="false">1072769-318421</f>
        <v>754348</v>
      </c>
      <c r="Q10" s="1" t="n">
        <v>100000</v>
      </c>
      <c r="R10" s="1" t="n">
        <v>1072769</v>
      </c>
      <c r="T10" s="1" t="n">
        <v>231601</v>
      </c>
      <c r="U10" s="1" t="n">
        <f aca="false">85821500-81565943+66200+1033169-4972</f>
        <v>5349954</v>
      </c>
      <c r="Y10" s="16" t="n">
        <f aca="false">SUM(C10:X10)</f>
        <v>86219301.49</v>
      </c>
      <c r="Z10" s="23" t="s">
        <v>23</v>
      </c>
      <c r="AA10" s="1" t="n">
        <f aca="false">[1]Wheatland!$BR$12</f>
        <v>86219301</v>
      </c>
      <c r="AB10" s="1" t="n">
        <f aca="false">Y10-AA10</f>
        <v>0.489999994635582</v>
      </c>
    </row>
    <row r="11" customFormat="false" ht="12.75" hidden="false" customHeight="false" outlineLevel="0" collapsed="false">
      <c r="A11" s="1" t="s">
        <v>24</v>
      </c>
      <c r="C11" s="2" t="n">
        <v>0</v>
      </c>
      <c r="J11" s="1" t="n">
        <v>259883</v>
      </c>
      <c r="K11" s="1" t="n">
        <v>350000</v>
      </c>
      <c r="L11" s="1" t="n">
        <v>935</v>
      </c>
      <c r="M11" s="1" t="n">
        <f aca="false">595253.1+59780</f>
        <v>655033.1</v>
      </c>
      <c r="O11" s="1" t="n">
        <v>1190506.2</v>
      </c>
      <c r="P11" s="1" t="n">
        <v>595253.1</v>
      </c>
      <c r="Q11" s="1" t="n">
        <v>595253.1</v>
      </c>
      <c r="R11" s="1" t="n">
        <v>793670.8</v>
      </c>
      <c r="S11" s="1" t="n">
        <v>0</v>
      </c>
      <c r="Y11" s="16" t="n">
        <f aca="false">SUM(C11:X11)</f>
        <v>4440534.3</v>
      </c>
      <c r="Z11" s="23" t="s">
        <v>23</v>
      </c>
      <c r="AA11" s="1" t="n">
        <f aca="false">[1]Wheatland!$BR$32</f>
        <v>4440534</v>
      </c>
      <c r="AB11" s="1" t="n">
        <f aca="false">Y11-AA11</f>
        <v>0.299999999813736</v>
      </c>
    </row>
    <row r="12" customFormat="false" ht="12.75" hidden="false" customHeight="false" outlineLevel="0" collapsed="false">
      <c r="A12" s="1" t="s">
        <v>101</v>
      </c>
      <c r="C12" s="2" t="n">
        <v>0</v>
      </c>
      <c r="K12" s="1" t="n">
        <v>0</v>
      </c>
      <c r="M12" s="1" t="n">
        <v>0</v>
      </c>
      <c r="N12" s="1" t="n">
        <v>626946</v>
      </c>
      <c r="P12" s="1" t="n">
        <f aca="false">(0.2689-0.1174)*AA12</f>
        <v>1905348.84</v>
      </c>
      <c r="Q12" s="1" t="n">
        <f aca="false">(0.4673-0.2689)*AA12</f>
        <v>2495189.504</v>
      </c>
      <c r="R12" s="1" t="n">
        <f aca="false">(0.6503-0.4673)*AA12</f>
        <v>2301510.48</v>
      </c>
      <c r="S12" s="1" t="n">
        <f aca="false">(0.7833-0.6503)*AA12</f>
        <v>1672682.48</v>
      </c>
      <c r="T12" s="1" t="n">
        <f aca="false">(0.8703-0.7833)*AA12</f>
        <v>1094160.72</v>
      </c>
      <c r="U12" s="1" t="n">
        <f aca="false">(0.9476-0.8703)*AA12</f>
        <v>972168.088000001</v>
      </c>
      <c r="V12" s="1" t="n">
        <f aca="false">(1-0.9476)*AA12</f>
        <v>659011.744</v>
      </c>
      <c r="Y12" s="16" t="n">
        <f aca="false">SUM(C12:X12)</f>
        <v>11727017.856</v>
      </c>
      <c r="Z12" s="23" t="s">
        <v>23</v>
      </c>
      <c r="AA12" s="1" t="n">
        <f aca="false">[1]Wheatland!$BR$56</f>
        <v>12576560</v>
      </c>
      <c r="AB12" s="1" t="n">
        <f aca="false">Y12-AA12</f>
        <v>-849542.143999999</v>
      </c>
    </row>
    <row r="13" customFormat="false" ht="12.75" hidden="false" customHeight="false" outlineLevel="0" collapsed="false">
      <c r="A13" s="1" t="s">
        <v>102</v>
      </c>
      <c r="C13" s="2" t="n">
        <v>0</v>
      </c>
      <c r="F13" s="15"/>
      <c r="N13" s="1" t="n">
        <v>115533</v>
      </c>
      <c r="P13" s="1" t="n">
        <f aca="false">(0.2689-0.1174)*AA13</f>
        <v>793918.176</v>
      </c>
      <c r="Q13" s="1" t="n">
        <f aca="false">(0.4673-0.2689)*AA13</f>
        <v>1039692.1856</v>
      </c>
      <c r="R13" s="1" t="n">
        <f aca="false">(0.6503-0.4673)*AA13</f>
        <v>958990.272</v>
      </c>
      <c r="S13" s="1" t="n">
        <f aca="false">(0.7833-0.6503)*AA13</f>
        <v>696971.072</v>
      </c>
      <c r="T13" s="1" t="n">
        <f aca="false">(0.8703-0.7833)*AA13</f>
        <v>455913.408</v>
      </c>
      <c r="U13" s="1" t="n">
        <f aca="false">(0.9476-0.8703)*AA13</f>
        <v>405081.6832</v>
      </c>
      <c r="V13" s="1" t="n">
        <f aca="false">(1-0.9476)*AA13</f>
        <v>274596.1216</v>
      </c>
      <c r="Y13" s="16" t="n">
        <f aca="false">SUM(C13:X13)</f>
        <v>4740695.9184</v>
      </c>
      <c r="Z13" s="23"/>
      <c r="AA13" s="1" t="n">
        <f aca="false">[1]Wheatland!$BR$82</f>
        <v>5240384</v>
      </c>
      <c r="AB13" s="1" t="n">
        <f aca="false">Y13-AA13</f>
        <v>-499688.0816</v>
      </c>
    </row>
    <row r="14" customFormat="false" ht="12.75" hidden="false" customHeight="false" outlineLevel="0" collapsed="false">
      <c r="A14" s="1" t="s">
        <v>103</v>
      </c>
      <c r="M14" s="1" t="n">
        <v>0</v>
      </c>
      <c r="N14" s="1" t="n">
        <v>61343</v>
      </c>
      <c r="P14" s="1" t="n">
        <f aca="false">(0.2689-0.1174)*AA14</f>
        <v>1844779.2915</v>
      </c>
      <c r="Q14" s="1" t="n">
        <f aca="false">(0.4673-0.2689)*AA14</f>
        <v>2415869.3824</v>
      </c>
      <c r="R14" s="1" t="n">
        <f aca="false">(0.6503-0.4673)*AA14</f>
        <v>2228347.263</v>
      </c>
      <c r="S14" s="1" t="n">
        <f aca="false">(0.7833-0.6503)*AA14</f>
        <v>1619509.213</v>
      </c>
      <c r="T14" s="1" t="n">
        <f aca="false">(0.8703-0.7833)*AA14</f>
        <v>1059378.207</v>
      </c>
      <c r="U14" s="1" t="n">
        <f aca="false">(0.9476-0.8703)*AA14</f>
        <v>941263.6253</v>
      </c>
      <c r="V14" s="1" t="n">
        <f aca="false">(1-0.9476)*AA14</f>
        <v>638062.2764</v>
      </c>
      <c r="Y14" s="16" t="n">
        <f aca="false">SUM(C14:X14)</f>
        <v>10808552.2586</v>
      </c>
      <c r="Z14" s="23"/>
      <c r="AA14" s="1" t="n">
        <f aca="false">[1]Wheatland!$BR$114</f>
        <v>12176761</v>
      </c>
      <c r="AB14" s="1" t="n">
        <f aca="false">Y14-AA14</f>
        <v>-1368208.7414</v>
      </c>
    </row>
    <row r="15" customFormat="false" ht="12.75" hidden="false" customHeight="false" outlineLevel="0" collapsed="false">
      <c r="A15" s="1" t="s">
        <v>104</v>
      </c>
      <c r="N15" s="1" t="n">
        <v>0</v>
      </c>
      <c r="P15" s="1" t="n">
        <f aca="false">(0.2689-0.1174)*AA15</f>
        <v>1496890.296</v>
      </c>
      <c r="Q15" s="1" t="n">
        <f aca="false">(0.4673-0.2689)*AA15</f>
        <v>1960284.0576</v>
      </c>
      <c r="R15" s="1" t="n">
        <f aca="false">(0.6503-0.4673)*AA15</f>
        <v>1808124.912</v>
      </c>
      <c r="S15" s="1" t="n">
        <f aca="false">(0.7833-0.6503)*AA15</f>
        <v>1314101.712</v>
      </c>
      <c r="T15" s="1" t="n">
        <f aca="false">(0.8703-0.7833)*AA15</f>
        <v>859600.368</v>
      </c>
      <c r="U15" s="1" t="n">
        <f aca="false">(0.9476-0.8703)*AA15</f>
        <v>763759.8672</v>
      </c>
      <c r="V15" s="1" t="n">
        <f aca="false">(1-0.9476)*AA15</f>
        <v>517736.3136</v>
      </c>
      <c r="Y15" s="16" t="n">
        <f aca="false">SUM(C15:X15)</f>
        <v>8720497.5264</v>
      </c>
      <c r="Z15" s="23"/>
      <c r="AA15" s="1" t="n">
        <f aca="false">[1]Wheatland!$BR$119</f>
        <v>9880464</v>
      </c>
      <c r="AB15" s="1" t="n">
        <f aca="false">Y15-AA15</f>
        <v>-1159966.4736</v>
      </c>
    </row>
    <row r="16" customFormat="false" ht="12.75" hidden="false" customHeight="false" outlineLevel="0" collapsed="false">
      <c r="A16" s="1" t="s">
        <v>105</v>
      </c>
      <c r="V16" s="1" t="n">
        <v>50000</v>
      </c>
      <c r="Y16" s="16" t="n">
        <f aca="false">SUM(C16:X16)</f>
        <v>50000</v>
      </c>
      <c r="Z16" s="23"/>
      <c r="AA16" s="1" t="n">
        <f aca="false">[1]Wheatland!$BR$153</f>
        <v>50000</v>
      </c>
      <c r="AB16" s="1" t="n">
        <f aca="false">Y16-AA16</f>
        <v>0</v>
      </c>
    </row>
    <row r="17" customFormat="false" ht="12.75" hidden="false" customHeight="false" outlineLevel="0" collapsed="false">
      <c r="A17" s="1" t="s">
        <v>107</v>
      </c>
      <c r="N17" s="1" t="n">
        <v>3651557</v>
      </c>
      <c r="P17" s="1" t="n">
        <v>225848</v>
      </c>
      <c r="Y17" s="16" t="n">
        <f aca="false">SUM(C17:X17)</f>
        <v>3877405</v>
      </c>
      <c r="Z17" s="23"/>
      <c r="AB17" s="1" t="n">
        <f aca="false">Y17-AA17</f>
        <v>3877405</v>
      </c>
    </row>
    <row r="18" customFormat="false" ht="12.75" hidden="false" customHeight="false" outlineLevel="0" collapsed="false">
      <c r="A18" s="1" t="s">
        <v>83</v>
      </c>
      <c r="J18" s="1" t="n">
        <f aca="false">929800/12</f>
        <v>77483.3333333333</v>
      </c>
      <c r="K18" s="1" t="n">
        <f aca="false">929800/12</f>
        <v>77483.3333333333</v>
      </c>
      <c r="L18" s="1" t="n">
        <f aca="false">929800/12</f>
        <v>77483.3333333333</v>
      </c>
      <c r="M18" s="1" t="n">
        <f aca="false">929800/12</f>
        <v>77483.3333333333</v>
      </c>
      <c r="N18" s="1" t="n">
        <f aca="false">929800/12</f>
        <v>77483.3333333333</v>
      </c>
      <c r="O18" s="1" t="n">
        <v>77483.33</v>
      </c>
      <c r="P18" s="1" t="n">
        <f aca="false">929800/12</f>
        <v>77483.3333333333</v>
      </c>
      <c r="Q18" s="1" t="n">
        <f aca="false">929800/12</f>
        <v>77483.3333333333</v>
      </c>
      <c r="R18" s="1" t="n">
        <f aca="false">929800/12</f>
        <v>77483.3333333333</v>
      </c>
      <c r="S18" s="1" t="n">
        <f aca="false">929800/12</f>
        <v>77483.3333333333</v>
      </c>
      <c r="T18" s="1" t="n">
        <f aca="false">929800/12</f>
        <v>77483.3333333333</v>
      </c>
      <c r="U18" s="1" t="n">
        <f aca="false">929800/12</f>
        <v>77483.3333333333</v>
      </c>
      <c r="Y18" s="16" t="n">
        <f aca="false">SUM(C18:X18)</f>
        <v>929799.996666667</v>
      </c>
      <c r="Z18" s="23"/>
      <c r="AA18" s="1" t="n">
        <f aca="false">[1]Wheatland!$BR$127</f>
        <v>929800</v>
      </c>
      <c r="AB18" s="1" t="n">
        <f aca="false">Y18-AA18</f>
        <v>-0.00333333329763263</v>
      </c>
    </row>
    <row r="19" customFormat="false" ht="12.75" hidden="false" customHeight="false" outlineLevel="0" collapsed="false">
      <c r="A19" s="1" t="s">
        <v>84</v>
      </c>
      <c r="J19" s="1" t="n">
        <f aca="false">2386700/12</f>
        <v>198891.666666667</v>
      </c>
      <c r="K19" s="1" t="n">
        <f aca="false">2386700/12</f>
        <v>198891.666666667</v>
      </c>
      <c r="L19" s="1" t="n">
        <f aca="false">2386700/12-3</f>
        <v>198888.666666667</v>
      </c>
      <c r="M19" s="1" t="n">
        <v>198888.67</v>
      </c>
      <c r="N19" s="1" t="n">
        <f aca="false">2386700/12-3</f>
        <v>198888.666666667</v>
      </c>
      <c r="O19" s="1" t="n">
        <v>198899</v>
      </c>
      <c r="P19" s="1" t="n">
        <f aca="false">2386700/12</f>
        <v>198891.666666667</v>
      </c>
      <c r="Q19" s="1" t="n">
        <f aca="false">2386700/12</f>
        <v>198891.666666667</v>
      </c>
      <c r="R19" s="1" t="n">
        <f aca="false">2386700/12</f>
        <v>198891.666666667</v>
      </c>
      <c r="S19" s="1" t="n">
        <f aca="false">2386700/12</f>
        <v>198891.666666667</v>
      </c>
      <c r="T19" s="1" t="n">
        <f aca="false">2386700/12</f>
        <v>198891.666666667</v>
      </c>
      <c r="U19" s="1" t="n">
        <f aca="false">2386700/12+6+3-7</f>
        <v>198893.666666667</v>
      </c>
      <c r="Y19" s="16" t="n">
        <f aca="false">SUM(C19:X19)</f>
        <v>2386700.33666667</v>
      </c>
      <c r="Z19" s="23"/>
      <c r="AA19" s="1" t="n">
        <f aca="false">[1]Wheatland!$BR$128</f>
        <v>2386700</v>
      </c>
      <c r="AB19" s="1" t="n">
        <f aca="false">Y19-AA19</f>
        <v>0.33666666643694</v>
      </c>
    </row>
    <row r="20" customFormat="false" ht="12.75" hidden="false" customHeight="false" outlineLevel="0" collapsed="false">
      <c r="A20" s="1" t="s">
        <v>85</v>
      </c>
      <c r="U20" s="1" t="n">
        <v>3066700</v>
      </c>
      <c r="Y20" s="16" t="n">
        <f aca="false">SUM(C20:X20)</f>
        <v>3066700</v>
      </c>
      <c r="Z20" s="23"/>
      <c r="AA20" s="1" t="n">
        <f aca="false">[1]Wheatland!$BR$129</f>
        <v>3066700</v>
      </c>
      <c r="AB20" s="1" t="n">
        <f aca="false">Y20-AA20</f>
        <v>0</v>
      </c>
    </row>
    <row r="21" customFormat="false" ht="12.75" hidden="false" customHeight="false" outlineLevel="0" collapsed="false">
      <c r="A21" s="1" t="s">
        <v>27</v>
      </c>
      <c r="C21" s="2" t="n">
        <v>0</v>
      </c>
      <c r="P21" s="1" t="n">
        <v>125000</v>
      </c>
      <c r="Q21" s="1" t="n">
        <v>125000</v>
      </c>
      <c r="R21" s="1" t="n">
        <v>125000</v>
      </c>
      <c r="S21" s="1" t="n">
        <v>125000</v>
      </c>
      <c r="T21" s="1" t="n">
        <v>125000</v>
      </c>
      <c r="U21" s="1" t="n">
        <f aca="false">908786-625000</f>
        <v>283786</v>
      </c>
      <c r="Y21" s="16" t="n">
        <f aca="false">SUM(C21:X21)</f>
        <v>908786</v>
      </c>
      <c r="Z21" s="23" t="s">
        <v>28</v>
      </c>
      <c r="AA21" s="1" t="n">
        <v>908786</v>
      </c>
      <c r="AB21" s="1" t="n">
        <f aca="false">Y21-AA21</f>
        <v>0</v>
      </c>
    </row>
    <row r="22" customFormat="false" ht="12.75" hidden="false" customHeight="false" outlineLevel="0" collapsed="false">
      <c r="A22" s="1" t="s">
        <v>89</v>
      </c>
      <c r="N22" s="1" t="n">
        <v>38084</v>
      </c>
      <c r="U22" s="1" t="n">
        <f aca="false">1500000-38084</f>
        <v>1461916</v>
      </c>
      <c r="Y22" s="16" t="n">
        <f aca="false">SUM(C22:X22)</f>
        <v>1500000</v>
      </c>
      <c r="Z22" s="23"/>
      <c r="AA22" s="1" t="n">
        <f aca="false">[1]Wheatland!$BR$151</f>
        <v>1500000</v>
      </c>
      <c r="AB22" s="1" t="n">
        <f aca="false">Y22-AA22</f>
        <v>0</v>
      </c>
    </row>
    <row r="23" customFormat="false" ht="12.75" hidden="false" customHeight="false" outlineLevel="0" collapsed="false">
      <c r="A23" s="1" t="s">
        <v>29</v>
      </c>
      <c r="C23" s="2" t="n">
        <v>0</v>
      </c>
      <c r="S23" s="1" t="n">
        <v>500000</v>
      </c>
      <c r="T23" s="1" t="n">
        <v>500000</v>
      </c>
      <c r="U23" s="1" t="n">
        <v>172731</v>
      </c>
      <c r="Y23" s="16" t="n">
        <f aca="false">SUM(C23:X23)</f>
        <v>1172731</v>
      </c>
      <c r="Z23" s="23" t="str">
        <f aca="false">Z12</f>
        <v>Mike Miller</v>
      </c>
      <c r="AA23" s="1" t="n">
        <f aca="false">[1]Wheatland!$BR$155</f>
        <v>1172731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30</v>
      </c>
      <c r="C24" s="2" t="n">
        <v>0</v>
      </c>
      <c r="E24" s="1" t="n">
        <v>15000</v>
      </c>
      <c r="F24" s="15" t="n">
        <v>10000</v>
      </c>
      <c r="G24" s="1" t="n">
        <v>10000</v>
      </c>
      <c r="H24" s="1" t="n">
        <v>7500</v>
      </c>
      <c r="I24" s="1" t="n">
        <v>0</v>
      </c>
      <c r="K24" s="1" t="n">
        <v>0</v>
      </c>
      <c r="L24" s="1" t="n">
        <f aca="false">101925+797359.26+33000</f>
        <v>932284.26</v>
      </c>
      <c r="M24" s="1" t="n">
        <v>128660</v>
      </c>
      <c r="N24" s="1" t="n">
        <v>8500</v>
      </c>
      <c r="O24" s="1" t="n">
        <v>1000</v>
      </c>
      <c r="Y24" s="16" t="n">
        <f aca="false">SUM(C24:X24)</f>
        <v>1112944.26</v>
      </c>
      <c r="Z24" s="23" t="s">
        <v>69</v>
      </c>
      <c r="AA24" s="1" t="n">
        <f aca="false">[1]Wheatland!$BR$162</f>
        <v>1112944</v>
      </c>
      <c r="AB24" s="1" t="n">
        <f aca="false">Y24-AA24</f>
        <v>0.260000000009313</v>
      </c>
    </row>
    <row r="25" customFormat="false" ht="12.75" hidden="false" customHeight="false" outlineLevel="0" collapsed="false">
      <c r="A25" s="1" t="s">
        <v>32</v>
      </c>
      <c r="C25" s="2" t="n">
        <v>0</v>
      </c>
      <c r="F25" s="15" t="n">
        <v>0</v>
      </c>
      <c r="G25" s="1" t="n">
        <v>0</v>
      </c>
      <c r="H25" s="1" t="n">
        <v>9930</v>
      </c>
      <c r="I25" s="1" t="n">
        <v>32111</v>
      </c>
      <c r="J25" s="1" t="n">
        <v>22234</v>
      </c>
      <c r="K25" s="1" t="n">
        <v>64176</v>
      </c>
      <c r="L25" s="1" t="n">
        <v>27327.91</v>
      </c>
      <c r="M25" s="1" t="n">
        <v>8595.51</v>
      </c>
      <c r="N25" s="1" t="n">
        <v>47810</v>
      </c>
      <c r="O25" s="1" t="n">
        <v>53061</v>
      </c>
      <c r="P25" s="1" t="n">
        <v>48575</v>
      </c>
      <c r="Y25" s="16" t="n">
        <f aca="false">SUM(C25:X25)</f>
        <v>313820.42</v>
      </c>
      <c r="Z25" s="23" t="str">
        <f aca="false">Z24</f>
        <v>Steve Dowd</v>
      </c>
    </row>
    <row r="26" customFormat="false" ht="12.75" hidden="false" customHeight="false" outlineLevel="0" collapsed="false">
      <c r="A26" s="1" t="s">
        <v>108</v>
      </c>
      <c r="C26" s="2" t="n">
        <v>0</v>
      </c>
      <c r="F26" s="15"/>
      <c r="L26" s="1" t="n">
        <v>10000</v>
      </c>
      <c r="P26" s="1" t="n">
        <v>500000</v>
      </c>
      <c r="Q26" s="1" t="n">
        <v>500000</v>
      </c>
      <c r="R26" s="1" t="n">
        <v>500000</v>
      </c>
      <c r="S26" s="1" t="n">
        <f aca="false">500000-10000</f>
        <v>490000</v>
      </c>
      <c r="T26" s="1" t="n">
        <v>1500000</v>
      </c>
      <c r="U26" s="1" t="n">
        <v>1500000</v>
      </c>
      <c r="Y26" s="16" t="n">
        <f aca="false">SUM(C26:X26)</f>
        <v>5000000</v>
      </c>
      <c r="Z26" s="23" t="s">
        <v>34</v>
      </c>
      <c r="AA26" s="1" t="n">
        <f aca="false">[1]Wheatland!$BR$171</f>
        <v>5000000</v>
      </c>
      <c r="AB26" s="1" t="n">
        <f aca="false">Y26-AA26</f>
        <v>0</v>
      </c>
    </row>
    <row r="27" customFormat="false" ht="12.75" hidden="false" customHeight="false" outlineLevel="0" collapsed="false">
      <c r="A27" s="1" t="s">
        <v>33</v>
      </c>
      <c r="C27" s="2" t="n">
        <v>0</v>
      </c>
      <c r="F27" s="15"/>
      <c r="O27" s="1" t="n">
        <v>946000</v>
      </c>
      <c r="Q27" s="1" t="n">
        <v>500000</v>
      </c>
      <c r="R27" s="1" t="n">
        <v>54000</v>
      </c>
      <c r="Y27" s="16" t="n">
        <f aca="false">SUM(C27:X27)</f>
        <v>1500000</v>
      </c>
      <c r="Z27" s="23" t="s">
        <v>34</v>
      </c>
      <c r="AA27" s="1" t="n">
        <f aca="false">[1]Wheatland!$BR$173</f>
        <v>1500000</v>
      </c>
      <c r="AB27" s="1" t="n">
        <f aca="false">Y27-AA27</f>
        <v>0</v>
      </c>
    </row>
    <row r="28" customFormat="false" ht="12.75" hidden="false" customHeight="false" outlineLevel="0" collapsed="false">
      <c r="A28" s="1" t="s">
        <v>36</v>
      </c>
      <c r="C28" s="2" t="n">
        <v>0</v>
      </c>
      <c r="F28" s="15"/>
      <c r="S28" s="1" t="n">
        <v>500000</v>
      </c>
      <c r="T28" s="1" t="n">
        <v>500000</v>
      </c>
      <c r="U28" s="1" t="n">
        <v>0</v>
      </c>
      <c r="Y28" s="16" t="n">
        <f aca="false">SUM(C28:X28)</f>
        <v>1000000</v>
      </c>
      <c r="Z28" s="23" t="str">
        <f aca="false">Z21</f>
        <v>Kevin Presto</v>
      </c>
      <c r="AA28" s="1" t="n">
        <f aca="false">[1]Wheatland!$BR$179</f>
        <v>1000000</v>
      </c>
      <c r="AB28" s="1" t="n">
        <f aca="false">Y28-AA28</f>
        <v>0</v>
      </c>
    </row>
    <row r="29" customFormat="false" ht="12.75" hidden="true" customHeight="false" outlineLevel="0" collapsed="false">
      <c r="A29" s="1" t="s">
        <v>70</v>
      </c>
      <c r="F29" s="15"/>
      <c r="U29" s="1" t="n">
        <v>0</v>
      </c>
      <c r="Y29" s="16" t="n">
        <f aca="false">SUM(C29:X29)</f>
        <v>0</v>
      </c>
      <c r="Z29" s="23" t="s">
        <v>64</v>
      </c>
      <c r="AA29" s="1" t="n">
        <v>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38</v>
      </c>
      <c r="C30" s="2" t="n">
        <v>0</v>
      </c>
      <c r="F30" s="15"/>
      <c r="O30" s="1" t="n">
        <v>175875</v>
      </c>
      <c r="X30" s="1" t="n">
        <v>24125</v>
      </c>
      <c r="Y30" s="16" t="n">
        <f aca="false">SUM(C30:X30)</f>
        <v>200000</v>
      </c>
      <c r="Z30" s="23"/>
      <c r="AA30" s="1" t="n">
        <f aca="false">[1]Wheatland!$BR$181</f>
        <v>200000</v>
      </c>
      <c r="AB30" s="1" t="n">
        <f aca="false">Y30-AA30</f>
        <v>0</v>
      </c>
    </row>
    <row r="31" customFormat="false" ht="12.75" hidden="false" customHeight="false" outlineLevel="0" collapsed="false">
      <c r="A31" s="1" t="s">
        <v>39</v>
      </c>
      <c r="C31" s="2" t="n">
        <v>0</v>
      </c>
      <c r="F31" s="15"/>
      <c r="G31" s="1" t="n">
        <v>3365.69</v>
      </c>
      <c r="H31" s="1" t="n">
        <v>22738</v>
      </c>
      <c r="I31" s="1" t="n">
        <v>14946.71</v>
      </c>
      <c r="J31" s="1" t="n">
        <v>7607</v>
      </c>
      <c r="K31" s="1" t="n">
        <v>10912</v>
      </c>
      <c r="L31" s="1" t="n">
        <v>18233.16</v>
      </c>
      <c r="M31" s="1" t="n">
        <v>0</v>
      </c>
      <c r="N31" s="1" t="n">
        <v>0</v>
      </c>
      <c r="O31" s="1" t="n">
        <v>11111.1111111111</v>
      </c>
      <c r="P31" s="1" t="n">
        <v>11111.1111111111</v>
      </c>
      <c r="Q31" s="1" t="n">
        <v>11111.1111111111</v>
      </c>
      <c r="R31" s="1" t="n">
        <v>11111.1111111111</v>
      </c>
      <c r="S31" s="1" t="n">
        <v>11111.1111111111</v>
      </c>
      <c r="T31" s="1" t="n">
        <v>11111.1111111111</v>
      </c>
      <c r="U31" s="1" t="n">
        <f aca="false">3500+37229</f>
        <v>40729</v>
      </c>
      <c r="Y31" s="16" t="n">
        <f aca="false">SUM(C31:X31)</f>
        <v>185198.226666667</v>
      </c>
      <c r="Z31" s="23"/>
    </row>
    <row r="32" customFormat="false" ht="12.75" hidden="false" customHeight="false" outlineLevel="0" collapsed="false">
      <c r="A32" s="1" t="s">
        <v>40</v>
      </c>
      <c r="C32" s="2" t="n">
        <v>0</v>
      </c>
      <c r="F32" s="15"/>
      <c r="G32" s="1" t="n">
        <v>0</v>
      </c>
      <c r="H32" s="1" t="n">
        <v>5040</v>
      </c>
      <c r="I32" s="1" t="n">
        <f aca="false">11809+7317</f>
        <v>19126</v>
      </c>
      <c r="J32" s="1" t="n">
        <f aca="false">98287-68414</f>
        <v>29873</v>
      </c>
      <c r="K32" s="1" t="n">
        <v>31111</v>
      </c>
      <c r="L32" s="1" t="n">
        <f aca="false">26869.6+3911.51</f>
        <v>30781.11</v>
      </c>
      <c r="M32" s="1" t="n">
        <f aca="false">11540.02+3113.56</f>
        <v>14653.58</v>
      </c>
      <c r="N32" s="1" t="n">
        <v>113717</v>
      </c>
      <c r="O32" s="1" t="n">
        <f aca="false">28571.4285714286+191013</f>
        <v>219584.428571429</v>
      </c>
      <c r="P32" s="1" t="n">
        <v>28571.4285714286</v>
      </c>
      <c r="Q32" s="1" t="n">
        <v>28571.4285714286</v>
      </c>
      <c r="R32" s="1" t="n">
        <v>56516</v>
      </c>
      <c r="S32" s="1" t="n">
        <v>22986</v>
      </c>
      <c r="Y32" s="16" t="n">
        <f aca="false">SUM(C32:X32)</f>
        <v>600530.975714286</v>
      </c>
      <c r="Z32" s="23" t="n">
        <f aca="false">Z31</f>
        <v>0</v>
      </c>
    </row>
    <row r="33" customFormat="false" ht="12.75" hidden="false" customHeight="false" outlineLevel="0" collapsed="false">
      <c r="A33" s="1" t="s">
        <v>41</v>
      </c>
      <c r="C33" s="2" t="n">
        <v>0</v>
      </c>
      <c r="F33" s="15"/>
      <c r="J33" s="1" t="n">
        <v>15170</v>
      </c>
      <c r="L33" s="1" t="n">
        <v>29399.49</v>
      </c>
      <c r="M33" s="1" t="n">
        <v>20442.9</v>
      </c>
      <c r="N33" s="1" t="n">
        <v>10582</v>
      </c>
      <c r="O33" s="1" t="n">
        <v>75000</v>
      </c>
      <c r="P33" s="1" t="n">
        <v>10000</v>
      </c>
      <c r="Q33" s="1" t="n">
        <v>10000</v>
      </c>
      <c r="R33" s="1" t="n">
        <v>10000</v>
      </c>
      <c r="S33" s="1" t="n">
        <v>10000</v>
      </c>
      <c r="T33" s="1" t="n">
        <v>7559</v>
      </c>
      <c r="U33" s="1" t="n">
        <f aca="false">2441+1962+197444</f>
        <v>201847</v>
      </c>
      <c r="Y33" s="16" t="n">
        <f aca="false">SUM(C33:X33)</f>
        <v>400000.39</v>
      </c>
      <c r="Z33" s="23" t="n">
        <f aca="false">Z32</f>
        <v>0</v>
      </c>
    </row>
    <row r="34" customFormat="false" ht="12.75" hidden="false" customHeight="false" outlineLevel="0" collapsed="false">
      <c r="A34" s="1" t="s">
        <v>42</v>
      </c>
      <c r="C34" s="18" t="n">
        <f aca="false">SUM(C8:C33)</f>
        <v>16673400</v>
      </c>
      <c r="D34" s="18" t="n">
        <f aca="false">SUM(D8:D33)</f>
        <v>43401650</v>
      </c>
      <c r="E34" s="18" t="n">
        <f aca="false">SUM(E8:E33)</f>
        <v>4306075</v>
      </c>
      <c r="F34" s="18" t="n">
        <f aca="false">SUM(F8:F33)</f>
        <v>10000</v>
      </c>
      <c r="G34" s="18" t="n">
        <f aca="false">SUM(G8:G33)</f>
        <v>4304440.69</v>
      </c>
      <c r="H34" s="18" t="n">
        <f aca="false">SUM(H8:H33)</f>
        <v>8662875.23</v>
      </c>
      <c r="I34" s="18" t="n">
        <f aca="false">SUM(I8:I33)</f>
        <v>66183.71</v>
      </c>
      <c r="J34" s="18" t="n">
        <f aca="false">SUM(J8:J33)</f>
        <v>611142</v>
      </c>
      <c r="K34" s="18" t="n">
        <f aca="false">SUM(K8:K33)</f>
        <v>1050995</v>
      </c>
      <c r="L34" s="18" t="n">
        <f aca="false">SUM(L8:L33)</f>
        <v>1325332.93</v>
      </c>
      <c r="M34" s="18" t="n">
        <f aca="false">SUM(M8:M33)</f>
        <v>1103757.09333333</v>
      </c>
      <c r="N34" s="18" t="n">
        <f aca="false">SUM(N8:N33)</f>
        <v>4990044</v>
      </c>
      <c r="O34" s="18" t="n">
        <f aca="false">SUM(O8:O33)</f>
        <v>4026261.32968254</v>
      </c>
      <c r="P34" s="18" t="n">
        <f aca="false">SUM(P8:P33)</f>
        <v>8616018.24318254</v>
      </c>
      <c r="Q34" s="18" t="n">
        <f aca="false">SUM(Q8:Q33)</f>
        <v>10057345.7692825</v>
      </c>
      <c r="R34" s="18" t="n">
        <f aca="false">SUM(R8:R33)</f>
        <v>10196414.8381111</v>
      </c>
      <c r="S34" s="18" t="n">
        <f aca="false">SUM(S8:S33)</f>
        <v>7238736.58811111</v>
      </c>
      <c r="T34" s="18" t="n">
        <f aca="false">SUM(T8:T33)</f>
        <v>6620698.81411111</v>
      </c>
      <c r="U34" s="18" t="n">
        <f aca="false">SUM(U8:U33)</f>
        <v>15436313.2637</v>
      </c>
      <c r="V34" s="18" t="n">
        <f aca="false">SUM(V8:V33)</f>
        <v>2139406.4556</v>
      </c>
      <c r="W34" s="18" t="n">
        <f aca="false">SUM(W8:W33)</f>
        <v>0</v>
      </c>
      <c r="X34" s="18" t="n">
        <f aca="false">SUM(X8:X33)</f>
        <v>24125</v>
      </c>
      <c r="Y34" s="19" t="n">
        <f aca="false">SUM(C34:U34)</f>
        <v>148697684.499514</v>
      </c>
    </row>
    <row r="35" customFormat="false" ht="12.75" hidden="false" customHeight="false" outlineLevel="0" collapsed="false">
      <c r="A35" s="1" t="s">
        <v>43</v>
      </c>
      <c r="C35" s="18" t="n">
        <f aca="false">+C34</f>
        <v>16673400</v>
      </c>
      <c r="D35" s="18" t="n">
        <f aca="false">+C35+D34</f>
        <v>60075050</v>
      </c>
      <c r="E35" s="18" t="n">
        <f aca="false">+D35+E34</f>
        <v>64381125</v>
      </c>
      <c r="F35" s="18" t="n">
        <f aca="false">+E35+F34</f>
        <v>64391125</v>
      </c>
      <c r="G35" s="18" t="n">
        <f aca="false">+F35+G34</f>
        <v>68695565.69</v>
      </c>
      <c r="H35" s="18" t="n">
        <f aca="false">+G35+H34</f>
        <v>77358440.92</v>
      </c>
      <c r="I35" s="18" t="n">
        <f aca="false">+H35+I34</f>
        <v>77424624.63</v>
      </c>
      <c r="J35" s="18" t="n">
        <f aca="false">+I35+J34</f>
        <v>78035766.63</v>
      </c>
      <c r="K35" s="18" t="n">
        <f aca="false">+J35+K34</f>
        <v>79086761.63</v>
      </c>
      <c r="L35" s="18" t="n">
        <f aca="false">+K35+L34</f>
        <v>80412094.56</v>
      </c>
      <c r="M35" s="18" t="n">
        <f aca="false">+L35+M34</f>
        <v>81515851.6533333</v>
      </c>
      <c r="N35" s="18" t="n">
        <f aca="false">+M35+N34</f>
        <v>86505895.6533333</v>
      </c>
      <c r="O35" s="18" t="n">
        <f aca="false">+N35+O34</f>
        <v>90532156.9830159</v>
      </c>
      <c r="P35" s="18" t="n">
        <f aca="false">+O35+P34</f>
        <v>99148175.2261984</v>
      </c>
      <c r="Q35" s="18" t="n">
        <f aca="false">+P35+Q34</f>
        <v>109205520.995481</v>
      </c>
      <c r="R35" s="18" t="n">
        <f aca="false">+Q35+R34</f>
        <v>119401935.833592</v>
      </c>
      <c r="S35" s="18" t="n">
        <f aca="false">+R35+S34</f>
        <v>126640672.421703</v>
      </c>
      <c r="T35" s="18" t="n">
        <f aca="false">+S35+T34</f>
        <v>133261371.235814</v>
      </c>
      <c r="U35" s="18" t="n">
        <f aca="false">+T35+U34</f>
        <v>148697684.499514</v>
      </c>
      <c r="V35" s="18" t="n">
        <f aca="false">+U35+V34</f>
        <v>150837090.955114</v>
      </c>
      <c r="W35" s="18" t="n">
        <f aca="false">+V35+W34</f>
        <v>150837090.955114</v>
      </c>
      <c r="X35" s="18" t="n">
        <f aca="false">+W35+X34</f>
        <v>150861215.955114</v>
      </c>
      <c r="Y35" s="16"/>
    </row>
    <row r="36" customFormat="false" ht="12.75" hidden="false" customHeight="false" outlineLevel="0" collapsed="false">
      <c r="A36" s="1" t="s">
        <v>44</v>
      </c>
      <c r="F36" s="15"/>
      <c r="Y36" s="21" t="n">
        <f aca="false">+Y34/C51/1000</f>
        <v>316.378052126626</v>
      </c>
    </row>
    <row r="37" customFormat="false" ht="12.75" hidden="false" customHeight="false" outlineLevel="0" collapsed="false">
      <c r="F37" s="15"/>
      <c r="Y37" s="21"/>
    </row>
    <row r="38" customFormat="false" ht="12.75" hidden="false" customHeight="false" outlineLevel="0" collapsed="false">
      <c r="A38" s="1" t="s">
        <v>91</v>
      </c>
      <c r="F38" s="15" t="n">
        <v>-21556.4</v>
      </c>
      <c r="G38" s="15" t="n">
        <f aca="false">43113+23365.9</f>
        <v>66478.9</v>
      </c>
      <c r="H38" s="1" t="n">
        <v>-51000</v>
      </c>
      <c r="Y38" s="16" t="n">
        <f aca="false">SUM(C38:X38)</f>
        <v>-6077.50000000001</v>
      </c>
      <c r="Z38" s="17" t="s">
        <v>47</v>
      </c>
    </row>
    <row r="39" customFormat="false" ht="12.75" hidden="false" customHeight="false" outlineLevel="0" collapsed="false">
      <c r="A39" s="1" t="s">
        <v>45</v>
      </c>
      <c r="C39" s="2" t="n">
        <v>413818</v>
      </c>
      <c r="D39" s="1" t="n">
        <v>239841</v>
      </c>
      <c r="E39" s="1" t="n">
        <v>375473</v>
      </c>
      <c r="F39" s="15" t="n">
        <f aca="false">11622+362544-6</f>
        <v>374160</v>
      </c>
      <c r="G39" s="15" t="n">
        <v>374175</v>
      </c>
      <c r="H39" s="15" t="n">
        <v>479817</v>
      </c>
      <c r="I39" s="15" t="n">
        <f aca="false">(I35+H44)*$C49/12</f>
        <v>431577.418620833</v>
      </c>
      <c r="J39" s="15" t="n">
        <f aca="false">(J35+I44)*$C49/12</f>
        <v>437225.482138363</v>
      </c>
      <c r="K39" s="15" t="n">
        <f aca="false">(K35+J44)*$C49/12</f>
        <v>445286.676416612</v>
      </c>
      <c r="L39" s="15" t="n">
        <v>454783</v>
      </c>
      <c r="M39" s="15" t="n">
        <v>462626.315506925</v>
      </c>
      <c r="N39" s="15" t="n">
        <v>491955.34096592</v>
      </c>
      <c r="O39" s="15" t="n">
        <f aca="false">(O35+N44)*$C49/12</f>
        <v>517328.595965266</v>
      </c>
      <c r="P39" s="15" t="n">
        <f aca="false">(P35+O44)*$C49/12</f>
        <v>566800.891343984</v>
      </c>
      <c r="Q39" s="15" t="n">
        <f aca="false">(Q35+P44)*$C49/12</f>
        <v>624348.352422377</v>
      </c>
      <c r="R39" s="15" t="n">
        <f aca="false">(R35+Q44)*$C49/12</f>
        <v>682960.819704434</v>
      </c>
      <c r="S39" s="15" t="n">
        <f aca="false">(S35+R44)*$C49/12</f>
        <v>725870.013996768</v>
      </c>
      <c r="T39" s="15" t="n">
        <f aca="false">(T35+S44)*$C49/12</f>
        <v>765663.928482352</v>
      </c>
      <c r="U39" s="15" t="n">
        <f aca="false">(U35+T44)*$C49/12</f>
        <v>853424.63827334</v>
      </c>
      <c r="V39" s="15" t="n">
        <v>0</v>
      </c>
      <c r="W39" s="15" t="n">
        <v>0</v>
      </c>
      <c r="X39" s="15" t="n">
        <v>0</v>
      </c>
      <c r="Y39" s="16" t="n">
        <f aca="false">SUM(C39:X39)</f>
        <v>9717135.47383717</v>
      </c>
      <c r="Z39" s="17" t="str">
        <f aca="false">Z52</f>
        <v>Rodney Malcolm</v>
      </c>
      <c r="AA39" s="1" t="n">
        <f aca="false">Y39</f>
        <v>9717135.47383717</v>
      </c>
    </row>
    <row r="40" customFormat="false" ht="12.75" hidden="false" customHeight="false" outlineLevel="0" collapsed="false">
      <c r="A40" s="1" t="s">
        <v>92</v>
      </c>
      <c r="F40" s="15" t="n">
        <v>0</v>
      </c>
      <c r="G40" s="15" t="n">
        <v>0</v>
      </c>
      <c r="H40" s="15" t="n">
        <v>0</v>
      </c>
      <c r="I40" s="15" t="n">
        <v>0</v>
      </c>
      <c r="J40" s="15"/>
      <c r="K40" s="15" t="n">
        <v>0</v>
      </c>
      <c r="L40" s="15" t="n">
        <v>0</v>
      </c>
      <c r="M40" s="15" t="n">
        <v>0</v>
      </c>
      <c r="N40" s="15" t="n">
        <v>0</v>
      </c>
      <c r="O40" s="15" t="n">
        <v>0</v>
      </c>
      <c r="P40" s="15" t="n">
        <v>0</v>
      </c>
      <c r="Q40" s="15" t="n">
        <v>0</v>
      </c>
      <c r="R40" s="15" t="n">
        <v>0</v>
      </c>
      <c r="S40" s="15" t="n">
        <v>0</v>
      </c>
      <c r="T40" s="15" t="n">
        <v>0</v>
      </c>
      <c r="U40" s="15" t="n">
        <v>0</v>
      </c>
      <c r="V40" s="15"/>
      <c r="W40" s="15"/>
      <c r="X40" s="15"/>
      <c r="Y40" s="16" t="n">
        <f aca="false">SUM(C40:X40)</f>
        <v>0</v>
      </c>
      <c r="Z40" s="17" t="str">
        <f aca="false">Z39</f>
        <v>Rodney Malcolm</v>
      </c>
    </row>
    <row r="41" customFormat="false" ht="12.75" hidden="false" customHeight="false" outlineLevel="0" collapsed="false">
      <c r="A41" s="1" t="s">
        <v>46</v>
      </c>
      <c r="C41" s="2" t="n">
        <v>0</v>
      </c>
      <c r="Y41" s="16" t="n">
        <f aca="false">SUM(C41:X41)</f>
        <v>0</v>
      </c>
      <c r="Z41" s="17" t="s">
        <v>47</v>
      </c>
    </row>
    <row r="42" customFormat="false" ht="12.75" hidden="false" customHeight="false" outlineLevel="0" collapsed="false">
      <c r="A42" s="1" t="s">
        <v>93</v>
      </c>
      <c r="C42" s="2" t="n">
        <v>0</v>
      </c>
      <c r="U42" s="1" t="n">
        <f aca="false">[1]Wheatland!$BP$204</f>
        <v>0.100000000093132</v>
      </c>
      <c r="Y42" s="16" t="n">
        <f aca="false">SUM(C42:X42)</f>
        <v>0.100000000093132</v>
      </c>
      <c r="Z42" s="17" t="str">
        <f aca="false">Z24</f>
        <v>Steve Dowd</v>
      </c>
      <c r="AA42" s="1" t="n">
        <f aca="false">Y42</f>
        <v>0.100000000093132</v>
      </c>
    </row>
    <row r="43" customFormat="false" ht="12.75" hidden="false" customHeight="false" outlineLevel="0" collapsed="false">
      <c r="A43" s="1" t="s">
        <v>49</v>
      </c>
      <c r="C43" s="18" t="n">
        <f aca="false">SUM(C38:C42)</f>
        <v>413818</v>
      </c>
      <c r="D43" s="18" t="n">
        <f aca="false">SUM(D38:D42)</f>
        <v>239841</v>
      </c>
      <c r="E43" s="18" t="n">
        <f aca="false">SUM(E38:E42)</f>
        <v>375473</v>
      </c>
      <c r="F43" s="18" t="n">
        <f aca="false">SUM(F38:F42)</f>
        <v>352603.6</v>
      </c>
      <c r="G43" s="18" t="n">
        <f aca="false">SUM(G38:G42)</f>
        <v>440653.9</v>
      </c>
      <c r="H43" s="18" t="n">
        <f aca="false">SUM(H38:H42)</f>
        <v>428817</v>
      </c>
      <c r="I43" s="18" t="n">
        <f aca="false">SUM(I38:I42)</f>
        <v>431577.418620833</v>
      </c>
      <c r="J43" s="18" t="n">
        <f aca="false">SUM(J38:J42)</f>
        <v>437225.482138363</v>
      </c>
      <c r="K43" s="18" t="n">
        <f aca="false">SUM(K38:K42)</f>
        <v>445286.676416612</v>
      </c>
      <c r="L43" s="18" t="n">
        <f aca="false">SUM(L38:L42)</f>
        <v>454783</v>
      </c>
      <c r="M43" s="18" t="n">
        <f aca="false">SUM(M38:M42)</f>
        <v>462626.315506925</v>
      </c>
      <c r="N43" s="18" t="n">
        <f aca="false">SUM(N38:N42)</f>
        <v>491955.34096592</v>
      </c>
      <c r="O43" s="18" t="n">
        <f aca="false">SUM(O38:O42)</f>
        <v>517328.595965266</v>
      </c>
      <c r="P43" s="18" t="n">
        <f aca="false">SUM(P38:P42)</f>
        <v>566800.891343984</v>
      </c>
      <c r="Q43" s="18" t="n">
        <f aca="false">SUM(Q38:Q42)</f>
        <v>624348.352422377</v>
      </c>
      <c r="R43" s="18" t="n">
        <f aca="false">SUM(R38:R42)</f>
        <v>682960.819704434</v>
      </c>
      <c r="S43" s="18" t="n">
        <f aca="false">SUM(S38:S42)</f>
        <v>725870.013996768</v>
      </c>
      <c r="T43" s="18" t="n">
        <f aca="false">SUM(T38:T42)</f>
        <v>765663.928482352</v>
      </c>
      <c r="U43" s="18" t="n">
        <f aca="false">SUM(U38:U42)</f>
        <v>853424.73827334</v>
      </c>
      <c r="V43" s="18" t="n">
        <f aca="false">SUM(V38:V42)</f>
        <v>0</v>
      </c>
      <c r="W43" s="18" t="n">
        <f aca="false">SUM(W38:W42)</f>
        <v>0</v>
      </c>
      <c r="X43" s="18" t="n">
        <f aca="false">SUM(X38:X42)</f>
        <v>0</v>
      </c>
      <c r="Y43" s="19" t="n">
        <f aca="false">SUM(C43:X43)</f>
        <v>9711058.07383717</v>
      </c>
    </row>
    <row r="44" customFormat="false" ht="12.75" hidden="false" customHeight="false" outlineLevel="0" collapsed="false">
      <c r="A44" s="1" t="s">
        <v>50</v>
      </c>
      <c r="C44" s="18" t="n">
        <f aca="false">+C43</f>
        <v>413818</v>
      </c>
      <c r="D44" s="18" t="n">
        <f aca="false">+D43+C44</f>
        <v>653659</v>
      </c>
      <c r="E44" s="18" t="n">
        <f aca="false">+E43+D44</f>
        <v>1029132</v>
      </c>
      <c r="F44" s="18" t="n">
        <f aca="false">+F43+E44</f>
        <v>1381735.6</v>
      </c>
      <c r="G44" s="18" t="n">
        <f aca="false">+G43+F44</f>
        <v>1822389.5</v>
      </c>
      <c r="H44" s="18" t="n">
        <f aca="false">+H43+G44</f>
        <v>2251206.5</v>
      </c>
      <c r="I44" s="18" t="n">
        <f aca="false">+I43+H44</f>
        <v>2682783.91862083</v>
      </c>
      <c r="J44" s="18" t="n">
        <f aca="false">+J43+I44</f>
        <v>3120009.4007592</v>
      </c>
      <c r="K44" s="18" t="n">
        <f aca="false">+K43+J44</f>
        <v>3565296.07717581</v>
      </c>
      <c r="L44" s="18" t="n">
        <f aca="false">+L43+K44</f>
        <v>4020079.07717581</v>
      </c>
      <c r="M44" s="18" t="n">
        <f aca="false">+M43+L44</f>
        <v>4482705.39268273</v>
      </c>
      <c r="N44" s="18" t="n">
        <f aca="false">+N43+M44</f>
        <v>4974660.73364865</v>
      </c>
      <c r="O44" s="18" t="n">
        <f aca="false">+O43+N44</f>
        <v>5491989.32961392</v>
      </c>
      <c r="P44" s="18" t="n">
        <f aca="false">+P43+O44</f>
        <v>6058790.2209579</v>
      </c>
      <c r="Q44" s="18" t="n">
        <f aca="false">+Q43+P44</f>
        <v>6683138.57338028</v>
      </c>
      <c r="R44" s="18" t="n">
        <f aca="false">+R43+Q44</f>
        <v>7366099.39308471</v>
      </c>
      <c r="S44" s="18" t="n">
        <f aca="false">+S43+R44</f>
        <v>8091969.40708148</v>
      </c>
      <c r="T44" s="18" t="n">
        <f aca="false">+T43+S44</f>
        <v>8857633.33556384</v>
      </c>
      <c r="U44" s="18" t="n">
        <f aca="false">+U43+T44</f>
        <v>9711058.07383717</v>
      </c>
      <c r="V44" s="18" t="n">
        <f aca="false">+V43+U44</f>
        <v>9711058.07383717</v>
      </c>
      <c r="W44" s="18" t="n">
        <f aca="false">+W43+V44</f>
        <v>9711058.07383717</v>
      </c>
      <c r="X44" s="18" t="n">
        <f aca="false">+X43+W44</f>
        <v>9711058.07383717</v>
      </c>
      <c r="Y44" s="16"/>
    </row>
    <row r="45" customFormat="false" ht="12.75" hidden="false" customHeight="false" outlineLevel="0" collapsed="false">
      <c r="Y45" s="16"/>
    </row>
    <row r="46" customFormat="false" ht="12.75" hidden="false" customHeight="false" outlineLevel="0" collapsed="false">
      <c r="A46" s="2" t="s">
        <v>124</v>
      </c>
      <c r="B46" s="2"/>
      <c r="C46" s="2" t="n">
        <f aca="false">+C34+C43</f>
        <v>17087218</v>
      </c>
      <c r="D46" s="2" t="n">
        <f aca="false">+D34+D43</f>
        <v>43641491</v>
      </c>
      <c r="E46" s="2" t="n">
        <f aca="false">+E34+E43</f>
        <v>4681548</v>
      </c>
      <c r="F46" s="2" t="n">
        <f aca="false">+F34+F43</f>
        <v>362603.6</v>
      </c>
      <c r="G46" s="2" t="n">
        <f aca="false">+G34+G43</f>
        <v>4745094.59</v>
      </c>
      <c r="H46" s="2" t="n">
        <f aca="false">+H34+H43</f>
        <v>9091692.23</v>
      </c>
      <c r="I46" s="2" t="n">
        <f aca="false">+I34+I43</f>
        <v>497761.128620833</v>
      </c>
      <c r="J46" s="2" t="n">
        <f aca="false">+J34+J43</f>
        <v>1048367.48213836</v>
      </c>
      <c r="K46" s="2" t="n">
        <f aca="false">+K34+K43</f>
        <v>1496281.67641661</v>
      </c>
      <c r="L46" s="2" t="n">
        <f aca="false">+L34+L43</f>
        <v>1780115.93</v>
      </c>
      <c r="M46" s="2" t="n">
        <f aca="false">+M34+M43</f>
        <v>1566383.40884026</v>
      </c>
      <c r="N46" s="2" t="n">
        <f aca="false">+N34+N43</f>
        <v>5481999.34096592</v>
      </c>
      <c r="O46" s="2" t="n">
        <f aca="false">+O34+O43</f>
        <v>4543589.92564781</v>
      </c>
      <c r="P46" s="2" t="n">
        <f aca="false">+P34+P43</f>
        <v>9182819.13452652</v>
      </c>
      <c r="Q46" s="2" t="n">
        <f aca="false">+Q34+Q43</f>
        <v>10681694.1217049</v>
      </c>
      <c r="R46" s="2" t="n">
        <f aca="false">+R34+R43</f>
        <v>10879375.6578155</v>
      </c>
      <c r="S46" s="2" t="n">
        <f aca="false">+S34+S43</f>
        <v>7964606.60210788</v>
      </c>
      <c r="T46" s="2" t="n">
        <f aca="false">+T34+T43</f>
        <v>7386362.74259346</v>
      </c>
      <c r="U46" s="2" t="n">
        <f aca="false">+U34+U43</f>
        <v>16289738.0019733</v>
      </c>
      <c r="V46" s="2" t="n">
        <f aca="false">+V34+V43</f>
        <v>2139406.4556</v>
      </c>
      <c r="W46" s="2" t="n">
        <f aca="false">+W34+W43</f>
        <v>0</v>
      </c>
      <c r="X46" s="2" t="n">
        <f aca="false">+X34+X43</f>
        <v>24125</v>
      </c>
      <c r="Y46" s="16" t="n">
        <f aca="false">SUM(C46:X46)</f>
        <v>160572274.028951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 t="s">
        <v>52</v>
      </c>
      <c r="B47" s="2"/>
      <c r="C47" s="2" t="n">
        <f aca="false">C46</f>
        <v>17087218</v>
      </c>
      <c r="D47" s="2" t="n">
        <f aca="false">C47+D46</f>
        <v>60728709</v>
      </c>
      <c r="E47" s="2" t="n">
        <f aca="false">D47+E46</f>
        <v>65410257</v>
      </c>
      <c r="F47" s="2" t="n">
        <f aca="false">E47+F46</f>
        <v>65772860.6</v>
      </c>
      <c r="G47" s="2" t="n">
        <f aca="false">F47+G46</f>
        <v>70517955.19</v>
      </c>
      <c r="H47" s="2" t="n">
        <f aca="false">G47+H46</f>
        <v>79609647.42</v>
      </c>
      <c r="I47" s="2" t="n">
        <f aca="false">H47+I46</f>
        <v>80107408.5486208</v>
      </c>
      <c r="J47" s="2" t="n">
        <f aca="false">I47+J46</f>
        <v>81155776.0307592</v>
      </c>
      <c r="K47" s="2" t="n">
        <f aca="false">J47+K46</f>
        <v>82652057.7071758</v>
      </c>
      <c r="L47" s="2" t="n">
        <f aca="false">K47+L46</f>
        <v>84432173.6371758</v>
      </c>
      <c r="M47" s="2" t="n">
        <f aca="false">L47+M46</f>
        <v>85998557.0460161</v>
      </c>
      <c r="N47" s="2" t="n">
        <f aca="false">M47+N46</f>
        <v>91480556.386982</v>
      </c>
      <c r="O47" s="2" t="n">
        <f aca="false">N47+O46</f>
        <v>96024146.3126298</v>
      </c>
      <c r="P47" s="2" t="n">
        <f aca="false">O47+P46</f>
        <v>105206965.447156</v>
      </c>
      <c r="Q47" s="2" t="n">
        <f aca="false">P47+Q46</f>
        <v>115888659.568861</v>
      </c>
      <c r="R47" s="2" t="n">
        <f aca="false">Q47+R46</f>
        <v>126768035.226677</v>
      </c>
      <c r="S47" s="2" t="n">
        <f aca="false">R47+S46</f>
        <v>134732641.828785</v>
      </c>
      <c r="T47" s="2" t="n">
        <f aca="false">S47+T46</f>
        <v>142119004.571378</v>
      </c>
      <c r="U47" s="2" t="n">
        <f aca="false">T47+U46</f>
        <v>158408742.573351</v>
      </c>
      <c r="V47" s="2" t="n">
        <f aca="false">U47+V46</f>
        <v>160548149.028951</v>
      </c>
      <c r="W47" s="2" t="n">
        <f aca="false">V47+W46</f>
        <v>160548149.028951</v>
      </c>
      <c r="X47" s="2" t="n">
        <f aca="false">W47+X46</f>
        <v>160572274.028951</v>
      </c>
      <c r="Y47" s="16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1" t="n">
        <f aca="false">+Y46/C51/1000</f>
        <v>341.643136231812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5" t="s">
        <v>94</v>
      </c>
      <c r="B49" s="2"/>
      <c r="C49" s="8" t="n">
        <v>0.065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6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95</v>
      </c>
      <c r="B50" s="2"/>
      <c r="C50" s="8" t="n">
        <v>0.0035</v>
      </c>
      <c r="D50" s="33" t="n">
        <v>163000000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" t="s">
        <v>44</v>
      </c>
      <c r="B51" s="2"/>
      <c r="C51" s="2" t="n">
        <v>470</v>
      </c>
      <c r="D51" s="2" t="s">
        <v>54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55</v>
      </c>
      <c r="C52" s="2" t="n">
        <v>0</v>
      </c>
      <c r="Y52" s="22" t="n">
        <f aca="false">SUM(C52:U52)</f>
        <v>0</v>
      </c>
      <c r="Z52" s="17" t="str">
        <f aca="false">Z41</f>
        <v>Rodney Malcolm</v>
      </c>
    </row>
    <row r="53" customFormat="false" ht="12.75" hidden="false" customHeight="false" outlineLevel="0" collapsed="false">
      <c r="A53" s="15"/>
      <c r="B53" s="2"/>
      <c r="C53" s="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6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56</v>
      </c>
      <c r="C54" s="2" t="n">
        <f aca="false">+C46-C39</f>
        <v>16673400</v>
      </c>
      <c r="D54" s="2" t="n">
        <f aca="false">+D46-D39</f>
        <v>43401650</v>
      </c>
      <c r="E54" s="2" t="n">
        <f aca="false">+E46-E39</f>
        <v>4306075</v>
      </c>
      <c r="F54" s="2" t="n">
        <f aca="false">+F46-F39</f>
        <v>-11556.4</v>
      </c>
      <c r="G54" s="2" t="n">
        <f aca="false">+G46-G39</f>
        <v>4370919.59</v>
      </c>
      <c r="H54" s="2" t="n">
        <f aca="false">+H46-H39</f>
        <v>8611875.23</v>
      </c>
      <c r="I54" s="2" t="n">
        <f aca="false">+I46-I39</f>
        <v>66183.71</v>
      </c>
      <c r="J54" s="2" t="n">
        <f aca="false">+J46-J39</f>
        <v>611142</v>
      </c>
      <c r="K54" s="2" t="n">
        <f aca="false">+K46-K39</f>
        <v>1050995</v>
      </c>
      <c r="L54" s="2" t="n">
        <f aca="false">+L46-L39</f>
        <v>1325332.93</v>
      </c>
      <c r="M54" s="2" t="n">
        <f aca="false">+M46-M39</f>
        <v>1103757.09333333</v>
      </c>
      <c r="N54" s="2" t="n">
        <f aca="false">+N46-N39</f>
        <v>4990044</v>
      </c>
      <c r="O54" s="2" t="n">
        <f aca="false">+O46-O39</f>
        <v>4026261.32968254</v>
      </c>
      <c r="P54" s="2" t="n">
        <f aca="false">+P46-P39</f>
        <v>8616018.24318254</v>
      </c>
      <c r="Q54" s="2" t="n">
        <f aca="false">+Q46-Q39</f>
        <v>10057345.7692825</v>
      </c>
      <c r="R54" s="2" t="n">
        <f aca="false">+R46-R39</f>
        <v>10196414.8381111</v>
      </c>
      <c r="S54" s="2" t="n">
        <f aca="false">+S46-S39</f>
        <v>7238736.58811111</v>
      </c>
      <c r="T54" s="2" t="n">
        <f aca="false">+T46-T39</f>
        <v>6620698.81411111</v>
      </c>
      <c r="U54" s="2" t="n">
        <f aca="false">+U46-U39</f>
        <v>15436313.3637</v>
      </c>
      <c r="V54" s="2" t="n">
        <f aca="false">+V46-V39</f>
        <v>2139406.4556</v>
      </c>
      <c r="W54" s="2" t="n">
        <f aca="false">+W46-W39</f>
        <v>0</v>
      </c>
      <c r="X54" s="2" t="n">
        <f aca="false">+X46-X39</f>
        <v>24125</v>
      </c>
      <c r="Y54" s="22" t="n">
        <f aca="false">SUM(C54:X54)</f>
        <v>150855138.555114</v>
      </c>
    </row>
    <row r="55" customFormat="false" ht="12.75" hidden="false" customHeight="false" outlineLevel="0" collapsed="false">
      <c r="Y55" s="16"/>
    </row>
    <row r="56" customFormat="false" ht="12.75" hidden="false" customHeight="false" outlineLevel="0" collapsed="false">
      <c r="C56" s="1"/>
      <c r="Y56" s="16"/>
    </row>
    <row r="57" customFormat="false" ht="20.25" hidden="false" customHeight="false" outlineLevel="0" collapsed="false">
      <c r="A57" s="24" t="s">
        <v>80</v>
      </c>
      <c r="Y57" s="16"/>
    </row>
    <row r="58" customFormat="false" ht="12.75" hidden="false" customHeight="false" outlineLevel="0" collapsed="false">
      <c r="A58" s="2" t="s">
        <v>66</v>
      </c>
      <c r="Y58" s="16"/>
    </row>
    <row r="59" customFormat="false" ht="12.75" hidden="false" customHeight="false" outlineLevel="0" collapsed="false">
      <c r="A59" s="1" t="s">
        <v>32</v>
      </c>
      <c r="C59" s="2" t="n">
        <v>0</v>
      </c>
      <c r="D59" s="1" t="n">
        <v>0</v>
      </c>
      <c r="E59" s="1" t="n">
        <v>0</v>
      </c>
      <c r="F59" s="15" t="n">
        <v>53841</v>
      </c>
      <c r="G59" s="1" t="n">
        <v>82339</v>
      </c>
      <c r="H59" s="1" t="n">
        <v>0</v>
      </c>
      <c r="I59" s="1" t="n">
        <v>0</v>
      </c>
      <c r="J59" s="1" t="n">
        <v>0</v>
      </c>
      <c r="K59" s="1" t="n">
        <v>0</v>
      </c>
      <c r="L59" s="1" t="n">
        <v>0</v>
      </c>
      <c r="M59" s="1" t="n">
        <v>0</v>
      </c>
      <c r="N59" s="1" t="n">
        <v>0</v>
      </c>
      <c r="O59" s="1" t="n">
        <v>0</v>
      </c>
      <c r="P59" s="1" t="n">
        <v>0</v>
      </c>
      <c r="Q59" s="1" t="n">
        <v>0</v>
      </c>
      <c r="R59" s="1" t="n">
        <v>0</v>
      </c>
      <c r="S59" s="1" t="n">
        <v>0</v>
      </c>
      <c r="T59" s="1" t="n">
        <v>0</v>
      </c>
      <c r="U59" s="1" t="n">
        <v>0</v>
      </c>
      <c r="Y59" s="16" t="n">
        <f aca="false">SUM(C59:X59)</f>
        <v>136180</v>
      </c>
      <c r="Z59" s="17" t="str">
        <f aca="false">+Z42</f>
        <v>Steve Dowd</v>
      </c>
      <c r="AA59" s="1" t="n">
        <f aca="false">Y59+Y25</f>
        <v>450000.42</v>
      </c>
      <c r="AB59" s="1" t="n">
        <f aca="false">[1]Wheatland!$BR$169</f>
        <v>450000</v>
      </c>
      <c r="AC59" s="1" t="n">
        <f aca="false">AB59-AA59</f>
        <v>-0.419999999983702</v>
      </c>
    </row>
    <row r="60" customFormat="false" ht="12.75" hidden="false" customHeight="false" outlineLevel="0" collapsed="false">
      <c r="A60" s="1" t="s">
        <v>40</v>
      </c>
      <c r="C60" s="2" t="n">
        <v>0</v>
      </c>
      <c r="D60" s="1" t="n">
        <v>1178</v>
      </c>
      <c r="E60" s="1" t="n">
        <v>427</v>
      </c>
      <c r="F60" s="15" t="n">
        <v>2729</v>
      </c>
      <c r="G60" s="1" t="n">
        <v>1480</v>
      </c>
      <c r="H60" s="1" t="n">
        <v>0</v>
      </c>
      <c r="I60" s="1" t="n">
        <v>75487.01</v>
      </c>
      <c r="J60" s="1" t="n">
        <v>68414.19</v>
      </c>
      <c r="K60" s="1" t="n">
        <v>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Y60" s="16" t="n">
        <f aca="false">SUM(C60:X60)</f>
        <v>149715.2</v>
      </c>
      <c r="Z60" s="17" t="str">
        <f aca="false">+Z59</f>
        <v>Steve Dowd</v>
      </c>
      <c r="AA60" s="1" t="n">
        <f aca="false">Y60+Y32</f>
        <v>750246.175714286</v>
      </c>
      <c r="AB60" s="1" t="n">
        <f aca="false">[1]Wheatland!$BR$192</f>
        <v>750246.08</v>
      </c>
      <c r="AC60" s="1" t="n">
        <f aca="false">AB60-AA60</f>
        <v>-0.0957142857369036</v>
      </c>
    </row>
    <row r="61" customFormat="false" ht="12.75" hidden="false" customHeight="false" outlineLevel="0" collapsed="false">
      <c r="A61" s="1" t="s">
        <v>30</v>
      </c>
      <c r="E61" s="1" t="n">
        <v>0</v>
      </c>
      <c r="F61" s="15" t="n">
        <v>0</v>
      </c>
      <c r="G61" s="1" t="n">
        <v>0</v>
      </c>
      <c r="Y61" s="16" t="n">
        <f aca="false">SUM(C61:X61)</f>
        <v>0</v>
      </c>
      <c r="Z61" s="17"/>
      <c r="AA61" s="1" t="n">
        <f aca="false">Y61+Y24</f>
        <v>1112944.26</v>
      </c>
      <c r="AB61" s="1" t="n">
        <f aca="false">[1]Wheatland!$BR$162</f>
        <v>1112944</v>
      </c>
      <c r="AC61" s="1" t="n">
        <f aca="false">AB61-AA61</f>
        <v>-0.260000000009313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14497</v>
      </c>
      <c r="F62" s="15" t="n">
        <v>0</v>
      </c>
      <c r="G62" s="1" t="n">
        <v>304.38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Y62" s="16" t="n">
        <f aca="false">SUM(C62:X62)</f>
        <v>14801.38</v>
      </c>
      <c r="Z62" s="17" t="str">
        <f aca="false">+Z60</f>
        <v>Steve Dowd</v>
      </c>
      <c r="AA62" s="1" t="n">
        <f aca="false">Y62+Y31</f>
        <v>199999.606666667</v>
      </c>
      <c r="AB62" s="1" t="n">
        <f aca="false">[1]Wheatland!$BR$183</f>
        <v>200000</v>
      </c>
      <c r="AC62" s="1" t="n">
        <f aca="false">AB62-AA62</f>
        <v>0.393333333340706</v>
      </c>
    </row>
    <row r="63" customFormat="false" ht="12.75" hidden="false" customHeight="false" outlineLevel="0" collapsed="false">
      <c r="A63" s="1" t="s">
        <v>41</v>
      </c>
      <c r="C63" s="2" t="n">
        <v>0</v>
      </c>
      <c r="F63" s="15" t="n">
        <v>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Y63" s="16" t="n">
        <f aca="false">SUM(C63:X63)</f>
        <v>0</v>
      </c>
      <c r="Z63" s="17" t="str">
        <f aca="false">+Z62</f>
        <v>Steve Dowd</v>
      </c>
      <c r="AA63" s="1" t="n">
        <f aca="false">Y63+Y33</f>
        <v>400000.39</v>
      </c>
      <c r="AB63" s="1" t="n">
        <f aca="false">[1]Wheatland!$BR$198</f>
        <v>400000</v>
      </c>
      <c r="AC63" s="1" t="n">
        <f aca="false">AB63-AA63</f>
        <v>-0.39000000001397</v>
      </c>
    </row>
    <row r="64" customFormat="false" ht="12.75" hidden="false" customHeight="false" outlineLevel="0" collapsed="false">
      <c r="A64" s="2" t="s">
        <v>125</v>
      </c>
      <c r="C64" s="18" t="n">
        <f aca="false">SUM(C59:C63)</f>
        <v>0</v>
      </c>
      <c r="D64" s="18" t="n">
        <f aca="false">SUM(D59:D63)</f>
        <v>1178</v>
      </c>
      <c r="E64" s="18" t="n">
        <f aca="false">SUM(E59:E63)</f>
        <v>14924</v>
      </c>
      <c r="F64" s="18" t="n">
        <f aca="false">SUM(F59:F63)</f>
        <v>56570</v>
      </c>
      <c r="G64" s="18" t="n">
        <f aca="false">SUM(G59:G63)</f>
        <v>84123.38</v>
      </c>
      <c r="H64" s="18" t="n">
        <f aca="false">SUM(H59:H63)</f>
        <v>0</v>
      </c>
      <c r="I64" s="18" t="n">
        <f aca="false">SUM(I59:I63)</f>
        <v>75487.01</v>
      </c>
      <c r="J64" s="18" t="n">
        <f aca="false">SUM(J59:J63)</f>
        <v>68414.19</v>
      </c>
      <c r="K64" s="18" t="n">
        <f aca="false">SUM(K59:K63)</f>
        <v>0</v>
      </c>
      <c r="L64" s="18" t="n">
        <f aca="false">SUM(L59:L63)</f>
        <v>0</v>
      </c>
      <c r="M64" s="18" t="n">
        <f aca="false">SUM(M59:M63)</f>
        <v>0</v>
      </c>
      <c r="N64" s="18" t="n">
        <f aca="false">SUM(N59:N63)</f>
        <v>0</v>
      </c>
      <c r="O64" s="18" t="n">
        <f aca="false">SUM(O59:O63)</f>
        <v>0</v>
      </c>
      <c r="P64" s="18" t="n">
        <f aca="false">SUM(P59:P63)</f>
        <v>0</v>
      </c>
      <c r="Q64" s="18" t="n">
        <f aca="false">SUM(Q59:Q63)</f>
        <v>0</v>
      </c>
      <c r="R64" s="18" t="n">
        <f aca="false">SUM(R59:R63)</f>
        <v>0</v>
      </c>
      <c r="S64" s="18" t="n">
        <f aca="false">SUM(S59:S63)</f>
        <v>0</v>
      </c>
      <c r="T64" s="18" t="n">
        <f aca="false">SUM(T59:T63)</f>
        <v>0</v>
      </c>
      <c r="U64" s="18" t="n">
        <f aca="false">SUM(U59:U63)</f>
        <v>0</v>
      </c>
      <c r="V64" s="18" t="n">
        <f aca="false">SUM(V59:V63)</f>
        <v>0</v>
      </c>
      <c r="W64" s="18" t="n">
        <f aca="false">SUM(W59:W63)</f>
        <v>0</v>
      </c>
      <c r="X64" s="18" t="n">
        <f aca="false">SUM(X59:X63)</f>
        <v>0</v>
      </c>
      <c r="Y64" s="18" t="n">
        <f aca="false">SUM(Y59:Y63)</f>
        <v>300696.58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customFormat="false" ht="12.75" hidden="false" customHeight="false" outlineLevel="0" collapsed="false">
      <c r="A66" s="2" t="s">
        <v>97</v>
      </c>
      <c r="D66" s="2"/>
      <c r="E66" s="2"/>
      <c r="F66" s="2"/>
      <c r="G66" s="2" t="n">
        <v>-67129</v>
      </c>
      <c r="H66" s="2" t="n">
        <v>12250</v>
      </c>
      <c r="I66" s="2" t="n">
        <v>-26420</v>
      </c>
      <c r="J66" s="2" t="n">
        <v>-23945</v>
      </c>
      <c r="K66" s="2"/>
      <c r="L66" s="2"/>
      <c r="M66" s="2" t="n">
        <f aca="false">[1]Wheatland!$AN$214</f>
        <v>36835</v>
      </c>
      <c r="N66" s="2" t="n">
        <f aca="false">[1]Wheatland!$AP$214</f>
        <v>-36835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 t="n">
        <f aca="false">SUM(G66:X66)</f>
        <v>-105244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1178</v>
      </c>
      <c r="E67" s="18" t="n">
        <f aca="false">SUM(E64:E66)</f>
        <v>14924</v>
      </c>
      <c r="F67" s="18" t="n">
        <f aca="false">SUM(F64:F66)</f>
        <v>56570</v>
      </c>
      <c r="G67" s="18" t="n">
        <f aca="false">SUM(G64:G66)</f>
        <v>16994.38</v>
      </c>
      <c r="H67" s="18" t="n">
        <f aca="false">SUM(H64:H66)</f>
        <v>12250</v>
      </c>
      <c r="I67" s="18" t="n">
        <f aca="false">SUM(I64:I66)</f>
        <v>49067.01</v>
      </c>
      <c r="J67" s="18" t="n">
        <f aca="false">SUM(J64:J66)</f>
        <v>44469.19</v>
      </c>
      <c r="K67" s="18" t="n">
        <f aca="false">SUM(K64:K66)</f>
        <v>0</v>
      </c>
      <c r="L67" s="18" t="n">
        <f aca="false">SUM(L64:L66)</f>
        <v>0</v>
      </c>
      <c r="M67" s="18" t="n">
        <f aca="false">SUM(M64:M66)</f>
        <v>36835</v>
      </c>
      <c r="N67" s="18" t="n">
        <f aca="false">SUM(N64:N66)</f>
        <v>-36835</v>
      </c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/>
      <c r="W67" s="18"/>
      <c r="X67" s="18"/>
      <c r="Y67" s="18" t="n">
        <f aca="false">SUM(Y64:Y66)</f>
        <v>195452.58</v>
      </c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6"/>
    </row>
    <row r="69" customFormat="false" ht="12.75" hidden="false" customHeight="false" outlineLevel="0" collapsed="false">
      <c r="A69" s="2" t="s">
        <v>126</v>
      </c>
      <c r="Y69" s="16"/>
    </row>
    <row r="70" customFormat="false" ht="12.75" hidden="false" customHeight="false" outlineLevel="0" collapsed="false">
      <c r="A70" s="1" t="s">
        <v>30</v>
      </c>
      <c r="E70" s="1" t="n">
        <v>15000</v>
      </c>
      <c r="Y70" s="16" t="n">
        <f aca="false">SUM(C70:X70)</f>
        <v>15000</v>
      </c>
      <c r="Z70" s="17" t="str">
        <f aca="false">+Z63</f>
        <v>Steve Dowd</v>
      </c>
    </row>
    <row r="71" customFormat="false" ht="12.75" hidden="false" customHeight="false" outlineLevel="0" collapsed="false">
      <c r="A71" s="1" t="s">
        <v>39</v>
      </c>
      <c r="E71" s="1" t="n">
        <v>0</v>
      </c>
      <c r="Y71" s="16" t="n">
        <f aca="false">SUM(C71:X71)</f>
        <v>0</v>
      </c>
      <c r="Z71" s="17" t="str">
        <f aca="false">+Z70</f>
        <v>Steve Dowd</v>
      </c>
    </row>
    <row r="72" customFormat="false" ht="12.75" hidden="false" customHeight="false" outlineLevel="0" collapsed="false">
      <c r="A72" s="1" t="s">
        <v>40</v>
      </c>
      <c r="D72" s="1" t="n">
        <v>0</v>
      </c>
      <c r="E72" s="1" t="n">
        <v>0</v>
      </c>
      <c r="F72" s="1" t="n">
        <v>100</v>
      </c>
      <c r="Y72" s="16" t="n">
        <f aca="false">SUM(C72:X72)</f>
        <v>100</v>
      </c>
      <c r="Z72" s="17" t="str">
        <f aca="false">+Z71</f>
        <v>Steve Dowd</v>
      </c>
    </row>
    <row r="73" customFormat="false" ht="12.75" hidden="false" customHeight="false" outlineLevel="0" collapsed="false">
      <c r="A73" s="1" t="s">
        <v>41</v>
      </c>
      <c r="D73" s="1" t="n">
        <v>0</v>
      </c>
      <c r="Y73" s="16" t="n">
        <f aca="false">SUM(C73:X73)</f>
        <v>0</v>
      </c>
      <c r="Z73" s="17" t="str">
        <f aca="false">+Z72</f>
        <v>Steve Dowd</v>
      </c>
    </row>
    <row r="74" customFormat="false" ht="12.75" hidden="false" customHeight="false" outlineLevel="0" collapsed="false">
      <c r="Y74" s="16"/>
    </row>
    <row r="75" customFormat="false" ht="12.75" hidden="false" customHeight="false" outlineLevel="0" collapsed="false">
      <c r="A75" s="2" t="s">
        <v>127</v>
      </c>
      <c r="C75" s="18" t="n">
        <f aca="false">SUM(C70:C74)</f>
        <v>0</v>
      </c>
      <c r="D75" s="18" t="n">
        <f aca="false">SUM(D70:D74)</f>
        <v>0</v>
      </c>
      <c r="E75" s="18" t="n">
        <f aca="false">SUM(E70:E74)</f>
        <v>15000</v>
      </c>
      <c r="F75" s="18" t="n">
        <f aca="false">SUM(F70:F74)</f>
        <v>100</v>
      </c>
      <c r="G75" s="18" t="n">
        <f aca="false">SUM(G70:G74)</f>
        <v>0</v>
      </c>
      <c r="H75" s="18" t="n">
        <f aca="false">SUM(H70:H74)</f>
        <v>0</v>
      </c>
      <c r="I75" s="18" t="n">
        <f aca="false">SUM(I70:I74)</f>
        <v>0</v>
      </c>
      <c r="J75" s="18" t="n">
        <f aca="false">SUM(J70:J74)</f>
        <v>0</v>
      </c>
      <c r="K75" s="18" t="n">
        <f aca="false">SUM(K70:K74)</f>
        <v>0</v>
      </c>
      <c r="L75" s="18" t="n">
        <f aca="false">SUM(L70:L74)</f>
        <v>0</v>
      </c>
      <c r="M75" s="18" t="n">
        <f aca="false">SUM(M70:M74)</f>
        <v>0</v>
      </c>
      <c r="N75" s="18" t="n">
        <f aca="false">SUM(N70:N74)</f>
        <v>0</v>
      </c>
      <c r="O75" s="18" t="n">
        <f aca="false">SUM(O70:O74)</f>
        <v>0</v>
      </c>
      <c r="P75" s="18" t="n">
        <f aca="false">SUM(P70:P74)</f>
        <v>0</v>
      </c>
      <c r="Q75" s="18" t="n">
        <f aca="false">SUM(Q70:Q74)</f>
        <v>0</v>
      </c>
      <c r="R75" s="18" t="n">
        <f aca="false">SUM(R70:R74)</f>
        <v>0</v>
      </c>
      <c r="S75" s="18" t="n">
        <f aca="false">SUM(S70:S74)</f>
        <v>0</v>
      </c>
      <c r="T75" s="18" t="n">
        <f aca="false">SUM(T70:T74)</f>
        <v>0</v>
      </c>
      <c r="U75" s="18" t="n">
        <f aca="false">SUM(U70:U74)</f>
        <v>0</v>
      </c>
      <c r="V75" s="18"/>
      <c r="W75" s="18"/>
      <c r="X75" s="18"/>
      <c r="Y75" s="19" t="n">
        <f aca="false">SUM(C75:U75)</f>
        <v>15100</v>
      </c>
    </row>
    <row r="76" customFormat="false" ht="12.75" hidden="false" customHeight="false" outlineLevel="0" collapsed="false">
      <c r="Y76" s="16"/>
    </row>
    <row r="77" customFormat="false" ht="12.75" hidden="false" customHeight="false" outlineLevel="0" collapsed="false">
      <c r="Y77" s="16"/>
    </row>
    <row r="78" customFormat="false" ht="13.5" hidden="false" customHeight="false" outlineLevel="0" collapsed="false">
      <c r="A78" s="2" t="s">
        <v>116</v>
      </c>
      <c r="C78" s="38" t="n">
        <f aca="false">+C46+C67+C75</f>
        <v>17087218</v>
      </c>
      <c r="D78" s="38" t="n">
        <f aca="false">+D46+D67+D75</f>
        <v>43642669</v>
      </c>
      <c r="E78" s="38" t="n">
        <f aca="false">+E46+E67+E75</f>
        <v>4711472</v>
      </c>
      <c r="F78" s="38" t="n">
        <f aca="false">+F46+F67+F75</f>
        <v>419273.6</v>
      </c>
      <c r="G78" s="38" t="n">
        <f aca="false">+G46+G67+G75</f>
        <v>4762088.97</v>
      </c>
      <c r="H78" s="38" t="n">
        <f aca="false">+H46+H67+H75</f>
        <v>9103942.23</v>
      </c>
      <c r="I78" s="38" t="n">
        <f aca="false">+I46+I67+I75</f>
        <v>546828.138620833</v>
      </c>
      <c r="J78" s="38" t="n">
        <f aca="false">+J46+J67+J75</f>
        <v>1092836.67213836</v>
      </c>
      <c r="K78" s="38" t="n">
        <f aca="false">+K46+K67+K75</f>
        <v>1496281.67641661</v>
      </c>
      <c r="L78" s="38" t="n">
        <f aca="false">+L46+L67+L75</f>
        <v>1780115.93</v>
      </c>
      <c r="M78" s="38" t="n">
        <f aca="false">+M46+M67+M75</f>
        <v>1603218.40884026</v>
      </c>
      <c r="N78" s="38" t="n">
        <f aca="false">+N46+N67+N75</f>
        <v>5445164.34096592</v>
      </c>
      <c r="O78" s="38" t="n">
        <f aca="false">+O46+O67+O75</f>
        <v>4543589.92564781</v>
      </c>
      <c r="P78" s="38" t="n">
        <f aca="false">+P46+P67+P75</f>
        <v>9182819.13452652</v>
      </c>
      <c r="Q78" s="38" t="n">
        <f aca="false">+Q46+Q67+Q75</f>
        <v>10681694.1217049</v>
      </c>
      <c r="R78" s="38" t="n">
        <f aca="false">+R46+R67+R75</f>
        <v>10879375.6578155</v>
      </c>
      <c r="S78" s="38" t="n">
        <f aca="false">+S46+S67+S75</f>
        <v>7964606.60210788</v>
      </c>
      <c r="T78" s="38" t="n">
        <f aca="false">+T46+T67+T75</f>
        <v>7386362.74259346</v>
      </c>
      <c r="U78" s="38" t="n">
        <f aca="false">+U46+U67+U75</f>
        <v>16289738.0019733</v>
      </c>
      <c r="V78" s="38"/>
      <c r="W78" s="38"/>
      <c r="X78" s="38"/>
      <c r="Y78" s="38" t="n">
        <f aca="false">+Y46+Y67+Y75</f>
        <v>160782826.608951</v>
      </c>
    </row>
    <row r="79" customFormat="false" ht="12.75" hidden="false" customHeight="false" outlineLevel="0" collapsed="false">
      <c r="U79" s="0"/>
      <c r="V79" s="0"/>
      <c r="W79" s="0"/>
      <c r="X79" s="0"/>
      <c r="Y79" s="43" t="n">
        <f aca="false">Y78-[1]Wheatland!$BR$231</f>
        <v>2.40511429309845</v>
      </c>
    </row>
  </sheetData>
  <mergeCells count="1">
    <mergeCell ref="D5:O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1999-02-09T11:33:00Z</dcterms:created>
  <dc:creator>tshepperd</dc:creator>
  <dc:description/>
  <dc:language>en-US</dc:language>
  <cp:lastModifiedBy>acopela</cp:lastModifiedBy>
  <cp:lastPrinted>1999-12-28T19:20:35Z</cp:lastPrinted>
  <cp:revision>0</cp:revision>
  <dc:subject/>
  <dc:title/>
</cp:coreProperties>
</file>